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jgub9B31cLH0HnCENKZV7xiWPNpvEnDtw++5JC/b4Yk="/>
    </ext>
  </extLst>
</workbook>
</file>

<file path=xl/sharedStrings.xml><?xml version="1.0" encoding="utf-8"?>
<sst xmlns="http://schemas.openxmlformats.org/spreadsheetml/2006/main" count="22078" uniqueCount="22078">
  <si>
    <t>en</t>
  </si>
  <si>
    <t>mt</t>
  </si>
  <si>
    <t>Who could not recover the money it paid for the tariff?</t>
  </si>
  <si>
    <t>What is the the old south branch of the Rhine called?</t>
  </si>
  <si>
    <t>the New Collegiate Division</t>
  </si>
  <si>
    <t>published sources</t>
  </si>
  <si>
    <t>Temecula and Murrieta</t>
  </si>
  <si>
    <t>How many seats did the SNP take from the Liberal Democrats?</t>
  </si>
  <si>
    <t>near the top end of the range given by IPCC's 2001 projection</t>
  </si>
  <si>
    <t>If the average U.S. worker were to complete an additional year of school, what amount of growth would be generated over 5 years?</t>
  </si>
  <si>
    <t>What type of wages do people unable to afford an education receive?</t>
  </si>
  <si>
    <t>What happened to the number of student applications during the 1920s?</t>
  </si>
  <si>
    <t>Standard Industrial Classification</t>
  </si>
  <si>
    <t>If the apparant force of two fermions is attractive, what is the spin function?</t>
  </si>
  <si>
    <t>over 1,000</t>
  </si>
  <si>
    <t>The French acquired a copy of the British war plans, including the activities of Shirley and Johnson. Shirley's efforts to fortify Oswego were bogged down in logistical difficulties, exacerbated by Shirley's inexperience in managing large expeditions. In conjunction, Shirley was made aware that the French were massing for an attack on Fort Oswego in his absence when he planned to attack Fort Niagara. As a response, Shirley left garrisons at Oswego, Fort Bull, and Fort Williams (the latter two located on the Oneida Carry between the Mohawk River and Wood Creek at present-day Rome, New York). Supplies for use in the projected attack on Niagara were cached at Fort Bull.</t>
  </si>
  <si>
    <t>can produce both eggs and sperm</t>
  </si>
  <si>
    <t>For what reason would someone avoid crimes while protesting?</t>
  </si>
  <si>
    <t>an outside proposer</t>
  </si>
  <si>
    <t>general relativity</t>
  </si>
  <si>
    <t>may have entered Europe in two waves</t>
  </si>
  <si>
    <t>Newton's Fifth Law is the result of applying symmetry to what?</t>
  </si>
  <si>
    <t>What do common elements often act as?</t>
  </si>
  <si>
    <t>mid-14th century</t>
  </si>
  <si>
    <t>If there is a conflict between EU law and national law, which law take precedence?</t>
  </si>
  <si>
    <t>Living from 973–1048 CE he was one of the earliest Persian geologists, what was his name?</t>
  </si>
  <si>
    <t>What can help a student get a scholarship for a public school?</t>
  </si>
  <si>
    <t>Who wrote of the Smeaton water pump in 1751's Philosophical Transactions?</t>
  </si>
  <si>
    <t>When was the Black Forest discovered?</t>
  </si>
  <si>
    <t>The shortcomings of Aristotelian physics would not be fully corrected until the 17th century work of Galileo Galilei, who was influenced by the late Medieval idea that objects in forced motion carried an innate force of impetus. Galileo constructed an experiment in which stones and cannonballs were both rolled down an incline to disprove the Aristotelian theory of motion early in the 17th century. He showed that the bodies were accelerated by gravity to an extent that was independent of their mass and argued that objects retain their velocity unless acted on by a force, for example friction.</t>
  </si>
  <si>
    <t>What is the yearly cost of some notable prep schools in New England?</t>
  </si>
  <si>
    <t>Islamic</t>
  </si>
  <si>
    <t>The other major method of producing O
2 gas involves passing a stream of clean, dry air through one bed of a pair of identical zeolite molecular sieves, which absorbs the nitrogen and delivers a gas stream that is 90% to 93% O
2. Simultaneously, nitrogen gas is released from the other nitrogen-saturated zeolite bed, by reducing the chamber operating pressure and diverting part of the oxygen gas from the producer bed through it, in the reverse direction of flow. After a set cycle time the operation of the two beds is interchanged, thereby allowing for a continuous supply of gaseous oxygen to be pumped through a pipeline. This is known as pressure swing adsorption. Oxygen gas is increasingly obtained by these non-cryogenic technologies (see also the related vacuum swing adsorption).</t>
  </si>
  <si>
    <t>Century City is an example of a district that belongs to which city?</t>
  </si>
  <si>
    <t>How many missles were at the nuclear test site?</t>
  </si>
  <si>
    <t xml:space="preserve"> When did the age of imperialism begin?</t>
  </si>
  <si>
    <t>soy farmers</t>
  </si>
  <si>
    <t>What building from the 19th century was destroyed between the 1930s and 1940s?</t>
  </si>
  <si>
    <t>What are the two principal Asian-American groups living in the west side neighborhood of Fresno?</t>
  </si>
  <si>
    <t>What year did the the case go before the supreme court?</t>
  </si>
  <si>
    <t>When was Baryczko constructed?</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</si>
  <si>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</si>
  <si>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What census showed southern California as having a population of 26,860, 010?</t>
  </si>
  <si>
    <t>worst-case time complexity</t>
  </si>
  <si>
    <t>How much did Forbes donate to charity in 2009?</t>
  </si>
  <si>
    <t>at least 40%</t>
  </si>
  <si>
    <t>Who first proved Bertrand's postulate?</t>
  </si>
  <si>
    <t>There were many Chinese with what unexpected status?</t>
  </si>
  <si>
    <t>Cork City</t>
  </si>
  <si>
    <t>Polish United Workers' Party</t>
  </si>
  <si>
    <t>What group specifically opposed the Huguenots?</t>
  </si>
  <si>
    <t>Which article made provisions for concentrations or mergers and the abuse of a dominant position by companies?</t>
  </si>
  <si>
    <t xml:space="preserve"> How would one create an empire by means of non-Imperialism?</t>
  </si>
  <si>
    <t>What has been easily proven about the rain forest</t>
  </si>
  <si>
    <t>Who passed the Scotland Act of 1988?</t>
  </si>
  <si>
    <t>their greatest common divisor is one</t>
  </si>
  <si>
    <t>What is Hawaii made of that has existed since Cambrian time?</t>
  </si>
  <si>
    <t>What does the steam generated by a auxiliary power drive?</t>
  </si>
  <si>
    <t>Proper valuations happened in a government project because of what by the owner?</t>
  </si>
  <si>
    <t>All actions</t>
  </si>
  <si>
    <t>Commissioners</t>
  </si>
  <si>
    <t>What did Stiglitz present in 2008 regarding global inequality?</t>
  </si>
  <si>
    <t>Reciprocating piston type steam engines remained the dominant source of power until the early 20th century, when advances in the design of electric motors and internal combustion engines gradually resulted in the replacement of reciprocating (piston) steam engines in commercial usage, and the ascendancy of steam turbines in power generation. Considering that the great majority of worldwide electric generation is produced by turbine type steam engines, the "steam age" is continuing with energy levels far beyond those of the turn of the 19th century.</t>
  </si>
  <si>
    <t>What main business district is in downtown Los Angeles itself?</t>
  </si>
  <si>
    <t>heavy bodies to fall</t>
  </si>
  <si>
    <t>"apostate" leaders of Muslim states,</t>
  </si>
  <si>
    <t xml:space="preserve"> What happened to the East India Trading Company in 1766?</t>
  </si>
  <si>
    <t>The college's University is divided into how many divisions?</t>
  </si>
  <si>
    <t>Widener Library</t>
  </si>
  <si>
    <t>the Charter of Fundamental Rights of the European Union</t>
  </si>
  <si>
    <t>When did Jay Berwanger win the Maynard Trophy?</t>
  </si>
  <si>
    <t>judicial branch</t>
  </si>
  <si>
    <t>third most abundant</t>
  </si>
  <si>
    <t>The plain moraine plateau has only a few natural and artificial ponds and also groups of clay pits. The pattern of the Vistula terraces is asymmetrical. The left side consist mainly of two levels: the highest one contains former flooded terraces and the lowest one the flood plain terrace. The contemporary flooded terrace still has visible valleys and ground depressions with water systems coming from the Vistula old – riverbed. They consist of still quite natural streams and lakes as well as the pattern of drainage ditches. The right side of Warsaw has a different pattern of geomorphological forms. There are several levels of the plain Vistula terraces (flooded as well as former flooded once) and only small part and not so visible moraine escarpment. Aeolian sand with a number of dunes parted by peat swamps or small ponds cover the highest terrace. These are mainly forested areas (pine forest).</t>
  </si>
  <si>
    <t>What social construct did Huguenot refugees in Canterbury practice?</t>
  </si>
  <si>
    <t>Presburger</t>
  </si>
  <si>
    <t>40 men</t>
  </si>
  <si>
    <t>closed system of particles</t>
  </si>
  <si>
    <t>Why does the government restrain itself when engaging in disobedience?</t>
  </si>
  <si>
    <t>William III of Orange</t>
  </si>
  <si>
    <t>Pathogen-associated molecular patterns or PAMPs</t>
  </si>
  <si>
    <t>1696</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</si>
  <si>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</si>
  <si>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What magnitude was the 1994 Northridge earthquake?</t>
  </si>
  <si>
    <t>Sky+ PVR</t>
  </si>
  <si>
    <t>eight U.S. presidents</t>
  </si>
  <si>
    <t>Which University's College grants academic minors in 50 subject areas?</t>
  </si>
  <si>
    <t xml:space="preserve"> Where was the FLIS formed?</t>
  </si>
  <si>
    <t>The principle of inclusions and components</t>
  </si>
  <si>
    <t>−2, −4, ...,</t>
  </si>
  <si>
    <t>What equation currently decribes the physics of force.</t>
  </si>
  <si>
    <t>domestic legislation of the Scottish Parliament</t>
  </si>
  <si>
    <t>ctenes</t>
  </si>
  <si>
    <t>What was the significance of victory at Forth Niagara for British?</t>
  </si>
  <si>
    <t>Who kicked Ethelred out?</t>
  </si>
  <si>
    <t>What is harder to analyze in terms of more unusual resources?</t>
  </si>
  <si>
    <t>University of Paris</t>
  </si>
  <si>
    <t>What exposes organisms to infection?</t>
  </si>
  <si>
    <t>What was Warsaw's first literary cabaret?</t>
  </si>
  <si>
    <t>What is it called when there is an active attempt to overthrow a government or belief system?</t>
  </si>
  <si>
    <t>What co-receptor recruits molecules inside the T cell that are responsible for cell activation?</t>
  </si>
  <si>
    <t>What is the least critical resource in the analysis of computational problems associated with non-deterministic Turing machines?</t>
  </si>
  <si>
    <t>4-week period</t>
  </si>
  <si>
    <t>Where was the 1857 riot?</t>
  </si>
  <si>
    <t>failures in North America</t>
  </si>
  <si>
    <t>Under what law is value of a worker undetermined?</t>
  </si>
  <si>
    <t>How many seats does the amphitheatre at Woodward park have?</t>
  </si>
  <si>
    <t>European imperialism was focused on what?</t>
  </si>
  <si>
    <t>What does the internal cavity contain?</t>
  </si>
  <si>
    <t>23 June 2005</t>
  </si>
  <si>
    <t>What aren't other alternative names for French and Indian War?</t>
  </si>
  <si>
    <t>already-wealthy individuals</t>
  </si>
  <si>
    <t>Where did water on the eastern side of the amazon basin travel after the split?</t>
  </si>
  <si>
    <t>The constituent objects only decelerate with respect to what?</t>
  </si>
  <si>
    <t>What encoding decision needs to be made in order to determine an exact definition of the formal language?</t>
  </si>
  <si>
    <t>When did the Cold War begin?</t>
  </si>
  <si>
    <t>means to invest</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</si>
  <si>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</si>
  <si>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voucher</t>
  </si>
  <si>
    <t>What exchange in Warsaw is one of the most important for Central and Eastern Europe?</t>
  </si>
  <si>
    <t>What does ctenophore mean in Greek?</t>
  </si>
  <si>
    <t>Cobham-Edmonds</t>
  </si>
  <si>
    <t>What university alumni member was known for his work on portfolio theory?</t>
  </si>
  <si>
    <t>beginning of each parliamentary session</t>
  </si>
  <si>
    <t>Which part of Japan had people ranked higher in the class system?</t>
  </si>
  <si>
    <t>When was Warsaw completely razed to the ground by bombing raids?</t>
  </si>
  <si>
    <t>the lack of a Parliament of Scotland</t>
  </si>
  <si>
    <t>four men attending Harvard College for every woman</t>
  </si>
  <si>
    <t xml:space="preserve">Who created the cooperative agreement? </t>
  </si>
  <si>
    <t>The atomic number of the periodic table for oxygen?</t>
  </si>
  <si>
    <t>covalent double bond</t>
  </si>
  <si>
    <t>What was the name of the experiment that tested how life originated?</t>
  </si>
  <si>
    <t>How many years could separate outbreaks of the black death?</t>
  </si>
  <si>
    <t>The third master plan led to the construction of buildings where?</t>
  </si>
  <si>
    <t>Inherited wealth</t>
  </si>
  <si>
    <t xml:space="preserve">This network influenced  later models of </t>
  </si>
  <si>
    <t>Acasta gneiss</t>
  </si>
  <si>
    <t>In 2005 how many employees were employed by the government?</t>
  </si>
  <si>
    <t>geological period</t>
  </si>
  <si>
    <t>Charleston Orange district</t>
  </si>
  <si>
    <t>In the final years of the apartheid era, parents at white government schools were given the option to convert to a "semi-private" form called Model C, and many of these schools changed their admissions policies to accept children of other races. Following the transition to democracy, the legal form of "Model C" was abolished, however, the term continues to be used to describe government schools formerly reserved for white children.. These schools tend to produce better academic results than government schools formerly reserved for other race groups . Former "Model C" schools are not private schools, as they are state-controlled. All schools in South Africa (including both independent schools and public schools) have the right to set compulsory school fees, and formerly model C schools tend to set much higher school fees than other public schools.</t>
  </si>
  <si>
    <t xml:space="preserve"> Where did Turabi place students apathetic to his views?</t>
  </si>
  <si>
    <t>After Braddock died, who controlled South American British forces?</t>
  </si>
  <si>
    <t>A variety of alternatives to the Y. pestis have been put forward. Twigg suggested that the cause was a form of anthrax, and Norman Cantor (2001) thought it may have been a combination of anthrax and other pandemics. Scott and Duncan have argued that the pandemic was a form of infectious disease that characterise as hemorrhagic plague similar to Ebola. Archaeologist Barney Sloane has argued that there is insufficient evidence of the extinction of a large number of rats in the archaeological record of the medieval waterfront in London and that the plague spread too quickly to support the thesis that the Y. pestis was spread from fleas on rats; he argues that transmission must have been person to person. However, no single alternative solution has achieved widespread acceptance. Many scholars arguing for the Y. pestis as the major agent of the pandemic suggest that its extent and symptoms can be explained by a combination of bubonic plague with other diseases, including typhus, smallpox and respiratory infections. In addition to the bubonic infection, others point to additional septicemic (a type of "blood poisoning") and pneumonic (an airborne plague that attacks the lungs before the rest of the body) forms of the plague, which lengthen the duration of outbreaks throughout the seasons and help account for its high mortality rate and additional recorded symptoms. In 2014, scientists with Public Health England announced the results of an examination of 25 bodies exhumed from the Clerkenwell area of London, as well as of wills registered in London during the period, which supported the pneumonic hypothesis.</t>
  </si>
  <si>
    <t>Which caused the reform to never come into force?</t>
  </si>
  <si>
    <t>Juan Manuel Santos</t>
  </si>
  <si>
    <t>What state constitutional amendments make reference to the government funding religious schools?</t>
  </si>
  <si>
    <t>How many bodies of water make up the Rhine?</t>
  </si>
  <si>
    <t>What wasn't extent of Celeron's expedition?</t>
  </si>
  <si>
    <t>cut off the French frontier forts further to the west and south</t>
  </si>
  <si>
    <t>What does FOTA stand for?</t>
  </si>
  <si>
    <t xml:space="preserve">Whose ideas became increasingly radical during his imprisonment? </t>
  </si>
  <si>
    <t>What prestigious legal scholars are faculty members at Harvard?</t>
  </si>
  <si>
    <t>as decision problems</t>
  </si>
  <si>
    <t>peaceable revolution</t>
  </si>
  <si>
    <t>the Montreal Protocol</t>
  </si>
  <si>
    <t>ensure that in the interpretation and application of the Treaties the law is observed</t>
  </si>
  <si>
    <t>How did Natives in Logstown take Celeron's information?</t>
  </si>
  <si>
    <t>Who went to Fort Dusquesne in June 1755?</t>
  </si>
  <si>
    <t>What scientist experimented with snake venom in the 18th century?</t>
  </si>
  <si>
    <t>Who was the ruling class ahead of the Normans?</t>
  </si>
  <si>
    <t>What techniques did Chinese medicine never include?</t>
  </si>
  <si>
    <t>dial-up</t>
  </si>
  <si>
    <t>O</t>
  </si>
  <si>
    <t>What complexity class is commonly characterized by unknown algorithms to enhance solvability?</t>
  </si>
  <si>
    <t>What battle inside Quebec City did British lose in 1760?</t>
  </si>
  <si>
    <t>What ethnicity was Frederick William, Elector of Brandenburg?</t>
  </si>
  <si>
    <t>What channel was never dropped from Sky?</t>
  </si>
  <si>
    <t>challenge to the legal system that permits those decisions to be taken</t>
  </si>
  <si>
    <t xml:space="preserve"> Who stated he did not want Israel to vanish?</t>
  </si>
  <si>
    <t>Who conceptualized the piston?</t>
  </si>
  <si>
    <t>outlined the division and administration of the newly conquered territory</t>
  </si>
  <si>
    <t>the Compromise of 1850</t>
  </si>
  <si>
    <t>March Battle of Fort Bull</t>
  </si>
  <si>
    <t>What is one general concept that applies to elements of commutative rings?</t>
  </si>
  <si>
    <t>$45,000</t>
  </si>
  <si>
    <t>Where does heat rejection occur in the Rankine cycle?</t>
  </si>
  <si>
    <t>to encourage investment</t>
  </si>
  <si>
    <t>How many main interactions are not know?</t>
  </si>
  <si>
    <t>How far is New Rochelle from New Paltz?</t>
  </si>
  <si>
    <t>Hendrix v Employee</t>
  </si>
  <si>
    <t>What measure of computational problem broadly defines the inherent simplicity of the solution?</t>
  </si>
  <si>
    <t>What is the area called where two plates move apart?</t>
  </si>
  <si>
    <t>1685</t>
  </si>
  <si>
    <t>Who are best known for uncovering the fossil of John B Watson?</t>
  </si>
  <si>
    <t>In some rural areas in the United Kingdom</t>
  </si>
  <si>
    <t>What newly legalized move did Harvard's football team support in 1920?</t>
  </si>
  <si>
    <t>Who took the throne after Kusala's death?</t>
  </si>
  <si>
    <t>What is the name a a problem that meets Ladder's assertion?</t>
  </si>
  <si>
    <t xml:space="preserve">What was the Air Force not interested in for their message system? </t>
  </si>
  <si>
    <t>What did Hutton believe was formed in one catastrophic event?</t>
  </si>
  <si>
    <t>What is associated with horizontal forces?</t>
  </si>
  <si>
    <t>What working fluid is used in a mercury vapor turbine?</t>
  </si>
  <si>
    <t>exoskeleton</t>
  </si>
  <si>
    <t>action-reaction pairs</t>
  </si>
  <si>
    <t>How are the certain costs which are easy to avoid shared?</t>
  </si>
  <si>
    <t>quickly</t>
  </si>
  <si>
    <t>the Prophet Mohammad</t>
  </si>
  <si>
    <t>Where does Carpathia rank in terms of population in the EU?</t>
  </si>
  <si>
    <t>What do carbohydrates have the most of by mass?</t>
  </si>
  <si>
    <t>What's the party's take on Muslim present?</t>
  </si>
  <si>
    <t>HIV</t>
  </si>
  <si>
    <t>Who is the current Governor of Victoria?</t>
  </si>
  <si>
    <t>Jacksonville's popularity for films earned it what title?</t>
  </si>
  <si>
    <t>How would one describe the summers in Fresno?</t>
  </si>
  <si>
    <t>In what universe would a falling cannonball land in front of the mast of a moving ship?</t>
  </si>
  <si>
    <t>injector</t>
  </si>
  <si>
    <t>greater equality but not per capita income</t>
  </si>
  <si>
    <t>How many lines does the commuter rail system have?</t>
  </si>
  <si>
    <t xml:space="preserve"> What wasn't the idealized value of imperialism?</t>
  </si>
  <si>
    <t>1968</t>
  </si>
  <si>
    <t>a free state</t>
  </si>
  <si>
    <t>A particularly simple example of a probabilistic test is the Fermat primality test, which relies on the fact (Fermat's little theorem) that np≡n (mod p) for any n if p is a prime number. If we have a number b that we want to test for primality, then we work out nb (mod b) for a random value of n as our test. A flaw with this test is that there are some composite numbers (the Carmichael numbers) that satisfy the Fermat identity even though they are not prime, so the test has no way of distinguishing between prime numbers and Carmichael numbers. Carmichael numbers are substantially rarer than prime numbers, though, so this test can be useful for practical purposes. More powerful extensions of the Fermat primality test, such as the Baillie-PSW, Miller-Rabin, and Solovay-Strassen tests, are guaranteed to fail at least some of the time when applied to a composite number.</t>
  </si>
  <si>
    <t>NBA</t>
  </si>
  <si>
    <t>2.8</t>
  </si>
  <si>
    <t>What types of diseases are specialty drugs often used against?</t>
  </si>
  <si>
    <t>When was BSkyB's digital service unofficially launched?</t>
  </si>
  <si>
    <t>no French regular army troops were stationed in North America</t>
  </si>
  <si>
    <t>828,000</t>
  </si>
  <si>
    <t>greatest common divisor is one</t>
  </si>
  <si>
    <t>Which two compounds did Al-Muwaffaq differentiate between?</t>
  </si>
  <si>
    <t xml:space="preserve"> What form of songwriting was developed in the Yuan?</t>
  </si>
  <si>
    <t>Who presented briefing B-265 to the US Air Force?</t>
  </si>
  <si>
    <t>Sponges have three main cell layers and no what?</t>
  </si>
  <si>
    <t>closed</t>
  </si>
  <si>
    <t>World War II</t>
  </si>
  <si>
    <t>What is one of the last responses of the immune system to infection?</t>
  </si>
  <si>
    <t>primary law, secondary law and supplementary law</t>
  </si>
  <si>
    <t>Where is Redland University located?</t>
  </si>
  <si>
    <t>mechanism by which Y. pestis was usually transmitted</t>
  </si>
  <si>
    <t>What are sometimes present in the boiler's firebox crown?</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</si>
  <si>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</si>
  <si>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role in spreading awareness of, and access to, national networking and was a major milestone on the path to development of the global Internet</t>
  </si>
  <si>
    <t>B cell</t>
  </si>
  <si>
    <t>What percentage of Victorians are Christian Scientists?</t>
  </si>
  <si>
    <t>Who was the first Byzantine mercenary to serve with the Normans?</t>
  </si>
  <si>
    <t>A growing number of new forms of procurement involves what?</t>
  </si>
  <si>
    <t>OAPEC</t>
  </si>
  <si>
    <t>What did Microsoft announce that it would rename OneDrive to?</t>
  </si>
  <si>
    <t>When a commission reached a decision, what happened?</t>
  </si>
  <si>
    <t>an official school</t>
  </si>
  <si>
    <t>Bills can be introduced to Parliament in a number of ways; the Scottish Government can introduce new laws or amendments to existing laws as a bill; a committee of the Parliament can present a bill in one of the areas under its remit; a member of the Scottish Parliament can introduce a bill as a private member; or a private bill can be submitted to Parliament by an outside proposer. Most draft laws are government bills introduced by ministers in the governing party. Bills pass through Parliament in a number of stages:</t>
  </si>
  <si>
    <t>furnished two new regiments of his army</t>
  </si>
  <si>
    <t>Where is the Apache Point Observatory located?</t>
  </si>
  <si>
    <t>the ballast tanks of ships</t>
  </si>
  <si>
    <t>The southern part of the Amazon forest was mainly impacted by drought in what year?</t>
  </si>
  <si>
    <t>invasion of Britain</t>
  </si>
  <si>
    <t>Who can be in the Victorian cabinet?</t>
  </si>
  <si>
    <t>When were the public housing developments built in the neighborhood?</t>
  </si>
  <si>
    <t>ctenophore Mnemiopsis leidyi</t>
  </si>
  <si>
    <t>What does not fall under the field of analysis of algorithms&gt;</t>
  </si>
  <si>
    <t>beaches</t>
  </si>
  <si>
    <t>To reduce the chances of combustion ___ is required for safely handeling pure O.</t>
  </si>
  <si>
    <t>When did Costa v ENEL take place?</t>
  </si>
  <si>
    <t>How many tons of carbon are absorbed the Amazon in a typical year?</t>
  </si>
  <si>
    <t>the greater Southern California Megaregion</t>
  </si>
  <si>
    <t>Internet2 Network</t>
  </si>
  <si>
    <t>What foreign bodies, which are older than the rocks themselves, occur igneous rocks?</t>
  </si>
  <si>
    <t>The element is found in almost all biomolecules that are important to (or generated by) life. Only a few common complex biomolecules, such as squalene and the carotenes, contain no oxygen. Of the organic compounds with biological relevance, carbohydrates contain the largest proportion by mass of oxygen. All fats, fatty acids, amino acids, and proteins contain oxygen (due to the presence of carbonyl groups in these acids and their ester residues). Oxygen also occurs in phosphate (PO3−
4) groups in the biologically important energy-carrying molecules ATP and ADP, in the backbone and the purines (except adenine) and pyrimidines of RNA and DNA, and in bones as calcium phosphate and hydroxylapatite.</t>
  </si>
  <si>
    <t xml:space="preserve">What did RM 3420 report? </t>
  </si>
  <si>
    <t>Where did British settlers live?</t>
  </si>
  <si>
    <t>painting, poetry, and calligraphy</t>
  </si>
  <si>
    <t>300 acres</t>
  </si>
  <si>
    <t>The region was a leader in what event between 2001 - 2007?</t>
  </si>
  <si>
    <t>to gain the support of the British and regain authority over his own people</t>
  </si>
  <si>
    <t>What is around 18 miles south of San Jose?</t>
  </si>
  <si>
    <t>Who provides the bill of quantities?</t>
  </si>
  <si>
    <t>MHC antigens on normal body cells are recognized by what receptor on NK cells?</t>
  </si>
  <si>
    <t>What does the currently flooded terrace still have visible?</t>
  </si>
  <si>
    <t>stratigraphic sequence</t>
  </si>
  <si>
    <t>passenger</t>
  </si>
  <si>
    <t>What type of professionals do pharmacists lack?</t>
  </si>
  <si>
    <t>When was gold found near Ballarat?</t>
  </si>
  <si>
    <t>What is consumed in both combustion and respiration?</t>
  </si>
  <si>
    <t>Which country's arms purchase from the US became 5 times more than Israel?</t>
  </si>
  <si>
    <t>Unsurprisingly, the mujahideen's victory with the Soviets in the 1980s succeeded to produce what?</t>
  </si>
  <si>
    <t>The energy crisis led to greater interest in renewable energy, nuclear power and domestic fossil fuels. There is criticism that American energy policies since the crisis have been dominated by crisis-mentality thinking, promoting expensive quick fixes and single-shot solutions that ignore market and technology realities. Instead of providing stable rules that support basic research while leaving plenty of scope for entrepreneurship and innovation, congresses and presidents have repeatedly backed policies which promise solutions that are politically expedient, but whose prospects are doubtful.</t>
  </si>
  <si>
    <t>What actually caused the plague?</t>
  </si>
  <si>
    <t>What type of treatment are pharmacists not needed for?</t>
  </si>
  <si>
    <t>time and storage</t>
  </si>
  <si>
    <t>Where didn't Old Briton call home?</t>
  </si>
  <si>
    <t>What does lack of education lead directly to?</t>
  </si>
  <si>
    <t>What strategy is used by pathogens to encounter the innate immune system?</t>
  </si>
  <si>
    <t>How high of a fever does someone suffering from septicemic plague have?</t>
  </si>
  <si>
    <t>Governon Robert Dinwiddie had an investment in what significan company?</t>
  </si>
  <si>
    <t>evaluation of the appropriateness of the drug therapy</t>
  </si>
  <si>
    <t>The movements of the lobates combs are controlled by what?</t>
  </si>
  <si>
    <t>blueprint</t>
  </si>
  <si>
    <t>Which courts do not have a duty to interpret  domestic law as far a possible?</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</si>
  <si>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</si>
  <si>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T cell receptor</t>
  </si>
  <si>
    <t xml:space="preserve"> What goal does Islamism not have when it comes to society and government?</t>
  </si>
  <si>
    <t>During which decade was there an increase in student applications?</t>
  </si>
  <si>
    <t>Which entities have had to develop principles dedicated to conflict resolution between laws of different systems?</t>
  </si>
  <si>
    <t>Middle East</t>
  </si>
  <si>
    <t>forbidden</t>
  </si>
  <si>
    <t>What are three things the role of the main contractor is?</t>
  </si>
  <si>
    <t>What types of engines are steam engines?</t>
  </si>
  <si>
    <t>Andrew Lortie</t>
  </si>
  <si>
    <t>How many beds does the Maria Sklodowska-Curie Institute of Oncology have?</t>
  </si>
  <si>
    <t>loss of biodiversity</t>
  </si>
  <si>
    <t>FCC v. Pacifica Foundation</t>
  </si>
  <si>
    <t>What combined with ricing prices to make it difficult or impossible for poor people to keep pace?</t>
  </si>
  <si>
    <t>Which report depicted lesser temperature variations?</t>
  </si>
  <si>
    <t>Charleston settler Elie Prioleau was from what French town?</t>
  </si>
  <si>
    <t>stratigraphers</t>
  </si>
  <si>
    <t>Who developed DATAPAC</t>
  </si>
  <si>
    <t>What increased in the Rhine because of the land clearance in the upland areas?</t>
  </si>
  <si>
    <t>pathogen attack</t>
  </si>
  <si>
    <t>In what year did Thomas Newcomen receive a steam engine patent?</t>
  </si>
  <si>
    <t>patient care rounds drug product selection</t>
  </si>
  <si>
    <t>In which English town did the most Huguenots live?</t>
  </si>
  <si>
    <t>According to Wilson's theorem, what factorial must be divisible by p if some integer p &gt; 1 is to be considered prime?</t>
  </si>
  <si>
    <t>Barro found there is little relation between income inequality and rates of what?</t>
  </si>
  <si>
    <t>Micro-physical considerations yield what?</t>
  </si>
  <si>
    <t>In what year will the Barack Obama Presidential Center be finished?</t>
  </si>
  <si>
    <t>taking on debt</t>
  </si>
  <si>
    <t>strong, electromagnetic</t>
  </si>
  <si>
    <t>What is paired oxygen?</t>
  </si>
  <si>
    <t>What do all these models not have in common?</t>
  </si>
  <si>
    <t>What was the American Automobile Association created to do?</t>
  </si>
  <si>
    <t xml:space="preserve"> What declined when Arab nationalism suffered?</t>
  </si>
  <si>
    <t>What is located within this district?</t>
  </si>
  <si>
    <t>helper T cells, cytotoxic T cells</t>
  </si>
  <si>
    <t>What religion predominated in the Holy Roman Empire?</t>
  </si>
  <si>
    <t>building is ready to occupy</t>
  </si>
  <si>
    <t>What is the force between two locations related to?</t>
  </si>
  <si>
    <t>Irish linen industry</t>
  </si>
  <si>
    <t>How many stories doe the Lavietes Pavillion have?</t>
  </si>
  <si>
    <t>What type of engines became widespread around the end of the 20th century?</t>
  </si>
  <si>
    <t>What was the first internet2 network named</t>
  </si>
  <si>
    <t>If a force is pointing horizontally to the northeast, how many forces can you split the force into?</t>
  </si>
  <si>
    <t>tropical</t>
  </si>
  <si>
    <t>major</t>
  </si>
  <si>
    <t>the opposite end from the mouth</t>
  </si>
  <si>
    <t>What does geometry ramification seek to achieve?</t>
  </si>
  <si>
    <t>What type of revolution did Maududi advocate?</t>
  </si>
  <si>
    <t>How much of London's populace became immigrants?</t>
  </si>
  <si>
    <t>The abolition of the Ottoman Caliphate is believed to have ended what system?</t>
  </si>
  <si>
    <t>Health problems were lower in places with higher levels of what?</t>
  </si>
  <si>
    <t>1st century BC</t>
  </si>
  <si>
    <t>Newton said that the acceleration of the Earth around the Moon represented what?</t>
  </si>
  <si>
    <t>adaptive</t>
  </si>
  <si>
    <t>What is the name of the French colony established in 1564?</t>
  </si>
  <si>
    <t>Each sitting day, normally at 5 pm, MSPs decide on all the motions and amendments that have been moved that day. This "Decision Time" is heralded by the sounding of the division bell, which is heard throughout the Parliamentary campus and alerts MSPs who are not in the chamber to return and vote. At Decision Time, the Presiding Officer puts questions on the motions and amendments by reading out the name of the motion or amendment as well as the proposer and asking "Are we all agreed?", to which the chamber first votes orally. If there is audible dissent, the Presiding Officer announces "There will be a division" and members vote by means of electronic consoles on their desks. Each MSP has a unique access card with a microchip which, when inserted into the console, identifies them and allows them to vote. As a result, the outcome of each division is known in seconds.</t>
  </si>
  <si>
    <t>the date</t>
  </si>
  <si>
    <t>Why are ctenophores extremely rare as fossils?</t>
  </si>
  <si>
    <t>Along with tuition, scholarships, vouchers, donations and grants, where does funding for private schools come from?</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</si>
  <si>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</si>
  <si>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In what year did China institute English-medium schools?</t>
  </si>
  <si>
    <t>What is a typical type of computational problem whose answer is either yer or no?</t>
  </si>
  <si>
    <t>Mokotów</t>
  </si>
  <si>
    <t>On what date was Victoria declared independent from New South Wales?</t>
  </si>
  <si>
    <t>Why does unemployment help growth?</t>
  </si>
  <si>
    <t>More than 26,000 square kilometres (10,000 sq mi) of Victorian farmland are sown for grain, mostly in the state's west. More than 50% of this area is sown for wheat, 33% for barley and 7% for oats. A further 6,000 square kilometres (2,300 sq mi) is sown for hay. In 2003–04, Victorian farmers produced more than 3 million tonnes of wheat and 2 million tonnes of barley. Victorian farms produce nearly 90% of Australian pears and third of apples. It is also a leader in stone fruit production. The main vegetable crops include asparagus, broccoli, carrots, potatoes and tomatoes. Last year, 121,200 tonnes of pears and 270,000 tonnes of tomatoes were produced.</t>
  </si>
  <si>
    <t>What is the solubility water in oxygen dependent on?</t>
  </si>
  <si>
    <t>Where were the Lambing Flat riots?</t>
  </si>
  <si>
    <t>When was Scotland invaded by William?</t>
  </si>
  <si>
    <t>a turbo generator set with propulsion provided by electric motors</t>
  </si>
  <si>
    <t>1191</t>
  </si>
  <si>
    <t>Where does HAMAS want to establish an Islamic state?</t>
  </si>
  <si>
    <t>What cell type is also used for immune response in most types of invertebrate life?</t>
  </si>
  <si>
    <t>How many of those fleeing France went on to become doctors?</t>
  </si>
  <si>
    <t>the Sovereign</t>
  </si>
  <si>
    <t>nuclear</t>
  </si>
  <si>
    <t>Thomas Savery</t>
  </si>
  <si>
    <t>David Graeber and Donald Johanson</t>
  </si>
  <si>
    <t>What is the southern region where protestants are concentrated?</t>
  </si>
  <si>
    <t>the Sky Q Silver set top boxes</t>
  </si>
  <si>
    <t>How many non-Muslims are in Greater London?</t>
  </si>
  <si>
    <t>When did Tamara marry a lawyer?</t>
  </si>
  <si>
    <t>What is no different between online pharmacies and community pharmacies?</t>
  </si>
  <si>
    <t>Polonez</t>
  </si>
  <si>
    <t>simultaneous</t>
  </si>
  <si>
    <t>Who can the American Commission can take proceedings against?</t>
  </si>
  <si>
    <t>histocompatibility</t>
  </si>
  <si>
    <t>7 to 10 percent</t>
  </si>
  <si>
    <t>Why do police and fire services fall under the purview of the Scottish Parliament?</t>
  </si>
  <si>
    <t>the type of reduction being used</t>
  </si>
  <si>
    <t>What type of theater do the neighborhoods feature?</t>
  </si>
  <si>
    <t>number of gates in a circuit</t>
  </si>
  <si>
    <t>What impacts gender inequality in wages?</t>
  </si>
  <si>
    <t>What is the origin of clinical pharmacy?</t>
  </si>
  <si>
    <t>How were the men who did tasks like those of today's pharmacists viewed in Japan in the Asuka and Nara periods?</t>
  </si>
  <si>
    <t>chemotaxis</t>
  </si>
  <si>
    <t>neither conscientious nor of social benefit</t>
  </si>
  <si>
    <t>5,984</t>
  </si>
  <si>
    <t xml:space="preserve">What is another word for inclusions in sedimentary rocks? </t>
  </si>
  <si>
    <t>What did maternal Old Norse traditions merge with?</t>
  </si>
  <si>
    <t>In the year 2000 how many square kilometres of the Amazon forest had been lost?</t>
  </si>
  <si>
    <t>P is not equal to NP</t>
  </si>
  <si>
    <t>What can not be restated as decision problems?</t>
  </si>
  <si>
    <t>Along with advancements in communication, Europe also continued to advance in military technology. European chemists made deadly explosives that could be used in combat, and with innovations in machinery they were able to manufacture improved firearms. By the 1880s, the machine gun had become an effective battlefield weapon. This technology gave European armies an advantage over their opponents, as armies in less-developed countries were still fighting with arrows, swords, and leather shields (e.g. the Zulus in Southern Africa during the Anglo-Zulu War of 1879).</t>
  </si>
  <si>
    <t>What are the three integer responses to a decision problem?</t>
  </si>
  <si>
    <t>What is the Rankine cycle sometimes called?</t>
  </si>
  <si>
    <t>reflective</t>
  </si>
  <si>
    <t>central Europe</t>
  </si>
  <si>
    <t>October 6, 1973</t>
  </si>
  <si>
    <t>Where did Moncalm slip away to attack, left largely unprotected?</t>
  </si>
  <si>
    <t>Who was Masovia II of Boleslaw?</t>
  </si>
  <si>
    <t>How many women did Duquesne send to relieve Saint-Pierre ?</t>
  </si>
  <si>
    <t>What is hard to find about the origin of Grand Canyon rock unless analyzed in a lab?</t>
  </si>
  <si>
    <t xml:space="preserve"> What academy did Tugh Temur destroy?</t>
  </si>
  <si>
    <t>In what country did the Y. p. orientalis genome originate?</t>
  </si>
  <si>
    <t>What is another term for shortening the expansion event?</t>
  </si>
  <si>
    <t>What kind of climate does southern California maintain?</t>
  </si>
  <si>
    <t>bubbles of inert gas, mostly nitrogen and helium, forming in their blood</t>
  </si>
  <si>
    <t>What was Joseph Haas arrested for?</t>
  </si>
  <si>
    <t>stoking</t>
  </si>
  <si>
    <t>How are the combs spaced?</t>
  </si>
  <si>
    <t>How many of the Pitt's planned expeditions were successful?</t>
  </si>
  <si>
    <t>What is the lowest point of the Rhine basin called?</t>
  </si>
  <si>
    <t>"new converts"</t>
  </si>
  <si>
    <t>How many species of Ctenophora have been validated?</t>
  </si>
  <si>
    <t>What is an autoimmune disease that affects women preferentially?</t>
  </si>
  <si>
    <t>hosts responsible for reliable delivery of data</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</si>
  <si>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</si>
  <si>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Who is the governor of India's central bank?</t>
  </si>
  <si>
    <t>Who does not define what constitutes a patient-doctor relationship?</t>
  </si>
  <si>
    <t xml:space="preserve"> When did the Channel 8 documentary Undercover Mosque air?</t>
  </si>
  <si>
    <t>The Upper Rhine region was changed significantly by a Rhine straightening program in the 19th Century. The rate of flow was increased and the ground water level fell significantly. Dead branches dried up and the amount of forests on the flood plains decreased sharply. On the French side, the Grand Canal d'Alsace was dug, which carries a significant part of the river water, and all of the traffic. In some places, there are large compensation pools, for example the huge Bassin de compensation de Plobsheim in Alsace.</t>
  </si>
  <si>
    <t>could not master written Chinese, but they could generally converse well</t>
  </si>
  <si>
    <t>All actions by EU institutions can be subject to judicial review</t>
  </si>
  <si>
    <t>about 9.81 meters per second</t>
  </si>
  <si>
    <t>When was the Gerald Ratner Athletics Center constructed?</t>
  </si>
  <si>
    <t>mujahideen Muslim Afghanistan</t>
  </si>
  <si>
    <t>What is the name of the co-ed community service fraternity?</t>
  </si>
  <si>
    <t>In what year was a set of significant rule changes introduced including the forward pass?</t>
  </si>
  <si>
    <t>rococo</t>
  </si>
  <si>
    <t>claimants' "Sky TV bills</t>
  </si>
  <si>
    <t>thymus and bone marrow</t>
  </si>
  <si>
    <t>What does BSkyB's sport portfolio include?</t>
  </si>
  <si>
    <t>rules</t>
  </si>
  <si>
    <t>design build</t>
  </si>
  <si>
    <t>The history of the steam engine stretches back as far as the first century AD; the first recorded rudimentary steam engine being the aeolipile described by Greek mathematician Hero of Alexandria. In the following centuries, the few steam-powered "engines" known were, like the aeolipile, essentially experimental devices used by inventors to demonstrate the properties of steam. A rudimentary steam turbine device was described by Taqi al-Din in 1551 and by Giovanni Branca in 1629. Jerónimo de Ayanz y Beaumont received patents in 1606 for fifty steam powered inventions, including a water pump for draining inundated mines. Denis Papin, a Huguenot refugee, did some useful work on the steam digester in 1679, and first used a piston to raise weights in 1690.</t>
  </si>
  <si>
    <t>What guidelines are used for IPCC reviews?</t>
  </si>
  <si>
    <t>Parliament Square, High Street and George IV Bridge in Edinburgh</t>
  </si>
  <si>
    <t>What happens if a member doesn't vote the party line?</t>
  </si>
  <si>
    <t>When was gold found near Birmingham?</t>
  </si>
  <si>
    <t>Where were populations centered in colonies?</t>
  </si>
  <si>
    <t>few hundred feet</t>
  </si>
  <si>
    <t>Private Bill</t>
  </si>
  <si>
    <t>1639</t>
  </si>
  <si>
    <t xml:space="preserve"> Who was the 3rd to rule the Yuan dynasty?</t>
  </si>
  <si>
    <t>November 22</t>
  </si>
  <si>
    <t xml:space="preserve">Packet switching speed is determined by what factor? </t>
  </si>
  <si>
    <t>What is the Pacific Southwest Building currently known as?</t>
  </si>
  <si>
    <t>Howard Zinn writes, "There may be many times when protesters choose to go to jail, as a way of continuing their protest, as a way of reminding their countrymen of injustice. But that is different than the notion that they must go to jail as part of a rule connected with civil disobedience. The key point is that the spirit of protest should be maintained all the way, whether it is done by remaining in jail, or by evading it. To accept jail penitently as an accession to 'the rules' is to switch suddenly to a spirit of subservience, to demean the seriousness of the protest...In particular, the neo-conservative insistence on a guilty plea should be eliminated."</t>
  </si>
  <si>
    <t>Who was not the sole governing authority capable of initiating legislative proposals?</t>
  </si>
  <si>
    <t>The Yuan dynasty (Chinese: 元朝; pinyin: Yuán Cháo), officially the Great Yuan (Chinese: 大元; pinyin: Dà Yuán; Mongolian: Yehe Yuan Ulus[a]), was the empire or ruling dynasty of China established by Kublai Khan, leader of the Mongolian Borjigin clan. Although the Mongols had ruled territories including today's North China for decades, it was not until 1271 that Kublai Khan officially proclaimed the dynasty in the traditional Chinese style. His realm was, by this point, isolated from the other khanates and controlled most of present-day China and its surrounding areas, including modern Mongolia and Korea. It was the first foreign dynasty to rule all of China and lasted until 1368, after which its Genghisid rulers returned to their Mongolian homeland and continued to rule the Northern Yuan dynasty. Some of the Mongolian Emperors of the Yuan mastered the Chinese language, while others only used their native language (i.e. Mongolian) and the 'Phags-pa script.</t>
  </si>
  <si>
    <t>males in the labor market</t>
  </si>
  <si>
    <t>The unproven Riemann hypothesis, dating from 1859, states that except for s = −2, −4, ..., all zeroes of the ζ-function have real part equal to 1/2. The connection to prime numbers is that it essentially says that the primes are as regularly distributed as possible.[clarification needed] From a physical viewpoint, it roughly states that the irregularity in the distribution of primes only comes from random noise. From a mathematical viewpoint, it roughly states that the asymptotic distribution of primes (about x/log x of numbers less than x are primes, the prime number theorem) also holds for much shorter intervals of length about the square root of x (for intervals near x). This hypothesis is generally believed to be correct. In particular, the simplest assumption is that primes should have no significant irregularities without good reason.</t>
  </si>
  <si>
    <t>What choice is typically left dependent in an effort to maintain a level of abstraction?</t>
  </si>
  <si>
    <t>What three things do you need for manufacturing to happen?</t>
  </si>
  <si>
    <t>How many Muslims are in Greater London?</t>
  </si>
  <si>
    <t>withstood and fought to the last</t>
  </si>
  <si>
    <t>Who was the first king of France to reign during the Reformation?</t>
  </si>
  <si>
    <t>spirit of protest</t>
  </si>
  <si>
    <t>the Working Group chairs</t>
  </si>
  <si>
    <t>What is an example of a pump component?</t>
  </si>
  <si>
    <t>How many people in Quzhou are descended from Confucius?</t>
  </si>
  <si>
    <t>Pac-12</t>
  </si>
  <si>
    <t>What was a long term goal of French foreign policy along the Rhine?</t>
  </si>
  <si>
    <t>What is the busiest airport by passenger volume in the United States?</t>
  </si>
  <si>
    <t>Shirley and Johnson.</t>
  </si>
  <si>
    <t xml:space="preserve"> What don't supporters of Islamism believe their views reflect?</t>
  </si>
  <si>
    <t>e Red Army</t>
  </si>
  <si>
    <t>What arose in the latest vertebrates?</t>
  </si>
  <si>
    <t>every string</t>
  </si>
  <si>
    <t>construction engineer or project manager</t>
  </si>
  <si>
    <t>thermal expansion</t>
  </si>
  <si>
    <t>What religion was Janet Gray?</t>
  </si>
  <si>
    <t>Why does Oxfam and Credit Suisse believe their findings are being doubted?</t>
  </si>
  <si>
    <t>What is not an example of a machine model that deviates from a generally accepted multi-tape Turing machine?</t>
  </si>
  <si>
    <t>In what decade did the U of C affiliate with numerous national colleges?</t>
  </si>
  <si>
    <t>a larger challenge to the legal system that permits those decisions to be taken</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</si>
  <si>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</si>
  <si>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Who did Edward make archbishop of Canterbury?</t>
  </si>
  <si>
    <t>Thomas B. Edsall</t>
  </si>
  <si>
    <t>When was the Zuider Zee brackish lagoon discovered?</t>
  </si>
  <si>
    <t>a meeting in Albany</t>
  </si>
  <si>
    <t>Survivial isn't at the heart of what concept for workers?</t>
  </si>
  <si>
    <t>What British General negotiated at Toronto?</t>
  </si>
  <si>
    <t>What takes no energy to pack them together?</t>
  </si>
  <si>
    <t>What is a kind of defense response that makes the entire plant resistant to a particular agent?</t>
  </si>
  <si>
    <t>n &gt; 3</t>
  </si>
  <si>
    <t>an additional port</t>
  </si>
  <si>
    <t>What medical treatment is used to benefit patients with hearth and lung disorders?</t>
  </si>
  <si>
    <t>Who besides Woodrow Wilson himself had the idea for the inquiry?</t>
  </si>
  <si>
    <t>Who accepts the notion of the Kuznets curve hypothesis?</t>
  </si>
  <si>
    <t>"Reducibility Among Combinatorial Problems"</t>
  </si>
  <si>
    <t>Who made exaggerated claims about a complex civilization in the Amazon?</t>
  </si>
  <si>
    <t xml:space="preserve"> When did Genghis Khan kill Great Khan?</t>
  </si>
  <si>
    <t>electronegativity</t>
  </si>
  <si>
    <t>In what constituent country of the United Kingdom is Merthyr Tydfil located?</t>
  </si>
  <si>
    <t>Who did BSkyB team up with because it was part of the consortium?</t>
  </si>
  <si>
    <t>British blockade of the French coastline limited French shipping.</t>
  </si>
  <si>
    <t>the 1960s</t>
  </si>
  <si>
    <t>educational process or da'wah</t>
  </si>
  <si>
    <t>Through combining the definition of electric current as the time rate of change of electric charge, a rule of vector multiplication called Lorentz's Law describes the force on a charge moving in a magnetic field. The connection between electricity and magnetism allows for the description of a unified electromagnetic force that acts on a charge. This force can be written as a sum of the electrostatic force (due to the electric field) and the magnetic force (due to the magnetic field). Fully stated, this is the law:</t>
  </si>
  <si>
    <t>fear of their lives</t>
  </si>
  <si>
    <t>St. Lawrence and Mississippi watersheds</t>
  </si>
  <si>
    <t>What company owns ACB?</t>
  </si>
  <si>
    <t>Under what treaty can the European Commission take action against member states?</t>
  </si>
  <si>
    <t>four classes (Type I – IV)</t>
  </si>
  <si>
    <t>Fossils found that were believed to be ctenophores were how old?</t>
  </si>
  <si>
    <t>general principles of European Union law</t>
  </si>
  <si>
    <t>multiplying two integers</t>
  </si>
  <si>
    <t xml:space="preserve">Who helped pay for the university's first building structure? </t>
  </si>
  <si>
    <t>How many subscribers were lost within two months of launch from BSkyB?</t>
  </si>
  <si>
    <t>What period closed up the Tethys Ocean?</t>
  </si>
  <si>
    <t>One strategy of Islamization is to seize power by what methods?</t>
  </si>
  <si>
    <t>Robert A. Millikan</t>
  </si>
  <si>
    <t>hiding a Jew in their house</t>
  </si>
  <si>
    <t>What is Harvard's most intense rival?</t>
  </si>
  <si>
    <t>Stage 2</t>
  </si>
  <si>
    <t>What type of T cells help with both innnate and adaptive immunity?</t>
  </si>
  <si>
    <t>various allied groups</t>
  </si>
  <si>
    <t>In the encoding of mathematical objects, what is the way in which integers are commonly expressed?</t>
  </si>
  <si>
    <t>How many students were enrolled in public schools outside Victoria?</t>
  </si>
  <si>
    <t>What function is related to prime numbers?</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</si>
  <si>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</si>
  <si>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 xml:space="preserve">What metaphors explained global warming? </t>
  </si>
  <si>
    <t>What type of civil disobedience is accompanied by aggression?</t>
  </si>
  <si>
    <t>redistribution mechanisms such as social welfare programs</t>
  </si>
  <si>
    <t>Besides cultural events, what other television programs does Victoria have?</t>
  </si>
  <si>
    <t>What did Paul-Louis Simond establish in 1898?</t>
  </si>
  <si>
    <t>One of FIS' agenda items was to force women to start doing what?</t>
  </si>
  <si>
    <t>What has not been done to establish solutions in reasonable period of time?</t>
  </si>
  <si>
    <t>What did Article 20 of the Allied Armistice terms require Germany to withdraw from?</t>
  </si>
  <si>
    <t>operations requiring constant speed</t>
  </si>
  <si>
    <t>seven</t>
  </si>
  <si>
    <t>What was Ghandi's work called?</t>
  </si>
  <si>
    <t>the architect's client and the main contractor</t>
  </si>
  <si>
    <t>In what country is Constantinople?</t>
  </si>
  <si>
    <t>During the 2006 Israel-Lebanon conflict</t>
  </si>
  <si>
    <t>conservative Muslims</t>
  </si>
  <si>
    <t>northwest</t>
  </si>
  <si>
    <t xml:space="preserve"> Who did Duke Yansheng Kong Duanyou stay with?</t>
  </si>
  <si>
    <t>Who was the leader of the Islamist regime in Sudan?</t>
  </si>
  <si>
    <t>What is the present-day location of this church?</t>
  </si>
  <si>
    <t>Reactive oxygen species, such as superoxide ion (O−
2) and hydrogen peroxide (H
2O
2), are dangerous by-products of oxygen use in organisms. Parts of the immune system of higher organisms create peroxide, superoxide, and singlet oxygen to destroy invading microbes. Reactive oxygen species also play an important role in the hypersensitive response of plants against pathogen attack. Oxygen is toxic to obligately anaerobic organisms, which were the dominant form of early life on Earth until O
2 began to accumulate in the atmosphere about 2.5 billion years ago during the Great Oxygenation Event, about a billion years after the first appearance of these organisms.</t>
  </si>
  <si>
    <t>What are some examples of markets?</t>
  </si>
  <si>
    <t>The procedure continues until what?</t>
  </si>
  <si>
    <t>the European Convention on Human Rights</t>
  </si>
  <si>
    <t>What is the most common form of oxygen on the planet?</t>
  </si>
  <si>
    <t>article 49</t>
  </si>
  <si>
    <t>1,230 kilometres (764 miles)</t>
  </si>
  <si>
    <t>1974 Mustang I</t>
  </si>
  <si>
    <t>differences in value added by labor, capital and land</t>
  </si>
  <si>
    <t>formal language</t>
  </si>
  <si>
    <t>What principality did William the conquerer found?</t>
  </si>
  <si>
    <t>captive import</t>
  </si>
  <si>
    <t>inauspicious typhoon</t>
  </si>
  <si>
    <t>creating a comprehensive drug therapy plan for patient-specific problems</t>
  </si>
  <si>
    <t>this would have also produced a single constitutional document</t>
  </si>
  <si>
    <t>hydrogen</t>
  </si>
  <si>
    <t>When was the heatwave in which Hopetoun recorded its highest temperature?</t>
  </si>
  <si>
    <t>five</t>
  </si>
  <si>
    <t>The St. Johns River</t>
  </si>
  <si>
    <t>What was maximum percent of alcohol content a German law requires all spirits and liqueurs to have?</t>
  </si>
  <si>
    <t>What are the three main sources of European Union law?</t>
  </si>
  <si>
    <t>Linux became a networking powerhouse in the 1980s for what reason?</t>
  </si>
  <si>
    <t>In 1973 what did Mazda open in the US?</t>
  </si>
  <si>
    <t>What was Larry Roberts hope?</t>
  </si>
  <si>
    <t>How many French Catholics died after the Huguenots retaliated?</t>
  </si>
  <si>
    <t>How many families per square mile are there in Fresno?</t>
  </si>
  <si>
    <t>quantized</t>
  </si>
  <si>
    <t>second half of the 20th Century</t>
  </si>
  <si>
    <t>Who is the primary rival of the Harvard Crimson hockey team?</t>
  </si>
  <si>
    <t>Newton's Third Law asserts the inverse proportionality of acceleration to what?</t>
  </si>
  <si>
    <t>Of what form are rational primes?</t>
  </si>
  <si>
    <t>What does Warszawa mean in Polish?</t>
  </si>
  <si>
    <t>Which country in 1985 signed a treaty to give it special status?</t>
  </si>
  <si>
    <t>What did Watt add to Newcomen's engine between 1763 and 1775?</t>
  </si>
  <si>
    <t>Wilson's</t>
  </si>
  <si>
    <t>In science, alumni include astronomers Carl Sagan, a prominent contributor to the scientific research of extraterrestrial life, and Edwin Hubble, known for "Hubble's Law", NASA astronaut John M. Grunsfeld, geneticist James Watson, best known as one of the co-discoverers of the structure of DNA, experimental physicist Luis Alvarez, popular environmentalist David Suzuki, balloonist Jeannette Piccard, biologists Ernest Everett Just and Lynn Margulis, computer scientist Richard Hamming, the creator of the Hamming Code, lithium-ion battery developer John B. Goodenough, mathematician and Fields Medal recipient Paul Joseph Cohen, and geochemist Clair Cameron Patterson, who developed the uranium-lead dating method into lead-lead dating. Nuclear physicist and researcher Stanton Friedman, who worked on some early projects involving nuclear-powered spacecraft propulsion systems, is also a graduate (M.Sc).</t>
  </si>
  <si>
    <t>along the middle</t>
  </si>
  <si>
    <t>What percentage of students in Grundgesetz attended private schools in 2008?</t>
  </si>
  <si>
    <t>In what century did missionaries notably establish church schools in South Africa?</t>
  </si>
  <si>
    <t>cultural revolution</t>
  </si>
  <si>
    <t>movable pulleys</t>
  </si>
  <si>
    <t>What is not used by any form of invertebrate?</t>
  </si>
  <si>
    <t>US is concerned about confrontation of the Middle East with which other country?</t>
  </si>
  <si>
    <t>manage the pharmacy department and specialised areas in pharmacy practice</t>
  </si>
  <si>
    <t>What were British plans allied with the French?</t>
  </si>
  <si>
    <t>residents willing to pay higher market rate for housing</t>
  </si>
  <si>
    <t>Who thought that the Yuan's social class system shouldn't be called social classes?</t>
  </si>
  <si>
    <t>Water on the eastern side float away from what ocean?</t>
  </si>
  <si>
    <t>When were basic channels first introduced by BSkyB?</t>
  </si>
  <si>
    <t>Compared to other American cities, what is the size of Melbourne?</t>
  </si>
  <si>
    <t>Where does the cold and warm water meet the warm water?</t>
  </si>
  <si>
    <t>specific details of the computational model used</t>
  </si>
  <si>
    <t>Who wrote a pamphlet outlining the non-radical ideas of the extremists?</t>
  </si>
  <si>
    <t>How are the compounds that contain oxygen considered in commerce?</t>
  </si>
  <si>
    <t>What studies use pluton emplacement?</t>
  </si>
  <si>
    <t>What country currently has a group who call themselves Huguenots?</t>
  </si>
  <si>
    <t>Acasta gneiss of the Slave craton in northwestern Canada</t>
  </si>
  <si>
    <t>information technology departments or for healthcare information technology vendor companies</t>
  </si>
  <si>
    <t>In May 2010, Parliament was relocated where?</t>
  </si>
  <si>
    <t>automation</t>
  </si>
  <si>
    <t>Although southern california consts of a heavily developed urban environment, how much of it has been left undeveloped?</t>
  </si>
  <si>
    <t>May 2000</t>
  </si>
  <si>
    <t>How far is Jacksonville from Miami?</t>
  </si>
  <si>
    <t>How many branches does the Zuider Zee brackish lagoon have?</t>
  </si>
  <si>
    <t>What is the duration of Harvard Academic year?</t>
  </si>
  <si>
    <t>silent film</t>
  </si>
  <si>
    <t>What other activities does the UNFCCC require the IPCC to run?</t>
  </si>
  <si>
    <t>How does HT strive to give up power?</t>
  </si>
  <si>
    <t>Refineries, process chemical, power generation, mills and manufacturing plants are under what sector of construction?</t>
  </si>
  <si>
    <t>Who besides the british colonized Africa?</t>
  </si>
  <si>
    <t>if they were non-discriminatory</t>
  </si>
  <si>
    <t>Which country was to pull back from the Sinai Peninsula?</t>
  </si>
  <si>
    <t>unified electromagnetic</t>
  </si>
  <si>
    <t>Who has the power to initiate legislation within the European Union?</t>
  </si>
  <si>
    <t>What was the theory the Royal Society presented?</t>
  </si>
  <si>
    <t>"silly argument" and "a non-issue . . . a diversion."</t>
  </si>
  <si>
    <t>What general religious belief did the nations that received Huguenot refugees have in common?</t>
  </si>
  <si>
    <t>epithelium</t>
  </si>
  <si>
    <t>What did the Mongol elites wish Buyantu didn't do?</t>
  </si>
  <si>
    <t>The bend on the Rhine goes from the West to what direction?</t>
  </si>
  <si>
    <t>Cook reductions, Karp reductions</t>
  </si>
  <si>
    <t>In what century was South Africa established as a country?</t>
  </si>
  <si>
    <t>TFEU article 294</t>
  </si>
  <si>
    <t>Who is a bill referred to for a ruling on whether it's within the powers of the Parliament?</t>
  </si>
  <si>
    <t>What offers a conceptual definition of force?</t>
  </si>
  <si>
    <t>Economic_inequality</t>
  </si>
  <si>
    <t>continuation of the Mongol Empire</t>
  </si>
  <si>
    <t>What is another term for excessive shortening?</t>
  </si>
  <si>
    <t>What kind of soundtracks are mandatory with the Sky Movies and Sky Box Office channels?</t>
  </si>
  <si>
    <t>The Huguenots were the first Europeans to live in what modern New York borough?</t>
  </si>
  <si>
    <t>gaseous oxygen</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</si>
  <si>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</si>
  <si>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What fortification was build in the 18th century after the defeat of the November Uprising?</t>
  </si>
  <si>
    <t>Pierre L'Oyseleur</t>
  </si>
  <si>
    <t>Who was the first female laureate winner?</t>
  </si>
  <si>
    <t>Ten</t>
  </si>
  <si>
    <t>Of what mountain system are the Omeo Alps a part?</t>
  </si>
  <si>
    <t xml:space="preserve">In the layered model of the Earth, the outermost layer is what? </t>
  </si>
  <si>
    <t>Sunni pan-Islamism</t>
  </si>
  <si>
    <t>Many of the same decisions and principles that apply in other criminal investigations and arrests arise also in civil disobedience cases. For example, the suspect may need to decide whether or not to grant a consent search of his property, and whether or not to talk to police officers. It is generally agreed within the legal community, and is often believed within the activist community, that a suspect's talking to criminal investigators can serve no useful purpose, and may be harmful. However, some civil disobedients have nonetheless found it hard to resist responding to investigators' questions, sometimes due to a lack of understanding of the legal ramifications, or due to a fear of seeming rude. Also, some civil disobedients seek to use the arrest as an opportunity to make an impression on the officers. Thoreau wrote, "My civil neighbor, the tax-gatherer, is the very man I have to deal with--for it is, after all, with men and not with parchment that I quarrel--and he has voluntarily chosen to be an agent of the government. How shall he ever know well that he is and does as an officer of the government, or as a man, until he is obliged to consider whether he will treat me, his neighbor, for whom he has respect, as a neighbor and well-disposed man, or as a maniac and disturber of the peace, and see if he can get over this obstruction to his neighborliness without a ruder and more impetuous thought or speech corresponding with his action."</t>
  </si>
  <si>
    <t>1972</t>
  </si>
  <si>
    <t>How much did students pay in total to go to Harvard in 2007?</t>
  </si>
  <si>
    <t>A large body of mathematical work would still be valid when calling 1 a prime, but Euclid's fundamental theorem of arithmetic (mentioned above) would not hold as stated. For example, the number 15 can be factored as 3 · 5 and 1 · 3 · 5; if 1 were admitted as a prime, these two presentations would be considered different factorizations of 15 into prime numbers, so the statement of that theorem would have to be modified. Similarly, the sieve of Eratosthenes would not work correctly if 1 were considered a prime: a modified version of the sieve that considers 1 as prime would eliminate all multiples of 1 (that is, all other numbers) and produce as output only the single number 1. Furthermore, the prime numbers have several properties that the number 1 lacks, such as the relationship of the number to its corresponding value of Euler's totient function or the sum of divisors function.</t>
  </si>
  <si>
    <t>oxyacetylene welding</t>
  </si>
  <si>
    <t>What type of projects are widely supported?</t>
  </si>
  <si>
    <t>What is Pedanius Dioscorides known for?</t>
  </si>
  <si>
    <t>regulatory T cells</t>
  </si>
  <si>
    <t>When did rapid warming begin and help vegetation?</t>
  </si>
  <si>
    <t>What algorithm is always practical?</t>
  </si>
  <si>
    <t>the West Lothian question</t>
  </si>
  <si>
    <t>What function is related to Basel numbers?</t>
  </si>
  <si>
    <t>level fell</t>
  </si>
  <si>
    <t>What division offers more then one branch of studies that don't fit in with the other four?</t>
  </si>
  <si>
    <t>What did Simon Conway find on the branches of lagerstatte?</t>
  </si>
  <si>
    <t>sorghum</t>
  </si>
  <si>
    <t>Which type of climate may have allowed the rainforest to spread across the continent?</t>
  </si>
  <si>
    <t>communist governments</t>
  </si>
  <si>
    <t>racket</t>
  </si>
  <si>
    <t>DVB-compliant MPEG-2</t>
  </si>
  <si>
    <t>a First Minister</t>
  </si>
  <si>
    <t>How many immigrant lacemakers were there in Bedfordshire?</t>
  </si>
  <si>
    <t>Richard Trevithick</t>
  </si>
  <si>
    <t>How many auricles do most species have?</t>
  </si>
  <si>
    <t>difference in earnings</t>
  </si>
  <si>
    <t>What is an example of a firebox?</t>
  </si>
  <si>
    <t>What cytokines are responsible for communication between white blood cells?</t>
  </si>
  <si>
    <t>What male sex hormone is an immunostimulator?</t>
  </si>
  <si>
    <t>Which group has a primary role scrutinizing witnesses?</t>
  </si>
  <si>
    <t>Warsaw University of Technology</t>
  </si>
  <si>
    <t>What channels were removed from the network in March of 2007?</t>
  </si>
  <si>
    <t>How does the Scottish Parliament scrutinize the people?</t>
  </si>
  <si>
    <t>Lake Constance consists of three bodies of water: the Obersee ("upper lake"), the Untersee ("lower lake"), and a connecting stretch of the Rhine, called the Seerhein ("Lake Rhine"). The lake is situated in Germany, Switzerland and Austria near the Alps. Specifically, its shorelines lie in the German states of Bavaria and Baden-Württemberg, the Austrian state of Vorarlberg, and the Swiss cantons of Thurgau and St. Gallen. The Rhine flows into it from the south following the Swiss-Austrian border. It is located at approximately 47°39′N 9°19′E﻿ / ﻿47.650°N 9.317°E﻿ / 47.650; 9.317.</t>
  </si>
  <si>
    <t>Where are America's oldest collection of maps, gazettes, and atlases housed?</t>
  </si>
  <si>
    <t>What are cilia used for?</t>
  </si>
  <si>
    <t>Where has a relationship between humans gained increased attention?</t>
  </si>
  <si>
    <t>Who was the chairman of the House Committee on Energy and Commerce?</t>
  </si>
  <si>
    <t>What took place during 2000-2017?</t>
  </si>
  <si>
    <t>the British Landgrave Edmund Bellinger</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</si>
  <si>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</si>
  <si>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What had Bhutto planned on banning within six months, before he was overthrown?</t>
  </si>
  <si>
    <t>When did Joseph Scheele discover oxygen?</t>
  </si>
  <si>
    <t>What can a contingency plan suffer from?</t>
  </si>
  <si>
    <t>What type of valve is used by recent springs?</t>
  </si>
  <si>
    <t>What is the cryogenic and chemical compound storage method?</t>
  </si>
  <si>
    <t>What responsibilities were pharmacy technicians formerly limited to?</t>
  </si>
  <si>
    <t>In what type of ring can prime ideals be used for validating number theory?</t>
  </si>
  <si>
    <t>$680 billion</t>
  </si>
  <si>
    <t>What do people with higher income have less access to?</t>
  </si>
  <si>
    <t>What century did Maurus Servius Honoratus give his Commentary on the Aeneid of Vergil to Herodotus?</t>
  </si>
  <si>
    <t>What decade was the country club built in?</t>
  </si>
  <si>
    <t>Were the centers profitable</t>
  </si>
  <si>
    <t>quantitative</t>
  </si>
  <si>
    <t>What is the population of the Netherlands?</t>
  </si>
  <si>
    <t>What did electromagnetic theory  finally lead to?</t>
  </si>
  <si>
    <t>action-reaction</t>
  </si>
  <si>
    <t>pH or available iron</t>
  </si>
  <si>
    <t>formalize a unified front in trade and negotiations with various Indians</t>
  </si>
  <si>
    <t>What is one criminal behavior that is hard to stop by authorities?</t>
  </si>
  <si>
    <t>Who married Cnut the Great?</t>
  </si>
  <si>
    <t>20th</t>
  </si>
  <si>
    <t>a caliphate</t>
  </si>
  <si>
    <t>What two women refused to commit perjury in the Book of Exodus?</t>
  </si>
  <si>
    <t>Which timeline is further expanded in the fourth scale?</t>
  </si>
  <si>
    <t>What ends in the same delta?</t>
  </si>
  <si>
    <t>What notion does not keep its meaning in quantum mechanics?</t>
  </si>
  <si>
    <t xml:space="preserve"> What sin were the leaders the extremists attacked innocent of?</t>
  </si>
  <si>
    <t>expanded</t>
  </si>
  <si>
    <t>What are malum prohibitum considerations?</t>
  </si>
  <si>
    <t>few British troops</t>
  </si>
  <si>
    <t>What British mathematician took pride in doing work that he felt had no mathematical benefit?</t>
  </si>
  <si>
    <t>Before the St. Elizabeth's flood (1421), the Meuse flowed just south of today's line Merwede-Oude Maas to the North Sea and formed an archipelago-like estuary with Waal and Lek. This system of numerous bays, estuary-like extended rivers, many islands and constant changes of the coastline, is hard to imagine today. From 1421 to 1904, the Meuse and Waal merged further upstream at Gorinchem to form Merwede. For flood protection reasons, the Meuse was separated from the Waal through a lock and diverted into a new outlet called "Bergse Maas", then Amer and then flows into the former bay Hollands Diep.</t>
  </si>
  <si>
    <t xml:space="preserve">How many modern types of primality tests for general numbers n are there? </t>
  </si>
  <si>
    <t>What is formula for the reactive oxygen ion?</t>
  </si>
  <si>
    <t>What has the highest impact on wealth accumulation and the resulting income inequality?</t>
  </si>
  <si>
    <t>What is a virtual connection?</t>
  </si>
  <si>
    <t>What set top box can no longer display UHD broadcasts?</t>
  </si>
  <si>
    <t>What introduces inequality to a country?</t>
  </si>
  <si>
    <t xml:space="preserve">What work was completed at Dartmouth? </t>
  </si>
  <si>
    <t>In dioxygen how are the two oxygen atoms bonded together?</t>
  </si>
  <si>
    <t>open loop</t>
  </si>
  <si>
    <t>What grew at the narrow point in the river under Spanish rule?</t>
  </si>
  <si>
    <t>the entire length of the lake</t>
  </si>
  <si>
    <t>Who made the first to measure value of the Newton Universal Gravitation Constant?</t>
  </si>
  <si>
    <t>Which organization released a California Earthquake forecast?</t>
  </si>
  <si>
    <t>collectively refuse to sign bail until certain demands are met</t>
  </si>
  <si>
    <t>What did Distributed Adaptive Message Block Switching do</t>
  </si>
  <si>
    <t>What is the strongest main interaction?</t>
  </si>
  <si>
    <t>In which case did the Court of Justice review Swedish bans on advertising to young children under 12?</t>
  </si>
  <si>
    <t>In addition to the traveling salesman problem, what is another example of a function problem?</t>
  </si>
  <si>
    <t>How long is one term for an elected president of the CJEU?</t>
  </si>
  <si>
    <t>Internet2 is a not-for-profit United States computer networking consortium led by members from the research and education communities, industry, and government. The Internet2 community, in partnership with Qwest, built the first Internet2 Network, called Abilene, in 1998 and was a prime investor in the National LambdaRail (NLR) project. In 2006, Internet2 announced a partnership with Level 3 Communications to launch a brand new nationwide network, boosting its capacity from 10 Gbit/s to 100 Gbit/s. In October, 2007, Internet2 officially retired Abilene and now refers to its new, higher capacity network as the Internet2 Network.</t>
  </si>
  <si>
    <t>When did violence end in war?</t>
  </si>
  <si>
    <t>1,600 miles</t>
  </si>
  <si>
    <t>poorer countries</t>
  </si>
  <si>
    <t>Wonjong</t>
  </si>
  <si>
    <t>carry out research nor does it monitor climate related data</t>
  </si>
  <si>
    <t>What decision triggered a response from a principal hostile country?</t>
  </si>
  <si>
    <t>rates of mortality in rural areas during the 14th-century pandemic were inconsistent with the modern bubonic plague</t>
  </si>
  <si>
    <t>war, famine, and weather</t>
  </si>
  <si>
    <t>waxy cuticle</t>
  </si>
  <si>
    <t>According to certain Geographical theories what type of human does a non-tropical climate produce?</t>
  </si>
  <si>
    <t>Yersinia pestis</t>
  </si>
  <si>
    <t>In what major portion of living things is oxygen found?</t>
  </si>
  <si>
    <t>Oxygen, as a supposed mild euphoric, has a history of recreational use in oxygen bars and in sports. Oxygen bars are establishments, found in Japan, California, and Las Vegas, Nevada since the late 1990s that offer higher than normal O
2 exposure for a fee. Professional athletes, especially in American football, also sometimes go off field between plays to wear oxygen masks in order to get a "boost" in performance. The pharmacological effect is doubtful; a placebo effect is a more likely explanation. Available studies support a performance boost from enriched O
2 mixtures only if they are breathed during aerobic exercise.</t>
  </si>
  <si>
    <t>To whom did Rep. Joe Barton write a letter?</t>
  </si>
  <si>
    <t>measuring the water's biochemical oxygen demand</t>
  </si>
  <si>
    <t>150</t>
  </si>
  <si>
    <t>What conference are both ULCA and UCS part of?</t>
  </si>
  <si>
    <t>1748 with the signing of the Treaty of Aix-la-Chapelle</t>
  </si>
  <si>
    <t>The majority of building construction jobs are what?</t>
  </si>
  <si>
    <t>Who is usually working together?</t>
  </si>
  <si>
    <t>What is being described when simplicity of geometrical forms are teamed with inspiration from the Roman period?</t>
  </si>
  <si>
    <t>Schedule 5</t>
  </si>
  <si>
    <t>the St. Lawrence and Mississippi watersheds</t>
  </si>
  <si>
    <t>Fresno is the largest U.S. city not directly linked to an Interstate highway. When the Interstate Highway System was created in the 1950s, the decision was made to build what is now Interstate 5 on the west side of the Central Valley, and thus bypass many of the population centers in the region, instead of upgrading what is now State Route 99. Due to rapidly raising population and traffic in cities along SR 99, as well as the desirability of Federal funding, much discussion has been made to upgrade it to interstate standards and eventually incorporate it into the interstate system, most likely as Interstate 9. Major improvements to signage, lane width, median separation, vertical clearance, and other concerns are currently underway.</t>
  </si>
  <si>
    <t>the Corliss steam engine</t>
  </si>
  <si>
    <t>50% oxygen</t>
  </si>
  <si>
    <t>live</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</si>
  <si>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</si>
  <si>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How are the messages routed?</t>
  </si>
  <si>
    <t>low economic growth</t>
  </si>
  <si>
    <t>Who directed Life Itself?</t>
  </si>
  <si>
    <t>Who manages construction projects and assumes financial responsibility for completing them?</t>
  </si>
  <si>
    <t>How much do estimations of the population during the plague vary?</t>
  </si>
  <si>
    <t>How many botanical gardens does Kampinos have?</t>
  </si>
  <si>
    <t>What were the fossils that were found to represent ctenphores missing that current ctenphora have?</t>
  </si>
  <si>
    <t>machine labor</t>
  </si>
  <si>
    <t>major record companies</t>
  </si>
  <si>
    <t>about 3,000 miles</t>
  </si>
  <si>
    <t>Steymann v Staatssecretaris van Justitie</t>
  </si>
  <si>
    <t>"Variations of Snow and Ice in the past and at present on a Global and Regional Scale"</t>
  </si>
  <si>
    <t>How many geomorphologic formations is Vistula on?</t>
  </si>
  <si>
    <t>What is the second academic school of technology in Europe?</t>
  </si>
  <si>
    <t>What product was notably shipped in vessels equipped with double and triple expansion engines?</t>
  </si>
  <si>
    <t>11.1</t>
  </si>
  <si>
    <t>What do electrostatic gradiient potentials create?</t>
  </si>
  <si>
    <t>What is the final stage of a bill in the Scottish Parliament?</t>
  </si>
  <si>
    <t>What is not included in Medication Therapy Management?</t>
  </si>
  <si>
    <t>What area in northwestern Canada has almost-undeformed stacks of sedimentary rock?</t>
  </si>
  <si>
    <t>Harold WInston's supported which country's during its six day war?</t>
  </si>
  <si>
    <t>wars</t>
  </si>
  <si>
    <t>When was the construction that changed the Rhine's Delta?</t>
  </si>
  <si>
    <t>English university</t>
  </si>
  <si>
    <t>Which gender is more populous across all groups in Jacksonville?</t>
  </si>
  <si>
    <t>against Prussia and its allies in the European theatre of the war.</t>
  </si>
  <si>
    <t>Who did Shirley not leave at Oswego?</t>
  </si>
  <si>
    <t>Euler</t>
  </si>
  <si>
    <t>What is an example of an ineffective and absurd act according to Julia Butterfly Hill?</t>
  </si>
  <si>
    <t>natural obstacle</t>
  </si>
  <si>
    <t>Article 34 meant states could be responsible for what?</t>
  </si>
  <si>
    <t>planning,[citation needed] design, and financing</t>
  </si>
  <si>
    <t>When was Sir Charles Lyell born?</t>
  </si>
  <si>
    <t>the easterly flow</t>
  </si>
  <si>
    <t>What set is a seat added to after being allocated?</t>
  </si>
  <si>
    <t>aboral organ</t>
  </si>
  <si>
    <t>political parties</t>
  </si>
  <si>
    <t>Who set up what became the Second Warsaw Republic?</t>
  </si>
  <si>
    <t>late 1960s</t>
  </si>
  <si>
    <t>After the disastrous 1757 British campaigns (resulting in a failed expedition against Louisbourg and the Siege of Fort William Henry, which was followed by Indian torture and massacres of British victims), the British government fell. William Pitt came to power and significantly increased British military resources in the colonies at a time when France was unwilling to risk large convoys to aid the limited forces it had in New France. France concentrated its forces against Prussia and its allies in the European theatre of the war. Between 1758 and 1760, the British military launched a campaign to capture the Colony of Canada. They succeeded in capturing territory in surrounding colonies and ultimately Quebec. Though the British were later defeated at Sainte Foy in Quebec, the French ceded Canada in accordance with the 1763 treaty.</t>
  </si>
  <si>
    <t>Papin</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</si>
  <si>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</si>
  <si>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lengthening rubbing surfaces</t>
  </si>
  <si>
    <t>in areas that are being actively deformed</t>
  </si>
  <si>
    <t>How many same-sex married couples or partnerships were there?</t>
  </si>
  <si>
    <t>inherited from the Jin dynasty</t>
  </si>
  <si>
    <t>The other third of the water flows through the Pannerdens Kanaal and redistributes in the IJssel and Nederrijn. The IJssel branch carries one ninth of the water flow of the Rhine north into the IJsselmeer (a former bay), while the Nederrijn carries approximately two ninths of the flow west along a route parallel to the Waal. However, at Wijk bij Duurstede, the Nederrijn changes its name and becomes the Lek. It flows farther west, to rejoin the Noord River into the Nieuwe Maas and to the North Sea.</t>
  </si>
  <si>
    <t>What body has stated that physicians can also dispense drugs under specific conditions?</t>
  </si>
  <si>
    <t>What describes when a builder doesn't ask for adequate safeguards?</t>
  </si>
  <si>
    <t>Who ordered the Stern Review?</t>
  </si>
  <si>
    <t>Which French composer wrote metrical music using prime numbers?</t>
  </si>
  <si>
    <t>respective lines of application</t>
  </si>
  <si>
    <t>18,000</t>
  </si>
  <si>
    <t>enhanced transit infrastructure, possible shuttles open to the public, and park space which will also be publicly accessible</t>
  </si>
  <si>
    <t>What was college considered a vehicle of for the wealthy in 1945?</t>
  </si>
  <si>
    <t>What are lagerstatten considered to be descendants of?</t>
  </si>
  <si>
    <t>1773</t>
  </si>
  <si>
    <t>Texas</t>
  </si>
  <si>
    <t>5th century</t>
  </si>
  <si>
    <t>What are biogeochemical pathways?</t>
  </si>
  <si>
    <t>the revenues from the oil were not benefitting Scotland as much as they should</t>
  </si>
  <si>
    <t>What grew on a global scale as a result of imperialism?</t>
  </si>
  <si>
    <t>What service did BSkyB give away for free unconditionally?</t>
  </si>
  <si>
    <t>Mi'kmaq and the Abenaki</t>
  </si>
  <si>
    <t>During what campaign did the Vargian and Lombard fight?</t>
  </si>
  <si>
    <t>by offering a higher wage</t>
  </si>
  <si>
    <t xml:space="preserve"> When did Great Britain colonize outside of Australia?</t>
  </si>
  <si>
    <t>What are the phagocytes that are located in tissues in contact with the external environment called?</t>
  </si>
  <si>
    <t>13 of the protesters attempted to enter the test site</t>
  </si>
  <si>
    <t>different ministers of the member states</t>
  </si>
  <si>
    <t>the machines operate deterministically</t>
  </si>
  <si>
    <t>semi-deserts</t>
  </si>
  <si>
    <t>Galilean transformation</t>
  </si>
  <si>
    <t>Which French composer wrote ametrical music using prime numbers?</t>
  </si>
  <si>
    <t xml:space="preserve">Who did OAPEC include? </t>
  </si>
  <si>
    <t>Il milione</t>
  </si>
  <si>
    <t xml:space="preserve"> What was the name of Theodore Roosevelt’s policy of non-imperialism?</t>
  </si>
  <si>
    <t xml:space="preserve">What does the dollar value do? </t>
  </si>
  <si>
    <t>What happened to the Bank of Italy Building?</t>
  </si>
  <si>
    <t>Why did OPEC block oil deliveries to the United States?</t>
  </si>
  <si>
    <t>May through September</t>
  </si>
  <si>
    <t>What drove increased rental prices in East New York?</t>
  </si>
  <si>
    <t>part of the trapped air</t>
  </si>
  <si>
    <t>Which American did not show changed the views of Romanians during the cold war?</t>
  </si>
  <si>
    <t>is to switch suddenly to a spirit of subservience</t>
  </si>
  <si>
    <t>typographical error</t>
  </si>
  <si>
    <t>What characteristic in recent years has been strongly tied with health in developed countries?</t>
  </si>
  <si>
    <t>contrasts</t>
  </si>
  <si>
    <t>people who give services "for remuneration"</t>
  </si>
  <si>
    <t>What do a and b represent in a rational prime expression?</t>
  </si>
  <si>
    <t>What do NK cells protect?</t>
  </si>
  <si>
    <t>What is an example of a chemical barrier?</t>
  </si>
  <si>
    <t>What was the white population of Jacksonville as of 2010?</t>
  </si>
  <si>
    <t>Rhine-Meuse</t>
  </si>
  <si>
    <t>Society of Jesus</t>
  </si>
  <si>
    <t>winds up</t>
  </si>
  <si>
    <t>What kind of contract is given when the contractor is given a performance specification and must undertake the project from design to construction, while adhering to the performance specifications?</t>
  </si>
  <si>
    <t>What is the delta in the Rhine delimited in the west by?</t>
  </si>
  <si>
    <t>actively support and adopt mainstream Chinese culture</t>
  </si>
  <si>
    <t>What happened 3.7-2 billion years ago?</t>
  </si>
  <si>
    <t>Sky Digital platform</t>
  </si>
  <si>
    <t>New Guinea</t>
  </si>
  <si>
    <t>Why did the European nations and Japan separated themselves from United States during the crisis?</t>
  </si>
  <si>
    <t>What occurs when antibodies will not bind to the patient's cells?</t>
  </si>
  <si>
    <t>Who can introduce a bill as a public member?</t>
  </si>
  <si>
    <t>What kind of statement is not made in an effort of establishing the time and space requirements needed to enhance the ultimate number of problems solved?</t>
  </si>
  <si>
    <t>What pushes businesses to decrease pressures on workers?</t>
  </si>
  <si>
    <t>100 billion dollars</t>
  </si>
  <si>
    <t>to protect the King's land in the Ohio Valley from the British</t>
  </si>
  <si>
    <t>Where does manufacturing take place?</t>
  </si>
  <si>
    <t>What does connecting different Sky Q boxes enable them to do?</t>
  </si>
  <si>
    <t>tentilla</t>
  </si>
  <si>
    <t>What minor case was the result of the censuring of the Santer Commission?</t>
  </si>
  <si>
    <t>Indigenous territories are largely being destroyed in what two ways?</t>
  </si>
  <si>
    <t>Deforestation is the conversion of forested areas to non-forested areas. The main sources of deforestation in the Amazon are human settlement and development of the land. Prior to the early 1960s, access to the forest's interior was highly restricted, and the forest remained basically intact. Farms established during the 1960s were based on crop cultivation and the slash and burn method. However, the colonists were unable to manage their fields and the crops because of the loss of soil fertility and weed invasion. The soils in the Amazon are productive for just a short period of time, so farmers are constantly moving to new areas and clearing more land. These farming practices led to deforestation and caused extensive environmental damage. Deforestation is considerable, and areas cleared of forest are visible to the naked eye from outer space.</t>
  </si>
  <si>
    <t>UK Government ministers</t>
  </si>
  <si>
    <t>Who does the TFEU article 56 not apply to?</t>
  </si>
  <si>
    <t>Supreme Court case</t>
  </si>
  <si>
    <t>NP-complete Boolean satisfiability</t>
  </si>
  <si>
    <t>a flour mill</t>
  </si>
  <si>
    <t>bacteriophage infections</t>
  </si>
  <si>
    <t>Who presented the mac to the Scottish Parliament when it was initially opened?</t>
  </si>
  <si>
    <t>To accurately map the Amazon's biomass and subsequent carbon related emissions, the classification of tree growth stages within different parts of the forest is crucial. In 2006 Tatiana Kuplich organized the trees of the Amazon into four categories: (1) mature forest, (2) regenerating forest [less than three years], (3) regenerating forest [between three and five years of regrowth], and (4) regenerating forest [eleven to eighteen years of continued development]. The researcher used a combination of Synthetic aperture radar (SAR) and Thematic Mapper (TM) to accurately place the different portions of the Amazon into one of the four classifications.</t>
  </si>
  <si>
    <t>8,525</t>
  </si>
  <si>
    <t>Sam Chisholm and Rupert Murdoch</t>
  </si>
  <si>
    <t>What is one reason that Al-Qaeda received aid from Sunni extremists?</t>
  </si>
  <si>
    <t>In World War II, it was recognised that the Rhine would present a formidable natural obstacle to the invasion of Germany, by the Western Allies. The Rhine bridge at Arnhem, immortalized in the book, A Bridge Too Far and the film, was a central focus of the battle for Arnhem, during the failed Operation Market Garden of September 1944. The bridges at Nijmegen, over the Waal distributary of the Rhine, were also an objective of Operation Market Garden. In a separate operation, the Ludendorff Bridge, crossing the Rhine at Remagen, became famous, when U.S. forces were able to capture it intact – much to their own surprise – after the Germans failed to demolish it. This also became the subject of a film, The Bridge at Remagen. Seven Days to the River Rhine was a Warsaw Pact war plan for an invasion of Western Europe during the Cold War.</t>
  </si>
  <si>
    <t>What group has no feeding appendages?</t>
  </si>
  <si>
    <t>What type of motivators are achievement and outside determination considered?</t>
  </si>
  <si>
    <t>According to disagreement between Iroquois and British, where was a strong house to be built?</t>
  </si>
  <si>
    <t>grant a consent search of his property,</t>
  </si>
  <si>
    <t>What does the Carmichael primality test depend on?</t>
  </si>
  <si>
    <t>What modern company has been notably working on a combustion engine using modern materials?</t>
  </si>
  <si>
    <t>what was NTL Telewest re-branded to in 2007?</t>
  </si>
  <si>
    <t>How are complexity measures generally not defined?</t>
  </si>
  <si>
    <t>a connection identifier rather than address information and are negotiated between endpoints so that they are delivered in order and with error checking</t>
  </si>
  <si>
    <t>What was the population Jacksonville city as of 2010?</t>
  </si>
  <si>
    <t>polynomial-time</t>
  </si>
  <si>
    <t>The popular neighborhood known as the Tower District is centered around the historic Tower Theatre, which is included on the National List of Historic Places. The theater was built in 1939 and is at Olive and Wishon Avenues in the heart of the Tower District. (The name of the theater refers to a well-known landmark water tower, which is actually in another nearby area). The Tower District neighborhood is just north of downtown Fresno proper, and one-half mile south of Fresno City College. Although the neighborhood was known as a residential area prior, the early commercial establishments of the Tower District began with small shops and services that flocked to the area shortly after World War II. The character of small local businesses largely remains today. To some extent, the businesses of the Tower District were developed due to the proximity of the original Fresno Normal School, (later renamed California State University at Fresno). In 1916 the college moved to what is now the site of Fresno City College one-half mile north of the Tower District.</t>
  </si>
  <si>
    <t>The academic body of the university is made up of how many professional schools?</t>
  </si>
  <si>
    <t>jellyfish</t>
  </si>
  <si>
    <t>forbidden speech</t>
  </si>
  <si>
    <t>Foreign Protestants Naturalization Act,</t>
  </si>
  <si>
    <t>around 1712</t>
  </si>
  <si>
    <t>How many people usually go to see Harvard sports teams play each year?</t>
  </si>
  <si>
    <t>What does the forman act as besides paymaster?</t>
  </si>
  <si>
    <t>Informal imperialism is still dominant; however, less what?</t>
  </si>
  <si>
    <t>crustal rock</t>
  </si>
  <si>
    <t>How many firms were existing in 2005?</t>
  </si>
  <si>
    <t>oil was priced in dollars, oil producers' real income decreased</t>
  </si>
  <si>
    <t>productivity</t>
  </si>
  <si>
    <t>What substances do healthy cells produce?</t>
  </si>
  <si>
    <t>B cells</t>
  </si>
  <si>
    <t>Katyń</t>
  </si>
  <si>
    <t>major part of the Internet backbone</t>
  </si>
  <si>
    <t>assimilation</t>
  </si>
  <si>
    <t>Where is the center of economic activity for the United States?</t>
  </si>
  <si>
    <t>relation to the state and its laws</t>
  </si>
  <si>
    <t>What is the lowest recorded wind chill in Victoria?</t>
  </si>
  <si>
    <t>Who discussed Twigg's study in 2002?</t>
  </si>
  <si>
    <t>What did ITV increase their yearly offer for control of the rights to broadcast the Primer League to?</t>
  </si>
  <si>
    <t>What do clinical pharmacists often participate in?</t>
  </si>
  <si>
    <t>Who fled from southern Italy?</t>
  </si>
  <si>
    <t>How many did this epidemic in China kill?</t>
  </si>
  <si>
    <t>Where in Katyn are patriotic and political objects connected with Poland's struggles for independence found?</t>
  </si>
  <si>
    <t>What is the Irish term for school fees?</t>
  </si>
  <si>
    <t>open spaces</t>
  </si>
  <si>
    <t>What King and former Huguenot looked out for the welfare of the group?</t>
  </si>
  <si>
    <t>intuitive understanding</t>
  </si>
  <si>
    <t>2,500</t>
  </si>
  <si>
    <t>Which country rationed gasoline and heating gas?</t>
  </si>
  <si>
    <t>tooth sockets in human skeletons</t>
  </si>
  <si>
    <t xml:space="preserve">Constitutional impasse is distinct from what key term? </t>
  </si>
  <si>
    <t>How long are the trails in Roeding Park?</t>
  </si>
  <si>
    <t>gain information about past climate</t>
  </si>
  <si>
    <t>What did al-Gama'a al-Islamiyya use to get its way?</t>
  </si>
  <si>
    <t>What did oxygen reach 1.2 billion years ago?</t>
  </si>
  <si>
    <t>How many customaries does Norman customary law have?</t>
  </si>
  <si>
    <t>What southern city did the Huguenots settle near?</t>
  </si>
  <si>
    <t>Berengaria</t>
  </si>
  <si>
    <t>autumn 1347</t>
  </si>
  <si>
    <t>Christianity and French culture</t>
  </si>
  <si>
    <t>Over how many species of trees can be found in the Saxon Garden?</t>
  </si>
  <si>
    <t>architect's client and the main contractor</t>
  </si>
  <si>
    <t>civil disobedience is only justified against governmental entities</t>
  </si>
  <si>
    <t>Alex Seropian</t>
  </si>
  <si>
    <t>a museum</t>
  </si>
  <si>
    <t>research</t>
  </si>
  <si>
    <t>What does the mesoglea terminate into?</t>
  </si>
  <si>
    <t>Who's presence is likely in the initial bid?</t>
  </si>
  <si>
    <t>administration</t>
  </si>
  <si>
    <t>The War of the Austrian Succession (whose North American theater is known as King George's War) formally ended in 1748 with the signing of the Treaty of Aix-la-Chapelle. The treaty was primarily focused on resolving issues in Europe. The issues of conflicting territorial claims between British and French colonies in North America were turned over to a commission to resolve, but it reached no decision. Frontiers from between Nova Scotia and Acadia in the north, to the Ohio Country in the south, were claimed by both sides. The disputes also extended into the Atlantic Ocean, where both powers wanted access to the rich fisheries of the Grand Banks off Newfoundland.</t>
  </si>
  <si>
    <t>heart</t>
  </si>
  <si>
    <t>What is viewed as a force in GR?</t>
  </si>
  <si>
    <t>Hamas</t>
  </si>
  <si>
    <t>9th</t>
  </si>
  <si>
    <t>Civil disobedients' refraining from violence is also said to help preserve society's tolerance of civil disobedience</t>
  </si>
  <si>
    <t>1850</t>
  </si>
  <si>
    <t>the Italian Plague of 1629–1631</t>
  </si>
  <si>
    <t>other ctenophores</t>
  </si>
  <si>
    <t>use of a decentralized network with multiple paths between any two points, dividing user messages into message blocks</t>
  </si>
  <si>
    <t>a man's presence</t>
  </si>
  <si>
    <t>What city later became Beijing?</t>
  </si>
  <si>
    <t>What is the Island off of the German shore of the Rhine that this warm and cold water meet?</t>
  </si>
  <si>
    <t>Who began a program of church reform in the 1100s</t>
  </si>
  <si>
    <t>fifty percent more</t>
  </si>
  <si>
    <t>mechanical ventilators</t>
  </si>
  <si>
    <t>The Internet2 community, in partnership with Qwest</t>
  </si>
  <si>
    <t>What park covers and area of 74 ha.?</t>
  </si>
  <si>
    <t>The region spans starting at islands found in which body of water?</t>
  </si>
  <si>
    <t>What receptors do tumor cells often have reduced concentrations of?</t>
  </si>
  <si>
    <t>The Cestida ("belt animals") are ribbon-shaped planktonic animals, with the mouth and aboral organ aligned in the middle of opposite edges of the ribbon. There is a pair of comb-rows along each aboral edge, and tentilla emerging from a groove all along the oral edge, which stream back across most of the wing-like body surface. Cestids can swim by undulating their bodies as well as by the beating of their comb-rows. There are two known species, with worldwide distribution in warm, and warm-temperate waters: Cestum veneris ("Venus' girdle") is among the largest ctenophores – up to 1.5 meters (4.9 ft) long, and can undulate slowly or quite rapidly. Velamen parallelum, which is typically less than 20 centimeters (0.66 ft) long, can move much faster in what has been described as a "darting motion".</t>
  </si>
  <si>
    <t>Why was Polonia relegated from the country's top flight in 2013?</t>
  </si>
  <si>
    <t>What type of role that Islamism seeks makes it a somewhat controversial concept?</t>
  </si>
  <si>
    <t>Who did the Normans encourage to come to the south?</t>
  </si>
  <si>
    <t>Nineteen nations have what in this region?</t>
  </si>
  <si>
    <t>What act sets the term for judging the boundaries of sanity to which individuals wishing to sit on the SP must adhere?</t>
  </si>
  <si>
    <t>At first, what did oxygen and iron combine to form?</t>
  </si>
  <si>
    <t>Large public works, dams, bridges, highways, water/wastewater and utility distribution are under what construction sector?</t>
  </si>
  <si>
    <t>Who is the emphasis on when there is a private finance initiative?</t>
  </si>
  <si>
    <t>Scottish independence</t>
  </si>
  <si>
    <t>What year did the UK, Ireland, Denmark, and Norway refuse to join the EU?</t>
  </si>
  <si>
    <t>What served as a justification for imposing imperialistic policies on certain peoples or regions?</t>
  </si>
  <si>
    <t>voluminous</t>
  </si>
  <si>
    <t>Eleutherian gunpowder mills</t>
  </si>
  <si>
    <t>What types of medications do specialty pharmacies never stock?</t>
  </si>
  <si>
    <t>4k + 3</t>
  </si>
  <si>
    <t>Mayor W. Haydon Burns</t>
  </si>
  <si>
    <t>Name a larger car that Toyota came up with as buyers lamented the small sized compacts?</t>
  </si>
  <si>
    <t>What was the pedestrian mall renamed?</t>
  </si>
  <si>
    <t>to emphasize academics over athletics</t>
  </si>
  <si>
    <t>What is now described by the Newtonian equations?</t>
  </si>
  <si>
    <t>7 million</t>
  </si>
  <si>
    <t>These project structures allow the owner to integrate the services of who throughout the design and construction?</t>
  </si>
  <si>
    <t>What other reason caused poor supply of New France from a difficult summer?</t>
  </si>
  <si>
    <t>fee per unit of connection time</t>
  </si>
  <si>
    <t>What is gotten rid of after a pathogen has been eliminated?</t>
  </si>
  <si>
    <t>in the 12th century</t>
  </si>
  <si>
    <t>In what country is Normandy located?</t>
  </si>
  <si>
    <t>What is an example of a virus that uses antigenic variation?</t>
  </si>
  <si>
    <t>What were the origins of the Raouliii family?</t>
  </si>
  <si>
    <t>Who invented the first nuclear reactor?</t>
  </si>
  <si>
    <t>Regenstein Library</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</si>
  <si>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</si>
  <si>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What type of company is Van Gend en Loos?</t>
  </si>
  <si>
    <t>criminal investigations</t>
  </si>
  <si>
    <t>1,230 kilometres</t>
  </si>
  <si>
    <t>Jean-Claude Juncker</t>
  </si>
  <si>
    <t>Amazonas Basin</t>
  </si>
  <si>
    <t>Legislative Assembly</t>
  </si>
  <si>
    <t>silt</t>
  </si>
  <si>
    <t>When are problems that have polynomial-tome solutions in complexity theory?</t>
  </si>
  <si>
    <t>multi-member proportional</t>
  </si>
  <si>
    <t>What concept did philosophers in antiquity use to study simple machines?</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</si>
  <si>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</si>
  <si>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the Huguenot rebellions</t>
  </si>
  <si>
    <t>American Medical Association</t>
  </si>
  <si>
    <t>How many sports does Yale compete  in in the NCAA Division I Ivy League?</t>
  </si>
  <si>
    <t>What did Dalton think the atomic ratios were between atoms in compounds?</t>
  </si>
  <si>
    <t>Polignac's</t>
  </si>
  <si>
    <t>Who discovered the AA Michelson effect?</t>
  </si>
  <si>
    <t>What process classifies problems that can and cannot be solved with approximately unlimited resources?</t>
  </si>
  <si>
    <t>Mnemiopsis</t>
  </si>
  <si>
    <t>near Millingen aan de Rijn</t>
  </si>
  <si>
    <t>the steam escapes</t>
  </si>
  <si>
    <t>In 1755 what fort did British capture?</t>
  </si>
  <si>
    <t>socially</t>
  </si>
  <si>
    <t>Why is it preferred that civil disobedience is non violent?</t>
  </si>
  <si>
    <t>social</t>
  </si>
  <si>
    <t>reduced moist tropical vegetation cover in the basin</t>
  </si>
  <si>
    <t>aggressively</t>
  </si>
  <si>
    <t>expulsion</t>
  </si>
  <si>
    <t>Watt</t>
  </si>
  <si>
    <t>low-skilled workers in the poor countries</t>
  </si>
  <si>
    <t>Who sets the legislative agenda in Victoria?</t>
  </si>
  <si>
    <t>new residents willing to pay higher market rate</t>
  </si>
  <si>
    <t>the prime number theorem</t>
  </si>
  <si>
    <t>What buildings held the Milton Friedman Institute?</t>
  </si>
  <si>
    <t>What type of physics model did Einstein fail to make?</t>
  </si>
  <si>
    <t>Who fought in the French and Indian war?</t>
  </si>
  <si>
    <t>February 2015</t>
  </si>
  <si>
    <t>Edward the Confessor</t>
  </si>
  <si>
    <t>Kearney Park</t>
  </si>
  <si>
    <t>What theorem remains valid in unique factorization domains?</t>
  </si>
  <si>
    <t xml:space="preserve"> the US expansion Westward could be viewed as what type of non-colonialism?</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</si>
  <si>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</si>
  <si>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What author argues pitching the conscience versus the collective?</t>
  </si>
  <si>
    <t>Only small portions of the Amazon forest are a result of what?</t>
  </si>
  <si>
    <t>When did the black death technically subside?</t>
  </si>
  <si>
    <t>1855 colonial constitution</t>
  </si>
  <si>
    <t>What is Polish for "female"?</t>
  </si>
  <si>
    <t>Why is the final bill passed to the Monarch?</t>
  </si>
  <si>
    <t>Who was not the ideologue of the Iranian Revolution?</t>
  </si>
  <si>
    <t>Who led Richard's troops when Cyprus was conquered?</t>
  </si>
  <si>
    <t>The term may be related to what politician from Switzerland?</t>
  </si>
  <si>
    <t>the ghost of le roi Huguet</t>
  </si>
  <si>
    <t>What was the ideal duty of a concept engine?</t>
  </si>
  <si>
    <t>10 February 1763</t>
  </si>
  <si>
    <t>at least some pre-planning and Christian burials</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</si>
  <si>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</si>
  <si>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How long ago did oxygen reach 10% of its present level?</t>
  </si>
  <si>
    <t>Did ARPANET develop the first system to make hosts responsible for delivery of data?</t>
  </si>
  <si>
    <t>Schrödinger</t>
  </si>
  <si>
    <t>What time of day did these reformed supposedly gather to engage in Huguenot rituals?</t>
  </si>
  <si>
    <t>Who invented the notion of a concept engine's duty?</t>
  </si>
  <si>
    <t>form business partnerships with physicians or give them "kickback" payments</t>
  </si>
  <si>
    <t xml:space="preserve"> What wasn't Germany's central interest?</t>
  </si>
  <si>
    <t>Who feared that Holland might establish their own settlement?</t>
  </si>
  <si>
    <t>a comb jelly</t>
  </si>
  <si>
    <t>There were two kinds of X.25 networks. Some such as DATAPAC and TRANSPAC were initially implemented with an X.25 external interface. Some older networks such as TELENET and TYMNET were modified to provide a X.25 host interface in addition to older host connection schemes. DATAPAC was developed by Bell Northern Research which was a joint venture of Bell Canada (a common carrier) and Northern Telecom (a telecommunications equipment supplier). Northern Telecom sold several DATAPAC clones to foreign PTTs including the Deutsche Bundespost. X.75 and X.121 allowed the interconnection of national X.25 networks. A user or host could call a host on a foreign network by including the DNIC of the remote network as part of the destination address.[citation needed]</t>
  </si>
  <si>
    <t>Which organizations most commonly divide and promote the state?</t>
  </si>
  <si>
    <t>What did the concept hope to achieve?</t>
  </si>
  <si>
    <t>Why did the Navy give a speech in court?</t>
  </si>
  <si>
    <t>because it is a waste of resources</t>
  </si>
  <si>
    <t>Who came into contact with Wales after the conquest of England?</t>
  </si>
  <si>
    <t>How many public libraries are there in Cambridge?</t>
  </si>
  <si>
    <t>in which it can make laws</t>
  </si>
  <si>
    <t>Internet Protocol</t>
  </si>
  <si>
    <t>a covalent double bond</t>
  </si>
  <si>
    <t>Sicily and the south of Europe</t>
  </si>
  <si>
    <t>rotational inertia of planet</t>
  </si>
  <si>
    <t>For many years, what was the Brotherhood described as?</t>
  </si>
  <si>
    <t>What can reduce density of O2 in eutrophic water bodies?</t>
  </si>
  <si>
    <t>in 1259</t>
  </si>
  <si>
    <t>5,000</t>
  </si>
  <si>
    <t>humoral immunity versus cell-mediated immunity</t>
  </si>
  <si>
    <t>What is one thing that wealthy students needed when they first came to Harvard in 1945?</t>
  </si>
  <si>
    <t>What is it called when the tax rate and base amount increase simultaneously?</t>
  </si>
  <si>
    <t xml:space="preserve">What area remained uninhabited for thousands of years? </t>
  </si>
  <si>
    <t>magma or lava flows</t>
  </si>
  <si>
    <t>9.75/10.600 GHz</t>
  </si>
  <si>
    <t>orogenic wedges</t>
  </si>
  <si>
    <t>Cévennes</t>
  </si>
  <si>
    <t>Planned to occupy the Chicago Business Booth, how much is the Milton Friedman Institute estimated to cost?</t>
  </si>
  <si>
    <t>After strengthening his government in northern China, Kublai pursued an expansionist policy in line with the tradition of Mongol and Chinese imperialism. He renewed a massive drive against the Song dynasty to the south. Kublai besieged Xiangyang between 1268 and 1273, the last obstacle in his way to capture the rich Yangzi River basin. An unsuccessful naval expedition was undertaken against Japan in 1274. Kublai captured the Song capital of Hangzhou in 1276, the wealthiest city of China. Song loyalists escaped from the capital and enthroned a young child as Emperor Bing of Song. The Mongols defeated the loyalists at the battle of Yamen in 1279. The last Song emperor drowned, bringing an end to the Song dynasty. The conquest of the Song reunited northern and southern China for the first time in three hundred years.</t>
  </si>
  <si>
    <t>army and the populace</t>
  </si>
  <si>
    <t>The Second Minister, Scottish cabinet ministers and whom sit in the front row in the debating chamber?</t>
  </si>
  <si>
    <t>IN addition to recirculating water, what do bunkers do?</t>
  </si>
  <si>
    <t>rhetoric</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</si>
  <si>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</si>
  <si>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Which principle is based on the appearance of fossils in sedimentary rocks?</t>
  </si>
  <si>
    <t>Alan Dershowitz and Lawrence Lessig</t>
  </si>
  <si>
    <t>What was imposed on November 28 1995 by the Emergency Highway Energy Conservation Act?</t>
  </si>
  <si>
    <t>The modern trend in design is toward integration of what?</t>
  </si>
  <si>
    <t>In the 1910s, New York–based filmmakers were attracted to Jacksonville's warm climate, exotic locations, excellent rail access, and cheap labor. Over the course of the decade, more than 30 silent film studios were established, earning Jacksonville the title of "Winter Film Capital of the World". However, the emergence of Hollywood as a major film production center ended the city's film industry. One converted movie studio site, Norman Studios, remains in Arlington; It has been converted to the Jacksonville Silent Film Museum at Norman Studios.</t>
  </si>
  <si>
    <t>high demand</t>
  </si>
  <si>
    <t>What was believed to be the cause of devastation to the civilization?</t>
  </si>
  <si>
    <t>complicated definitions</t>
  </si>
  <si>
    <t>oxygen-18</t>
  </si>
  <si>
    <t>1910</t>
  </si>
  <si>
    <t>What is one main reason that civil disobedience is not recognized?</t>
  </si>
  <si>
    <t>orientalism and tropicality.</t>
  </si>
  <si>
    <t>UNESCO's World Heritage list</t>
  </si>
  <si>
    <t>Han and Jurchen</t>
  </si>
  <si>
    <t>Rheinbrech</t>
  </si>
  <si>
    <t>Who organized the trees of the Amazon into four categories?</t>
  </si>
  <si>
    <t>Earth's mantle</t>
  </si>
  <si>
    <t>The European Court of Justice cannot uphold measures that are incompatible with what?</t>
  </si>
  <si>
    <t>function</t>
  </si>
  <si>
    <t>Like the University of Hyde Park, what did Shimer College and 10 other schools adopt?</t>
  </si>
  <si>
    <t>Under the terms of the Scotland Act 1978, an elected assembly would be set up in Edinburgh provided that the majority of the Scottish electorate voted for it in a referendum to be held on 1 March 1979 that represented at least 40% of the total electorate. The 1979 Scottish devolution referendum to establish a devolved Scottish Assembly failed. Although the vote was 51.6% in favour of a Scottish Assembly, this figure did not equal the 40% of the total electorate threshold deemed necessary to pass the measure, as 32.9% of the eligible voting population did not, or had been unable to, vote.</t>
  </si>
  <si>
    <t>Which State Route has been in discussion to upgrade to interstate standards?</t>
  </si>
  <si>
    <t>What did Charles Darwin successfully promote?</t>
  </si>
  <si>
    <t>What are some examples of undesirable end results of a project?</t>
  </si>
  <si>
    <t>confirmed and amended</t>
  </si>
  <si>
    <t>Following the Nice Treaty</t>
  </si>
  <si>
    <t>Did the RAND corporation retain any of the research?</t>
  </si>
  <si>
    <t>difficult to resolve</t>
  </si>
  <si>
    <t>A large part of the flow is diverted off the island of Mainau into where?</t>
  </si>
  <si>
    <t>the UK</t>
  </si>
  <si>
    <t>Ethelred II</t>
  </si>
  <si>
    <t>1695–1696</t>
  </si>
  <si>
    <t>1979</t>
  </si>
  <si>
    <t>What was the first textile device used commercially?</t>
  </si>
  <si>
    <t>Higher rates of health and social problems are just two of examples of effects from what?</t>
  </si>
  <si>
    <t>reliance on teaching fellows</t>
  </si>
  <si>
    <t>smaller, weaker swimmers such as rotifers and mollusc and crustacean larvae.</t>
  </si>
  <si>
    <t>When did building activity occur on Banki Palace?</t>
  </si>
  <si>
    <t>What entities are included in the federal health care system?</t>
  </si>
  <si>
    <t>What is the most critical resource measured to in assessing the determination of a Turing machine's ability to solve any given set of problems?</t>
  </si>
  <si>
    <t>secret</t>
  </si>
  <si>
    <t>56.2%</t>
  </si>
  <si>
    <t>firms engaged in managing construction projects</t>
  </si>
  <si>
    <t>adjacency matrices</t>
  </si>
  <si>
    <t>What areas did English recruit natives from?</t>
  </si>
  <si>
    <t>Who oversees a Pharmacy Technician in the UK?</t>
  </si>
  <si>
    <t>What is FMCG's economy characterized by?</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</si>
  <si>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</si>
  <si>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the rainforest was reduced to small, isolated refugia separated by open forest and grassland</t>
  </si>
  <si>
    <t>One of the oldest depictions of civil disobedience is in Sophocles' play Antigone, in which Antigone, one of the daughters of former King of Thebes, Oedipus, defies Creon, the current King of Thebes, who is trying to stop her from giving her brother Polynices a proper burial. She gives a stirring speech in which she tells him that she must obey her conscience rather than human law. She is not at all afraid of the death he threatens her with (and eventually carries out), but she is afraid of how her conscience will smite her if she does not do this.</t>
  </si>
  <si>
    <t>What group prepares the bid for work?</t>
  </si>
  <si>
    <t>preserve society's tolerance of civil disobedience</t>
  </si>
  <si>
    <t>allotrope</t>
  </si>
  <si>
    <t>Who sold the Upper Rhine to Burgundy?</t>
  </si>
  <si>
    <t>How quickly were Christian academies supposed to be segregated?</t>
  </si>
  <si>
    <t>Sainte Foy</t>
  </si>
  <si>
    <t>increased the asking price</t>
  </si>
  <si>
    <t>1774</t>
  </si>
  <si>
    <t>Though Turabi proclaimed his rejection for the democratic process, he strictly applied what after coming into power?</t>
  </si>
  <si>
    <t>an epidemiological account</t>
  </si>
  <si>
    <t>What did the use of motorcycles in farming lead to?</t>
  </si>
  <si>
    <t>six</t>
  </si>
  <si>
    <t>What country is not that affected by the change of government?</t>
  </si>
  <si>
    <t>temperature rise was near the top end of the range given</t>
  </si>
  <si>
    <t>How much Saharan dust is blown and falls upon the Caribbean Sea each year?</t>
  </si>
  <si>
    <t>opposite end from the mouth</t>
  </si>
  <si>
    <t>Where is Fielding H. Garrison from?</t>
  </si>
  <si>
    <t>Wednesdays</t>
  </si>
  <si>
    <t>How many pounds of steam per kilowatt hour does the internal combustion engine use?</t>
  </si>
  <si>
    <t>convecting mantle</t>
  </si>
  <si>
    <t>What was the percentage of whit people in Fresno in 2010?</t>
  </si>
  <si>
    <t>Dendritic cells are named that because they resemble what?</t>
  </si>
  <si>
    <t>oxide compounds</t>
  </si>
  <si>
    <t>GTE</t>
  </si>
  <si>
    <t>What did Olivier Roy state underwent a remarkable shift in the second half of the 21st century?</t>
  </si>
  <si>
    <t>What was compounding seen as being in the locomotive construction industry?</t>
  </si>
  <si>
    <t>What type of income is the vast majority of the population dependent on?</t>
  </si>
  <si>
    <t>to win an acquittal and avoid imprisonment or a fine</t>
  </si>
  <si>
    <t>Who was famed for their Christian spirit?</t>
  </si>
  <si>
    <t>What illustrates the relationships between rock and crystal?</t>
  </si>
  <si>
    <t>The down turned boat skylights are located in what lobby?</t>
  </si>
  <si>
    <t>promoted Western/foreign ideas and practices into Islamic societies</t>
  </si>
  <si>
    <t>When do members proceed to vote on whether they agree to the principles of the final bill?</t>
  </si>
  <si>
    <t>the Song dynasty</t>
  </si>
  <si>
    <t>What is southern California's economy completely dependent upon?</t>
  </si>
  <si>
    <t>How many clergymen were there in the Dutch Republic before the influx of Huguenots?</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</si>
  <si>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</si>
  <si>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In the aftermath of generally poor French results in most theaters of the Seven Years' War in 1758, France's new foreign minister, the duc de Choiseul, decided to focus on an invasion of Britain, to draw British resources away from North America and the European mainland. The invasion failed both militarily and politically, as Pitt again planned significant campaigns against New France, and sent funds to Britain's ally on the mainland, Prussia, and the French Navy failed in the 1759 naval battles at Lagos and Quiberon Bay. In one piece of good fortune, some French supply ships managed to depart France, eluding the British blockade of the French coast.</t>
  </si>
  <si>
    <t xml:space="preserve">Who is credited with the modern name for this system </t>
  </si>
  <si>
    <t>What connections bind sponge cells?</t>
  </si>
  <si>
    <t>Firstly, certain costs are difficult to avoid and are shared by everyone, such as the costs of housing, pensions, education and health care. If the state does not provide these services, then for those on lower incomes, the costs must be borrowed and often those on lower incomes are those who are worse equipped to manage their finances. Secondly, aspirational consumption describes the process of middle income earners aspiring to achieve the standards of living enjoyed by their wealthier counterparts and one method of achieving this aspiration is by taking on debt. The result leads to even greater inequality and potential economic instability.</t>
  </si>
  <si>
    <t>Dublin, Cork, Youghal and Waterford</t>
  </si>
  <si>
    <t xml:space="preserve"> What was the Yuan's official state religion?</t>
  </si>
  <si>
    <t>What cell binds to vitamin C?</t>
  </si>
  <si>
    <t>Who discovered that magnetic and electric could self-generate?</t>
  </si>
  <si>
    <t>Fort Caroline</t>
  </si>
  <si>
    <t>What caused the spread of the Jacksonville fire in 1901?</t>
  </si>
  <si>
    <t>reports of such pharmacies dispensing substandard products</t>
  </si>
  <si>
    <t>Who wrote a paper on real time computations in 1973?</t>
  </si>
  <si>
    <t>#P</t>
  </si>
  <si>
    <t>After its re-opening, which types of movies did the Tower Theatre show?</t>
  </si>
  <si>
    <t>Ford</t>
  </si>
  <si>
    <t>1820</t>
  </si>
  <si>
    <t>extended</t>
  </si>
  <si>
    <t>was a form of anthrax</t>
  </si>
  <si>
    <t>In what year did the French and Indian War begin?</t>
  </si>
  <si>
    <t>What is the term used to identify a deterministic Turing machine that has additional random bits?</t>
  </si>
  <si>
    <t>What equates to a squared integer according to polynomial time reduction?</t>
  </si>
  <si>
    <t>What was the name of the leader through the Great Depression and World War II?</t>
  </si>
  <si>
    <t>increased</t>
  </si>
  <si>
    <t>What debate is a debate on a motion proposed by an MSP who is not a Scottish minister?</t>
  </si>
  <si>
    <t>How far is Fresno City College from the Tower District?</t>
  </si>
  <si>
    <t>Port of Los Angeles</t>
  </si>
  <si>
    <t>within the Maria Fold and Thrust Belt</t>
  </si>
  <si>
    <t>What are three examples of complexity classes associated with definitions established by probabilistic Turing machines?</t>
  </si>
  <si>
    <t>government land</t>
  </si>
  <si>
    <t>modern canalized</t>
  </si>
  <si>
    <t>Student enrollment increased as a result of increased crime and poverty in which neighborhood?</t>
  </si>
  <si>
    <t>in the early 11th century</t>
  </si>
  <si>
    <t>Who had military control during the Yuan?</t>
  </si>
  <si>
    <t>between 1.4 and 5.8 °C above 1990 levels</t>
  </si>
  <si>
    <t>Singlet</t>
  </si>
  <si>
    <t>What is available as stand-alone DVB CAMs?</t>
  </si>
  <si>
    <t>less than two percent per year</t>
  </si>
  <si>
    <t>at the beginning of each parliamentary session</t>
  </si>
  <si>
    <t>What was passed in 1895?</t>
  </si>
  <si>
    <t>John B. Goodenough</t>
  </si>
  <si>
    <t>What religion did Henry renounce upon ascending the throne?</t>
  </si>
  <si>
    <t>Brown v. Board of Education of Topeka</t>
  </si>
  <si>
    <t>When did the General Sejm make Warsaw it's permanent seat?</t>
  </si>
  <si>
    <t>T cell</t>
  </si>
  <si>
    <t>dealing with patients' prescriptions and patient safety issues</t>
  </si>
  <si>
    <t>What is one reason securing an amendment of the law is not recognized?</t>
  </si>
  <si>
    <t>Of what form do Mersenne primes take?</t>
  </si>
  <si>
    <t>a data network</t>
  </si>
  <si>
    <t>What kinds of sciences were Social Darwinism and theories of race?</t>
  </si>
  <si>
    <t>the same procedures as for IPCC Assessment Reports</t>
  </si>
  <si>
    <t>The public network business allowed government agencies to do what?</t>
  </si>
  <si>
    <t>What kind of disorders are the result of an overactive immune response?</t>
  </si>
  <si>
    <t>use the proceedings as a forum to inform the jury and the public of the political circumstances surrounding the case</t>
  </si>
  <si>
    <t>How many Huguenots were part of the group that founded France Antarctique in 1555?</t>
  </si>
  <si>
    <t>When didn't French learn about Braddock's plans?</t>
  </si>
  <si>
    <t>Palace of Culture and Science</t>
  </si>
  <si>
    <t>If three identical fermions have a symmetric spin, the spatial variables must be what?</t>
  </si>
  <si>
    <t>rare and desired skills</t>
  </si>
  <si>
    <t>How much of Australia's milk is produced in Victoria?</t>
  </si>
  <si>
    <t>Policies which try to control unemployment support economic growth because they increase what?</t>
  </si>
  <si>
    <t>the General Pharmaceutical Council (GPhC) register</t>
  </si>
  <si>
    <t>What are buildings, stuctures and industrial?</t>
  </si>
  <si>
    <t>How many tons of dust are blown from the rain forest each year?</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</si>
  <si>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</si>
  <si>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groups of large, stiffened cilia</t>
  </si>
  <si>
    <t>Amazonia: Man and Culture in a Counterfeit Paradise</t>
  </si>
  <si>
    <t>United Nations Environment Programme</t>
  </si>
  <si>
    <t>Swiss-Austrian border</t>
  </si>
  <si>
    <t>When did the Normans attack Dyrrachium?</t>
  </si>
  <si>
    <t>What sea does the Rhine flow out of?</t>
  </si>
  <si>
    <t>In what calcium containing body part is oxygen a part?</t>
  </si>
  <si>
    <t>Immunodeficiency occurs</t>
  </si>
  <si>
    <t>The strong force is due to the exchange of what?</t>
  </si>
  <si>
    <t>fundamental rights recognised and protected in the constitutions of member states</t>
  </si>
  <si>
    <t>signing of the Treaty of Paris on 10 February 1763</t>
  </si>
  <si>
    <t>the South Coast Metro</t>
  </si>
  <si>
    <t>Who led the attack of the French colony in 1565?</t>
  </si>
  <si>
    <t>AUSTPAC was an Australian public X.25 network operated by Telstra. Started by Telecom Australia in the early 1980s, AUSTPAC was Australia's first public packet-switched data network, supporting applications such as on-line betting, financial applications — the Australian Tax Office made use of AUSTPAC — and remote terminal access to academic institutions, who maintained their connections to AUSTPAC up until the mid-late 1990s in some cases. Access can be via a dial-up terminal to a PAD, or, by linking a permanent X.25 node to the network.[citation needed]</t>
  </si>
  <si>
    <t>obey her conscience rather than human law</t>
  </si>
  <si>
    <t>reach locations not on the private network</t>
  </si>
  <si>
    <t>British bacteriologist J. F. D. Shrewsbury</t>
  </si>
  <si>
    <t>What famous conductor went to Harvard?</t>
  </si>
  <si>
    <t>“wid[en] people’s choices and the level of their achieved well-being”</t>
  </si>
  <si>
    <t>jury nullification</t>
  </si>
  <si>
    <t>What is a string over a Greek number when considering a computational problem?</t>
  </si>
  <si>
    <t>What leads to confusion and collapse?</t>
  </si>
  <si>
    <t>Why is Warsaw's flora very rich in species?</t>
  </si>
  <si>
    <t>340 miles</t>
  </si>
  <si>
    <t>When has Bloc seen many improvements?</t>
  </si>
  <si>
    <t>Dorotheenstadt and Friedrichstadt</t>
  </si>
  <si>
    <t>Koori</t>
  </si>
  <si>
    <t>What theorem states that the probability that a number n is prime is inversely proportional to its direction?</t>
  </si>
  <si>
    <t>What did Arab oil producers link to Japan?</t>
  </si>
  <si>
    <t>When did the Sierra Sky Park fall out of use?</t>
  </si>
  <si>
    <t>Supreme Court of the United Kingdom</t>
  </si>
  <si>
    <t>When didn't violence start in war?</t>
  </si>
  <si>
    <t>Who won the Ekstraklasa Championship in 2000?</t>
  </si>
  <si>
    <t>road engines</t>
  </si>
  <si>
    <t>the Netherlands</t>
  </si>
  <si>
    <t>March</t>
  </si>
  <si>
    <t>mouth of the Monongahela River</t>
  </si>
  <si>
    <t xml:space="preserve">In considering Turing machines and alternate variables, what measurement left unaffected by conversion between machine models? </t>
  </si>
  <si>
    <t>modern art by Polish and international artists</t>
  </si>
  <si>
    <t>What do clinical pharmacists not participate in?</t>
  </si>
  <si>
    <t>Sleep hormone release supports formation of immune memory by initiating what immune response?</t>
  </si>
  <si>
    <t>non-cryogenic</t>
  </si>
  <si>
    <t>connection id</t>
  </si>
  <si>
    <t>unidirectional force</t>
  </si>
  <si>
    <t>What has water that is a lighter color than the Rhine?</t>
  </si>
  <si>
    <t>Alpha decay is the most familiar effect of what force?</t>
  </si>
  <si>
    <t>Doctor of Pharmacy (Pharm. D.)</t>
  </si>
  <si>
    <t xml:space="preserve"> What type of medicine did otachi reject?</t>
  </si>
  <si>
    <t>builders ask for too little money to complete the project</t>
  </si>
  <si>
    <t>Why did France choose to give up continental lands?</t>
  </si>
  <si>
    <t>Under which leader did the Huguenots fight in this conflict?</t>
  </si>
  <si>
    <t>Which countries became dependent on US's security assurance to threats?</t>
  </si>
  <si>
    <t>cnidarians and ctenophores</t>
  </si>
  <si>
    <t>Besides viniculture, what is the other dominate economic sector in the middle rhine?</t>
  </si>
  <si>
    <t>prostaglandins</t>
  </si>
  <si>
    <t>Within the genitourinary and gastrointestinal tracts, commensal flora serve as biological barriers by competing with pathogenic bacteria for food and space and, in some cases, by changing the conditions in their environment, such as pH or available iron. This reduces the probability that pathogens will reach sufficient numbers to cause illness. However, since most antibiotics non-specifically target bacteria and do not affect fungi, oral antibiotics can lead to an "overgrowth" of fungi and cause conditions such as a vaginal candidiasis (a yeast infection). There is good evidence that re-introduction of probiotic flora, such as pure cultures of the lactobacilli normally found in unpasteurized yogurt, helps restore a healthy balance of microbial populations in intestinal infections in children and encouraging preliminary data in studies on bacterial gastroenteritis, inflammatory bowel diseases, urinary tract infection and post-surgical infections.</t>
  </si>
  <si>
    <t>23.9%</t>
  </si>
  <si>
    <t>What is never identical across all nations and jurisdictions?</t>
  </si>
  <si>
    <t>Where did British resettle many Acadians?</t>
  </si>
  <si>
    <t>What is the land area of Jacksonville?</t>
  </si>
  <si>
    <t>Where did Fresno residents move to during the flooding?</t>
  </si>
  <si>
    <t>£21,000</t>
  </si>
  <si>
    <t>granted the Protestants equality with Catholics</t>
  </si>
  <si>
    <t>a pair of long, slender tentacles</t>
  </si>
  <si>
    <t>the Pope and the doctrine of transubstantiation</t>
  </si>
  <si>
    <t>1969</t>
  </si>
  <si>
    <t>What can construction projects suffer from?</t>
  </si>
  <si>
    <t>the likelihood of damage</t>
  </si>
  <si>
    <t>Why is it difficult to resolve disagreements about the changes in the Amazon rainforest?</t>
  </si>
  <si>
    <t>twelve</t>
  </si>
  <si>
    <t>1755</t>
  </si>
  <si>
    <t>Camisards</t>
  </si>
  <si>
    <t>between 1000 and 1900</t>
  </si>
  <si>
    <t>increasing importance of human capital in development</t>
  </si>
  <si>
    <t>During the divestment from South Africa movement in the late 1980s, student activists erected a symbolic "shantytown" on Harvard Yard and blockaded a speech given by South African Vice Consul Duke Kent-Brown. The Harvard Management Company repeatedly refused to divest, stating that "operating expenses must not be subject to financially unrealistic strictures or carping by the unsophisticated or by special interest groups." However, the university did eventually reduce its South African holdings by $230 million (out of $400 million) in response to the pressure.</t>
  </si>
  <si>
    <t>Western musical instruments were introduced to enrich Chinese performing arts. From this period dates the conversion to Islam, by Muslims of Central Asia, of growing numbers of Chinese in the northwest and southwest. Nestorianism and Roman Catholicism also enjoyed a period of toleration. Buddhism (especially Tibetan Buddhism) flourished, although Taoism endured certain persecutions in favor of Buddhism from the Yuan government. Confucian governmental practices and examinations based on the Classics, which had fallen into disuse in north China during the period of disunity, were reinstated by the Yuan court, probably in the hope of maintaining order over Han society. Advances were realized in the fields of travel literature, cartography, geography, and scientific education.</t>
  </si>
  <si>
    <t>it is weighted inversely to member state size</t>
  </si>
  <si>
    <t>What happens first if a Directive's deadline for implementation is not met?</t>
  </si>
  <si>
    <t>What is one of the largest music schools in Europe?</t>
  </si>
  <si>
    <t>What were the Yuan armies too weak to stop?</t>
  </si>
  <si>
    <t>Which building was vacated three times to allow for the meeting of the Church's General Assembly?</t>
  </si>
  <si>
    <t>The historical measure of a steam engine's energy efficiency was its "duty". The concept of duty was first introduced by Watt in order to illustrate how much more efficient his engines were over the earlier Newcomen designs. Duty is the number of foot-pounds of work delivered by burning one bushel (94 pounds) of coal. The best examples of Newcomen designs had a duty of about 7 million, but most were closer to 5 million. Watt's original low-pressure designs were able to deliver duty as high as 25 million, but averaged about 17. This was a three-fold improvement over the average Newcomen design. Early Watt engines equipped with high-pressure steam improved this to 65 million.</t>
  </si>
  <si>
    <t>What protein does Staphylococcus aureus produce to make antibodies ineffective?</t>
  </si>
  <si>
    <t>highest</t>
  </si>
  <si>
    <t>behind the foot of the mast of a moving ship</t>
  </si>
  <si>
    <t>What is another name for a dike swarm?</t>
  </si>
  <si>
    <t>Who incorperated Islamic, LOmbard, and Byzantine building techniques in England?</t>
  </si>
  <si>
    <t>How much land does Cambridge own in Allston?</t>
  </si>
  <si>
    <t>Which conjecture holds that every odd integer n greater than 2 can be expressed as a sum of two primes?</t>
  </si>
  <si>
    <t>What is another way of referring to power systems?</t>
  </si>
  <si>
    <t>John Mayow died in what year?</t>
  </si>
  <si>
    <t>Where is Ekstraklasa's home venue located?</t>
  </si>
  <si>
    <t>the Karluk Kara-Khanid ruler</t>
  </si>
  <si>
    <t>Economist Joseph Stiglitz argues that rather than explaining concentrations of wealth and income, market forces should serve as a brake on such concentration, which may better be explained by the non-market force known as "rent-seeking". While the market will bid up compensation for rare and desired skills to reward wealth creation, greater productivity, etc., it will also prevent successful entrepreneurs from earning excess profits by fostering competition to cut prices, profits and large compensation. A better explainer of growing inequality, according to Stiglitz, is the use of political power generated by wealth by certain groups to shape government policies financially beneficial to them. This process, known to economists as rent-seeking, brings income not from creation of wealth but from "grabbing a larger share of the wealth that would otherwise have been produced without their effort"</t>
  </si>
  <si>
    <t>between 1621 and 1629</t>
  </si>
  <si>
    <t>In addition to identifying rocks in the field, petrologists identify rock samples in the laboratory. Two of the primary methods for identifying rocks in the laboratory are through optical microscopy and by using an electron microprobe. In an optical mineralogy analysis, thin sections of rock samples are analyzed through a petrographic microscope, where the minerals can be identified through their different properties in plane-polarized and cross-polarized light, including their birefringence, pleochroism, twinning, and interference properties with a conoscopic lens. In the electron microprobe, individual locations are analyzed for their exact chemical compositions and variation in composition within individual crystals. Stable and radioactive isotope studies provide insight into the geochemical evolution of rock units.</t>
  </si>
  <si>
    <t>the Arab–Israeli conflict released the underlying economic pressure on oil prices</t>
  </si>
  <si>
    <t>its failure to consult and "notorious intransigence"</t>
  </si>
  <si>
    <t>end of the Pleistocene (~11,600 BP)</t>
  </si>
  <si>
    <t>What's one factor in eroding self-esteem?</t>
  </si>
  <si>
    <t>What do coastal beroids not have that other ctenophora have?</t>
  </si>
  <si>
    <t>the Arctic</t>
  </si>
  <si>
    <t>Washington and Thomas Gage</t>
  </si>
  <si>
    <t>What other person was involved in the case with Runyon in 1972?</t>
  </si>
  <si>
    <t>The "It's Scotland's oil" campaign resulted from the discovery of what in the South Sea?</t>
  </si>
  <si>
    <t>By what means is imperialism usually administered?</t>
  </si>
  <si>
    <t>What company was never involved with NDS?</t>
  </si>
  <si>
    <t>reducing poverty</t>
  </si>
  <si>
    <t>When did Wei Yilin die?</t>
  </si>
  <si>
    <t>What building was a gift from Poland?</t>
  </si>
  <si>
    <t>reminding their countrymen of injustice</t>
  </si>
  <si>
    <t>Imperialism and colonialism</t>
  </si>
  <si>
    <t>What type of process was involved the the depletion of the Sun's oxygen 16?</t>
  </si>
  <si>
    <t>What issue has been plaguing the civil disobedience movement.</t>
  </si>
  <si>
    <t>What does CSA stand for?</t>
  </si>
  <si>
    <t>Silicates of magnesium and iron make up of the Earth's ___</t>
  </si>
  <si>
    <t>What can be produced through electrolysis of molecular water?</t>
  </si>
  <si>
    <t>How did Fielding H. Garrison believe land was formed?</t>
  </si>
  <si>
    <t>What do tribes use Google Earth and GPS for?</t>
  </si>
  <si>
    <t>What event happened 66 million years ago?</t>
  </si>
  <si>
    <t>Treaties apply as soon as they enter into force, unless stated otherwise</t>
  </si>
  <si>
    <t>Where is the Longwood Medical area located?</t>
  </si>
  <si>
    <t>All matters that are not specifically reserved are automatically devolved to the Scottish Parliament</t>
  </si>
  <si>
    <t>What is the most common form of Norman art in churches?</t>
  </si>
  <si>
    <t>colonial</t>
  </si>
  <si>
    <t>1</t>
  </si>
  <si>
    <t>The principle of faunal succession is based on the appearance of fossils in sedimentary rocks. As organisms exist at the same time period throughout the world, their presence or (sometimes) absence may be used to provide a relative age of the formations in which they are found. Based on principles laid out by William Smith almost a hundred years before the publication of Charles Darwin's theory of evolution, the principles of succession were developed independently of evolutionary thought. The principle becomes quite complex, however, given the uncertainties of fossilization, the localization of fossil types due to lateral changes in habitat (facies change in sedimentary strata), and that not all fossils may be found globally at the same time.</t>
  </si>
  <si>
    <t>other scientific bodies</t>
  </si>
  <si>
    <t>What type of wages result from jobs where there is low supply but high demand?</t>
  </si>
  <si>
    <t>What simple measurements were defined by "On the Computational Complexity of Algorithms"?</t>
  </si>
  <si>
    <t>Annual Status of Education Report</t>
  </si>
  <si>
    <t>Structural</t>
  </si>
  <si>
    <t>What do Bathyctena chuni, Euplokamis stationis and Euhamphaea veilligera produce only when they change color?</t>
  </si>
  <si>
    <t>One of the earliest writings on India written by Fielding H. Garrison hypothesized what?</t>
  </si>
  <si>
    <t>Unsurprisingly, the mujahideen's victory against the Soviets in the 1980s failed to produce what?</t>
  </si>
  <si>
    <t>charter</t>
  </si>
  <si>
    <t>How many professors does the Warsaw University of Technology employ?</t>
  </si>
  <si>
    <t>King Sigismund III Vasa</t>
  </si>
  <si>
    <t>any natural number n &gt; 3</t>
  </si>
  <si>
    <t>Why must one be excluded in order to preserve the uniqueness of the fundamental theorem?</t>
  </si>
  <si>
    <t>sediment</t>
  </si>
  <si>
    <t>Why is breathing oxygen in space craft not dangerous to health?</t>
  </si>
  <si>
    <t>What alumni member also write the bestseller Before I Fall?</t>
  </si>
  <si>
    <t>What happens deeper in the Earth where brittle deformation occurrs?</t>
  </si>
  <si>
    <t>Where are the rows of combs located?</t>
  </si>
  <si>
    <t>ten times their own weight</t>
  </si>
  <si>
    <t>UNESCO's World Heritage</t>
  </si>
  <si>
    <t>75,000</t>
  </si>
  <si>
    <t>ambiguous</t>
  </si>
  <si>
    <t>What is another name for Lake Constance?</t>
  </si>
  <si>
    <t>old prescription books and antique drugs</t>
  </si>
  <si>
    <t>What are the least powerful anti-inflammatory drugs?</t>
  </si>
  <si>
    <t>not-for-profit United States computer networking consortium</t>
  </si>
  <si>
    <t>Maxwell</t>
  </si>
  <si>
    <t>What Egyptologist was also apart of the university's faculty?</t>
  </si>
  <si>
    <t>systematic economic inequalities</t>
  </si>
  <si>
    <t>70</t>
  </si>
  <si>
    <t>7500 yr ago</t>
  </si>
  <si>
    <t>What does the domed head of the tentilla have?</t>
  </si>
  <si>
    <t>What would be needed to host a larger population?</t>
  </si>
  <si>
    <t>What does Salafism in its harshest form discourage its followers to view the religion of others with?</t>
  </si>
  <si>
    <t>What document formed the Parliament of "entrenched" provisions?</t>
  </si>
  <si>
    <t>Which authority figure is designated to schedule and set the work of the EU?</t>
  </si>
  <si>
    <t>As of January 2016 how many digits does the largest known prime consist of?</t>
  </si>
  <si>
    <t>Many questions regarding prime numbers remain open, such as Goldbach's conjecture (that every even integer greater than 2 can be expressed as the sum of two primes), and the twin prime conjecture (that there are infinitely many pairs of primes whose difference is 2). Such questions spurred the development of various branches of number theory, focusing on analytic or algebraic aspects of numbers. Primes are used in several routines in information technology, such as public-key cryptography, which makes use of properties such as the difficulty of factoring large numbers into their prime factors. Prime numbers give rise to various generalizations in other mathematical domains, mainly algebra, such as prime elements and prime ideals.</t>
  </si>
  <si>
    <t>Who didn't Abercrombie replace as commander in chief?</t>
  </si>
  <si>
    <t>that allowed local area networks to be established ad hoc without the requirement for a centralized router or server</t>
  </si>
  <si>
    <t>In whose diagram is each matter particle represented as a curved line?</t>
  </si>
  <si>
    <t xml:space="preserve">The 4 sales and service centers are viewed as </t>
  </si>
  <si>
    <t>Michael Heckenberger</t>
  </si>
  <si>
    <t>What type of manufacturing plant is Victoria soon losing?</t>
  </si>
  <si>
    <t>20 hours</t>
  </si>
  <si>
    <t>Effects of inequality researchers have found include higher rates of health and social problems, and lower rates of social goods, a lower level of economic utility in society from resources devoted on high-end consumption, and even a lower level of economic growth when human capital is neglected for high-end consumption. For the top 21 industrialised countries, counting each person equally, life expectancy is lower in more unequal countries (r = -.907). A similar relationship exists among US states (r = -.620).</t>
  </si>
  <si>
    <t>Who were there disputes between when California ruled Mexico?</t>
  </si>
  <si>
    <t>What do Cydippids use to capture their prey?</t>
  </si>
  <si>
    <t>mother is wrongly claiming to be living alone</t>
  </si>
  <si>
    <t xml:space="preserve"> When did French Republicans back building the English empire?</t>
  </si>
  <si>
    <t>proud of it</t>
  </si>
  <si>
    <t>the simplest</t>
  </si>
  <si>
    <t>What was rapidly increasing by interstate 5?</t>
  </si>
  <si>
    <t>What is the parliamentary mace made of?</t>
  </si>
  <si>
    <t>high cost of medications</t>
  </si>
  <si>
    <t>In what year did the first Huguenots arrive in the British colonies?</t>
  </si>
  <si>
    <t>simplest</t>
  </si>
  <si>
    <t>3–2.7 billion years ago</t>
  </si>
  <si>
    <t>On what grounds is a law judged to be moral?</t>
  </si>
  <si>
    <t>How many general principles does the Social Charter declare?</t>
  </si>
  <si>
    <t>campaigns on Lake Ontario, and endangered the Oswego garrison</t>
  </si>
  <si>
    <t>What French city was Jacques Lefevre from?</t>
  </si>
  <si>
    <t>What are some supplementary sources of American Union law?</t>
  </si>
  <si>
    <t>Hurricane Dora caused a minor what?</t>
  </si>
  <si>
    <t>What debates are closed to the public?</t>
  </si>
  <si>
    <t>The price of oil is usually a stable commodity until when?</t>
  </si>
  <si>
    <t>it significantly altered the existing treaties</t>
  </si>
  <si>
    <t>Braddock (with George Washington</t>
  </si>
  <si>
    <t>Issues dealt with at Westminster are not ones who is able to deal with?</t>
  </si>
  <si>
    <t>What percentage of people died of the Black Death in Central Asia?</t>
  </si>
  <si>
    <t>None succeeded</t>
  </si>
  <si>
    <t>Fort Presque Isle</t>
  </si>
  <si>
    <t>What are peptides processed into?</t>
  </si>
  <si>
    <t>The early United States expressed its opposition to Imperialism, at least in a form distinct from its own Manifest Destiny, through policies such as the Monroe Doctrine. However, beginning in the late 19th and early 20th century, policies such as Theodore Roosevelt’s interventionism in Central America and Woodrow Wilson’s mission to "make the world safe for democracy" changed all this. They were often backed by military force, but were more often affected from behind the scenes. This is consistent with the general notion of hegemony and imperium of historical empires. In 1898, Americans who opposed imperialism created the Anti-Imperialist League to oppose the US annexation of the Philippines and Cuba. One year later, a war erupted in the Philippines causing business, labor and government leaders in the US to condemn America's occupation in the Philippines as they also denounced them for causing the deaths of many Filipinos. American foreign policy was denounced as a "racket" by Smedley Butler, an American general. He said, "Looking back on it, I might have given Al Capone a few hints. The best he could do was to operate his racket in three districts. I operated on three continents".</t>
  </si>
  <si>
    <t>What ships, other than warships, typically required expansion engines?</t>
  </si>
  <si>
    <t>the building is ready to occupy.</t>
  </si>
  <si>
    <t xml:space="preserve">Extended networking benefits helped those that could not connect to what platform? </t>
  </si>
  <si>
    <t>An algorithm for X which reduces to C would us to do what?</t>
  </si>
  <si>
    <t>muggers, arsonists, draft evaders, campaign hecklers, campus militants, anti-war demonstrators, juvenile delinquents and political assassins</t>
  </si>
  <si>
    <t>What political scientist is one of the founders of the theory of neoliberalism?</t>
  </si>
  <si>
    <t>What did the German citizens understand the subtext of John Paul II's words to be?</t>
  </si>
  <si>
    <t>What did William Smith cross about 50 times?</t>
  </si>
  <si>
    <t>Ethiopian</t>
  </si>
  <si>
    <t>There were many religions practiced during the Yuan dynasty, such as Buddhism, Islam, and Christianity. The establishment of the Yuan dynasty had dramatically increased the number of Muslims in China. However, unlike the western khanates, the Yuan dynasty never converted to Islam. Instead, Kublai Khan, the founder of the Yuan dynasty, favored Buddhism, especially the Tibetan variants. As a result, Tibetan Buddhism was established as the de facto state religion. The top-level department and government agency known as the Bureau of Buddhist and Tibetan Affairs (Xuanzheng Yuan) was set up in Khanbaliq (modern Beijing) to supervise Buddhist monks throughout the empire. Since Kublai Khan only esteemed the Sakya sect of Tibetan Buddhism, other religions became less important. He and his successors kept a Sakya Imperial Preceptor (Dishi) at court. Before the end of the Yuan dynasty, 14 leaders of the Sakya sect had held the post of Imperial Preceptor, thereby enjoying special power. Furthermore, Mongol patronage of Buddhism resulted in a number of monuments of Buddhist art. Mongolian Buddhist translations, almost all from Tibetan originals, began on a large scale after 1300. Many Mongols of the upper class such as the Jalayir and the Oronar nobles as well as the emperors also patronized Confucian scholars and institutions. A considerable number of Confucian and Chinese historical works were translated into the Mongolian language.</t>
  </si>
  <si>
    <t>What is the lowest recorded temperature in Victoria?</t>
  </si>
  <si>
    <t>Data sampling strongly supports that what remained largely intact??</t>
  </si>
  <si>
    <t>Who is not required to follow financial rules and regulations?</t>
  </si>
  <si>
    <t>What was considered responsible for the black death as well as the epidemic in southern China?</t>
  </si>
  <si>
    <t>What happens to the norm when a number is multiplied by Q?</t>
  </si>
  <si>
    <t>air</t>
  </si>
  <si>
    <t>Who named the pathogen Yersinia pestis?</t>
  </si>
  <si>
    <t>What were blank spaces used for on nineteenth-century maps?</t>
  </si>
  <si>
    <t>How many years did it take for the frozen subsoil to warm up?</t>
  </si>
  <si>
    <t>organic composition of capital</t>
  </si>
  <si>
    <t>What policy gave Britain dominance in world trade?</t>
  </si>
  <si>
    <t>What is the total number of professors, instructors, and lecturers at Harvard?</t>
  </si>
  <si>
    <t>a quantity surveyor</t>
  </si>
  <si>
    <t>Seerhein</t>
  </si>
  <si>
    <t>What was the name of the first German settlement?</t>
  </si>
  <si>
    <t>former Strathclyde Regional Council debating chamber</t>
  </si>
  <si>
    <t>How many Victorians are non-religious?</t>
  </si>
  <si>
    <t>What is the name of the water body that is found to the east?</t>
  </si>
  <si>
    <t>Who was the first president of the University of Chicago?</t>
  </si>
  <si>
    <t>What P or was damaged during the 2008 tropical storm Fay?</t>
  </si>
  <si>
    <t>solidarity tactics</t>
  </si>
  <si>
    <t>An Islamist movement influenced by Salafism and the jihad in Afghanistan, as well as the Muslim Brotherhood, was the FIS or Front Islamique de Salut (the Islamic Salvation Front) in Algeria. Founded as a broad Islamist coalition in 1989 it was led by Abbassi Madani, and a charismatic Islamist young preacher, Ali Belhadj. Taking advantage of economic failure and unpopular social liberalization and secularization by the ruling leftist-nationalist FLN government, it used its preaching to advocate the establishment of a legal system following Sharia law, economic liberalization and development program, education in Arabic rather than French, and gender segregation, with women staying home to alleviate the high rate of unemployment among young Algerian men. The FIS won sweeping victories in local elections and it was going to win national elections in 1991 when voting was canceled by a military coup d'état.</t>
  </si>
  <si>
    <t>recreational</t>
  </si>
  <si>
    <t>1912</t>
  </si>
  <si>
    <t xml:space="preserve">How did the Rhine extend watershed southward? </t>
  </si>
  <si>
    <t>Jan Andrzej Menich</t>
  </si>
  <si>
    <t>What is the major US city that the is the university located?</t>
  </si>
  <si>
    <t>increasing access to education</t>
  </si>
  <si>
    <t>Shia terrorist</t>
  </si>
  <si>
    <t>What force changes an objects direction of travel?</t>
  </si>
  <si>
    <t>What is the population of the second largest city in California?</t>
  </si>
  <si>
    <t>What is the name of one algebraic generalization Goldbach's conjecture has inspired?</t>
  </si>
  <si>
    <t>What is the United States at risk for because of the recession of 2000?</t>
  </si>
  <si>
    <t>The shortcomings of Aristotelian physics would not be corrected until the 16th century work of whom?</t>
  </si>
  <si>
    <t>What long term agenda was the acts of plundering Muslim lands by the West?</t>
  </si>
  <si>
    <t>What are public schools in Victoria?</t>
  </si>
  <si>
    <t>What is attributed to the income inequality in the United States?</t>
  </si>
  <si>
    <t>How are packets delivered differently?</t>
  </si>
  <si>
    <t>In what interval are some of the greatest primes without a distinct form discovered in?</t>
  </si>
  <si>
    <t>up to 3 pence in the pound</t>
  </si>
  <si>
    <t>sequential hermaphrodites</t>
  </si>
  <si>
    <t>Fourth Intercolonial War and the Great War for the Empire</t>
  </si>
  <si>
    <t>How much Saharan dust remains in the air over the Amazon each year?</t>
  </si>
  <si>
    <t>On Novermber 28, 1995 what did the Department of Energy end?</t>
  </si>
  <si>
    <t>Blaine Amendments</t>
  </si>
  <si>
    <t>The two AAA clubs divided the state into a northern and southern California as opposed to what point of view?</t>
  </si>
  <si>
    <t>eleven</t>
  </si>
  <si>
    <t>Westchester</t>
  </si>
  <si>
    <t>Who was Richard's fiancee?</t>
  </si>
  <si>
    <t>over 900,000</t>
  </si>
  <si>
    <t>What temperature fever does one have suffering from pneumonic plague?</t>
  </si>
  <si>
    <t>near present-day Erie, Pennsylvania</t>
  </si>
  <si>
    <t>Fort Le Boeuf</t>
  </si>
  <si>
    <t>Front Islamique de Salut</t>
  </si>
  <si>
    <t>What land was ceded to Spain?</t>
  </si>
  <si>
    <t>the Western Atlantic ctenophore Mnemiopsis leidyi was accidentally introduced</t>
  </si>
  <si>
    <t>Ogedei</t>
  </si>
  <si>
    <t>What does the electrolysis of water produce?</t>
  </si>
  <si>
    <t>In what year did the Black Eagle Brewery change its name to Old Truman Brewery?</t>
  </si>
  <si>
    <t xml:space="preserve"> What was the Japanese name for the Central Secretariat?</t>
  </si>
  <si>
    <t>What kind of enrollments did the Ethical Reasoning program have in 2007?</t>
  </si>
  <si>
    <t>Sauriwa is the earliest known name for what area?</t>
  </si>
  <si>
    <t>Southwest Fresno</t>
  </si>
  <si>
    <t>Liberals</t>
  </si>
  <si>
    <t>world systems theory.</t>
  </si>
  <si>
    <t>Which direction did Romans use to drift through the Rhine?</t>
  </si>
  <si>
    <t>the Victorian Government</t>
  </si>
  <si>
    <t>DTIME(f(n))</t>
  </si>
  <si>
    <t xml:space="preserve"> What didn't European chemists make that could be used in warfare?</t>
  </si>
  <si>
    <t>What people weren't allowed to settle in British colonies?</t>
  </si>
  <si>
    <t>$230 million</t>
  </si>
  <si>
    <t>tribes that did not want to do business with the British</t>
  </si>
  <si>
    <t>How is California divided?</t>
  </si>
  <si>
    <t>What group decided to enter a blind plea without any jailtime?</t>
  </si>
  <si>
    <t>When three forces act on a point particle, what happens?</t>
  </si>
  <si>
    <t>satellite</t>
  </si>
  <si>
    <t>When did the origins of magnetic and electric fields occur?</t>
  </si>
  <si>
    <t>Of what form are Mersenne tests?</t>
  </si>
  <si>
    <t>bunker</t>
  </si>
  <si>
    <t>the network and the connected users</t>
  </si>
  <si>
    <t>What does the deformation of a rock tell geologists?</t>
  </si>
  <si>
    <t>The construction of highways</t>
  </si>
  <si>
    <t>In April 2014, how many New Zealand students attended private schools?</t>
  </si>
  <si>
    <t xml:space="preserve">Debates about civil disobedience include or exclude what major practice? </t>
  </si>
  <si>
    <t>What are the two symbols that signify pharmacy in non-English-speaking countries?</t>
  </si>
  <si>
    <t>The French thought bringing what would uplift other regions?</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</si>
  <si>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</si>
  <si>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How many miles is a dust travel over the Pacific?</t>
  </si>
  <si>
    <t>What Goldman Sachs CEO is also an alumni of the University of Chicago?</t>
  </si>
  <si>
    <t>salt and iron</t>
  </si>
  <si>
    <t>Who masterminded many terror attacks?</t>
  </si>
  <si>
    <t>from 1910–1940</t>
  </si>
  <si>
    <t>1973–1974</t>
  </si>
  <si>
    <t>What part of a uniform must you wear if you go to public school in Australia?</t>
  </si>
  <si>
    <t>The final major evolution of the steam engine design was the use of steam turbines starting in the late part of the 19th century. Steam turbines are generally more efficient than reciprocating piston type steam engines (for outputs above several hundred horsepower), have fewer moving parts, and provide rotary power directly instead of through a connecting rod system or similar means. Steam turbines virtually replaced reciprocating engines in electricity generating stations early in the 20th century, where their efficiency, higher speed appropriate to generator service, and smooth rotation were advantages. Today most electric power is provided by steam turbines. In the United States 90% of the electric power is produced in this way using a variety of heat sources. Steam turbines were extensively applied for propulsion of large ships throughout most of the 20th century.</t>
  </si>
  <si>
    <t>specially insulated tankers</t>
  </si>
  <si>
    <t>Dirichlet's</t>
  </si>
  <si>
    <t>What organization runs the satellite that measured dust that landed on the Amazon?</t>
  </si>
  <si>
    <t>ctenophores</t>
  </si>
  <si>
    <t>1526</t>
  </si>
  <si>
    <t>Reconstruction</t>
  </si>
  <si>
    <t>if the Treaty provisions have a direct effect and they are sufficiently clear, precise and unconditional.</t>
  </si>
  <si>
    <t>What kind of rock did the hero Siegfried discover?</t>
  </si>
  <si>
    <t>the contemporary Orient</t>
  </si>
  <si>
    <t>86 km long,</t>
  </si>
  <si>
    <t>In the determination of complexity classes, what are two examples of types of Turing machines?</t>
  </si>
  <si>
    <t>Where did Jesse de Forest sale from to arrive in North America?</t>
  </si>
  <si>
    <t>The high cost of medications and drug-related technology</t>
  </si>
  <si>
    <t>To what type of organisms is oxygen toxic?</t>
  </si>
  <si>
    <t>What can antibodies not neutralize?</t>
  </si>
  <si>
    <t>In Ancient Greece, Diocles of Carystus (4th century BC) was one of several men studying the medicinal properties of plants. He wrote several treatises on the topic. The Greek physician Pedanius Dioscorides is famous for writing a five volume book in his native Greek Περί ύλης ιατρικής in the 1st century AD. The Latin translation De Materia Medica (Concerning medical substances) was used a basis for many medieval texts, and was built upon by many middle eastern scientists during the Islamic Golden Age. The title coined the term materia medica.</t>
  </si>
  <si>
    <t>What choice did French have for surrendering land?</t>
  </si>
  <si>
    <t>What co-receptor on the T cell helps in recognizing the MHC-antigen complex?</t>
  </si>
  <si>
    <t>When was the Tower Theater closed?</t>
  </si>
  <si>
    <t>In what country is PloS Pathogens headquartered?</t>
  </si>
  <si>
    <t>What reasons cause failure of the disobedience with authorities?</t>
  </si>
  <si>
    <t>residential and non-residential</t>
  </si>
  <si>
    <t>technologies and ideas.</t>
  </si>
  <si>
    <t>How many French people were lost to plague between 1628-31?</t>
  </si>
  <si>
    <t>Political disadvantage is an attribute of which state policies?</t>
  </si>
  <si>
    <t>In what year did the Williams and Logan Center open?</t>
  </si>
  <si>
    <t>How many seats does Australia have in the House of Representatives?</t>
  </si>
  <si>
    <t>Where did Marin build last fort?</t>
  </si>
  <si>
    <t>How many botanical gardens does Warsaw have?</t>
  </si>
  <si>
    <t>What was the ideal duty of a Newcomen engine?</t>
  </si>
  <si>
    <t>When was the Miller-Urey experiment conducted?</t>
  </si>
  <si>
    <t>leaders of the opposition parties and other MSPs</t>
  </si>
  <si>
    <t>polynomial</t>
  </si>
  <si>
    <t>What English chemist showed that fire only needed nitoaereus?</t>
  </si>
  <si>
    <t>Turing machine</t>
  </si>
  <si>
    <t>What is the process by which the immune system identifies tumors called?</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</si>
  <si>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</si>
  <si>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become utterly debased</t>
  </si>
  <si>
    <t>1288</t>
  </si>
  <si>
    <t>various disciplines of pharmacy</t>
  </si>
  <si>
    <t>What storm crisscrossed the state hitting Jacksonville in 1964?</t>
  </si>
  <si>
    <t>Overactive immune responses comprise the other end of immune dysfunction, particularly the autoimmune disorders. Here, the immune system fails to properly distinguish between self and non-self, and attacks part of the body. Under normal circumstances, many T cells and antibodies react with "self" peptides. One of the functions of specialized cells (located in the thymus and bone marrow) is to present young lymphocytes with self antigens produced throughout the body and to eliminate those cells that recognize self-antigens, preventing autoimmunity.</t>
  </si>
  <si>
    <t>18 million volumes</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</si>
  <si>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</si>
  <si>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(1899–1902) is the most interesting of the late 19th-century architecture. Some 19th-century buildings in the Praga district (the Vistula’s right bank) have been restored although many have been poorly maintained. Warsaw’s municipal government authorities have decided to rebuild the Saxon Palace and the Brühl Palace, the most distinctive buildings in prewar Warsaw.</t>
  </si>
  <si>
    <t>James Clerk Maxwell</t>
  </si>
  <si>
    <t>What society founded the University of Chicago?</t>
  </si>
  <si>
    <t>Killer T</t>
  </si>
  <si>
    <t>How many years has Bronze Age agriculture gone on for?</t>
  </si>
  <si>
    <t>How much did Saudi Arabia spend on spreading Wahhabism?</t>
  </si>
  <si>
    <t>What distinction does Radcliffe College have among universities?</t>
  </si>
  <si>
    <t>What was the percentage of households BSkyB never reached?</t>
  </si>
  <si>
    <t>What was Germany's central interest?</t>
  </si>
  <si>
    <t>As interesting examples of expositions the most notable are: the world's first Museum of Posters boasting one of the largest collections of art posters in the world, Museum of Hunting and Riding and the Railway Museum. From among Warsaw's 60 museums, the most prestigious ones are National Museum with a collection of works whose origin ranges in time from antiquity till the present epoch as well as one of the best collections of paintings in the country including some paintings from Adolf Hitler's private collection, and Museum of the Polish Army whose set portrays the history of arms.</t>
  </si>
  <si>
    <t>Fresno (/ˈfrɛznoʊ/ FREZ-noh), the county seat of Fresno County, is a city in the U.S. state of California. As of 2015, the city's population was 520,159, making it the fifth-largest city in California, the largest inland city in California and the 34th-largest in the nation. Fresno is in the center of the San Joaquin Valley and is the largest city in the Central Valley, which contains the San Joaquin Valley. It is approximately 220 miles (350 km) northwest of Los Angeles, 170 miles (270 km) south of the state capital, Sacramento, or 185 miles (300 km) south of San Francisco. The name Fresno means "ash tree" in Spanish, and an ash leaf is featured on the city's flag.</t>
  </si>
  <si>
    <t xml:space="preserve">In cases of shared physical medium how are they delivered </t>
  </si>
  <si>
    <t>Yuan dynasty</t>
  </si>
  <si>
    <t>What is equivalent to 804 liters of gaseous oxygen?</t>
  </si>
  <si>
    <t>What is the estimate for the amount of tree species in the amazon tropical rain forest?</t>
  </si>
  <si>
    <t>How much resources were French placing in South America?</t>
  </si>
  <si>
    <t>100–106 °F</t>
  </si>
  <si>
    <t xml:space="preserve"> How many societal class divisions were in the plan Kublai approved?</t>
  </si>
  <si>
    <t>What stadium was built in 1920?</t>
  </si>
  <si>
    <t>where  is the mass of the object,  is the velocity of the object and  is the distance to the center of the circular path and  is the unit vector pointing in the radial direction outwards from the center. This means that the unbalanced centripetal force felt by any object is always directed toward the center of the curving path. Such forces act perpendicular to the velocity vector associated with the motion of an object, and therefore do not change the speed of the object (magnitude of the velocity), but only the direction of the velocity vector. The unbalanced force that accelerates an object can be resolved into a component that is perpendicular to the path, and one that is tangential to the path. This yields both the tangential force, which accelerates the object by either slowing it down or speeding it up, and the radial (centripetal) force, which changes its direction.</t>
  </si>
  <si>
    <t>Roman Catholic Church</t>
  </si>
  <si>
    <t>When did British government take land for development of Ohio Country?</t>
  </si>
  <si>
    <t>In Ireland, private schools (Irish: scoil phríobháideach) are unusual because a certain number of teacher's salaries are paid by the State. If the school wishes to employ extra teachers they are paid for with school fees, which tend to be relatively low in Ireland compared to the rest of the world. There is, however, a limited element of state assessment of private schools, because of the requirement that the state ensure that children receive a certain minimum education; Irish private schools must still work towards the Junior Certificate and the Leaving Certificate, for example. Many private schools in Ireland also double as boarding schools. The average fee is around €5,000 annually for most schools, but some of these schools also provide boarding and the fees may then rise up to €25,000 per year. The fee-paying schools are usually run by a religious order, i.e., the Society of Jesus or Congregation of Christian Brothers, etc.</t>
  </si>
  <si>
    <t>By the 1970s</t>
  </si>
  <si>
    <t>Who did the Mongols refuse control of Korea?</t>
  </si>
  <si>
    <t>When was the cabinet-level Energy Department created?</t>
  </si>
  <si>
    <t>$960 billion</t>
  </si>
  <si>
    <t>What is Warsaw's name in the Polish language?</t>
  </si>
  <si>
    <t>NASA's CALIPSO satellite has measured the amount of dust transported by wind from the Sahara to the Amazon: an average 182 million tons of dust are windblown out of the Sahara each year, at 15 degrees west longitude, across 1,600 miles (2,600 km) over the Atlantic Ocean (some dust falls into the Atlantic), then at 35 degrees West longitude at the eastern coast of South America, 27.7 million tons (15%) of dust fall over the Amazon basin, 132 million tons of dust remain in the air, 43 million tons of dust are windblown and falls on the Caribbean Sea, past 75 degrees west longitude.</t>
  </si>
  <si>
    <t>What did the Rhine branch off to form in Austria?</t>
  </si>
  <si>
    <t>occurrence</t>
  </si>
  <si>
    <t>What commemorates Old Town's heroic history?</t>
  </si>
  <si>
    <t>What type of assistance to out of town students is the non-Muslim Brotherhood known for?</t>
  </si>
  <si>
    <t>Thomas Sowell</t>
  </si>
  <si>
    <t>What property of the harmonic series 1 + 1/2 + 1/3 + 1/4 + ... shows that there is an infinite number of primes?</t>
  </si>
  <si>
    <t>ca. 22,000–14,000 yr BP</t>
  </si>
  <si>
    <t>The energy crisis</t>
  </si>
  <si>
    <t>There were 158,349 households, of which 68,511 (43.3%) had children under the age of 18 living in them, 69,284 (43.8%) were opposite-sex married couples living together, 30,547 (19.3%) had a female householder with no husband present, 11,698 (7.4%) had a male householder with no wife present. There were 12,843 (8.1%) unmarried opposite-sex partnerships, and 1,388 (0.9%) same-sex married couples or partnerships. 35,064 households (22.1%) were made up of individuals and 12,344 (7.8%) had someone living alone who was 65 years of age or older. The average household size was 3.07. There were 111,529 families (70.4% of all households); the average family size was 3.62.</t>
  </si>
  <si>
    <t>provide a fault-tolerant, efficient routing method for telecommunication messages</t>
  </si>
  <si>
    <t>Where were French defeated in Canada?</t>
  </si>
  <si>
    <t>no French regular army troops were stationed in North America,</t>
  </si>
  <si>
    <t>131</t>
  </si>
  <si>
    <t>external combustion</t>
  </si>
  <si>
    <t>How many of the richest 400 Americans grew up in substantial privilege?</t>
  </si>
  <si>
    <t>Who didn't led New France reinforcements in 1756?</t>
  </si>
  <si>
    <t>a German Nazi colonial administration</t>
  </si>
  <si>
    <t>When was the settlement which would become Warsaw established?</t>
  </si>
  <si>
    <t>18th century</t>
  </si>
  <si>
    <t>1321 to 1323</t>
  </si>
  <si>
    <t>How many French Huguenots eventually moved to Missouri from Manakin Town?</t>
  </si>
  <si>
    <t>Who is not required to oversee a Pharmacy Technician in the UK?</t>
  </si>
  <si>
    <t>Who defeated Montcalm at Quebec?</t>
  </si>
  <si>
    <t>John Mearsheimer and Robert Pape</t>
  </si>
  <si>
    <t>How much food can crustacean larvae eat per day?</t>
  </si>
  <si>
    <t>international drug suppliers</t>
  </si>
  <si>
    <t>What famous snowbaorder lives in southern California?</t>
  </si>
  <si>
    <t>When did the Egyptian Islamic Jihad assassinate Anwar Sadat?</t>
  </si>
  <si>
    <t>In what theoretical machine is it confirmed that a problem in P belies membership in the NP class?</t>
  </si>
  <si>
    <t>What caused UK to have an oil crisis in its own country?</t>
  </si>
  <si>
    <t>What do oxygen tanks, cryogenics, and chemical compounds serve as for oxygen?</t>
  </si>
  <si>
    <t>Who developed the actinide concept?</t>
  </si>
  <si>
    <t>91%</t>
  </si>
  <si>
    <t>In what type of molecules are oxygen found?</t>
  </si>
  <si>
    <t>Baldwin</t>
  </si>
  <si>
    <t>Matter particles are shown as what kind of lines in a Feynman diagram?</t>
  </si>
  <si>
    <t>What is the most frequently employed type of reduction?</t>
  </si>
  <si>
    <t>symbolic illegal protests</t>
  </si>
  <si>
    <t>Between 96,660 and 128,843 vertebrate species live where?</t>
  </si>
  <si>
    <t>nationalisation law was from 1962, and the treaty was in force from 1958</t>
  </si>
  <si>
    <t>northwestern Russia</t>
  </si>
  <si>
    <t>What type of number did the early Greeks consider 1 to be?</t>
  </si>
  <si>
    <t>168,637</t>
  </si>
  <si>
    <t>What was Leon's first literary cabaret?</t>
  </si>
  <si>
    <t>What  former administrative building was used for the MSP's offices?</t>
  </si>
  <si>
    <t>What operator transports cargo in Melbourne?</t>
  </si>
  <si>
    <t>a glacier</t>
  </si>
  <si>
    <t>What do nuclear power plants heat to create steam turbines?</t>
  </si>
  <si>
    <t>chemically</t>
  </si>
  <si>
    <t>Which two compounds did Al-Muwaffaq combine?</t>
  </si>
  <si>
    <t>impossible</t>
  </si>
  <si>
    <t>greater return of capital</t>
  </si>
  <si>
    <t>What forest is by Warsaw's southern border?</t>
  </si>
  <si>
    <t>his means of seizing</t>
  </si>
  <si>
    <t>How else can petrologists understand the temperature at which different mineral phases appear?</t>
  </si>
  <si>
    <t>What profession does Zbigniew Marek have?</t>
  </si>
  <si>
    <t>varied</t>
  </si>
  <si>
    <t>2010</t>
  </si>
  <si>
    <t>phagocytic</t>
  </si>
  <si>
    <t>SkyHD box</t>
  </si>
  <si>
    <t>the 1997 Treaty of Amsterdam</t>
  </si>
  <si>
    <t>£1.3bn</t>
  </si>
  <si>
    <t>What type of schools would they have in China as a compromise after Chinese independence?</t>
  </si>
  <si>
    <t>What were European countries doing during the 1700's?</t>
  </si>
  <si>
    <t>Turkey</t>
  </si>
  <si>
    <t>a major part</t>
  </si>
  <si>
    <t>What is the most commonplace model utilized in complexity theory?</t>
  </si>
  <si>
    <t>How much has been written about the subject of grammar?</t>
  </si>
  <si>
    <t>indigenous</t>
  </si>
  <si>
    <t>Why do some people purposely resist officers of the law?</t>
  </si>
  <si>
    <t>beginning of the 20th century</t>
  </si>
  <si>
    <t>present amount of funding cannot cover the current costs for labour and materials</t>
  </si>
  <si>
    <t>17%</t>
  </si>
  <si>
    <t>How old are the fossils found that represent ctenophhores ?</t>
  </si>
  <si>
    <t>What is needed to make combustion happen?</t>
  </si>
  <si>
    <t>first century AD</t>
  </si>
  <si>
    <t>Sant'Eufemia</t>
  </si>
  <si>
    <t>What are jet engines used to supply?</t>
  </si>
  <si>
    <t>U.S</t>
  </si>
  <si>
    <t>breaking the law for self-gratification</t>
  </si>
  <si>
    <t>Who is one of the authors of the WGI Summary?</t>
  </si>
  <si>
    <t>savanna or desert</t>
  </si>
  <si>
    <t>What did Lavoisier conclude was consumed by combustion in his experiments?</t>
  </si>
  <si>
    <t>Climate fluctuations during the last 34 million years have allowed savanna regions to expand into the tropics.</t>
  </si>
  <si>
    <t>modern algebraic number theory</t>
  </si>
  <si>
    <t>In what types of organisms did the adaptive immune system first evolve?</t>
  </si>
  <si>
    <t>Like sponges and cnidarians, ctenophores have two main layers of cells that sandwich a middle layer of jelly-like material, which is called the mesoglea in cnidarians and ctenophores; more complex animals have three main cell layers and no intermediate jelly-like layer. Hence ctenophores and cnidarians have traditionally been labelled diploblastic, along with sponges. Both ctenophores and cnidarians have a type of muscle that, in more complex animals, arises from the middle cell layer, and as a result some recent text books classify ctenophores as triploblastic, while others still regard them as diploblastic.</t>
  </si>
  <si>
    <t>What does the time element in construction mean?</t>
  </si>
  <si>
    <t>constituency</t>
  </si>
  <si>
    <t>What type of climate does California have?</t>
  </si>
  <si>
    <t xml:space="preserve"> What was the name of the second German settlement?</t>
  </si>
  <si>
    <t>NP-intermediate problems</t>
  </si>
  <si>
    <t>the general number field sieve</t>
  </si>
  <si>
    <t>What other catalysts can be used to produce oxygen?</t>
  </si>
  <si>
    <t>well</t>
  </si>
  <si>
    <t xml:space="preserve"> Who never saw highlights of most of the matches?</t>
  </si>
  <si>
    <t>Harthacnut</t>
  </si>
  <si>
    <t>Whos is Kerman, California named after?</t>
  </si>
  <si>
    <t>through his writing</t>
  </si>
  <si>
    <t>32.9%</t>
  </si>
  <si>
    <t>What company did not agree to terminate high court proceedings with BSkyB?</t>
  </si>
  <si>
    <t>minimality</t>
  </si>
  <si>
    <t>On 23 June 2005, Rep. Joe Barton, chairman of the House Committee on Energy and Commerce wrote joint letters with Ed Whitfield, Chairman of the Subcommittee on Oversight and Investigations demanding full records on climate research, as well as personal information about their finances and careers, from Mann, Bradley and Hughes. Sherwood Boehlert, chairman of the House Science Committee, said this was a "misguided and illegitimate investigation" apparently aimed at intimidating scientists, and at his request the U.S. National Academy of Sciences arranged for its National Research Council to set up a special investigation. The National Research Council's report agreed that there were some statistical failings, but these had little effect on the graph, which was generally correct. In a 2006 letter to Nature, Mann, Bradley, and Hughes pointed out that their original article had said that "more widespread high-resolution data are needed before more confident conclusions can be reached" and that the uncertainties were "the point of the article".</t>
  </si>
  <si>
    <t>What percentage of people in Australia regard themselves as Huguenots?</t>
  </si>
  <si>
    <t>The censuring of the Santer Commission  resulted in which main case?</t>
  </si>
  <si>
    <t>What is responsible for constraining P according to the time hierarchy theorem?</t>
  </si>
  <si>
    <t>What is included with each packet label</t>
  </si>
  <si>
    <t>What did the finding of gold in Victoria cause?</t>
  </si>
  <si>
    <t>France, Argentina, the United Kingdom, Belgium, Ireland, Italy, Spain, and India</t>
  </si>
  <si>
    <t>the force of gravity on an object</t>
  </si>
  <si>
    <t>"the comprehensive institutions of the Great Yuan"</t>
  </si>
  <si>
    <t>In what month does the Harvard Crimson men's ice hockey team play?</t>
  </si>
  <si>
    <t>onomist</t>
  </si>
  <si>
    <t>What type of impact does opportunity-based entrepreneurship tend to have on economic growth?</t>
  </si>
  <si>
    <t>poles</t>
  </si>
  <si>
    <t>Of what did da Vinci think a part  was consumed during combustion?</t>
  </si>
  <si>
    <t>State educational and economic development where helped by what?</t>
  </si>
  <si>
    <t>What is uncontroled by the market and economy?</t>
  </si>
  <si>
    <t>In the capabilities approach, grow and income aren't considered a means to an end rather than what?</t>
  </si>
  <si>
    <t>What guide states the Univeristy of Chicago is known for their heavy workload and academic difficulty?</t>
  </si>
  <si>
    <t>The complexity class P is often seen as a mathematical abstraction modeling those computational tasks that admit an efficient algorithm. This hypothesis is called the Cobham–Edmonds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</si>
  <si>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Where was the Central Secretariat based?</t>
  </si>
  <si>
    <t>People of what nationality invented the steam turbine?</t>
  </si>
  <si>
    <t>What is a rare cytokine?</t>
  </si>
  <si>
    <t>How long does it take for new areas to have significant oil production?</t>
  </si>
  <si>
    <t>What was Twigg's first name?</t>
  </si>
  <si>
    <t>Nieuwe Maas</t>
  </si>
  <si>
    <t>What is a a developing economy's level of inequality bulging out called?</t>
  </si>
  <si>
    <t>shown to have more efficient solutions</t>
  </si>
  <si>
    <t>a recurring decimal</t>
  </si>
  <si>
    <t>more or less rounded</t>
  </si>
  <si>
    <t>The Muslim Brotherhood's competence compares well against what type of local governments?</t>
  </si>
  <si>
    <t>tidal delta</t>
  </si>
  <si>
    <t>How many metric tons of carbon are believed to be released from the Amazon rain forest each year?</t>
  </si>
  <si>
    <t>Can BSkyB veto the presence of channels on their EPG?</t>
  </si>
  <si>
    <t>Where did British soldiers live?</t>
  </si>
  <si>
    <t>What are engines using four expansion stages known as?</t>
  </si>
  <si>
    <t>Long-term active memory is acquired following infection by activation of B and T cells. Active immunity can also be generated artificially, through vaccination. The principle behind vaccination (also called immunization) is to introduce an antigen from a pathogen in order to stimulate the immune system and develop specific immunity against that particular pathogen without causing disease associated with that organism. This deliberate induction of an immune response is successful because it exploits the natural specificity of the immune system, as well as its inducibility. With infectious disease remaining one of the leading causes of death in the human population, vaccination represents the most effective manipulation of the immune system mankind has developed.</t>
  </si>
  <si>
    <t>How much does it cost to gain entry to a parliament meeting?</t>
  </si>
  <si>
    <t>In the early 1950s, student applications declined as a result of increasing crime and poverty in the Hyde Park neighborhood. In response, the university became a major sponsor of a controversial urban renewal project for Hyde Park, which profoundly affected both the neighborhood's architecture and street plan. During this period the university, like Shimer College and 10 others, adopted an early entrant program that allowed very young students to attend college; in addition, students enrolled at Shimer were enabled to transfer automatically to the University of Chicago after their second year, having taken comparable or identical examinations and courses.</t>
  </si>
  <si>
    <t>William II</t>
  </si>
  <si>
    <t xml:space="preserve">What is the name of the hotel that was renamed the Grand 1401? </t>
  </si>
  <si>
    <t>Amazon_rainforest</t>
  </si>
  <si>
    <t>ideal strings that are massless</t>
  </si>
  <si>
    <t>Other than the 1980s, in which decade did most of San Bernardino and Riverside Counties develop?</t>
  </si>
  <si>
    <t>Hmong or Laotian</t>
  </si>
  <si>
    <t>Monarch</t>
  </si>
  <si>
    <t>What isn't Raghuram Rajan's career?</t>
  </si>
  <si>
    <t>Mexico–United States border</t>
  </si>
  <si>
    <t>from the tooth sockets in human skeletons</t>
  </si>
  <si>
    <t>Some people describe what between individuals or groups as imperialism or colonialism?</t>
  </si>
  <si>
    <t>Chen's</t>
  </si>
  <si>
    <t>nationalist differences</t>
  </si>
  <si>
    <t>obligately anaerobic</t>
  </si>
  <si>
    <t>IPCC</t>
  </si>
  <si>
    <t>Who was Fredderic Wola?</t>
  </si>
  <si>
    <t>What characteristic due most items display after burning?</t>
  </si>
  <si>
    <t>What includes pressure terms when calculating area in volume?</t>
  </si>
  <si>
    <t>Sky_(United_Kingdom)</t>
  </si>
  <si>
    <t>What was the biggest religion in Quebec?</t>
  </si>
  <si>
    <t>What caused Jacksonville tourism to be less desirable during the 1900s?</t>
  </si>
  <si>
    <t>In some rural areas in the United Kingdom, there are dispensing physicians who are allowed to both prescribe and dispense prescription-only medicines to their patients from within their practices. The law requires that the GP practice be located in a designated rural area and that there is also a specified, minimum distance (currently 1.6 kilometres) between a patient's home and the nearest retail pharmacy. This law also exists in Austria for general physicians if the nearest pharmacy is more than 4 kilometers away, or where none is registered in the city.</t>
  </si>
  <si>
    <t>By what process is singlet oxygen made in the tropophere?</t>
  </si>
  <si>
    <t>What book was Iqbal's seven English lectures published as?</t>
  </si>
  <si>
    <t>trespassing at a nuclear-missile installation</t>
  </si>
  <si>
    <t>Whose law made rest physically indistinguishable from zero constant velocity?</t>
  </si>
  <si>
    <t>journalist</t>
  </si>
  <si>
    <t>to extend networking benefits</t>
  </si>
  <si>
    <t>in protest</t>
  </si>
  <si>
    <t>What are intended as a practical computing technology?</t>
  </si>
  <si>
    <t>How much less steam did the Corliss engine use compared to the Watt engine?</t>
  </si>
  <si>
    <t>What is the name of the TV scrambling system BSkyB uses?</t>
  </si>
  <si>
    <t>a sheath</t>
  </si>
  <si>
    <t>What is the United State's second-busiest commercial port?</t>
  </si>
  <si>
    <t>Trade liberalization may shift economic inequality from a global to a domestic scale. When rich countries trade with poor countries, the low-skilled workers in the rich countries may see reduced wages as a result of the competition, while low-skilled workers in the poor countries may see increased wages. Trade economist Paul Krugman estimates that trade liberalisation has had a measurable effect on the rising inequality in the United States. He attributes this trend to increased trade with poor countries and the fragmentation of the means of production, resulting in low skilled jobs becoming more tradeable. However, he concedes that the effect of trade on inequality in America is minor when compared to other causes, such as technological innovation, a view shared by other experts. Empirical economists Max Roser and Jesus Crespo-Cuaresma find support in the data that international trade is increasing income inequality. They empirically confirm the predictions of the Stolper–Samuelson theorem regarding the effects of international trade on the distribution of incomes. Lawrence Katz estimates that trade has only accounted for 5-15% of rising income inequality. Robert Lawrence argues that technological innovation and automation has meant that low-skilled jobs have been replaced by machine labor in wealthier nations, and that wealthier countries no longer have significant numbers of low-skilled manufacturing workers that could be affected by competition from poor countries.</t>
  </si>
  <si>
    <t>November 1979</t>
  </si>
  <si>
    <t>NCAA's Division III</t>
  </si>
  <si>
    <t>What is the UN's climate change treaty?</t>
  </si>
  <si>
    <t>What type of behavior in primes is it possible to determine?</t>
  </si>
  <si>
    <t>5,500,000</t>
  </si>
  <si>
    <t>vBNS installed one of the first ever production OC-48c (2.5 Gbit/s) IP links in February 1999 and went on to upgrade the entire backbone to OC-48c</t>
  </si>
  <si>
    <t>Why might customers not order from internet pharmacies?</t>
  </si>
  <si>
    <t>the world's economy</t>
  </si>
  <si>
    <t>What property of the harmonic series 1 + 1/2 + 1/3 +1/4 ... shows that there is an infinite number of Basels?</t>
  </si>
  <si>
    <t>working through Turkish modernist Mustafa Kemal Atatürk</t>
  </si>
  <si>
    <t>University of North Florida</t>
  </si>
  <si>
    <t xml:space="preserve"> The English thought bringing what would uplift other regions?</t>
  </si>
  <si>
    <t>Loudoun</t>
  </si>
  <si>
    <t>What is not a condition that causes immunodeficiency?</t>
  </si>
  <si>
    <t>What was absorbed into the Anglo-Norman language?</t>
  </si>
  <si>
    <t>the specific details of the computational model used</t>
  </si>
  <si>
    <t>What type of entrepreneurship leads to a regression in technology?</t>
  </si>
  <si>
    <t>Pole Mokotowskie</t>
  </si>
  <si>
    <t>In what year was the D'Angelo and Rika Library built?</t>
  </si>
  <si>
    <t>When was the non-Muslim Brotherhood founded?</t>
  </si>
  <si>
    <t>What is not an example of a controlled substance?</t>
  </si>
  <si>
    <t>Where was French advance to?</t>
  </si>
  <si>
    <t>article 66</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</si>
  <si>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</si>
  <si>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Who bought the factory in 1925?</t>
  </si>
  <si>
    <t>Rates of sea-level rise had dropped</t>
  </si>
  <si>
    <t>What has given the American economy a tendency to go "from bubble to bubble"?</t>
  </si>
  <si>
    <t>Why did Prussia gain the title of the "Phoenix Counrty"?</t>
  </si>
  <si>
    <t>Around 2.5 million years ago (ending 11,600 years ago) was the geological period of the Ice Ages. Since approximately 600,000 years ago, six major Ice Ages have occurred, in which sea level dropped 120 m (390 ft) and much of the continental margins became exposed. In the Early Pleistocene, the Rhine followed a course to the northwest, through the present North Sea. During the so-called Anglian glaciation (~450,000 yr BP, marine oxygen isotope stage 12), the northern part of the present North Sea was blocked by the ice and a large lake developed, that overflowed through the English Channel. This caused the Rhine's course to be diverted through the English Channel. Since then, during glacial times, the river mouth was located offshore of Brest, France and rivers, like the Thames and the Seine, became tributaries to the Rhine. During interglacials, when sea level rose to approximately the present level, the Rhine built deltas, in what is now the Netherlands.</t>
  </si>
  <si>
    <t>an Executive Committee</t>
  </si>
  <si>
    <t>Battle of the Restigouche</t>
  </si>
  <si>
    <t>Who wrote that it is difficult to produce an all inclusive definition of civil disobedience?</t>
  </si>
  <si>
    <t>gaseous oxygen.</t>
  </si>
  <si>
    <t>two populations of rodents</t>
  </si>
  <si>
    <t>Recognized Student Organizations (RSOs)</t>
  </si>
  <si>
    <t>coining the modern name packet switching</t>
  </si>
  <si>
    <t>How many men did Roberts army face?</t>
  </si>
  <si>
    <t>What conviction did many Poles have regarding how the Germans thought of themselves?</t>
  </si>
  <si>
    <t>How many were in the first wave of Huguenot's fleeing to Switzerland?</t>
  </si>
  <si>
    <t>What did Forbes halt the construction of in 2008?</t>
  </si>
  <si>
    <t>After the 1940s</t>
  </si>
  <si>
    <t>Sam Chisholm</t>
  </si>
  <si>
    <t>What is a typical configuration</t>
  </si>
  <si>
    <t>the Daily Mail</t>
  </si>
  <si>
    <t>organic compounds</t>
  </si>
  <si>
    <t>What is the only divisor besides 1 that a prime number can have?</t>
  </si>
  <si>
    <t>boom-and-bust cycles</t>
  </si>
  <si>
    <t>Pacific Ocean</t>
  </si>
  <si>
    <t>stratigraphic</t>
  </si>
  <si>
    <t>What player first won the Heisman Trophy for the university?</t>
  </si>
  <si>
    <t>The most widely accepted estimate for the Middle East, including Iraq, Iran and Syria, during this time, is for a death rate of about a third. The Black Death killed about 40% of Egypt's population. Half of Paris's population of 100,000 people died. In Italy, the population of Florence was reduced from 110–120 thousand inhabitants in 1338 down to 50 thousand in 1351. At least 60% of the population of Hamburg and Bremen perished, and a similar percentage of Londoners may have died from the disease as well. Interestingly while contemporary reports account of mass burial pits being created in response to the large numbers of dead, recent scientific investigations of a burial pit in Central London found well-preserved individuals to be buried in isolated, evenly spaced graves, suggesting at least some pre-planning and Christian burials at this time. Before 1350, there were about 170,000 settlements in Germany, and this was reduced by nearly 40,000 by 1450. In 1348, the plague spread so rapidly that before any physicians or government authorities had time to reflect upon its origins, about a third of the European population had already perished. In crowded cities, it was not uncommon for as much as 50% of the population to die. The disease bypassed some areas, and the most isolated areas were less vulnerable to contagion. Monks and priests were especially hard hit since they cared for victims of the Black Death.</t>
  </si>
  <si>
    <t>Where was Shirey going to be when Fort Oswego wasn't to be attacked?</t>
  </si>
  <si>
    <t>What is the term when middle income earners aspire to obtain the same standards of living as people wealthier than themselves?</t>
  </si>
  <si>
    <t>What rule didn't some native live under?</t>
  </si>
  <si>
    <t>Black_Death</t>
  </si>
  <si>
    <t>T cell receptor (TCR)</t>
  </si>
  <si>
    <t>565 °C</t>
  </si>
  <si>
    <t>Williamite</t>
  </si>
  <si>
    <t>December, January and February</t>
  </si>
  <si>
    <t>1,230 km</t>
  </si>
  <si>
    <t>How do plankton reproduce?</t>
  </si>
  <si>
    <t>Red Turban Rebellion</t>
  </si>
  <si>
    <t>How many volumes is Historical and Critical Dictionary?</t>
  </si>
  <si>
    <t>When did King Harold II conquer England?</t>
  </si>
  <si>
    <t>German-Swiss border</t>
  </si>
  <si>
    <t>How many Major Soccer League teams were in Los Angeles from 2005-2014?</t>
  </si>
  <si>
    <t>What kind of force did Harthacnut establish?</t>
  </si>
  <si>
    <t>What type of group is The Islamic State?</t>
  </si>
  <si>
    <t>What naval battles did France lose in 1795?</t>
  </si>
  <si>
    <t>tear huge areas of land into the sea</t>
  </si>
  <si>
    <t>Most early Greeks did not even consider 1 to be a number, so they could not consider it to be a prime. By the Middle Ages and Renaissance many mathematicians included 1 as the first prime number. In the mid-18th century Christian Goldbach listed 1 as the first prime in his famous correspondence with Leonhard Euler -- who did not agree. In the 19th century many mathematicians still considered the number 1 to be a prime. For example, Derrick Norman Lehmer's list of primes up to 10,006,721, reprinted as late as 1956, started with 1 as its first prime. Henri Lebesgue is said to be the last professional mathematician to call 1 prime. By the early 20th century, mathematicians began to accept that 1 is not a prime number, but rather forms its own special category as a "unit".</t>
  </si>
  <si>
    <t>From their original homelands in Scandinavia and northern Europe, Germanic tribes expanded throughout northern and western Europe in the middle period of classical antiquity; southern Europe in late antiquity, conquering Celtic and other peoples; and by 800 CE, forming the Holy Roman Empire, the first German Empire. However, there was no real systemic continuity from the Western Roman Empire to its German successor which was famously described as "not holy, not Roman, and not an empire", as a great number of small states and principalities existed in the loosely autonomous confederation. Although by 1000 CE, the Germanic conquest of central, western, and southern Europe (west of and including Italy) was complete, excluding only Muslim Iberia. There was, however, little cultural integration or national identity, and "Germany" remained largely a conceptual term referring to an amorphous area of central Europe.</t>
  </si>
  <si>
    <t>the most efficient algorithm solving a given problem</t>
  </si>
  <si>
    <t>What is a descriptive term for a low-to-high energy bond?</t>
  </si>
  <si>
    <t>the Colony of Victoria Act</t>
  </si>
  <si>
    <t>native tribes</t>
  </si>
  <si>
    <t>What is a term for the reversing of steam flow in a piston engine after each stroke?</t>
  </si>
  <si>
    <t>temperature</t>
  </si>
  <si>
    <t>the Belgian Football Association v Bosman</t>
  </si>
  <si>
    <t>10–15% of the population</t>
  </si>
  <si>
    <t>When was the great plague of London?</t>
  </si>
  <si>
    <t>What is one way the current IPCC responds to new evidence quickly?</t>
  </si>
  <si>
    <t>What does the current high level of population have a large impact on?</t>
  </si>
  <si>
    <t>Dublin, Cork, Portarlington, Lisburn, Waterford and Youghal</t>
  </si>
  <si>
    <t>What storm had the most significant impact on Jacksonville?</t>
  </si>
  <si>
    <t>What interpretation of Islam is, for many of the adherents, not the "gold standard" of their religion?</t>
  </si>
  <si>
    <t>Legislative power in Warsaw is vested in a unicameral Warsaw City Council (Rada Miasta), which comprises 60 members. Council members are elected directly every four years. Like most legislative bodies, the City Council divides itself into committees which have the oversight of various functions of the city government. Bills passed by a simple majority are sent to the mayor (the President of Warsaw), who may sign them into law. If the mayor vetoes a bill, the Council has 30 days to override the veto by a two-thirds majority vote.</t>
  </si>
  <si>
    <t>How many days in August are below freezing?</t>
  </si>
  <si>
    <t>What is the name for the public day school and day care for K-12 students?</t>
  </si>
  <si>
    <t>closed system</t>
  </si>
  <si>
    <t>What was causing New France to have issues with resupplying?</t>
  </si>
  <si>
    <t>What number is used in perpendicular computing?</t>
  </si>
  <si>
    <t>almost 2,000 m</t>
  </si>
  <si>
    <t>Who does the statue of Little Insurgent commemorate?</t>
  </si>
  <si>
    <t>gauge bosons</t>
  </si>
  <si>
    <t>How are the total numbers of seats allocated to parties?</t>
  </si>
  <si>
    <t>What did Lempicka represent better than anyone else?</t>
  </si>
  <si>
    <t>What previous work did Lavoisier experiments discredit?</t>
  </si>
  <si>
    <t>significant new evidence or events that change our understanding</t>
  </si>
  <si>
    <t>areas cleared of forest are visible to the naked eye</t>
  </si>
  <si>
    <t>claimants</t>
  </si>
  <si>
    <t>the municipal building inspector</t>
  </si>
  <si>
    <t>To ensure safety of future space missions Oxygen was used at _____ of the normal pressure.</t>
  </si>
  <si>
    <t>necessary for a state’s survival</t>
  </si>
  <si>
    <t>What is restrained with a lever in the top of a driver?</t>
  </si>
  <si>
    <t>spiritual cures</t>
  </si>
  <si>
    <t>the founding of new Protestant churches in Catholic-controlled regions</t>
  </si>
  <si>
    <t>When is the oldest armed seal of Warsaw from?</t>
  </si>
  <si>
    <t>Since students do not pay tuition, what do they have to pay for schooling in Victoria?</t>
  </si>
  <si>
    <t>Both B cells and T cells carry receptor molecules that recognize specific targets. T cells recognize a "non-self" target, such as a pathogen, only after antigens (small fragments of the pathogen) have been processed and presented in combination with a "self" receptor called a major histocompatibility complex (MHC) molecule. There are two major subtypes of T cells: the killer T cell and the helper T cell. In addition there are regulatory T cells which have a role in modulating immune response. Killer T cells only recognize antigens coupled to Class I MHC molecules, while helper T cells and regulatory T cells only recognize antigens coupled to Class II MHC molecules. These two mechanisms of antigen presentation reflect the different roles of the two types of T cell. A third, minor subtype are the γδ T cells that recognize intact antigens that are not bound to MHC receptors.</t>
  </si>
  <si>
    <t>Who was Old France's governor?</t>
  </si>
  <si>
    <t>Who decides if a law is moral?</t>
  </si>
  <si>
    <t>What nationality are researchers Richard G. Wilkinson and Kate Pickett?</t>
  </si>
  <si>
    <t>In the laboratory, biostratigraphers analyze rock samples from outcrop and drill cores for the fossils found in them. These fossils help scientists to date the core and to understand the depositional environment in which the rock units formed. Geochronologists precisely date rocks within the stratigraphic section in order to provide better absolute bounds on the timing and rates of deposition. Magnetic stratigraphers look for signs of magnetic reversals in igneous rock units within the drill cores. Other scientists perform stable isotope studies on the rocks to gain information about past climate.</t>
  </si>
  <si>
    <t>unification models</t>
  </si>
  <si>
    <t>much larger conflict between France and Great Britain</t>
  </si>
  <si>
    <t>2008-2009</t>
  </si>
  <si>
    <t>teachers</t>
  </si>
  <si>
    <t>When did the three Advocate Generals argue that Directives should create rights and duties for all citizens?</t>
  </si>
  <si>
    <t>Han Chinese, Khitans, Jurchens, Mongols, and Tibetan Buddhists.</t>
  </si>
  <si>
    <t>the world's water bodies</t>
  </si>
  <si>
    <t>What engines, along with diesel engines, have overtaken steam engines for gas propulsion?</t>
  </si>
  <si>
    <t>The Yuan was the first time all of China was ruled by whom?</t>
  </si>
  <si>
    <t>When did Sky launch a TV advertising campaign target towards women?</t>
  </si>
  <si>
    <t>Stage 4 is the final stage of what?</t>
  </si>
  <si>
    <t>What do you get when you figure the sum of forces with vector addition?</t>
  </si>
  <si>
    <t>In what year was Francois Villion born?</t>
  </si>
  <si>
    <t>How many combinatory and graph theoretical problems, formerly believed to be plagued by intractability, did Karp's paper address?</t>
  </si>
  <si>
    <t>What issues may prevent women from working outside the home or receiving education?</t>
  </si>
  <si>
    <t>Upper Rhine Graben</t>
  </si>
  <si>
    <t>What was Virgin Media rebranded as?</t>
  </si>
  <si>
    <t>When was NTL Telewest rebranded from Virgin Media?</t>
  </si>
  <si>
    <t>What British Prime minister advisor is also a university alumni member?</t>
  </si>
  <si>
    <t>元朝</t>
  </si>
  <si>
    <t>1697</t>
  </si>
  <si>
    <t>are disturbed</t>
  </si>
  <si>
    <t>How many companies were registered in Warsaw in 2006?</t>
  </si>
  <si>
    <t>Six</t>
  </si>
  <si>
    <t>What is the turbine entry temperature of a steam turbine, in degrees Celsius?</t>
  </si>
  <si>
    <t xml:space="preserve"> Who was it essential for Islam to not imitate?</t>
  </si>
  <si>
    <t>What does treatment only do?</t>
  </si>
  <si>
    <t>How many developed countries did British researchers use to gather statistics from?</t>
  </si>
  <si>
    <t>the discrete logarithm problem</t>
  </si>
  <si>
    <t>Fresno Street and Thorne Ave</t>
  </si>
  <si>
    <t>Who did Ms Kucukdeveci not work for?</t>
  </si>
  <si>
    <t>The analysis of stratigraphic sections such as drill cores is done by who?</t>
  </si>
  <si>
    <t>About 15 kilometres</t>
  </si>
  <si>
    <t>Roman Empire</t>
  </si>
  <si>
    <t xml:space="preserve"> What religions did Tugh Temur reject?</t>
  </si>
  <si>
    <t>What is the name of the President that imposed the speed limit?</t>
  </si>
  <si>
    <t>When did colonial governors meet with General Edward Braddock about peace with the french?</t>
  </si>
  <si>
    <t>extra costs</t>
  </si>
  <si>
    <t>People who climb mountains or fly in non-pressurized fixed-wing aircraft sometimes have supplemental O
2 supplies.[h] Passengers traveling in (pressurized) commercial airplanes have an emergency supply of O
2 automatically supplied to them in case of cabin depressurization. Sudden cabin pressure loss activates chemical oxygen generators above each seat, causing oxygen masks to drop. Pulling on the masks "to start the flow of oxygen" as cabin safety instructions dictate, forces iron filings into the sodium chlorate inside the canister. A steady stream of oxygen gas is then produced by the exothermic reaction.</t>
  </si>
  <si>
    <t>What law connects relative velocities with inertia?</t>
  </si>
  <si>
    <t>Who was the founder of the Oracle Corporation?</t>
  </si>
  <si>
    <t>Under what instances can individuals rely on primary law in the Court of Justice of European Union?</t>
  </si>
  <si>
    <t>1991</t>
  </si>
  <si>
    <t>VideoGuard UK</t>
  </si>
  <si>
    <t>What did not set out the main provision on equal treatment of workers?</t>
  </si>
  <si>
    <t>a High Sheriff and one of the founders of the Bank of Ireland</t>
  </si>
  <si>
    <t>algorithms have been written</t>
  </si>
  <si>
    <t>What molecule does the Sun have in higher proportion than Earth?</t>
  </si>
  <si>
    <t>What happened in 1973-1974?</t>
  </si>
  <si>
    <t>When was the European portion of the Six Years War complete?</t>
  </si>
  <si>
    <t>Dynamic equilibrium was first described by Galileo who noticed that certain assumptions of Aristotelian physics were contradicted by observations and logic. Galileo realized that simple velocity addition demands that the concept of an "absolute rest frame" did not exist. Galileo concluded that motion in a constant velocity was completely equivalent to rest. This was contrary to Aristotle's notion of a "natural state" of rest that objects with mass naturally approached. Simple experiments showed that Galileo's understanding of the equivalence of constant velocity and rest were correct. For example, if a mariner dropped a cannonball from the crow's nest of a ship moving at a constant velocity, Aristotelian physics would have the cannonball fall straight down while the ship moved beneath it. Thus, in an Aristotelian universe, the falling cannonball would land behind the foot of the mast of a moving ship. However, when this experiment is actually conducted, the cannonball always falls at the foot of the mast, as if the cannonball knows to travel with the ship despite being separated from it. Since there is no forward horizontal force being applied on the cannonball as it falls, the only conclusion left is that the cannonball continues to move with the same velocity as the boat as it falls. Thus, no force is required to keep the cannonball moving at the constant forward velocity.</t>
  </si>
  <si>
    <t>colonization, use of military force, or other means</t>
  </si>
  <si>
    <t>New York and the Ohio</t>
  </si>
  <si>
    <t>a not-for-profit United States computer networking consortium led by members from the research and education communities, industry, and government</t>
  </si>
  <si>
    <t>10,006,721</t>
  </si>
  <si>
    <t>late 19th century</t>
  </si>
  <si>
    <t>A procedural consequence of the establishment of the Scottish Parliament is that Scottish MPs sitting in the UK House of Commons are able to vote on domestic legislation that applies only to England, Wales and Northern Ireland – whilst English, Scottish, Welsh and Northern Irish Westminster MPs are unable to vote on the domestic legislation of the Scottish Parliament. This phenomenon is known as the West Lothian question and has led to criticism. Following the Conservative victory in the 2015 UK election, standing orders of the House of Commons were changed to give MPs representing English constituencies a new "veto" over laws only affecting England.</t>
  </si>
  <si>
    <t>In which year was the Gerald Palevsky Athletic Commons developed?</t>
  </si>
  <si>
    <t>a liquid</t>
  </si>
  <si>
    <t>What is the medieval Esteve Pharmacy no longer used as at present?</t>
  </si>
  <si>
    <t>Semen contains what in order to kill pathogens?</t>
  </si>
  <si>
    <t>What welding process was demonstrated in 1901?</t>
  </si>
  <si>
    <t>1562 to 1598</t>
  </si>
  <si>
    <t>When was al-Nimeiry accepted?</t>
  </si>
  <si>
    <t>Which group benefited from the funds distributed by the religious charity, al-Haramain Foundation?</t>
  </si>
  <si>
    <t>What city later became Alaska?</t>
  </si>
  <si>
    <t>Name one way the Plowshares organization temporarily close GCSB Waihopai?</t>
  </si>
  <si>
    <t>the North Sea in the Netherlands</t>
  </si>
  <si>
    <t>In cases where the criminalized behavior is pure speech, civil disobedience can consist simply of engaging in the forbidden speech. An example would be WBAI's broadcasting the track "Filthy Words" from a George Carlin comedy album, which eventually led to the 1978 Supreme Court case of FCC v. Pacifica Foundation. Threatening government officials is another classic way of expressing defiance toward the government and unwillingness to stand for its policies. For example, Joseph Haas was arrested for allegedly sending an email to the Lebanon, New Hampshire city councilors stating, "Wise up or die."</t>
  </si>
  <si>
    <t>even numbers</t>
  </si>
  <si>
    <t>elevated partial pressures</t>
  </si>
  <si>
    <t>September 1939</t>
  </si>
  <si>
    <t>non-peer-reviewed sources</t>
  </si>
  <si>
    <t>insulated tankers</t>
  </si>
  <si>
    <t>Where are the least amount of the factories found?</t>
  </si>
  <si>
    <t>intractable</t>
  </si>
  <si>
    <t>What is a fundamentalist interpretation of al-Haramain called?</t>
  </si>
  <si>
    <t>What are colloblasts?</t>
  </si>
  <si>
    <t>What Governor in charge of New France died in 1725?</t>
  </si>
  <si>
    <t>some form of the ordinary Eastern or bubonic plague</t>
  </si>
  <si>
    <t>Major General Louis-Joseph de Montcalm</t>
  </si>
  <si>
    <t>Skirmish of the Brick Church</t>
  </si>
  <si>
    <t>What are some examples of territories where a member state is responsible for external relations?</t>
  </si>
  <si>
    <t>Economist Joseph Stiglitz presented evidence in 2009 that both global inequality and inequality within countries prevent growth by limiting aggregate demand. Economist Branko Milanovic, wrote in 2001 that, "The view that income inequality harms growth – or that improved equality can help sustain growth – has become more widely held in recent years. ... The main reason for this shift is the increasing importance of human capital in development. When physical capital mattered most, savings and investments were key. Then it was important to have a large contingent of rich people who could save a greater proportion of their income than the poor and invest it in physical capital. But now that human capital is scarcer than machines, widespread education has become the secret to growth."</t>
  </si>
  <si>
    <t>DTIME(n2)</t>
  </si>
  <si>
    <t>Cuba</t>
  </si>
  <si>
    <t>a violation of criminal law that does not infringe the rights of others</t>
  </si>
  <si>
    <t>the Qur'an</t>
  </si>
  <si>
    <t>As well as being added, forces can also be resolved into independent components at right angles to each other. A horizontal force pointing northeast can therefore be split into two forces, one pointing north, and one pointing east. Summing these component forces using vector addition yields the original force. Resolving force vectors into components of a set of basis vectors is often a more mathematically clean way to describe forces than using magnitudes and directions. This is because, for orthogonal components, the components of the vector sum are uniquely determined by the scalar addition of the components of the individual vectors. Orthogonal components are independent of each other because forces acting at ninety degrees to each other have no effect on the magnitude or direction of the other. Choosing a set of orthogonal basis vectors is often done by considering what set of basis vectors will make the mathematics most convenient. Choosing a basis vector that is in the same direction as one of the forces is desirable, since that force would then have only one non-zero component. Orthogonal force vectors can be three-dimensional with the third component being at right-angles to the other two.</t>
  </si>
  <si>
    <t>What is generated between a surface and an object that is being pushed?</t>
  </si>
  <si>
    <t>What was the announcement made immediately by Kuwait?</t>
  </si>
  <si>
    <t>In which continent besides Asia were major gains made by the British Empire in the late 19th century?</t>
  </si>
  <si>
    <t xml:space="preserve"> Which country today is not a remnant of the Ottoman empire?</t>
  </si>
  <si>
    <t>Alsace</t>
  </si>
  <si>
    <t>The amazon rainforest became a mostly inland forest around which global event?</t>
  </si>
  <si>
    <t>1914</t>
  </si>
  <si>
    <t>What nationality was Arthur Smith?</t>
  </si>
  <si>
    <t>overturned anticline</t>
  </si>
  <si>
    <t>What defense was used by Steven Barkan?</t>
  </si>
  <si>
    <t>Emperor Gegeen Khan, Ayurbarwada's son and successor, ruled for only two years, from 1321 to 1323. He continued his father's policies to reform the government based on the Confucian principles, with the help of his newly appointed grand chancellor Baiju. During his reign, the Da Yuan Tong Zhi (Chinese: 大元通制, "the comprehensive institutions of the Great Yuan"), a huge collection of codes and regulations of the Yuan dynasty begun by his father, was formally promulgated. Gegeen was assassinated in a coup involving five princes from a rival faction, perhaps steppe elite opposed to Confucian reforms. They placed Yesün Temür (or Taidingdi) on the throne, and, after an unsuccessful attempt to calm the princes, he also succumbed to regicide.</t>
  </si>
  <si>
    <t>inclusions</t>
  </si>
  <si>
    <t>120 m</t>
  </si>
  <si>
    <t>What are some of the accepted general principles of European Union law?</t>
  </si>
  <si>
    <t>What are the dominant areas of Los Angeles?</t>
  </si>
  <si>
    <t>basic necessities</t>
  </si>
  <si>
    <t>What was the king's first approach to the Huguenots?</t>
  </si>
  <si>
    <t>What was persistent unemployment have a positive effect on?</t>
  </si>
  <si>
    <t>1377</t>
  </si>
  <si>
    <t>William Ellery Channing and Ralph Waldo Emerson</t>
  </si>
  <si>
    <t>more equality</t>
  </si>
  <si>
    <t>How many people belong to the university's Board of Trustees?</t>
  </si>
  <si>
    <t>What was the Yuan's Persian ally?</t>
  </si>
  <si>
    <t>Immunodeficiency</t>
  </si>
  <si>
    <t>biodiversity</t>
  </si>
  <si>
    <t>Warfare and the long occupation</t>
  </si>
  <si>
    <t>£1</t>
  </si>
  <si>
    <t>The academic bodies of the University of Chicago consist of the College, four divisions of graduate research and seven professional schools. The university also contains a library system, the University of Chicago Press, the University of Chicago Laboratory Schools, and the University of Chicago Medical Center, and holds ties with a number of independent academic institutions, including Fermilab, Argonne National Laboratory, and the Marine Biological Laboratory. The university is accredited by The Higher Learning Commission.</t>
  </si>
  <si>
    <t>Liao, Jin, and Song</t>
  </si>
  <si>
    <t>Who started the IPCC Trust Fund?</t>
  </si>
  <si>
    <t>Who gave a negative connotation to civil disobedience in recent history?</t>
  </si>
  <si>
    <t>Along with fuel sources, what concern has contributed to the development of the Advanced Steam movement?</t>
  </si>
  <si>
    <t>How many public universities are in Melbourne?</t>
  </si>
  <si>
    <t>How much rain per year does Fresno get on average?</t>
  </si>
  <si>
    <t>10 years</t>
  </si>
  <si>
    <t>What sin were the leaders the extremists attacked guilty of?</t>
  </si>
  <si>
    <t>An early important political response to the opening of hostilities was the convening of the Albany Congress in June and July, 1754. The goal of the congress was to formalize a unified front in trade and negotiations with various Indians, since allegiance of the various tribes and nations was seen to be pivotal in the success in the war that was unfolding. The plan that the delegates agreed to was never ratified by the colonial legislatures nor approved of by the crown. Nevertheless, the format of the congress and many specifics of the plan became the prototype for confederation during the War of Independence.</t>
  </si>
  <si>
    <t>What is an example of a mechanical barrier on leaves?</t>
  </si>
  <si>
    <t>Packet mode communication may be implemented with or without intermediate forwarding nodes (packet switches or routers). Packets are normally forwarded by intermediate network nodes asynchronously using first-in, first-out buffering, but may be forwarded according to some scheduling discipline for fair queuing, traffic shaping, or for differentiated or guaranteed quality of service, such as weighted fair queuing or leaky bucket. In case of a shared physical medium (such as radio or 10BASE5), the packets may be delivered according to a multiple access scheme.</t>
  </si>
  <si>
    <t>Stalin was hostile to the idea of an independent Poland</t>
  </si>
  <si>
    <t>Samuel Reshevsky</t>
  </si>
  <si>
    <t>"formal"</t>
  </si>
  <si>
    <t>internal fertilization and keep the eggs in brood chambers until they hatch.</t>
  </si>
  <si>
    <t>Post 2008 undergraduate students are required to complete how many general education classes towards degree?</t>
  </si>
  <si>
    <t>When was the final legislative proposals for a Scottish Assembly passed?</t>
  </si>
  <si>
    <t>cosmology</t>
  </si>
  <si>
    <t>What additional two counties make ten counties into the traditional definition of SoCal include?</t>
  </si>
  <si>
    <t>Samuel K. Cohn, Jr.</t>
  </si>
  <si>
    <t>The Commission's President</t>
  </si>
  <si>
    <t>What are refineries often called?</t>
  </si>
  <si>
    <t>What type of math was advanced during the Yuan?</t>
  </si>
  <si>
    <t>When was the Battle of Hastings?</t>
  </si>
  <si>
    <t>exceeds any given number</t>
  </si>
  <si>
    <t>The prospect of what event compelled the protection of German private schools?</t>
  </si>
  <si>
    <t>65.5 million years ago</t>
  </si>
  <si>
    <t>What do four of the fraternities form?</t>
  </si>
  <si>
    <t>pressure terms</t>
  </si>
  <si>
    <t>The Romans kept eight legions in five bases along the Rhine. The actual number of legions present at any base or in all, depended on whether a state or threat of war existed. Between about AD 14 and 180, the assignment of legions was as follows: for the army of Germania Inferior, two legions at Vetera (Xanten), I Germanica and XX Valeria (Pannonian troops); two legions at oppidum Ubiorum ("town of the Ubii"), which was renamed to Colonia Agrippina, descending to Cologne, V Alaudae, a Celtic legion recruited from Gallia Narbonensis and XXI, possibly a Galatian legion from the other side of the empire.</t>
  </si>
  <si>
    <t>the parts of the internal canal network under the comb rows</t>
  </si>
  <si>
    <t>competition</t>
  </si>
  <si>
    <t>What alumni was also an Attorney General and a federal judge?</t>
  </si>
  <si>
    <t>a mouth that can usually be closed by muscles; a pharynx ("throat"); a wider area in the center that acts as a stomach; and a system of internal canals.</t>
  </si>
  <si>
    <t>Who couldn't read the Liber servitoris?</t>
  </si>
  <si>
    <t>To help reduce consumption, in 1974 a national maximum speed limit of 55 mph (about 88 km/h) was imposed through the Emergency Highway Energy Conservation Act. Development of the Strategic Petroleum Reserve began in 1975, and in 1977 the cabinet-level Department of Energy was created, followed by the National Energy Act of 1978.[citation needed] On November 28, 1995, Bill Clinton signed the National Highway Designation Act, ending the federal 55 mph (89 km/h) speed limit, allowing states to restore their prior maximum speed limit.</t>
  </si>
  <si>
    <t>When was the Cretaceous-Paleogen extinction occur?</t>
  </si>
  <si>
    <t>Tropical Storm Beryl</t>
  </si>
  <si>
    <t>increase</t>
  </si>
  <si>
    <t>What is one of the minor treaty's on climate change?</t>
  </si>
  <si>
    <t>April 1991</t>
  </si>
  <si>
    <t>soluble components</t>
  </si>
  <si>
    <t>What was the ratio of men to women at Harvard/Radcliffe?</t>
  </si>
  <si>
    <t>by assuming the task of interpreting the treaties, and accelerating economic and political integration</t>
  </si>
  <si>
    <t>Travels of Marco Polo</t>
  </si>
  <si>
    <t>What South Korean car manufacturer purchased the factor in 1995?</t>
  </si>
  <si>
    <t>1883</t>
  </si>
  <si>
    <t>to distract Montcalm</t>
  </si>
  <si>
    <t>Civil disobedients have chosen a variety of different illegal acts. Bedau writes, "There is a whole class of acts, undertaken in the name of civil disobedience, which, even if they were widely practiced, would in themselves constitute hardly more than a nuisance (e.g. trespassing at a nuclear-missile installation)...Such acts are often just a harassment and, at least to the bystander, somewhat inane...The remoteness of the connection between the disobedient act and the objectionable law lays such acts open to the charge of ineffectiveness and absurdity." Bedau also notes, though, that the very harmlessness of such entirely symbolic illegal protests toward public policy goals may serve a propaganda purpose. Some civil disobedients, such as the proprietors of illegal medical cannabis dispensaries and Voice in the Wilderness, which brought medicine to Iraq without the permission of the U.S. Government, directly achieve a desired social goal (such as the provision of medication to the sick) while openly breaking the law. Julia Butterfly Hill lived in Luna, a 180-foot (55 m)-tall, 600-year-old California Redwood tree for 738 days, successfully preventing it from being cut down.</t>
  </si>
  <si>
    <t>Who is known as the poorest man in all history?</t>
  </si>
  <si>
    <t>The Campaign for Constitutional Convention was initiated as what type of group?</t>
  </si>
  <si>
    <t>Who was the leader of Russia in the 1960's?</t>
  </si>
  <si>
    <t>How many academic majors does the university grant in total?</t>
  </si>
  <si>
    <t>in the Palace of Culture and Science</t>
  </si>
  <si>
    <t>What does The Private Education Student Financial Assistance help current high school students who are turned away do?</t>
  </si>
  <si>
    <t>courtyard</t>
  </si>
  <si>
    <t>make it more difficult for a system to function</t>
  </si>
  <si>
    <t>the Victoria Constitution Act 1855</t>
  </si>
  <si>
    <t>some paintings</t>
  </si>
  <si>
    <t>What's one factor in increasing self-esteem?</t>
  </si>
  <si>
    <t>Hungarians</t>
  </si>
  <si>
    <t>helium</t>
  </si>
  <si>
    <t>Who wrote the American Times bestselling book titled "The Closing of the American Mind"?</t>
  </si>
  <si>
    <t>104 °F</t>
  </si>
  <si>
    <t>2 million</t>
  </si>
  <si>
    <t>What is the law named that defines a charge moving through a magnetic field?</t>
  </si>
  <si>
    <t>Where do seven lines of Metrolink run out of?</t>
  </si>
  <si>
    <t>What philosophy of thought  addresses wealth inequality?</t>
  </si>
  <si>
    <t>How many intercollegiate sports does Harvard compete in NCAA division I</t>
  </si>
  <si>
    <t>What publication printed that the wealthiest 1% have more money than those in the bottom 99%?</t>
  </si>
  <si>
    <t>TFEU article 30</t>
  </si>
  <si>
    <t>What is another way to state the condition that infinitely many rows can exist only if a and q are coprime?</t>
  </si>
  <si>
    <t>What is thought to have happened to the y. pestis that caused the black death?</t>
  </si>
  <si>
    <t>its supporters</t>
  </si>
  <si>
    <t>a drive shaft</t>
  </si>
  <si>
    <t>What body in India provides policy directions to schools?</t>
  </si>
  <si>
    <t>Trinity-St. Paul's Episcopal Church</t>
  </si>
  <si>
    <t>the Apollo 1 crew</t>
  </si>
  <si>
    <t>What makes it easier for the government to target tribal territories?</t>
  </si>
  <si>
    <t>In southern Europe, the stage was set in the Triassic Period of the Mesozoic Era, with the opening of the Tethys Ocean, between the Eurasian and African tectonic plates, between about 240 MBP and 220 MBP (million years before present). The present Mediterranean Sea descends from this somewhat larger Tethys sea. At about 180 MBP, in the Jurassic Period, the two plates reversed direction and began to compress the Tethys floor, causing it to be subducted under Eurasia and pushing up the edge of the latter plate in the Alpine Orogeny of the Oligocene and Miocene Periods. Several microplates were caught in the squeeze and rotated or were pushed laterally, generating the individual features of Mediterranean geography: Iberia pushed up the Pyrenees; Italy, the Alps, and Anatolia, moving west, the mountains of Greece and the islands. The compression and orogeny continue today, as shown by the ongoing raising of the mountains a small amount each year and the active volcanoes.</t>
  </si>
  <si>
    <t>Why did Berlin Huguenots switch to German from French in their services?</t>
  </si>
  <si>
    <t>conflicting territorial claims between British and French colonies in North America</t>
  </si>
  <si>
    <t>more active and lived longer</t>
  </si>
  <si>
    <t>Vistula</t>
  </si>
  <si>
    <t>How many times has Polonia won the cup?</t>
  </si>
  <si>
    <t>in the 1950s</t>
  </si>
  <si>
    <t>What did Maududi believe Muslim society could not be Islamic in the absence of?</t>
  </si>
  <si>
    <t>Rhind papyrus</t>
  </si>
  <si>
    <t>What limits the Rankine cycle's temperatures?</t>
  </si>
  <si>
    <t>Who renovated the Santa Fe Railroad Depot?</t>
  </si>
  <si>
    <t>What kind of self-consistent models are physicists trying to make that would create a theory of everything?</t>
  </si>
  <si>
    <t xml:space="preserve"> What does colonialism and imperialism share?</t>
  </si>
  <si>
    <t>Building printing is making it possible to flexibly construct small commercial buildings and private habitations in what amount of time?</t>
  </si>
  <si>
    <t>nitrogen</t>
  </si>
  <si>
    <t>Problems capable of theoretical solutions but consuming unreasonable time in practical application are known as what?</t>
  </si>
  <si>
    <t>When did Hamas drive the PLO out of Gaza?</t>
  </si>
  <si>
    <t>What action did Brownlee take against GCSB Waihopai that caused them to close temporarily?</t>
  </si>
  <si>
    <t>Isaac Bashevis Singer</t>
  </si>
  <si>
    <t>Who did Alexander I marry?</t>
  </si>
  <si>
    <t>Where did this pro-reform leader teach?</t>
  </si>
  <si>
    <t>How many homes had BSkyB's direct-to-home satellite service unavailable to them in 2010?</t>
  </si>
  <si>
    <t>Engineering News-Record (ENR) is a trade magazine for the construction industry. Each year, ENR compiles and reports on data about the size of design and construction companies. They publish a list of the largest companies in the United States (Top-40) and also a list the largest global firms (Top-250, by amount of work they are doing outside their home country). In 2014, ENR compiled the data in nine market segments. It was divided as transportation, petroleum, buildings, power, industrial, water, manufacturing, sewer/waste, telecom, hazardous waste plus a tenth category for other projects. In their reporting on the Top 400, they used data on transportation, sewer, hazardous waste and water to rank firms as heavy contractors.</t>
  </si>
  <si>
    <t>At the start of the war, no French regular army troops were stationed in North America, and few British troops. New France was defended by about 3,000 troupes de la marine, companies of colonial regulars (some of whom had significant woodland combat experience). The colonial government recruited militia support when needed. Most British colonies mustered local militia companies, generally ill trained and available only for short periods, to deal with native threats, but did not have any standing forces.</t>
  </si>
  <si>
    <t>returned to New York</t>
  </si>
  <si>
    <t>New York Times</t>
  </si>
  <si>
    <t>How much larger would cicada predator populations be if cicada outbreaks occurred at 14 and 15 year intervals?</t>
  </si>
  <si>
    <t>Colonialism as a policy is never caused by financial and what other reasons?</t>
  </si>
  <si>
    <t>How many fraternities are apart of the university?</t>
  </si>
  <si>
    <t>What court case desegregated schools in 1970?</t>
  </si>
  <si>
    <t xml:space="preserve"> In the 2009 Commission v Italy, case, the Court of Justice held that an Italian low prohibiting what infringed article 34?</t>
  </si>
  <si>
    <t>149,025</t>
  </si>
  <si>
    <t>marine waters</t>
  </si>
  <si>
    <t>automatically assigned addresses, updated the distributed namespace, and configured any required inter-network routing</t>
  </si>
  <si>
    <t>cytotoxic natural killer cells and CTLs (cytotoxic T lymphocytes)</t>
  </si>
  <si>
    <t>When was the regime in Pakistan accepted by General Zia-ul-Haq?</t>
  </si>
  <si>
    <t>Where is the Autumn Hall located?</t>
  </si>
  <si>
    <t>January 6, 1913</t>
  </si>
  <si>
    <t>How many people did Hamas kill between 2010 to 2017?</t>
  </si>
  <si>
    <t>cartels</t>
  </si>
  <si>
    <t>Who joined Norman forces in the destruction of the Armenians?</t>
  </si>
  <si>
    <t>made a grade of A for all four years</t>
  </si>
  <si>
    <t>First World War.</t>
  </si>
  <si>
    <t>What kind of rivalry do Oxford and Cambridge have?</t>
  </si>
  <si>
    <t>What will a society with more equality have?</t>
  </si>
  <si>
    <t>What is generally considered to be the most basic iteration of a Turing machine?</t>
  </si>
  <si>
    <t>What complexity class do incompatible problems of NP problems exist?</t>
  </si>
  <si>
    <t>How long as the Canadian government been actively engaged in efforts to counter Islamism?</t>
  </si>
  <si>
    <t>The Mongols' extensive West Asian and European contacts</t>
  </si>
  <si>
    <t>What instrument is used to examine diagram performance?</t>
  </si>
  <si>
    <t>ash leaf</t>
  </si>
  <si>
    <t>Who visits Palm Springs for the beaches?</t>
  </si>
  <si>
    <t>What is not a way that is used to predict the immunogenicity of peptides and proteins?</t>
  </si>
  <si>
    <t>Guilt implies wrong-doing</t>
  </si>
  <si>
    <t>the Chicago Theological Seminary</t>
  </si>
  <si>
    <t>When did Greenland sign a Treaty granting them special status?</t>
  </si>
  <si>
    <t>remove government oversight from its processes</t>
  </si>
  <si>
    <t>Where in South Carolina did Huguenot nobility settle?</t>
  </si>
  <si>
    <t>With common construction procurement, what does the main contractor act as?</t>
  </si>
  <si>
    <t>In what year did Harvard President Joseph Willard die?</t>
  </si>
  <si>
    <t>What is the only divisor besides 1 that a product can have?</t>
  </si>
  <si>
    <t>the Central Secretariat</t>
  </si>
  <si>
    <t>The Scotland Act 1998, which was passed by the Parliament of the United Kingdom and given royal assent by Queen Elizabeth II on 19 November 1998, governs the functions and role of the Scottish Parliament and delimits its legislative competence. The Scotland Act 2012 extends the devolved competencies. For the purposes of parliamentary sovereignty, the Parliament of the United Kingdom at Westminster continues to constitute the supreme legislature of Scotland. However, under the terms of the Scotland Act, Westminster agreed to devolve some of its responsibilities over Scottish domestic policy to the Scottish Parliament. Such "devolved matters" include education, health, agriculture and justice. The Scotland Act enabled the Scottish Parliament to pass primary legislation on these issues. A degree of domestic authority, and all foreign policy, remain with the UK Parliament in Westminster. The Scottish Parliament has the power to pass laws and has limited tax-varying capability. Another of the roles of the Parliament is to hold the Scottish Government to account.</t>
  </si>
  <si>
    <t>encoding</t>
  </si>
  <si>
    <t>expansions</t>
  </si>
  <si>
    <t>What was the biggest religion in Sweden?</t>
  </si>
  <si>
    <t>1413</t>
  </si>
  <si>
    <t>If two thirds of the Rhine flows through the Maas, where doe the other one third flow through?</t>
  </si>
  <si>
    <t>What may explain why some Americans who've become rich may have had a head start?</t>
  </si>
  <si>
    <t>Originally built with four layers, how many layers did DEC evolve to have?</t>
  </si>
  <si>
    <t>destruction of the forest</t>
  </si>
  <si>
    <t>2,290 m3/s (81,000 cu ft/s)</t>
  </si>
  <si>
    <t>220 miles (350 km)</t>
  </si>
  <si>
    <t>a vitamin D receptor</t>
  </si>
  <si>
    <t>7000 years</t>
  </si>
  <si>
    <t>United States Census Bureau</t>
  </si>
  <si>
    <t>How many miles will a person walk when they cross the John W. Weeks Bridge?</t>
  </si>
  <si>
    <t>Lower rates of health and social problems are just two of examples of effects from what?</t>
  </si>
  <si>
    <t>What city, raided by clans and dukes, preceded the founding of Boleslaw?</t>
  </si>
  <si>
    <t>What antibody is transmitted from the father to the baby?</t>
  </si>
  <si>
    <t>Chinatown</t>
  </si>
  <si>
    <t>unknown</t>
  </si>
  <si>
    <t>How many items is the University Library home to?</t>
  </si>
  <si>
    <t>What are two complexity classes between L and P?</t>
  </si>
  <si>
    <t>Who decide to make a very large donation to the university's Booth School of Business?</t>
  </si>
  <si>
    <t>How many days did the Warsaw Uprising last?</t>
  </si>
  <si>
    <t>What culture's arrival in Scotland is know as the "Davidian Revolution"?</t>
  </si>
  <si>
    <t>ARPANET played a significant role in what?</t>
  </si>
  <si>
    <t>What type of vote must the Parliament have to either block or suggest changes to the Commission's proposals?</t>
  </si>
  <si>
    <t>King Sigimund's Column is an example of what kind of attraction in UNESCO?</t>
  </si>
  <si>
    <t>How many people weren't in British North American Colonies?</t>
  </si>
  <si>
    <t>What method does the government use to get their issue heard?</t>
  </si>
  <si>
    <t>giving her brother Polynices a proper burial</t>
  </si>
  <si>
    <t>the Saxon Garden</t>
  </si>
  <si>
    <t>What were the Saxon Palace and Brühl Palace in prewar Warsaw?</t>
  </si>
  <si>
    <t>the 11th</t>
  </si>
  <si>
    <t>What did Baran call his system?</t>
  </si>
  <si>
    <t>What does Obersee mean?</t>
  </si>
  <si>
    <t>allow for U.S authorship of a 'new world' which was to be characterized by geographical order</t>
  </si>
  <si>
    <t>What profession does Zbigniew Badowski have?</t>
  </si>
  <si>
    <t>During which years was no census taken?</t>
  </si>
  <si>
    <t>What style was the Warsaw Philharmony edifice built in?</t>
  </si>
  <si>
    <t>second-most populous</t>
  </si>
  <si>
    <t>What is the translation of Siebengebirge?</t>
  </si>
  <si>
    <t>Hugues hypothesis</t>
  </si>
  <si>
    <t>How many settlers original settled in Manakintown?</t>
  </si>
  <si>
    <t>The dominant explanation for the Black Death is the plague theory, which attributes the outbreak to Yersinia pestis, also responsible for an epidemic that began in southern China in 1865, eventually spreading to India. The investigation of the pathogen that caused the 19th-century plague was begun by teams of scientists who visited Hong Kong in 1894, among whom was the French-Swiss bacteriologist Alexandre Yersin, after whom the pathogen was named Yersinia pestis. The mechanism by which Y. pestis was usually transmitted was established in 1898 by Paul-Louis Simond and was found to involve the bites of fleas whose midguts had become obstructed by replicating Y. pestis several days after feeding on an infected host. This blockage results in starvation and aggressive feeding behaviour by the fleas, which repeatedly attempt to clear their blockage by regurgitation, resulting in thousands of plague bacteria being flushed into the feeding site, infecting the host. The bubonic plague mechanism was also dependent on two populations of rodents: one resistant to the disease, which act as hosts, keeping the disease endemic, and a second that lack resistance. When the second population dies, the fleas move on to other hosts, including people, thus creating a human epidemic.</t>
  </si>
  <si>
    <t>Sieur de La Salle had explored the Ohio Country nearly a century earlier</t>
  </si>
  <si>
    <t>Who used the concept of antiquity in the study of stationary and moving objects?</t>
  </si>
  <si>
    <t>its inferior</t>
  </si>
  <si>
    <t>easier credit to the lower and middle income earners</t>
  </si>
  <si>
    <t>adaptive and innate immune responses</t>
  </si>
  <si>
    <t>The neighborhood includes Kearney Boulevard, named after early 20th century entrepreneur and millionaire M. Theo Kearney, which extends from Fresno Street in Southwest Fresno about 20 mi (32 km) west to Kerman, California. A small, two-lane rural road for most of its length, Kearney Boulevard is lined with tall palm trees. The roughly half-mile stretch of Kearney Boulevard between Fresno Street and Thorne Ave was at one time the preferred neighborhood for Fresno's elite African-American families. Another section, Brookhaven, on the southern edge of the West Side south of Jensen and west of Elm, was given the name by the Fresno City Council in an effort to revitalize the neighborhood's image. The isolated subdivision was for years known as the "Dogg Pound" in reference to a local gang, and as of late 2008 was still known for high levels of violent crime.</t>
  </si>
  <si>
    <t>What sort of energy, along with nuclear, geothermal, and internal combustion waste heat, might supply the heat for a firebox?</t>
  </si>
  <si>
    <t>What is the name of the country's longest continuously running student film society?</t>
  </si>
  <si>
    <t>Jacques Legardeur de Saint-Pierre</t>
  </si>
  <si>
    <t>What is featured on the city of Fresno's city flag?</t>
  </si>
  <si>
    <t>What are two types of phagocytes that travel through the body to find invading pathogens?</t>
  </si>
  <si>
    <t>In what year did the Camisards organize as a regional group in southern France?</t>
  </si>
  <si>
    <t>Who was the first European to travel the Amazon River?</t>
  </si>
  <si>
    <t>Which year was the case Commission v Italy that dealt with cocoa products?</t>
  </si>
  <si>
    <t>What is Warsaw's name in the Vrisovci language?</t>
  </si>
  <si>
    <t>Sky</t>
  </si>
  <si>
    <t>Why might customers order from internet pharmacies?</t>
  </si>
  <si>
    <t>Aside from 12 research centers, how many research institutes does the U of C operate?</t>
  </si>
  <si>
    <t>What had the number of people living in Poland declined to by 1945?</t>
  </si>
  <si>
    <t>What can be viewed as an informal language where the language instances whose input is yes?</t>
  </si>
  <si>
    <t>Who bought the rights?</t>
  </si>
  <si>
    <t>How are packets normally forwarded</t>
  </si>
  <si>
    <t>What distinguishes sponges from all other animals?</t>
  </si>
  <si>
    <t>James O. McKinsey</t>
  </si>
  <si>
    <t>P ⊆ NP ⊆ PP ⊆ PSPACE</t>
  </si>
  <si>
    <t>How many earthquakes does southern California experience in a year?</t>
  </si>
  <si>
    <t>When was the Rhine first discovered?</t>
  </si>
  <si>
    <t>Feynman</t>
  </si>
  <si>
    <t>amongst the elected MSPs</t>
  </si>
  <si>
    <t>How many upland areas are in central Germany?</t>
  </si>
  <si>
    <t>highest terrace</t>
  </si>
  <si>
    <t>Which famous Indian practiced civil disobedience?</t>
  </si>
  <si>
    <t>Plant cells respond to the molecules associated with pathogens known as what?</t>
  </si>
  <si>
    <t>In what city or the Arabs the twelve largest ethnic group?</t>
  </si>
  <si>
    <t>182 million tons</t>
  </si>
  <si>
    <t>William Shirley</t>
  </si>
  <si>
    <t>What are the three sources of European Union law?</t>
  </si>
  <si>
    <t>causing fish stocks to collapse</t>
  </si>
  <si>
    <t xml:space="preserve">What was the triad? </t>
  </si>
  <si>
    <t>brick-and-mortar community pharmacies that serve consumers online and those that walk in their door</t>
  </si>
  <si>
    <t>Deformational events</t>
  </si>
  <si>
    <t>delivery of these messages by store and forward switching</t>
  </si>
  <si>
    <t>potential</t>
  </si>
  <si>
    <t>if every problem in C can be reduced to X</t>
  </si>
  <si>
    <t>What does increasing inequality harm?</t>
  </si>
  <si>
    <t>With Istanbul as its capital and control of lands around the Mediterranean basin, the Ottoman Empire was at the center of interactions between the Eastern and Western worlds for six centuries. Following a long period of military setbacks against European powers, the Ottoman Empire gradually declined into the late nineteenth century. The empire allied with Germany in the early 20th century, with the imperial ambition of recovering its lost territories, but it dissolved in the aftermath of World War I, leading to the emergence of the new state of Turkey in the Ottoman Anatolian heartland, as well as the creation of modern Balkan and Middle Eastern states, thus ending Turkish colonial ambitions.</t>
  </si>
  <si>
    <t>What percentage of Pinedale is black?</t>
  </si>
  <si>
    <t>How is a rock lithified?</t>
  </si>
  <si>
    <t>Was services were not consolidated under the new government?</t>
  </si>
  <si>
    <t>Who can legally teach English in India?</t>
  </si>
  <si>
    <t>University of California, Irvine</t>
  </si>
  <si>
    <t>1885</t>
  </si>
  <si>
    <t xml:space="preserve"> Where did France win a war in the 1970's</t>
  </si>
  <si>
    <t>What leads to higher income inequality?</t>
  </si>
  <si>
    <t>What direction do sea currents and seafloor spreading always move in?</t>
  </si>
  <si>
    <t>painting, mathematics, calligraphy, poetry, and theater</t>
  </si>
  <si>
    <t>How successful was initial effort by Braddock?</t>
  </si>
  <si>
    <t>April</t>
  </si>
  <si>
    <t>The average Mongol garrison family of the Yuan dynasty seems to have lived a life of decaying rural leisure, with income from the harvests of their Chinese tenants eaten up by costs of equipping and dispatching men for their tours of duty. The Mongols practiced debt slavery, and by 1290 in all parts of the Mongol Empire commoners were selling their children into slavery. Seeing this as damaging to the Mongol nation, Kublai in 1291 forbade the sale abroad of Mongols. Kublai wished to persuade the Chinese that he was becoming increasingly sinicized while maintaining his Mongolian credentials with his own people. He set up a civilian administration to rule, built a capital within China, supported Chinese religions and culture, and devised suitable economic and political institutions for the court. But at the same time he never abandoned his Mongolian heritage.</t>
  </si>
  <si>
    <t>What was identified as a universal force after the work of Galileo?</t>
  </si>
  <si>
    <t>What was the attack on the British strength?</t>
  </si>
  <si>
    <t>Annam (Dai Viet)</t>
  </si>
  <si>
    <t>What effect does trade with poorer countries have on the workers in richer countries?</t>
  </si>
  <si>
    <t>What are one of the key cell types of the adaptive immune system?</t>
  </si>
  <si>
    <t>one can include arbitrarily many instances of 1 in any factorization</t>
  </si>
  <si>
    <t>geographical societies in Europe</t>
  </si>
  <si>
    <t>What type of medicine did otachi focus on?</t>
  </si>
  <si>
    <t>criminal</t>
  </si>
  <si>
    <t>What branch of theoretical computer class deals with broadly classifying computational problems by difficulty and class of relationship?</t>
  </si>
  <si>
    <t>What is the effect on humans of oxygen?</t>
  </si>
  <si>
    <t>crowd out</t>
  </si>
  <si>
    <t>into the nineteenth century</t>
  </si>
  <si>
    <t>What was the North American portion of War of Australian Succession?</t>
  </si>
  <si>
    <t>How do you determine the acceleration of a rope when two people are pulling it?</t>
  </si>
  <si>
    <t>a consortium of several contractors</t>
  </si>
  <si>
    <t>What type of ratios are used in geochronologic and thermochronologic studies?</t>
  </si>
  <si>
    <t>What evolved in later vertebrates?</t>
  </si>
  <si>
    <t>How is one way that one should not view non-determinism?</t>
  </si>
  <si>
    <t>a larger challenge to the legal system</t>
  </si>
  <si>
    <t>What kind of acedemic results do schools that only accept black children produce?</t>
  </si>
  <si>
    <t>unit-dose</t>
  </si>
  <si>
    <t>sea gooseberry</t>
  </si>
  <si>
    <t>How many research centers does the university run on campus?</t>
  </si>
  <si>
    <t>major car brands</t>
  </si>
  <si>
    <t>highly respected</t>
  </si>
  <si>
    <t>What happens secondly if a Directive's deadline is not met?</t>
  </si>
  <si>
    <t>What probiotic flora is found in unpasteurized yogurt?</t>
  </si>
  <si>
    <t>1936</t>
  </si>
  <si>
    <t>Where was Victoria first set to be located in Australia?</t>
  </si>
  <si>
    <t>solvability of quadratic equations</t>
  </si>
  <si>
    <t>Within southern California are two major cities, Los Angeles and San Diego, as well as three of the country's largest metropolitan areas. With a population of 3,792,621, Los Angeles is the most populous city in California and the second most populous in the United States. To the south and with a population of 1,307,402 is San Diego, the second most populous city in the state and the eighth most populous in the nation.</t>
  </si>
  <si>
    <t>Public bills normally refer to large-scale what?</t>
  </si>
  <si>
    <t>was never ratified</t>
  </si>
  <si>
    <t>Doctor of Pharmacy</t>
  </si>
  <si>
    <t>HIV/AIDS</t>
  </si>
  <si>
    <t>What do no online pharmacies allow?</t>
  </si>
  <si>
    <t>Where on Earth is free oxygen found?</t>
  </si>
  <si>
    <t>378</t>
  </si>
  <si>
    <t>Developments in which scientists influenced the creation of pharmacology in medieval Islam?</t>
  </si>
  <si>
    <t>When was the Fresno Normal School stated?</t>
  </si>
  <si>
    <t>Jay Berwanger</t>
  </si>
  <si>
    <t>Within 30 days how many digiboxes had been discarded?</t>
  </si>
  <si>
    <t>exploitation</t>
  </si>
  <si>
    <t>What do a number of researchers think a shortage of is caused in part by income inequality?</t>
  </si>
  <si>
    <t>the First Minister</t>
  </si>
  <si>
    <t>leaf-shaped</t>
  </si>
  <si>
    <t>Who matters the least for economic growth?</t>
  </si>
  <si>
    <t>What Frank led Norman forces?</t>
  </si>
  <si>
    <t>What are some causes of reduced immune function in developed countries?</t>
  </si>
  <si>
    <t>What type of microscope is used by petrologists?</t>
  </si>
  <si>
    <t>What is an example of a less sophisticated defense mechanism that jawed vertebrates have?</t>
  </si>
  <si>
    <t>British failures in North America, combined with other failures in the Europe</t>
  </si>
  <si>
    <t>Oxygen presents two spectrophotometric absorption bands peaking at the wavelengths 687 and 760 nm. Some remote sensing scientists have proposed using the measurement of the radiance coming from vegetation canopies in those bands to characterize plant health status from a satellite platform. This approach exploits the fact that in those bands it is possible to discriminate the vegetation's reflectance from its fluorescence, which is much weaker. The measurement is technically difficult owing to the low signal-to-noise ratio and the physical structure of vegetation; but it has been proposed as a possible method of monitoring the carbon cycle from satellites on a global scale.</t>
  </si>
  <si>
    <t>broadcasting</t>
  </si>
  <si>
    <t>Site conditions, local regulations, economies of scale and the availability of skilled tradespeople all affect what?</t>
  </si>
  <si>
    <t>to destroy invading microbes</t>
  </si>
  <si>
    <t>primality</t>
  </si>
  <si>
    <t>What sorts of items are displayed in the Esteve Pharmacy museum?</t>
  </si>
  <si>
    <t>What was the verdict on other alleged errors?</t>
  </si>
  <si>
    <t>What is the name of the Latin translation of Dioscorides' book?</t>
  </si>
  <si>
    <t>inertia</t>
  </si>
  <si>
    <t>What is the low end of the temperature range in summer?</t>
  </si>
  <si>
    <t>What list was the Soviet Union's Old Town inscribed onto in 1980?</t>
  </si>
  <si>
    <t>What MBL teams are from Southern California?</t>
  </si>
  <si>
    <t>What is the highest court in European Union law?</t>
  </si>
  <si>
    <t>What dynasties inspired the Chinese-like elements of Kublai's government?</t>
  </si>
  <si>
    <t>Fermilab</t>
  </si>
  <si>
    <t>great pestilence in the air</t>
  </si>
  <si>
    <t>47</t>
  </si>
  <si>
    <t xml:space="preserve">Original intent of NFS funding was to accomplish what task? </t>
  </si>
  <si>
    <t>What court case was eventually the result of Joseph Haas sending and e-mail to the New Hampshire city council?</t>
  </si>
  <si>
    <t>When did the term imperialism first come to be used by its current definition?</t>
  </si>
  <si>
    <t xml:space="preserve"> What Chinese system did Kublai's government not compromise with?</t>
  </si>
  <si>
    <t>Of what form is the infinite amount of primes that comprise the special cases of Schinzel's hypothesis?</t>
  </si>
  <si>
    <t>What are horizontal layers of sand called?</t>
  </si>
  <si>
    <t>How was scarcity managed in many countries?</t>
  </si>
  <si>
    <t>During the 20th century, historians John Gallagher (1919–1980) and Ronald Robinson (1920–1999) constructed a framework for understanding European imperialism. They claim that European imperialism was influential, and Europeans rejected the notion that "imperialism" required formal, legal control by one government over another country. "In their view, historians have been mesmerized by formal empire and maps of the world with regions colored red. The bulk of British emigration, trade, and capital went to areas outside the formal British Empire. Key to their thinking is the idea of empire 'informally if possible and formally if necessary.'"[attribution needed] Because of the resources made available by imperialism, the world's economy grew significantly and became much more interconnected in the decades before World War I, making the many imperial powers rich and prosperous.</t>
  </si>
  <si>
    <t>circuit switching is characterized by a fee per unit of connection time</t>
  </si>
  <si>
    <t>Persistent unemployment has what effect on short-term economic growth?</t>
  </si>
  <si>
    <t>Which countries were the European Coal and Steel Community agreement between?</t>
  </si>
  <si>
    <t>to clean them of plants and sediments</t>
  </si>
  <si>
    <t>What legitimate dynasty came before the Yuan?</t>
  </si>
  <si>
    <t>What language did William III primarily speak?</t>
  </si>
  <si>
    <t>In 2014, economists with the Standard &amp; Poor's rating agency concluded that the widening disparity between the U.S.'s wealthiest citizens and the rest of the nation had slowed its recovery from the 2008-2009 recession and made it more prone to boom-and-bust cycles. To partially remedy the wealth gap and the resulting slow growth, S&amp;P recommended increasing access to education. It estimated that if the average United States worker had completed just one more year of school, it would add an additional $105 billion in growth to the country's economy over five years.</t>
  </si>
  <si>
    <t xml:space="preserve">During what time did the rainforest spanned a narrow band? </t>
  </si>
  <si>
    <t>When is the address information not transferred to each node?</t>
  </si>
  <si>
    <t xml:space="preserve"> When did the so called gentlemen's agreement between Sadat and the Islamists not break down?</t>
  </si>
  <si>
    <t>When did the Syrian Civil War begin?</t>
  </si>
  <si>
    <t>1540s</t>
  </si>
  <si>
    <t>If an extraordinary election is held within less than six months before the date of an ordinary election, what does it do to the ordinary election?</t>
  </si>
  <si>
    <t>soils, rivers, landscapes, and glaciers</t>
  </si>
  <si>
    <t>Where wasn't Shirley planning an expedition?</t>
  </si>
  <si>
    <t>Sun</t>
  </si>
  <si>
    <t>What is another term for rotors?</t>
  </si>
  <si>
    <t>How many men were in the AltpreusBische Infantry No. 15?</t>
  </si>
  <si>
    <t>When did the age of Imperialism begin?</t>
  </si>
  <si>
    <t>Who took up the path of violence?</t>
  </si>
  <si>
    <t xml:space="preserve"> What is colonialism's antithesis?</t>
  </si>
  <si>
    <t>ring of integers of quadratic number fields</t>
  </si>
  <si>
    <t>Amazonia or the Amazon Jungle</t>
  </si>
  <si>
    <t>the University of Chicago College Bowl Team</t>
  </si>
  <si>
    <t>Scottish Government</t>
  </si>
  <si>
    <t>What city, raided by clans and dukes, preceded the founding of Warszowa?</t>
  </si>
  <si>
    <t>What is the name of the private day school for K-12 students the university runs?</t>
  </si>
  <si>
    <t>many imperial powers</t>
  </si>
  <si>
    <t>Who is responsible for operating the electronic voting equipment and chamber clocks?</t>
  </si>
  <si>
    <t>only justified against governmental entities</t>
  </si>
  <si>
    <t>petroleum</t>
  </si>
  <si>
    <t>What was Maria Curie the first female recipient of?</t>
  </si>
  <si>
    <t>If there is no shared physical medium, how are the packets delivered?</t>
  </si>
  <si>
    <t>What is one factor that decreases the importance of the pharmacy performing at a high level?</t>
  </si>
  <si>
    <t>Under the Scotland Act 1998, ordinary general elections for the Scottish Parliament are held on the first Thursday in May every four years (1999, 2003, 2007 and so on). The date of the poll may be varied by up to one month either way by the Monarch on the proposal of the Presiding Officer. If the Parliament itself resolves that it should be dissolved (with at least two-thirds of the Members voting in favour), or if the Parliament fails to nominate one of its members to be First Minister within 28 days of a General Election or of the position becoming vacant, the Presiding Officer proposes a date for an extraordinary general election and the Parliament is dissolved by the Queen by royal proclamation. Extraordinary general elections are in addition to ordinary general elections, unless held less than six months before the due date of an ordinary general election, in which case they supplant it. The following ordinary election reverts to the first Thursday in May, a multiple of four years after 1999 (i.e., 5 May 2011, 7 May 2015, etc.).</t>
  </si>
  <si>
    <t>What does not cause strain in structures?</t>
  </si>
  <si>
    <t>sum of divisors function</t>
  </si>
  <si>
    <t>Stanley Steamer</t>
  </si>
  <si>
    <t>Because speakers are drawn from across Scotland, what do the represent the balance of?</t>
  </si>
  <si>
    <t>Brocard's conjecture</t>
  </si>
  <si>
    <t>Who is credited with finding evidence of large settlements in the Amazon forest?</t>
  </si>
  <si>
    <t>What else was used by pharmas?</t>
  </si>
  <si>
    <t>What direction do cilia usually swim?</t>
  </si>
  <si>
    <t>Due to its central location</t>
  </si>
  <si>
    <t>on foundational constitutional questions affecting democracy and human rights</t>
  </si>
  <si>
    <t>What happens to the jellyfish nematocysts when they are eaten by the haeckelia?</t>
  </si>
  <si>
    <t>Puente Hills</t>
  </si>
  <si>
    <t>Acessing the Amazon rainforest was restricted before what era?</t>
  </si>
  <si>
    <t>What was developed for the RAND Corporation?</t>
  </si>
  <si>
    <t>UK</t>
  </si>
  <si>
    <t>Harvard operates several arts, cultural, and scientific museums. The Harvard Art Museums comprises three museums. The Arthur M. Sackler Museum includes collections of ancient, Asian, Islamic and later Indian art, the Busch-Reisinger Museum, formerly the Germanic Museum, covers central and northern European art, and the Fogg Museum of Art, covers Western art from the Middle Ages to the present emphasizing Italian early Renaissance, British pre-Raphaelite, and 19th-century French art. The Harvard Museum of Natural History includes the Harvard Mineralogical Museum, Harvard University Herbaria featuring the Blaschka Glass Flowers exhibit, and the Museum of Comparative Zoology. Other museums include the Carpenter Center for the Visual Arts, designed by Le Corbusier, housing the film archive, the Peabody Museum of Archaeology and Ethnology, specializing in the cultural history and civilizations of the Western Hemisphere, and the Semitic Museum featuring artifacts from excavations in the Middle East.</t>
  </si>
  <si>
    <t>What were laid out by various companies?</t>
  </si>
  <si>
    <t>What measurement is affected by conversion between machine models?</t>
  </si>
  <si>
    <t>Mongolian, Tibetan, and Chinese</t>
  </si>
  <si>
    <t>oxygen</t>
  </si>
  <si>
    <t>Second</t>
  </si>
  <si>
    <t>What does direct civil disobedience do to the law that isn't being protested?</t>
  </si>
  <si>
    <t>up to four minutes</t>
  </si>
  <si>
    <t>How many Huguenots were there in France in 1685?</t>
  </si>
  <si>
    <t>Assuming the Air Force paid for the development of the concept, then would the Air Force be entitled to a royalty fee for every packet sent?</t>
  </si>
  <si>
    <t>powerful magnet</t>
  </si>
  <si>
    <t>Several families of Byzantine Greece were of Norman mercenary origin during the period of the Comnenian Restoration, when Byzantine emperors were seeking out western European warriors. The Raoulii were descended from an Italo-Norman named Raoul, the Petraliphae were descended from a Pierre d'Aulps, and that group of Albanian clans known as the Maniakates were descended from Normans who served under George Maniaces in the Sicilian expedition of 1038.</t>
  </si>
  <si>
    <t>Plants lack what kind of immune cells?</t>
  </si>
  <si>
    <t>The Bank of America Tower was previously known as what?</t>
  </si>
  <si>
    <t>the Egyptian Islamic Jihad organization</t>
  </si>
  <si>
    <t>Peninsular</t>
  </si>
  <si>
    <t>Newborn infants have no prior exposure to microbes and are particularly vulnerable to infection. Several layers of passive protection are provided by the mother. During pregnancy, a particular type of antibody, called IgG, is transported from mother to baby directly across the placenta, so human babies have high levels of antibodies even at birth, with the same range of antigen specificities as their mother. Breast milk or colostrum also contains antibodies that are transferred to the gut of the infant and protect against bacterial infections until the newborn can synthesize its own antibodies. This is passive immunity because the fetus does not actually make any memory cells or antibodies—it only borrows them. This passive immunity is usually short-term, lasting from a few days up to several months. In medicine, protective passive immunity can also be transferred artificially from one individual to another via antibody-rich serum.</t>
  </si>
  <si>
    <t>the former Strathclyde Regional Council debating chamber</t>
  </si>
  <si>
    <t>What kind of division of power did Kublai's government have?</t>
  </si>
  <si>
    <t>What are two examples of primitive jawless vertebrates?</t>
  </si>
  <si>
    <t>What notable private school has an endowment of several hundred million dollars?</t>
  </si>
  <si>
    <t>What did the Court of Justice not acknowledge?</t>
  </si>
  <si>
    <t>What does optical microscopy identify about individual locations?</t>
  </si>
  <si>
    <t>James Watt</t>
  </si>
  <si>
    <t>Stockton and Darlington Railway</t>
  </si>
  <si>
    <t>almost a million people</t>
  </si>
  <si>
    <t>colonization</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</si>
  <si>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</si>
  <si>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Shoushi Li</t>
  </si>
  <si>
    <t>94</t>
  </si>
  <si>
    <t>1,000 m3/s (35,000 cu ft/s),</t>
  </si>
  <si>
    <t>How many items is the Zbigniew Library home to?</t>
  </si>
  <si>
    <t>achieving crime control via incapacitation and deterrence</t>
  </si>
  <si>
    <t>October</t>
  </si>
  <si>
    <t>What did NSFNET promote</t>
  </si>
  <si>
    <t>to revolve a balance</t>
  </si>
  <si>
    <t>What was it called when Jacksonville's white population moved to the city?</t>
  </si>
  <si>
    <t>How much higher was the rate of deforestation in 2000, to 2005 compared to 1995 to 2000?</t>
  </si>
  <si>
    <t>1,300,000</t>
  </si>
  <si>
    <t>When was the Ottoman Caliphate abolished?</t>
  </si>
  <si>
    <t>special oxygen chambers</t>
  </si>
  <si>
    <t>Newcomen</t>
  </si>
  <si>
    <t>In what year did the Timucue people inhabit the Jacksonville area?</t>
  </si>
  <si>
    <t>What time do the MSPs normally decide on the motions and amendments from that day?</t>
  </si>
  <si>
    <t>Who is given credit for discovering geoglyphs along the Amazon River?</t>
  </si>
  <si>
    <t>What international metropolitan region is in the Northeastern megalopolis?</t>
  </si>
  <si>
    <t>the Unfair Commercial Practices Directive</t>
  </si>
  <si>
    <t>Boolean circuits;</t>
  </si>
  <si>
    <t>reduced consumer demand</t>
  </si>
  <si>
    <t>How long did the Cold War last?</t>
  </si>
  <si>
    <t>In what year did Raymond Sullivan publish a study of rudimentary sets?</t>
  </si>
  <si>
    <t>What world's first did the religion department help to develop?</t>
  </si>
  <si>
    <t>What are the six types of reductions?</t>
  </si>
  <si>
    <t>Guo Shoujing</t>
  </si>
  <si>
    <t>St. Johns</t>
  </si>
  <si>
    <t>What is the nickname for the Delta in the Netherlands?</t>
  </si>
  <si>
    <t>the property owner</t>
  </si>
  <si>
    <t>Peninsular Ranges</t>
  </si>
  <si>
    <t>detrimental</t>
  </si>
  <si>
    <t>Who patented a high-pressure compound engine in 1805?</t>
  </si>
  <si>
    <t>electric motors and internal combustion</t>
  </si>
  <si>
    <t>Genoese traders</t>
  </si>
  <si>
    <t>Who was Robert's son?</t>
  </si>
  <si>
    <t>When was James Hutton born?</t>
  </si>
  <si>
    <t>In the U.S. federal health care system (including the VA, the Indian Health Service, and NIH) ambulatory care pharmacists are given full independent prescribing authority. In some states such North Carolina and New Mexico these pharmacist clinicians are given collaborative prescriptive and diagnostic authority. In 2011 the board of Pharmaceutical Specialties approved ambulatory care pharmacy practice as a separate board certification. The official designation for pharmacists who pass the ambulatory care pharmacy specialty certification exam will be Board Certified Ambulatory Care Pharmacist and these pharmacists will carry the initials BCACP.</t>
  </si>
  <si>
    <t>typical of Eastern bloc countries</t>
  </si>
  <si>
    <t>Salafism posits that democracy is responsible for what type of horrible events of the 20th century?</t>
  </si>
  <si>
    <t>Inertia</t>
  </si>
  <si>
    <t>Financial crisis of 2007–08</t>
  </si>
  <si>
    <t>Great Lakes</t>
  </si>
  <si>
    <t>Much of the city's tax base dissipated</t>
  </si>
  <si>
    <t>From 1947 to 1967, how much did the price of oil increase?</t>
  </si>
  <si>
    <t xml:space="preserve"> Who was the Karluk Kara-Khanid ruler ranked below?</t>
  </si>
  <si>
    <t>a body of treaties and legislation</t>
  </si>
  <si>
    <t xml:space="preserve"> What did Gou use for science?</t>
  </si>
  <si>
    <t xml:space="preserve"> What Chinese-style name did Rinchinbal reject?</t>
  </si>
  <si>
    <t>Conan O'Brien</t>
  </si>
  <si>
    <t>as a function of the size of the instance</t>
  </si>
  <si>
    <t>5 to 15</t>
  </si>
  <si>
    <t>Can the President of the Council vote on important matters related to the European Central Bank?</t>
  </si>
  <si>
    <t>For many geologic applications, isotope ratios of radioactive elements are measured in minerals that give the amount of time that has passed since a rock passed through its particular closure temperature, the point at which different radiometric isotopes stop diffusing into and out of the crystal lattice. These are used in geochronologic and thermochronologic studies. Common methods include uranium-lead dating, potassium-argon dating, argon-argon dating and uranium-thorium dating. These methods are used for a variety of applications. Dating of lava and volcanic ash layers found within a stratigraphic sequence can provide absolute age data for sedimentary rock units which do not contain radioactive isotopes and calibrate relative dating techniques. These methods can also be used to determine ages of pluton emplacement. Thermochemical techniques can be used to determine temperature profiles within the crust, the uplift of mountain ranges, and paleotopography.</t>
  </si>
  <si>
    <t>How many Huguenots chose to stay in France?</t>
  </si>
  <si>
    <t>In India, private schools are called independent schools, but since some private schools receive financial aid from the government, it can be an aided or an unaided school. So, in a strict sense, a private school is an unaided independent school. For the purpose of this definition, only receipt of financial aid is considered, not land purchased from the government at a subsidized rate. It is within the power of both the union government and the state governments to govern schools since Education appears in the Concurrent list of legislative subjects in the constitution. The practice has been for the union government to provide the broad policy directions while the states create their own rules and regulations for the administration of the sector. Among other things, this has also resulted in 30 different Examination Boards or academic authorities that conduct examinations for school leaving certificates. Prominent Examination Boards that are present in multiple states are the CBSE and the CISCE, NENBSE</t>
  </si>
  <si>
    <t>What methods do petrologists use to examine rocks out in the field?</t>
  </si>
  <si>
    <t>How many of Warsaw's inhabitants spoke Polish in 1933?</t>
  </si>
  <si>
    <t>Why was old oil withdrawn from the market?</t>
  </si>
  <si>
    <t xml:space="preserve"> Which country besides the Cuba did the United states not try to annex in 1898?</t>
  </si>
  <si>
    <t>Pons</t>
  </si>
  <si>
    <t>TFEU article 49</t>
  </si>
  <si>
    <t>How great were the losses suffered in the the financial crisis of 2008-09 to Harvard endowment?</t>
  </si>
  <si>
    <t>Why would students be turned away from non-degree programmes?</t>
  </si>
  <si>
    <t>When can partial oxygen be toxic?</t>
  </si>
  <si>
    <t>the first network to make the hosts responsible for reliable delivery of data</t>
  </si>
  <si>
    <t>Some have generalized the meaning of the word imperialism down to general-purpose what?</t>
  </si>
  <si>
    <t>What year did BSkyB and Virgin Media have an agreement over the carriage of Sky Channels on cable TV?</t>
  </si>
  <si>
    <t>achieving crime control</t>
  </si>
  <si>
    <t>0.5–1.4 m</t>
  </si>
  <si>
    <t>32</t>
  </si>
  <si>
    <t>formalism</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</si>
  <si>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</si>
  <si>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</si>
  <si>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The results of the Haensch study have since been confirmed and amended. Based on genetic evidence derived from Black Death victims in the East Smithfield burial site in England, Schuenemann et al. concluded in 2011 "that the Black Death in medieval Europe was caused by a variant of Y. pestis that may no longer exist." A study published in Nature in October 2011 sequenced the genome of Y. pestis from plague victims and indicated that the strain that caused the Black Death is ancestral to most modern strains of the disease.</t>
  </si>
  <si>
    <t>When did Zhu publish 'Jade Mirror of the Five Unknowns'?</t>
  </si>
  <si>
    <t>Who was the ideologue of the Iranian Revolution?</t>
  </si>
  <si>
    <t>Which provinces in Canada extend the rights of pharmacists in prescribing?</t>
  </si>
  <si>
    <t xml:space="preserve">When rock folds deep in the Earth it can fold one of two ways, when it buckles upwards it creates what? </t>
  </si>
  <si>
    <t>599 m</t>
  </si>
  <si>
    <t>Siegfried</t>
  </si>
  <si>
    <t>1748</t>
  </si>
  <si>
    <t>When did ice-sheets cover Asia?</t>
  </si>
  <si>
    <t>the least onerous</t>
  </si>
  <si>
    <t>King George III</t>
  </si>
  <si>
    <t>What flood impacted the Meuse?</t>
  </si>
  <si>
    <t>What role in economics did the university play a major part in?</t>
  </si>
  <si>
    <t>threatened "Old Briton" with severe consequences</t>
  </si>
  <si>
    <t>What period was 2.5 million years ago?</t>
  </si>
  <si>
    <t>world's oceans</t>
  </si>
  <si>
    <t>In a virtual call system, the hosts have what responsibility?</t>
  </si>
  <si>
    <t>an attack on New France's capital, Quebec</t>
  </si>
  <si>
    <t>What is more fundamental than force in quanton field theory?</t>
  </si>
  <si>
    <t>How many interactions are all of the universal forces based on?</t>
  </si>
  <si>
    <t>immunoglobulins and T cell receptors</t>
  </si>
  <si>
    <t>How many passengers could a Chevrolet Bel Air carry in 1970?</t>
  </si>
  <si>
    <t>non-self molecules</t>
  </si>
  <si>
    <t>Why was it developed in 1983?</t>
  </si>
  <si>
    <t xml:space="preserve"> The North saw themselves as what compared to the east?</t>
  </si>
  <si>
    <t>What conjecture holds that there is an infinite amount of twin positives?</t>
  </si>
  <si>
    <t>cattle</t>
  </si>
  <si>
    <t>a covalent double bond that results from the filling of molecular orbitals formed from the atomic orbitals of the individual oxygen atoms</t>
  </si>
  <si>
    <t>in Article 5</t>
  </si>
  <si>
    <t>Under the Scotland Act 1988, ordinary general elections are held when?</t>
  </si>
  <si>
    <t>Where have Genesis geologists measured oxygen isotopes?</t>
  </si>
  <si>
    <t>Since electrons are minions, they cannot occupy the same what?</t>
  </si>
  <si>
    <t>How many outputs are expected for each input in a function problem?</t>
  </si>
  <si>
    <t>the chosen machine model</t>
  </si>
  <si>
    <t>What are some supplementary sources of European Union law?</t>
  </si>
  <si>
    <t>Sierra Freeway</t>
  </si>
  <si>
    <t>particular closure temperature</t>
  </si>
  <si>
    <t>Who voted for Jacksonville's annexation?</t>
  </si>
  <si>
    <t>Who did King Charles III swear fealty to?</t>
  </si>
  <si>
    <t>What ranking in terms of busiest airports from international passenger volume is the Los Angeles International Airport?</t>
  </si>
  <si>
    <t>staying home to alleviate the high rate of unemployment among young Algerian men</t>
  </si>
  <si>
    <t>first law</t>
  </si>
  <si>
    <t>names</t>
  </si>
  <si>
    <t>the Colorado Desert</t>
  </si>
  <si>
    <t>libertarian</t>
  </si>
  <si>
    <t>$32 billion</t>
  </si>
  <si>
    <t>Glucocorticoids</t>
  </si>
  <si>
    <t>When did the Warsaw area enlargement take place?</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</si>
  <si>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</si>
  <si>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What is negatively correlated to the duration of economic growth?</t>
  </si>
  <si>
    <t>summa cum laude</t>
  </si>
  <si>
    <t>up to 2% higher</t>
  </si>
  <si>
    <t>recurring</t>
  </si>
  <si>
    <t>socialism</t>
  </si>
  <si>
    <t>In the north eastern part of Fresno, Woodward Park was founded by the late Ralph Woodward, a long-time Fresno resident. He bequeathed a major portion of his estate in 1968 to provide a regional park and bird sanctuary in Northeast Fresno. The park lies on the South bank of the San Joaquin River between Highway 41 and Friant Road. The initial 235 acres (0.95 km2), combined with additional acres acquired later by the City, brings the park to a sizable 300 acres (1.2 km2). Now packed with amenities, Woodward Park is the only Regional Park of its size in the Central Valley. The Southeast corner of the park harbors numerous bird species offering bird enthusiasts an excellent opportunity for viewing. The park has a multi-use amphitheatre that seats up to 2,500 people, authentic Japanese Garden, fenced dog park, two-mile (3 km) equestrian trail, exercise par course, three children's playgrounds, a lake, 3 small ponds, 7 picnic areas and five miles (8 km) of multipurpose trails that are part of the San Joaquin River Parkway's Lewis S. Eaton Trail. When complete, the Lewis S. Eaton trail system will cover 22 miles (35 km) between Highway 99 and Friant Dam. The park's numerous picnic tables make for a great picnic destination and a convenient escape from city life. The park's amphetheatre was renovated in 2010, and has hosted performances by acts such as Deftones, Tech N9ne, and Sevendust as well as numerous others. The park is open April through October, 6am to 10pm and November through March, 6am to 7pm. Woodward Park is home to the annual CIF(California Interscholastic Federation) State Championship cross country meet, which takes place in late November. It is also the home of the Woodward Shakespeare Festival which began performances in the park in 2005.</t>
  </si>
  <si>
    <t>ministers or party leaders</t>
  </si>
  <si>
    <t>What are the three main oxygen cycles on Earth?</t>
  </si>
  <si>
    <t>the Israelis</t>
  </si>
  <si>
    <t>Frame Relay requires a handshake from what?</t>
  </si>
  <si>
    <t>Harvard Yard</t>
  </si>
  <si>
    <t>NBC affiliate KSEE</t>
  </si>
  <si>
    <t>Priestley</t>
  </si>
  <si>
    <t>What does the Riemann hypothesis state the source of irregularity in the distribution of points comes from?</t>
  </si>
  <si>
    <t>In 1965, at the instigation of Warner Sinback, a data network based on this voice-phone network was designed to connect GE's four computer sales and service centers (Schenectady, Phoenix, Chicago, and Phoenix) to facilitate a computer time-sharing service, apparently the world's first commercial online service. (In addition to selling GE computers, the centers were computer service bureaus, offering batch processing services. They lost money from the beginning, and Sinback, a high-level marketing manager, was given the job of turning the business around. He decided that a time-sharing system, based on Kemney's work at Dartmouth—which used a computer on loan from GE—could be profitable. Warner was right.)</t>
  </si>
  <si>
    <t>What is it called when people in society rebel against laws they think are unfair?</t>
  </si>
  <si>
    <t>polynomial-time reduction</t>
  </si>
  <si>
    <t>its energy content</t>
  </si>
  <si>
    <t>The legislation allowed California to be admitted to the Union as what kind of state?</t>
  </si>
  <si>
    <t>What two honors were given out more frequently in 2005?</t>
  </si>
  <si>
    <t>ingredients for medicines, sold tobacco and patent medicines</t>
  </si>
  <si>
    <t>What revealed the intentions of the British in the middle east regarding oil prices in 2004?</t>
  </si>
  <si>
    <t>1752 Treaty of Logstown</t>
  </si>
  <si>
    <t>power</t>
  </si>
  <si>
    <t>What type of compounds does oxygen most commonly form?</t>
  </si>
  <si>
    <t>Edgar</t>
  </si>
  <si>
    <t>What political party is strongest in Melbourne's poor regional areas?</t>
  </si>
  <si>
    <t>In what year was "the Romantic Rhine" site built?</t>
  </si>
  <si>
    <t>armed jihad</t>
  </si>
  <si>
    <t>How much British military was in North America at start of War?</t>
  </si>
  <si>
    <t>Fort William Henry</t>
  </si>
  <si>
    <t>3 and 14 hours a week</t>
  </si>
  <si>
    <t>How many non paid holidays does the Working time directive require workers to have each year?</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</si>
  <si>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René Goulaine de Laudonnière launched a second voyage to build a colony; he established Fort Caroline in what is now Jacksonville, Florida. War at home again precluded a resupply mission, and the colony struggled. In 1565 the Spanish decided to enforce their claim to La Florida, and sent Pedro Menéndez de Avilés, who established the settlement of St. Augustine near Fort Caroline. Menéndez' forces routed the French and executed most of the Protestant captives.</t>
  </si>
  <si>
    <t>railroad</t>
  </si>
  <si>
    <t>What material's weight gain during rusting was an early clue that philogiston theory was wrong?</t>
  </si>
  <si>
    <t>What wasn't Loudoun's plans for 1757?</t>
  </si>
  <si>
    <t>What was introduces into the Black Sea?</t>
  </si>
  <si>
    <t>to prevent the installation of pagan images in the Temple in Jerusalem</t>
  </si>
  <si>
    <t>4,404.5</t>
  </si>
  <si>
    <t>conquering the other state's lands</t>
  </si>
  <si>
    <t xml:space="preserve"> Friedrich Ratzel thought what was not needed for a state to survive?</t>
  </si>
  <si>
    <t>Who has limited productive potential when faced with more access to education?</t>
  </si>
  <si>
    <t>the north</t>
  </si>
  <si>
    <t>1928</t>
  </si>
  <si>
    <t>What is the partial pressure of O in breathing gas?</t>
  </si>
  <si>
    <t>two poles</t>
  </si>
  <si>
    <t>bubonic plague</t>
  </si>
  <si>
    <t>Ed Asner</t>
  </si>
  <si>
    <t>How many species of rotifers have been discovered?</t>
  </si>
  <si>
    <t>"cellular" and "humoral" theories</t>
  </si>
  <si>
    <t>What archdiocese is Warsaw the seat of?</t>
  </si>
  <si>
    <t>nine factors</t>
  </si>
  <si>
    <t>What devices have been credited as the moving force of cultivation?</t>
  </si>
  <si>
    <t>What were the conditions for miners in Ireland and China?</t>
  </si>
  <si>
    <t>identifying rocks</t>
  </si>
  <si>
    <t>What are the skin cells that can be transformed into tumors known as?</t>
  </si>
  <si>
    <t>What type of movement is the Muslim Brotherhood?</t>
  </si>
  <si>
    <t>Islamic Group</t>
  </si>
  <si>
    <t>What unit is measured to determine circuit complexity?</t>
  </si>
  <si>
    <t>combustible materials</t>
  </si>
  <si>
    <t>How much Saharan dust falls over the Amazon basin each year?</t>
  </si>
  <si>
    <t>How many days does the mayor have to override the Council's veto?</t>
  </si>
  <si>
    <t>How many students enrolled at the College during the spring of 2014?</t>
  </si>
  <si>
    <t>an antigen from a pathogen</t>
  </si>
  <si>
    <t>Amsterdam and the area of West Frisia</t>
  </si>
  <si>
    <t>pound-force</t>
  </si>
  <si>
    <t>The Los Angeles Angels of Anaheim are from which sport?</t>
  </si>
  <si>
    <t>200,000 Danish krone</t>
  </si>
  <si>
    <t>the solution</t>
  </si>
  <si>
    <t>What can lead to lower wages for members of labor organizations?</t>
  </si>
  <si>
    <t>the correct interpretation of water's composition</t>
  </si>
  <si>
    <t>They arranged for Israel to pull back from the Sinai Peninsula and the Golan Heights.</t>
  </si>
  <si>
    <t>the Ming dynasty</t>
  </si>
  <si>
    <t>What is blamed for causing the sharp drop in fish catches in the Black Sea and the Sea of Azov?</t>
  </si>
  <si>
    <t>banded iron</t>
  </si>
  <si>
    <t>poor soil.</t>
  </si>
  <si>
    <t>Which park is home to the Fresno Chafffee Zoo?</t>
  </si>
  <si>
    <t>May 2013</t>
  </si>
  <si>
    <t>How many days did the U.S. forces participate in the Cold War?</t>
  </si>
  <si>
    <t>If you do not know both magnitude and direction of two forces on an object, what would you call that situation?</t>
  </si>
  <si>
    <t>What would it guarantee for Harvard if they attracted wealthy students?</t>
  </si>
  <si>
    <t>5,500,000 square kilometres (2,100,000 sq mi) are covered by the rainforest.</t>
  </si>
  <si>
    <t>What decreased the rate of flow and caused the ground water level to rise?</t>
  </si>
  <si>
    <t>Among the most important classes of organic compounds that contain oxygen are (where "R" is an organic group): alcohols (R-OH); ethers (R-O-R); ketones (R-CO-R); aldehydes (R-CO-H); carboxylic acids (R-COOH); esters (R-COO-R); acid anhydrides (R-CO-O-CO-R); and amides (R-C(O)-NR
2). There are many important organic solvents that contain oxygen, including: acetone, methanol, ethanol, isopropanol, furan, THF, diethyl ether, dioxane, ethyl acetate, DMF, DMSO, acetic acid, and formic acid. Acetone ((CH
3)
2CO) and phenol (C
6H
5OH) are used as feeder materials in the synthesis of many different substances. Other important organic compounds that contain oxygen are: glycerol, formaldehyde, glutaraldehyde, citric acid, acetic anhydride, and acetamide. Epoxides are ethers in which the oxygen atom is part of a ring of three atoms.</t>
  </si>
  <si>
    <t>no jail time</t>
  </si>
  <si>
    <t>100–150</t>
  </si>
  <si>
    <t>What is the exchange of a set of obligations between two or more parties?</t>
  </si>
  <si>
    <t>The motto of the Muslim Brotherhood specifies what as being their constitution?</t>
  </si>
  <si>
    <t>How many people died in the outbreak of 1471?</t>
  </si>
  <si>
    <t>Nobel Prize</t>
  </si>
  <si>
    <t>What did Geroge Lenczowski do to the price of oil on October 16, 1973?</t>
  </si>
  <si>
    <t>the working fluid</t>
  </si>
  <si>
    <t>Thomas Reid and Dugald Stewart</t>
  </si>
  <si>
    <t>Why did the exiled Polish government in London order the underground Home Army to seize control of Stalin prior to the arrival or the Red Army?</t>
  </si>
  <si>
    <t>Ilkhanate</t>
  </si>
  <si>
    <t>1542</t>
  </si>
  <si>
    <t>What success did Abercrombie gain out of the win at Carillon?</t>
  </si>
  <si>
    <t>rules that conflict with morality</t>
  </si>
  <si>
    <t>Oxygen storage methods include high pressure oxygen tanks, cryogenics and chemical compounds. For reasons of economy, oxygen is often transported in bulk as a liquid in specially insulated tankers, since one liter of liquefied oxygen is equivalent to 840 liters of gaseous oxygen at atmospheric pressure and 20 °C (68 °F). Such tankers are used to refill bulk liquid oxygen storage containers, which stand outside hospitals and other institutions with a need for large volumes of pure oxygen gas. Liquid oxygen is passed through heat exchangers, which convert the cryogenic liquid into gas before it enters the building. Oxygen is also stored and shipped in smaller cylinders containing the compressed gas; a form that is useful in certain portable medical applications and oxy-fuel welding and cutting.</t>
  </si>
  <si>
    <t>warming of the Earth's surface</t>
  </si>
  <si>
    <t>Where was Marin's second fort constructed?</t>
  </si>
  <si>
    <t>What can the exhaust steam not fully do when the steam event is insufficiently long?</t>
  </si>
  <si>
    <t>Wojciech Bogusławski Theatre</t>
  </si>
  <si>
    <t>grant a consent search</t>
  </si>
  <si>
    <t>the king of France</t>
  </si>
  <si>
    <t>get their issue onto the table</t>
  </si>
  <si>
    <t xml:space="preserve"> What kind of division of power did Kublai's government never have?</t>
  </si>
  <si>
    <t>What were the conditions for miners in the gold fields in Victoria?</t>
  </si>
  <si>
    <t>Dating of lava and volcanic ash layers</t>
  </si>
  <si>
    <t>How many Frenchman won Battle of Carillon?</t>
  </si>
  <si>
    <t>What type of committee is set down under the SP's standing orders?</t>
  </si>
  <si>
    <t>To where is most of the milk and beef from Victoria exported to?</t>
  </si>
  <si>
    <t>What organization is responsible for their own research?</t>
  </si>
  <si>
    <t>What are not examples of clinical services that pharmacists can provide?</t>
  </si>
  <si>
    <t>AD 0–1250</t>
  </si>
  <si>
    <t>Michael Heckenberger and colleagues</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</si>
  <si>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</si>
  <si>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What scientist published "The Better Angels of Our Nature" in 2011?</t>
  </si>
  <si>
    <t>one another</t>
  </si>
  <si>
    <t>What session did the IPCC panel attend before the opening ceremonies?</t>
  </si>
  <si>
    <t>islands</t>
  </si>
  <si>
    <t>What did the network install in 1999</t>
  </si>
  <si>
    <t>Where was the famous artist Tamara de Maria born?</t>
  </si>
  <si>
    <t>Only a few</t>
  </si>
  <si>
    <t>Along with location, endowment and the willingness of parents to pay, what factor influences private school tuition?</t>
  </si>
  <si>
    <t>What is a rare autoimmune disease?</t>
  </si>
  <si>
    <t>In 2010 what did the average earning for a professional show?</t>
  </si>
  <si>
    <t>What is the lower canal regulation of the Rhine?</t>
  </si>
  <si>
    <t>What treaty is the Social Chapter not a chapter of?</t>
  </si>
  <si>
    <t>What is the second smallest global producer of soybean?</t>
  </si>
  <si>
    <t>invasion of Britain, to draw British resources away from North America and the European mainland</t>
  </si>
  <si>
    <t>What happened to Radcliffe's graduate schools during WWII?</t>
  </si>
  <si>
    <t>a dispute over control of the confluence of the Allegheny and Monongahela rivers</t>
  </si>
  <si>
    <t>internal strife</t>
  </si>
  <si>
    <t>1999</t>
  </si>
  <si>
    <t xml:space="preserve">What did the analysis from the sediment deposits indicate? </t>
  </si>
  <si>
    <t>71%</t>
  </si>
  <si>
    <t>What religion did the Yuan discourage, to support Buddhism?</t>
  </si>
  <si>
    <t>killed many of the Canadians, including their commanding officer, Joseph Coulon de Jumonville</t>
  </si>
  <si>
    <t xml:space="preserve"> What book was Iqbal's eight English lectures published as?</t>
  </si>
  <si>
    <t>What are regions anchored by that are recognized globally?</t>
  </si>
  <si>
    <t>Some theories developed in the 1970s established possible avenues through which inequality may have a positive effect on economic development. According to a 1955 review, savings by the wealthy, if these increase with inequality, were thought to offset reduced consumer demand. A 2013 report on Nigeria suggests that growth has risen with increased income inequality. Some theories popular from the 1950s to 2011 incorrectly stated that inequality had a positive effect on economic development. Analyses based on comparing yearly equality figures to yearly growth rates were misleading because it takes several years for effects to manifest as changes to economic growth. IMF economists found a strong association between lower levels of inequality in developing countries and sustained periods of economic growth. Developing countries with high inequality have "succeeded in initiating growth at high rates for a few years" but "longer growth spells are robustly associated with more equality in the income distribution."</t>
  </si>
  <si>
    <t>Who never wrote "The Hidden Prosperity of the Poor"?</t>
  </si>
  <si>
    <t>President Mahmoud Ahmadinejad</t>
  </si>
  <si>
    <t>What aid is available to underprivileged students seeking to attend a private university?</t>
  </si>
  <si>
    <t>suggested it for use in the ARPANET</t>
  </si>
  <si>
    <t>What century was the Hallstatt culture discovered?</t>
  </si>
  <si>
    <t>What is the epidermis fringed with?</t>
  </si>
  <si>
    <t>Inequality in the presence of credit market imperfections has what kind of effect on human capital formation?</t>
  </si>
  <si>
    <t>Other than Downtown San Bernardino, and University Town, what is the name of another business district in the San Bernardino-Riverside area?</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</si>
  <si>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machine—anything from an advanced supercomputer to a mathematician with a pencil and paper. It is believed that if a problem can be solved by an algorithm, there exists a Turing machine that solves the problem. Indeed, this is the statement of the Church–Turing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</si>
  <si>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What is William Jones's nationality?</t>
  </si>
  <si>
    <t>Fermat primes</t>
  </si>
  <si>
    <t>the most rigorous, intense</t>
  </si>
  <si>
    <t>protect the King's land in the Ohio Valley from the British</t>
  </si>
  <si>
    <t>What court case desegregated schools in the United States?</t>
  </si>
  <si>
    <t>the Gaulish name Rēnos</t>
  </si>
  <si>
    <t>What is the bad air theory officially known as?</t>
  </si>
  <si>
    <t>How do plankton fertilize their eggs?</t>
  </si>
  <si>
    <t>In what year did Napoleon come to power in France?</t>
  </si>
  <si>
    <t>Which society was responsible for the publication of the joint statement?</t>
  </si>
  <si>
    <t>How many types of cilia are there?</t>
  </si>
  <si>
    <t>Who lives longer on average than Greeks and New Zealanders?</t>
  </si>
  <si>
    <t>lipophilic alkaloid toxins</t>
  </si>
  <si>
    <t>How would one create an empire by means of Imperialism?</t>
  </si>
  <si>
    <t>What armed group stopped the colonial authorities at Ballarat?</t>
  </si>
  <si>
    <t>How many tentacles does the Aboral have on its pharynx?</t>
  </si>
  <si>
    <t>the Great Yuan</t>
  </si>
  <si>
    <t>In what century did the amount of forests on the flood plain increase?</t>
  </si>
  <si>
    <t>What chemist won the Nobel prize in Chemstry in 1986?</t>
  </si>
  <si>
    <t>What do Germans call private schools?</t>
  </si>
  <si>
    <t>Complexity classes are generally classified into what?</t>
  </si>
  <si>
    <t>How often are elections for the counsel held?</t>
  </si>
  <si>
    <t>The Rhine flowed through Swabia, Franconia and what other location in the 10th Century?</t>
  </si>
  <si>
    <t>Construction takes place on location for who?</t>
  </si>
  <si>
    <t>The packet header can be small, as it only needs to contain this code and any information, such as length, timestamp, or sequence number</t>
  </si>
  <si>
    <t>What water is constantly visible along the entire length of the lake?</t>
  </si>
  <si>
    <t xml:space="preserve"> What did the Taliban want to subject a small part of the country to?</t>
  </si>
  <si>
    <t>the Song Emperor</t>
  </si>
  <si>
    <t>The two city limits parks are located in which direction?</t>
  </si>
  <si>
    <t>What are the two symbols that signify pharmacy in English-speaking countries?</t>
  </si>
  <si>
    <t>a constitutional impasse in which two public agencies</t>
  </si>
  <si>
    <t>Where did the black death originate?</t>
  </si>
  <si>
    <t>a majority in Parliament</t>
  </si>
  <si>
    <t>What form of poetry was developed in the Yuan?</t>
  </si>
  <si>
    <t>What drives phagocytes away from specific areas?</t>
  </si>
  <si>
    <t>study of rocks</t>
  </si>
  <si>
    <t>Oxygen therapy</t>
  </si>
  <si>
    <t>What does the First Minister deliver at the beginning of each parliamentary year?</t>
  </si>
  <si>
    <t>Homes from the early 20th century line this boulevard in the heart of the historic Alta Vista Tract. The section of Huntington Boulevard between First Street on the west to Cedar Avenue on the east is the home to many large, stately homes. The original development of this area began circa 1910, on 190 acres of what had been an alfalfa field. The Alta Vista Tract, as the land would become known, was mapped by William Stranahan for the Pacific Improvement Corporation, and was officially platted in 1911. The tract's boundaries were Balch Avenue on the south, Cedar Avenue on the east, the rear property line of Platt Avenue (east of Sixth Street) and Platt Avenue (west of Sixth Street) on the north, and First Street on the west. The subdivision was annexed to the City in January 1912, in an election that was the first in which women voted in the community. At the time of its admission to the City, the Alta Vista Tract was uninhabited but landscaped, although the trees had to be watered by tank wagon. In 1914 developers Billings &amp; Meyering acquired the tract, completed street development, provided the last of the necessary municipal improvements including water service, and began marketing the property with fervor. A mere half decade later the tract had 267 homes. This rapid development was no doubt hastened by the Fresno Traction Company right-of-way along Huntington Boulevard, which provided streetcar connections between downtown and the County Hospital.</t>
  </si>
  <si>
    <t>Vistula Valley</t>
  </si>
  <si>
    <t>On what is the Parliament of Victoria based?</t>
  </si>
  <si>
    <t>Falls</t>
  </si>
  <si>
    <t>What can drill cores and ancient processes be combined to show?</t>
  </si>
  <si>
    <t>Who challenged Kublai Khan's right to succeed Mongke Khan?</t>
  </si>
  <si>
    <t>Which committees do not reflect the balance of parties across Parliament?</t>
  </si>
  <si>
    <t>Who did BSkyB team up with because it was not part of the consortium?</t>
  </si>
  <si>
    <t>Museum of Independence</t>
  </si>
  <si>
    <t>What is the circumference of Harvard Stadium?</t>
  </si>
  <si>
    <t>Was the bubonic plague spread faster or slower than modern bubonic plague?</t>
  </si>
  <si>
    <t>the square root of n.</t>
  </si>
  <si>
    <t>Who increased British military resources in colonies?</t>
  </si>
  <si>
    <t>General Amherst.</t>
  </si>
  <si>
    <t>specific</t>
  </si>
  <si>
    <t>What kind of representational system does the Victorian Legislative Council have?</t>
  </si>
  <si>
    <t>Many important complexity classes can be defined by bounding the time or space used by the algorithm. Some important complexity classes of decision problems defined in this manner are the following:</t>
  </si>
  <si>
    <t>well into the nineteenth century</t>
  </si>
  <si>
    <t>VideoGuard</t>
  </si>
  <si>
    <t>What scientific field's theory has received contributions from the steam engine?</t>
  </si>
  <si>
    <t>tribes in western portions of the Great Lakes region</t>
  </si>
  <si>
    <t>What developed in Normandy during the 1100s?</t>
  </si>
  <si>
    <t>to withstand waves and swirling sediment particles</t>
  </si>
  <si>
    <t>What is the name of the area past the border that the megaregion extends into?</t>
  </si>
  <si>
    <t>3.5 billion</t>
  </si>
  <si>
    <t>How much literature has been written regarding civil disobedience?</t>
  </si>
  <si>
    <t>How many coordinating lead authors does an IPCC report chapter have?</t>
  </si>
  <si>
    <t>What dynasty did Zhang Rhou help attack?</t>
  </si>
  <si>
    <t>What is not a problem?</t>
  </si>
  <si>
    <t>What are APT and ADP?</t>
  </si>
  <si>
    <t xml:space="preserve">When was OC-12c upgraded? </t>
  </si>
  <si>
    <t>Italy</t>
  </si>
  <si>
    <t>a terrorist organisation</t>
  </si>
  <si>
    <t>What drove residents to quieter suburban housing?</t>
  </si>
  <si>
    <t>poor management, internal divisions, and effective Canadian scouts</t>
  </si>
  <si>
    <t>unfair laws.</t>
  </si>
  <si>
    <t>democratic changes</t>
  </si>
  <si>
    <t>binary notation</t>
  </si>
  <si>
    <t>deterministic Turing machine</t>
  </si>
  <si>
    <t>The analysis of a specific algorithm is typically assigned to what field of computational science?</t>
  </si>
  <si>
    <t>constant velocity was associated with a lack of net force</t>
  </si>
  <si>
    <t>Who passed out educational leaflets in courtrooms during the Vietnam War?</t>
  </si>
  <si>
    <t>Who ruined Roussel de Bailleul's plans for an independent state?</t>
  </si>
  <si>
    <t>physicians</t>
  </si>
  <si>
    <t>What kind of people attend the IPCC meetings?</t>
  </si>
  <si>
    <t>the 1994 Works Council Directive</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</si>
  <si>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</si>
  <si>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What are pharmacists in the United Kingdom being paid less for?</t>
  </si>
  <si>
    <t>time and memory</t>
  </si>
  <si>
    <t>the Great Internet Mersenne Prime Search, what was the prize for finding a prime with at least 10 million digits?</t>
  </si>
  <si>
    <t>Eastern Europe</t>
  </si>
  <si>
    <t>1390</t>
  </si>
  <si>
    <t>shut down host defenses</t>
  </si>
  <si>
    <t>Muhammad ibn Zakarīya Rāzi</t>
  </si>
  <si>
    <t>When did the high school education movement occur?</t>
  </si>
  <si>
    <t>What are cestida called?</t>
  </si>
  <si>
    <t>Who did the Court of Justice say could help the freedom of establishment?</t>
  </si>
  <si>
    <t>What is the speed limit set to reduce consumption?</t>
  </si>
  <si>
    <t>Solovay-Strassen tests</t>
  </si>
  <si>
    <t>stay</t>
  </si>
  <si>
    <t xml:space="preserve">Who did internet2 partner with </t>
  </si>
  <si>
    <t>The practice of occupying and looting Huguenot homes was called?</t>
  </si>
  <si>
    <t>Which area of China did Japan conquer in 1931?</t>
  </si>
  <si>
    <t>intermediate network nodes asynchronously using first-in, first-out buffering</t>
  </si>
  <si>
    <t>reordering of government and society in accordance with the Shari'a</t>
  </si>
  <si>
    <t>Was this concept originally intended to be an application only meant for use by the military?</t>
  </si>
  <si>
    <t xml:space="preserve"> When was the Russian Policy "Indigenization" funded?</t>
  </si>
  <si>
    <t>In the mid-1960s, corruption scandals began to arise among many of the city's officials, who were mainly elected through the traditional old boy network. After a grand jury was convened to investigate, 11 officials were indicted and more were forced to resign. Jacksonville Consolidation, led by J. J. Daniel and Claude Yates, began to win more support during this period, from both inner city blacks, who wanted more involvement in government, and whites in the suburbs, who wanted more services and more control over the central city. In 1964 all 15 of Duval County's public high schools lost their accreditation. This added momentum to proposals for government reform. Lower taxes, increased economic development, unification of the community, better public spending and effective administration by a more central authority were all cited as reasons for a new consolidated government.</t>
  </si>
  <si>
    <t>a sheath into which it can be withdrawn</t>
  </si>
  <si>
    <t>What connects the peripheral immune system to the neuroimmune system?</t>
  </si>
  <si>
    <t>What is the name of matters outside the legislative ability of the Scottish Parliament?</t>
  </si>
  <si>
    <t>What did Donald Davies develop in the late 1950s?</t>
  </si>
  <si>
    <t>When were the LA Galaxy suspended?</t>
  </si>
  <si>
    <t>Outside of national recognition, what other kind of recognition do some of the cities get?</t>
  </si>
  <si>
    <t>In what country was a full-scale working railway steam centre first invented?</t>
  </si>
  <si>
    <t>pathogens</t>
  </si>
  <si>
    <t>25 per cent</t>
  </si>
  <si>
    <t>What Microsoft CEO is also an alumni of the University of Chicago?</t>
  </si>
  <si>
    <t>What is the term for an Indian private school?</t>
  </si>
  <si>
    <t>In October 2010</t>
  </si>
  <si>
    <t>How many people were registered to receive the HD service prior to launch?</t>
  </si>
  <si>
    <t>At what age do immune responses typically begin to decline?</t>
  </si>
  <si>
    <t>When was Warsaw's first stock exchange established?</t>
  </si>
  <si>
    <t>What important solvents contain oxygen?</t>
  </si>
  <si>
    <t>How does the pathogen kill the phagocyte?</t>
  </si>
  <si>
    <t>in effect</t>
  </si>
  <si>
    <t>How many primes were included in the early Greek's list of prime numbers?</t>
  </si>
  <si>
    <t>What minimalist composer is also a university graduate?</t>
  </si>
  <si>
    <t>What is not the origin of clinical pharmacy?</t>
  </si>
  <si>
    <t>A. A. Michelson</t>
  </si>
  <si>
    <t>What fish living in the Amazon river is known to bit humans?</t>
  </si>
  <si>
    <t>When Japan received 71% of its imported oil from the middle east in December what result did it cause in public?</t>
  </si>
  <si>
    <t>Was the RAND corporation prohibited from disclosing the research to anyone else except for the Air Force?</t>
  </si>
  <si>
    <t>How many bodies of water make up the Obersee?</t>
  </si>
  <si>
    <t>Can a packet ever be sent to the wrong number?</t>
  </si>
  <si>
    <t>Why was NSFUS initially created?</t>
  </si>
  <si>
    <t>core curriculum of seven classes</t>
  </si>
  <si>
    <t>Seljuk Turks</t>
  </si>
  <si>
    <t>In economics, notable Nobel Memorial Prize in Economic Sciences winners Milton Friedman, a major advisor to Republican U.S. President Ronald Reagan and Conservative British Prime Minister Margaret Thatcher, George Stigler, Nobel laureate and proponent of regulatory capture theory, Gary Becker, an important contributor to the family economics branch of economics, Herbert A. Simon, responsible for the modern interpretation of the concept of organizational decision-making, Paul Samuelson, the first American to win the Nobel Memorial Prize in Economic Sciences, and Eugene Fama, known for his work on portfolio theory, asset pricing and stock market behaviour, are all graduates. American economist, social theorist, political philosopher, and author Thomas Sowell is also an alumnus.</t>
  </si>
  <si>
    <t>Upper Rhine region</t>
  </si>
  <si>
    <t>Which conjecture holds that for any negative integer n, there is an infinite amount of pairs of consecutive primes differing by 2n?</t>
  </si>
  <si>
    <t>ensure that ignition sources are minimized</t>
  </si>
  <si>
    <t>In what year did one individual suggest classifying the trees of the Amazon into four categories?</t>
  </si>
  <si>
    <t>When did Hitler order the annihilation of the Warsaw Ghetto?</t>
  </si>
  <si>
    <t>In what theory is the idea of a number exchanged with that of Noetherian arithmetic?</t>
  </si>
  <si>
    <t>Ralph Woodward</t>
  </si>
  <si>
    <t>tenfold</t>
  </si>
  <si>
    <t>What have the clinics infrastructure done a lot of over the past years?</t>
  </si>
  <si>
    <t>the square root of n</t>
  </si>
  <si>
    <t>the Arabs and much of the rest of the Third World</t>
  </si>
  <si>
    <t>fundamental rights (see human rights), proportionality, legal certainty, equality before the law and subsidiarity</t>
  </si>
  <si>
    <t>Where  by mass is oxygen a major part?</t>
  </si>
  <si>
    <t>machine gun</t>
  </si>
  <si>
    <t>What was replace with the Norse religion?</t>
  </si>
  <si>
    <t>the disposition of prisoners' personal effects</t>
  </si>
  <si>
    <t>In the first half of the 17th century, a plague claimed some 1.7 million victims in Italy, or about 14% of the population. In 1656, the plague killed about half of Naples' 300,000 inhabitants. More than 1.25 million deaths resulted from the extreme incidence of plague in 17th-century Spain. The plague of 1649 probably reduced the population of Seville by half. In 1709–13, a plague epidemic that followed the Great Northern War (1700–21, Sweden v. Russia and allies) killed about 100,000 in Sweden, and 300,000 in Prussia. The plague killed two-thirds of the inhabitants of Helsinki, and claimed a third of Stockholm's population. Europe's last major epidemic occurred in 1720 in Marseille.</t>
  </si>
  <si>
    <t>reversed</t>
  </si>
  <si>
    <t>A decade after the 1973 oil crisis</t>
  </si>
  <si>
    <t>Who is one prominent advocate of this theory?</t>
  </si>
  <si>
    <t>A satellite that measured the amount of dust going to the Amazon was named what?</t>
  </si>
  <si>
    <t>What is one condition that an element p of R must satisfy in order to be considered a prime element?</t>
  </si>
  <si>
    <t>On what is Victoria's constitution based ?</t>
  </si>
  <si>
    <t>How much is a rotifer able to eat in one day?</t>
  </si>
  <si>
    <t>Under which field did the world's first synthetically produced nuclear reaction occur?</t>
  </si>
  <si>
    <t>the tension force on a load can be multiplied</t>
  </si>
  <si>
    <t>Brest</t>
  </si>
  <si>
    <t>What kind of forest is the Amazon rainforest?</t>
  </si>
  <si>
    <t>When did BSkyB launch it's HDTV service?</t>
  </si>
  <si>
    <t>Aristotelian cosmology</t>
  </si>
  <si>
    <t>March 2008</t>
  </si>
  <si>
    <t>Conciliation Committee</t>
  </si>
  <si>
    <t>What was not introduced into EU law in 2007?</t>
  </si>
  <si>
    <t>Who was the inventor of the vacuum?</t>
  </si>
  <si>
    <t>What doesn't political pressure push to extend to compensate for stagnating purchasing power?</t>
  </si>
  <si>
    <t>singing</t>
  </si>
  <si>
    <t>since the Treaty of Rome 1957</t>
  </si>
  <si>
    <t>Why would one plead guilty to a crime involving civil disobedience?</t>
  </si>
  <si>
    <t>2014</t>
  </si>
  <si>
    <t>What are killer T cells dis-activated by?</t>
  </si>
  <si>
    <t>12 million</t>
  </si>
  <si>
    <t>Tech Coast</t>
  </si>
  <si>
    <t>Who did Northen Telecom sell TRANSPAC clones to?</t>
  </si>
  <si>
    <t>When was the function hypothesis proposed?</t>
  </si>
  <si>
    <t>How much did the Groton School charge per student for tuition in 2012?</t>
  </si>
  <si>
    <t>the 12th century</t>
  </si>
  <si>
    <t>In what year was Pedro Menendez de Aviles born?</t>
  </si>
  <si>
    <t>For a phylum with relatively few species, ctenophores have a wide range of body plans. Coastal species need to be tough enough to withstand waves and swirling sediment particles, while some oceanic species are so fragile that it is very difficult to capture them intact for study. In addition oceanic species do not preserve well, and are known mainly from photographs and from observers' notes. Hence most attention has until recently concentrated on three coastal genera – Pleurobrachia, Beroe and Mnemiopsis. At least two textbooks base their descriptions of ctenophores on the cydippid Pleurobrachia.</t>
  </si>
  <si>
    <t>Sophocles demonstrated civil disobedience in a play that was called?</t>
  </si>
  <si>
    <t>When economic inequality is larger, more waste and pollution is?</t>
  </si>
  <si>
    <t>Who does not have the power to initiate legislation within the European Union?</t>
  </si>
  <si>
    <t>J. F. D. Shrewsbury</t>
  </si>
  <si>
    <t>to cause their repeal</t>
  </si>
  <si>
    <t>What is not the key distinction between analysis of algorithms and computational complexity theory?</t>
  </si>
  <si>
    <t>T(n)</t>
  </si>
  <si>
    <t>What kind of medicine can cause autoimmunity?</t>
  </si>
  <si>
    <t>43 million tons</t>
  </si>
  <si>
    <t>Outlaws</t>
  </si>
  <si>
    <t>from Dinwiddie demanding an immediate French withdrawal from the Ohio Country</t>
  </si>
  <si>
    <t>A decline in Scottish nationalism during the 1960s fueled what?</t>
  </si>
  <si>
    <t>2.5 billion years ago</t>
  </si>
  <si>
    <t>Which pharmacists never seek additional education following pharmacy school?</t>
  </si>
  <si>
    <t>How many fraternities form the University of Chicago Interfraternity Council?</t>
  </si>
  <si>
    <t>Besides Nova Scotia what was another British colony in North America?</t>
  </si>
  <si>
    <t>What does the TEU not do?</t>
  </si>
  <si>
    <t>What do statements from the PO and member in charge of the bill also indicate?</t>
  </si>
  <si>
    <t>Which country's cars became more highly sought after as they were more fuel efficient?</t>
  </si>
  <si>
    <t>Who was Janet Gray married to?</t>
  </si>
  <si>
    <t>What is the exhaust's thermodynamic basis?</t>
  </si>
  <si>
    <t>Wellington</t>
  </si>
  <si>
    <t>What are BSkyB's standard definition broadcasts compliant with?</t>
  </si>
  <si>
    <t xml:space="preserve"> When was the British East India Company unestablished?</t>
  </si>
  <si>
    <t>What was Warsaw's Old Town listed as in 1980?</t>
  </si>
  <si>
    <t>rotation</t>
  </si>
  <si>
    <t>the narrow end</t>
  </si>
  <si>
    <t>suspected to be unequal</t>
  </si>
  <si>
    <t>What insight of Galileo was associated with constant velocity?</t>
  </si>
  <si>
    <t>86 km</t>
  </si>
  <si>
    <t>Who reigned over the Ottoman empire when it was at its most powerful.</t>
  </si>
  <si>
    <t>British settlers outnumbered the French 20 to 1 with a population of about 1.5 million ranged along the eastern coast of the continent, from Nova Scotia and Newfoundland in the north, to Georgia in the south. Many of the older colonies had land claims that extended arbitrarily far to the west, as the extent of the continent was unknown at the time their provincial charters were granted. While their population centers were along the coast, the settlements were growing into the interior. Nova Scotia, which had been captured from France in 1713, still had a significant French-speaking population. Britain also claimed Rupert's Land, where the Hudson's Bay Company traded for furs with local tribes.</t>
  </si>
  <si>
    <t>What kind of deprivation results in diminished immune response and lower antibody production?</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</si>
  <si>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</si>
  <si>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Who was Warsz?</t>
  </si>
  <si>
    <t>How many chosen numbers exist?</t>
  </si>
  <si>
    <t>Did Davies develop his concept with the intention of monetizing it?</t>
  </si>
  <si>
    <t>northern China</t>
  </si>
  <si>
    <t>What kind of animals are cilia considered?</t>
  </si>
  <si>
    <t>free India</t>
  </si>
  <si>
    <t>a form of anthrax</t>
  </si>
  <si>
    <t>What is a reason for the movement to legalize importing medicines from other countries?</t>
  </si>
  <si>
    <t>In 1785 what was duc de Choiseul's plan for focused military efforts?</t>
  </si>
  <si>
    <t>arbitrary graph</t>
  </si>
  <si>
    <t>Who has said that climate models are uncertain?</t>
  </si>
  <si>
    <t>reduction</t>
  </si>
  <si>
    <t>social goal</t>
  </si>
  <si>
    <t>What year was the Treaty of Amsterdam rejected by the European Union law?</t>
  </si>
  <si>
    <t>Who works to get workers lower compensation?</t>
  </si>
  <si>
    <t>Who has an emergency supply of O?</t>
  </si>
  <si>
    <t>transportation, sewer, hazardous waste and water</t>
  </si>
  <si>
    <t>When B cells and T cells are activated and begin to replicate, some of their offspring become long-lived memory cells. Throughout the lifetime of an animal, these memory cells remember each specific pathogen encountered and can mount a strong response if the pathogen is detected again. This is "adaptive" because it occurs during the lifetime of an individual as an adaptation to infection with that pathogen and prepares the immune system for future challenges. Immunological memory can be in the form of either passive short-term memory or active long-term memory.</t>
  </si>
  <si>
    <t>Who led a Mongol attack on the Song dynasty?</t>
  </si>
  <si>
    <t>geographic scholars</t>
  </si>
  <si>
    <t>How many people lived in Poland in 1939?</t>
  </si>
  <si>
    <t>developed</t>
  </si>
  <si>
    <t>Steam engines</t>
  </si>
  <si>
    <t>23</t>
  </si>
  <si>
    <t>dispute over control</t>
  </si>
  <si>
    <t>nearly $40 per barrel</t>
  </si>
  <si>
    <t>the Middle East</t>
  </si>
  <si>
    <t xml:space="preserve">Who linked any future policy changes to peace? </t>
  </si>
  <si>
    <t>If three sequential packets are sent and the one in the middle is lost, then how is the data recompiled in a meaningful way?</t>
  </si>
  <si>
    <t>p − 1 or a divisor of p − 1</t>
  </si>
  <si>
    <t>the young and the elderly</t>
  </si>
  <si>
    <t>How many nations contain "Amazonas" in their names?</t>
  </si>
  <si>
    <t>the Timucua</t>
  </si>
  <si>
    <t>first FCC-licensed public data network</t>
  </si>
  <si>
    <t>Great Dividing Range</t>
  </si>
  <si>
    <t>What did the Court of Justice say that Mr. Steymann was not entitled to do?</t>
  </si>
  <si>
    <t>Western Cape province</t>
  </si>
  <si>
    <t>What is the average discharge of the Moselle to the Neckar?</t>
  </si>
  <si>
    <t>level of the top tax rate</t>
  </si>
  <si>
    <t>intuition</t>
  </si>
  <si>
    <t>Is a problem instance typically characterized as abstract or concrete?</t>
  </si>
  <si>
    <t>Shangdu</t>
  </si>
  <si>
    <t>Older people get less sun and produce less of what chemical via UVB radiation?</t>
  </si>
  <si>
    <t>A B cell identifies pathogens when antibodies on its surface bind to a specific foreign antigen. This antigen/antibody complex is taken up by the B cell and processed by proteolysis into peptides. The B cell then displays these antigenic peptides on its surface MHC class II molecules. This combination of MHC and antigen attracts a matching helper T cell, which releases lymphokines and activates the B cell. As the activated B cell then begins to divide, its offspring (plasma cells) secrete millions of copies of the antibody that recognizes this antigen. These antibodies circulate in blood plasma and lymph, bind to pathogens expressing the antigen and mark them for destruction by complement activation or for uptake and destruction by phagocytes. Antibodies can also neutralize challenges directly, by binding to bacterial toxins or by interfering with the receptors that viruses and bacteria use to infect cells.</t>
  </si>
  <si>
    <t>What do petrologists use to understand magma chamber crystallization?</t>
  </si>
  <si>
    <t>Yuan T. Lee</t>
  </si>
  <si>
    <t>Which type of law makes EU institutions and its member states follow the law?</t>
  </si>
  <si>
    <t>military roads to the area by Braddock and Forbes</t>
  </si>
  <si>
    <t>Who contributes to Members Business in addition to the proposer?</t>
  </si>
  <si>
    <t>When was Frame Relay's protocols used at UNI?</t>
  </si>
  <si>
    <t>Mid-Atlantic</t>
  </si>
  <si>
    <t>When did Li Tan lead a revolt?</t>
  </si>
  <si>
    <t>365.2425 days of the year</t>
  </si>
  <si>
    <t>To what level would the polynomial time hierarchy collapse if graph isomorphism is NP-complete?</t>
  </si>
  <si>
    <t>can produce both eggs and sperm at the same time</t>
  </si>
  <si>
    <t>Los Angeles</t>
  </si>
  <si>
    <t>What did Artur Triton give to the world?</t>
  </si>
  <si>
    <t>How many housing units were there in 2000?</t>
  </si>
  <si>
    <t>What do cells away from the site of the infection undergo?</t>
  </si>
  <si>
    <t>How long did Julia Butterfly Hill live near a nuclear-missile installation?</t>
  </si>
  <si>
    <t>quiescent</t>
  </si>
  <si>
    <t>Masovian Primeval Forest</t>
  </si>
  <si>
    <t>What is used to quantify the intuitive undestanding of forces?</t>
  </si>
  <si>
    <t>Carmichael</t>
  </si>
  <si>
    <t>Where was the Central non-Secretariat based?</t>
  </si>
  <si>
    <t xml:space="preserve"> When did Khan formally reject the Yuan dynasty?</t>
  </si>
  <si>
    <t>What are the factors that are contributing to the desire to have SR 99 improved to be of interstate standards?</t>
  </si>
  <si>
    <t>Diffie–Hellman key exchange</t>
  </si>
  <si>
    <t>By the end of 1350</t>
  </si>
  <si>
    <t>restriction modification system</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</si>
  <si>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</si>
  <si>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What is the force exerted by standard gravity on one ton of mass?</t>
  </si>
  <si>
    <t>new absolute</t>
  </si>
  <si>
    <t>Ctenophores</t>
  </si>
  <si>
    <t>time and memory consumption</t>
  </si>
  <si>
    <t>spring reaction</t>
  </si>
  <si>
    <t>30 °C</t>
  </si>
  <si>
    <t>In what year did Warszowa become the official capital of the Masovian Duchy?</t>
  </si>
  <si>
    <t>What river runs alongside Jacksonville?</t>
  </si>
  <si>
    <t>Where can Aeolian sand with a number of dunes be found?</t>
  </si>
  <si>
    <t>slash and burn method</t>
  </si>
  <si>
    <t>advanced research and education networking</t>
  </si>
  <si>
    <t>1677–1683</t>
  </si>
  <si>
    <t>"An Account of Further Discoveries in Air" was published by who in 1775?</t>
  </si>
  <si>
    <t>prototype for confederation</t>
  </si>
  <si>
    <t>Visa Inc.</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</si>
  <si>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</si>
  <si>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What is unable to evade the immune system?</t>
  </si>
  <si>
    <t>When was Otto von Bismarck born?</t>
  </si>
  <si>
    <t>Calvinist</t>
  </si>
  <si>
    <t>lymphokines</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</si>
  <si>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</si>
  <si>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pre-Columbian era</t>
  </si>
  <si>
    <t>Victoria Constitution Act 185</t>
  </si>
  <si>
    <t>What was a major failure, especially in the building of Warsaw?</t>
  </si>
  <si>
    <t>What smaller weaker swimmers do amphipods feed on?</t>
  </si>
  <si>
    <t>roughly 60,000 European settlers</t>
  </si>
  <si>
    <t>compounds of oxygen with a high oxidative</t>
  </si>
  <si>
    <t>as much as 50%</t>
  </si>
  <si>
    <t xml:space="preserve"> When was the heyday of secular non-Arab nationalism?</t>
  </si>
  <si>
    <t>What type of radar was used to classify trees into four categories?</t>
  </si>
  <si>
    <t>Aveo</t>
  </si>
  <si>
    <t>Who is the first administrator of the Federal Energy Office?</t>
  </si>
  <si>
    <t>drive shaft</t>
  </si>
  <si>
    <t>What did OPEC do to gain market share in 1979?</t>
  </si>
  <si>
    <t>the Harris School of Public Policy Studies</t>
  </si>
  <si>
    <t>plead not guilty</t>
  </si>
  <si>
    <t>What cannot be defined by bounding the time or space used the the algorithm?</t>
  </si>
  <si>
    <t>Where does the Paris School Of Business have campuses?</t>
  </si>
  <si>
    <t>force of gravity</t>
  </si>
  <si>
    <t>radius</t>
  </si>
  <si>
    <t>Which officer represents the Scottish Police Force at home and abroad?</t>
  </si>
  <si>
    <t>numerous foundations were laid out</t>
  </si>
  <si>
    <t>What are the three building subsectors?</t>
  </si>
  <si>
    <t>55 mph</t>
  </si>
  <si>
    <t>What paleontologists are currently on the university's faculty?</t>
  </si>
  <si>
    <t>Which theory justifies imperialism in part?</t>
  </si>
  <si>
    <t>Who took command of French in spring of 1753?</t>
  </si>
  <si>
    <t>How would the geographical societies in Europe reject certain travelers?</t>
  </si>
  <si>
    <t>What list was Warsaw's Old Town inscribed onto in 1980?</t>
  </si>
  <si>
    <t>ctenophores and cnidarians</t>
  </si>
  <si>
    <t>raises the productivity of each worker,</t>
  </si>
  <si>
    <t>What year was Setanta Sports awarded Primeier Leage rights to broadcast?</t>
  </si>
  <si>
    <t>Most what in the Amazon have clearly defined boundaries?</t>
  </si>
  <si>
    <t>Roughly contemporaneous with Maududi was the founding of the Muslim Brotherhood in Ismailiyah, Egypt in 1928 by Hassan al Banna. His was arguably the first, largest and most influential modern Islamic political/religious organization. Under the motto "the Qur'an is our constitution," it sought Islamic revival through preaching and also by providing basic community services including schools, mosques, and workshops. Like Maududi, Al Banna believed in the necessity of government rule based on Shariah law implemented gradually and by persuasion, and of eliminating all imperialist influence in the Muslim world.</t>
  </si>
  <si>
    <t>These attacks resonated with conservative Muslims and the problem did not go away with Saddam's defeat either, since American troops remained stationed in the kingdom, and a de facto cooperation with the Palestinian-Israeli peace process developed. Saudi Arabia attempted to compensate for its loss of prestige among these groups by repressing those domestic Islamists who attacked it (bin Laden being a prime example), and increasing aid to Islamic groups (Islamist madrassas around the world and even aiding some violent Islamist groups) that did not, but its pre-war influence on behalf of moderation was greatly reduced. One result of this was a campaign of attacks on government officials and tourists in Egypt, a bloody civil war in Algeria and Osama bin Laden's terror attacks climaxing in the 9/11 attack.</t>
  </si>
  <si>
    <t>Resources are constrained by hierarchy theorems to produce what?</t>
  </si>
  <si>
    <t>military roads to the area</t>
  </si>
  <si>
    <t>What two member nations of the Holy Roman Empire received Huguenot refugees?</t>
  </si>
  <si>
    <t>those who already hold wealth</t>
  </si>
  <si>
    <t xml:space="preserve"> When Iqbal promoted ideas of greater Islamic political unity, what did he discourage ending?</t>
  </si>
  <si>
    <t xml:space="preserve">What development, along with wear, makes it difficult to seal the rotors in an engine that lacks steam? </t>
  </si>
  <si>
    <t>How much land do farms use in Victoria?</t>
  </si>
  <si>
    <t>PolitiFact</t>
  </si>
  <si>
    <t>what did the UK parliment hear that a subscription to BSkyB was?</t>
  </si>
  <si>
    <t>How wide is the Rhine in Germany between Emmrich and Cleves?</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</si>
  <si>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</si>
  <si>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Nevada</t>
  </si>
  <si>
    <t>Who liquified oxygen in a stable state on March 22, 1883?</t>
  </si>
  <si>
    <t>$38,000</t>
  </si>
  <si>
    <t>socialism in one country</t>
  </si>
  <si>
    <t>they were accepted and allowed to worship freely</t>
  </si>
  <si>
    <t>What do some government officials give in response to illegal actions?</t>
  </si>
  <si>
    <t>the NP-complete knapsack problem</t>
  </si>
  <si>
    <t>flattened</t>
  </si>
  <si>
    <t>the classical element fire</t>
  </si>
  <si>
    <t>pre-Columbian</t>
  </si>
  <si>
    <t>Toyota Hilux</t>
  </si>
  <si>
    <t>When had the Six Ministries existed?</t>
  </si>
  <si>
    <t>Where did Aristotle believe the natural place for earth and water elements?</t>
  </si>
  <si>
    <t>Who do preparatory schools in Scotland prepare to enter public schools?</t>
  </si>
  <si>
    <t>When did the Holocene Rhine-Meuse delta stop forming?</t>
  </si>
  <si>
    <t>What was suggested in immunology before the 19th century?</t>
  </si>
  <si>
    <t>What is notable about the Amazon forest when it is seen from space?</t>
  </si>
  <si>
    <t>What a a citizen or company not invoke?</t>
  </si>
  <si>
    <t>What city has a population of 3,792,261?</t>
  </si>
  <si>
    <t>foreign</t>
  </si>
  <si>
    <t>A further type of committee is normally set up to scrutinise private bills submitted to the Scottish Parliament by an outside party or promoter who is not a member of the Scottish Parliament or Scottish Government. Private bills normally relate to large-scale development projects such as infrastructure projects that require the use of land or property. Private Bill Committees have been set up to consider legislation on issues such as the development of the Edinburgh Tram Network, the Glasgow Airport Rail Link, the Airdrie-Bathgate Rail Link and extensions to the National Gallery of Scotland.</t>
  </si>
  <si>
    <t>What is fuel the source of?</t>
  </si>
  <si>
    <t>What is key to getting the skills needed for low demand jobs?</t>
  </si>
  <si>
    <t>What do unstable isotope studies indicate?</t>
  </si>
  <si>
    <t>may be powerful but it is not necessarily right</t>
  </si>
  <si>
    <t>Battle of Jumonville Glen in May 1754,</t>
  </si>
  <si>
    <t>What did Vilenski represent better than anyone else?</t>
  </si>
  <si>
    <t>In the United States, the industry in 2014 has around $960 billion in annual revenue according to statistics tracked by the Census Bureau, of which $680 billion is private (split evenly between residential and nonresidential) and the remainder is government. As of 2005, there were about 667,000 firms employing 1 million contractors (200,000 general contractors, 38,000 heavy, and 432,000 specialty); the average contractor employed fewer than 10 employees. As a whole, the industry employed an estimated 5.8 million as of April 2013, with a 13.2% unemployment rate. In the United States, approximately 828,000 women were employed in the construction industry as of 2011.</t>
  </si>
  <si>
    <t>What do encrypted broadcasts never require?</t>
  </si>
  <si>
    <t>Epte</t>
  </si>
  <si>
    <t>Victoria</t>
  </si>
  <si>
    <t>What was the name of the legislation passed in 1850?</t>
  </si>
  <si>
    <t>lung tissue</t>
  </si>
  <si>
    <t>How was Sadat rewarded by the Islamists for his attempts to keep Egypt from being in modern times and civilization?</t>
  </si>
  <si>
    <t>Orange County</t>
  </si>
  <si>
    <t>tax rate</t>
  </si>
  <si>
    <t>high school</t>
  </si>
  <si>
    <t>Jacksonville Consolidation</t>
  </si>
  <si>
    <t>What are the other four important complexity classes?</t>
  </si>
  <si>
    <t>In the Rankine cycle, what does nuclear power turn into when heated?</t>
  </si>
  <si>
    <t>nearly 10,000</t>
  </si>
  <si>
    <t>What kind of human T cells respond to common molecules produced by microbes?</t>
  </si>
  <si>
    <t>Who wrote about the great pestilence in 1893?</t>
  </si>
  <si>
    <t>the 2009 southeastern Australia heat wave</t>
  </si>
  <si>
    <t>music</t>
  </si>
  <si>
    <t>mistreatment</t>
  </si>
  <si>
    <t>Who invited Washington to dine with him?</t>
  </si>
  <si>
    <t>What do zooplankton usually prey on?</t>
  </si>
  <si>
    <t>if the Treaty provisions have a direct effect and they are sufficiently clear, precise and unconditional</t>
  </si>
  <si>
    <t>What does focusing on morality help a judge to achieve?</t>
  </si>
  <si>
    <t>The Rhine gets how much water from the Aare?</t>
  </si>
  <si>
    <t>ramification in geometry</t>
  </si>
  <si>
    <t>major national and international patient information projects and health system interoperability goals</t>
  </si>
  <si>
    <t>In what year did Lavoisier publish his work on combustion?</t>
  </si>
  <si>
    <t>In what time period did the Lobata, Cestida and Thalassocalycida become extinct?</t>
  </si>
  <si>
    <t>What did the non-Afghan veterans returning home not have in addition to their prestige?</t>
  </si>
  <si>
    <t>What is the average plant biosmass?</t>
  </si>
  <si>
    <t>In what theory is the idea of a number exchanged with that of an ideal?</t>
  </si>
  <si>
    <t>The Electronic Frontier Foundation</t>
  </si>
  <si>
    <t>How much potential economic growth could the United States amass if everyone went through more schooling?</t>
  </si>
  <si>
    <t>sent John Bradstreet on an expedition that successfully destroyed Fort Frontenac</t>
  </si>
  <si>
    <t>regional tourism groups</t>
  </si>
  <si>
    <t>catalytic</t>
  </si>
  <si>
    <t>9th century</t>
  </si>
  <si>
    <t>What did the Huguenots who settled in Dublin contribute?</t>
  </si>
  <si>
    <t>Besides Beibniz, what other mathematician proved the validity of Euler's little theorem?</t>
  </si>
  <si>
    <t>Who can question statements the First Minister or members of the cabinet make?</t>
  </si>
  <si>
    <t>John D. Rockefeller</t>
  </si>
  <si>
    <t>36%</t>
  </si>
  <si>
    <t>to legalize importation of medications from Canada and other countries</t>
  </si>
  <si>
    <t>What do global firms report on for the construction industry?</t>
  </si>
  <si>
    <t>lower levels of inequality</t>
  </si>
  <si>
    <t>How man people gather along the banks of the Vistula for the Wianki festival?</t>
  </si>
  <si>
    <t>Jurassic Period</t>
  </si>
  <si>
    <t>Z</t>
  </si>
  <si>
    <t>What is a criticism of online pharmacies that issue drugs without a prescription?</t>
  </si>
  <si>
    <t>AUSTPAC was an Australian public X.25 network operated by Telstra</t>
  </si>
  <si>
    <t>asymptotic distribution</t>
  </si>
  <si>
    <t>What is a twin prime?</t>
  </si>
  <si>
    <t>What helps the process of free movement of goods?</t>
  </si>
  <si>
    <t>economic center</t>
  </si>
  <si>
    <t>Which English town had the largest refugee church?</t>
  </si>
  <si>
    <t>How much of the Rhine flow does Ijssel carry?</t>
  </si>
  <si>
    <t>Tatiana Kuplich</t>
  </si>
  <si>
    <t>What can you say about a fault that penetrates the top rocks but not the lower formations?</t>
  </si>
  <si>
    <t>digital terrestrial</t>
  </si>
  <si>
    <t>compounding/dispensing medications</t>
  </si>
  <si>
    <t xml:space="preserve"> Which sciences were often practiced together by the same artists?</t>
  </si>
  <si>
    <t>coordinating lead author of the Fifth Assessment Report</t>
  </si>
  <si>
    <t>Where does the Middle Rhine flow between Bingen and Bonn?</t>
  </si>
  <si>
    <t>In what time period were lagerstatten first found?</t>
  </si>
  <si>
    <t>What did the Works Council Directive require?</t>
  </si>
  <si>
    <t>What function does ozone perform for the planet?</t>
  </si>
  <si>
    <t>What types of responsibilities might a pharmacy technician have?</t>
  </si>
  <si>
    <t>What mechanism can be used to make oxygen?</t>
  </si>
  <si>
    <t>the mortar and pestle and the ℞ (recipere) character</t>
  </si>
  <si>
    <t>What does the highest level of the Vistula dune contain?</t>
  </si>
  <si>
    <t>Why did Pedro Menendez de Aviles called the St. John River the river of May?</t>
  </si>
  <si>
    <t>What does the deterministic parting algorithm quicksort do?</t>
  </si>
  <si>
    <t xml:space="preserve"> When did the Germanic tribes not claim territory in north and west Europe?</t>
  </si>
  <si>
    <t>Along with electric motors, what type of engines superseded piston steam engines?</t>
  </si>
  <si>
    <t>Who was the first President of the IPCC?</t>
  </si>
  <si>
    <t>1294 to 1307</t>
  </si>
  <si>
    <t>What claim did BSkyB agree with?</t>
  </si>
  <si>
    <t>Where are the Harvard medical, Dental and school of Public Health located?</t>
  </si>
  <si>
    <t>2p + 1 with p prime</t>
  </si>
  <si>
    <t>What was the black death originally blamed on?</t>
  </si>
  <si>
    <t>relationship contracting</t>
  </si>
  <si>
    <t xml:space="preserve">What is the most recent example of financial fault lines? </t>
  </si>
  <si>
    <t>What is a thrust fault?</t>
  </si>
  <si>
    <t>What is also decided by the Presiding Officer?</t>
  </si>
  <si>
    <t>What is Janjaap Ruijssenaar going to build in 2013?</t>
  </si>
  <si>
    <t>counties or powiats</t>
  </si>
  <si>
    <t>symbols</t>
  </si>
  <si>
    <t>What geometric shape is used in equations to determine net force?</t>
  </si>
  <si>
    <t>What issues do member states say the Court of Justice does not have the final say on?</t>
  </si>
  <si>
    <t>What occurs when traveling across a surface at a constant velocity with regard to friction?</t>
  </si>
  <si>
    <t>What is higher in countries with more inequality for the top 21 industrialized countries?</t>
  </si>
  <si>
    <t>an imaginative geography</t>
  </si>
  <si>
    <t>Arctic</t>
  </si>
  <si>
    <t>What type of zero distribution does the Riemann hypothesis propose is also true for short intervals near X?</t>
  </si>
  <si>
    <t>When was the French colony in modern day Brazil founded?</t>
  </si>
  <si>
    <t>What is the famous rock called that the Rhine flows around?</t>
  </si>
  <si>
    <t>villes de sûreté</t>
  </si>
  <si>
    <t>feed water</t>
  </si>
  <si>
    <t>How many lobes do cilia have?</t>
  </si>
  <si>
    <t>Viking</t>
  </si>
  <si>
    <t>What are flagella also called?</t>
  </si>
  <si>
    <t>descended from an Italo-Norman named Raoul</t>
  </si>
  <si>
    <t>What was the network operated by the Duct PTT Telecom?</t>
  </si>
  <si>
    <t>a number of qualifications</t>
  </si>
  <si>
    <t>Second law</t>
  </si>
  <si>
    <t>What happened to Bretton Woods income due to prices not being in sync with the market?</t>
  </si>
  <si>
    <t>a hemicycle</t>
  </si>
  <si>
    <t>In private schools, what language are classes taught in?</t>
  </si>
  <si>
    <t>The owner</t>
  </si>
  <si>
    <t>What took place during the Mexian War?</t>
  </si>
  <si>
    <t>What type of architecture is the Palace of Bank an impressive example of?</t>
  </si>
  <si>
    <t>Basel</t>
  </si>
  <si>
    <t>Studs Terkel</t>
  </si>
  <si>
    <t>What happens to the working fluid in a closed loop system?</t>
  </si>
  <si>
    <t>using unreliable datagrams and associated end-to-end protocol mechanisms</t>
  </si>
  <si>
    <t>Colonel Monckton, in the sole British success that year, captured Fort Beauséjour in June 1755, cutting the French fortress at Louisbourg off from land-based reinforcements. To cut vital supplies to Louisbourg, Nova Scotia's Governor Charles Lawrence ordered the deportation of the French-speaking Acadian population from the area. Monckton's forces, including companies of Rogers' Rangers, forcibly removed thousands of Acadians, chasing down many who resisted, and sometimes committing atrocities. More than any other factor, the cutting off of supplies to Louisbourg led to its demise. The Acadian resistance, in concert with native allies, including the Mi'kmaq, was sometimes quite stiff, with ongoing frontier raids (against Dartmouth and Lunenburg among others). Other than the campaigns to expel the Acadians (ranging around the Bay of Fundy, on the Petitcodiac and St. John rivers, and Île Saint-Jean), the only clashes of any size were at Petitcodiac in 1755 and at Bloody Creek near Annapolis Royal in 1757.</t>
  </si>
  <si>
    <t>avoid prohibitively costly dowry demands</t>
  </si>
  <si>
    <t>Within what variable is L constrained according to the space hierarchy theorem?</t>
  </si>
  <si>
    <t>Whose activities were the French able to lose knowledge of?</t>
  </si>
  <si>
    <t>A balance force accelerates what?</t>
  </si>
  <si>
    <t>Which dynasties' histories were officially documented during Toghun's reign?</t>
  </si>
  <si>
    <t>In what century was apartheid abolished?</t>
  </si>
  <si>
    <t>What did Houghton say is necessary for any changes to the SPM?</t>
  </si>
  <si>
    <t xml:space="preserve"> When did France begin in earnest to build its global empire for the first time?</t>
  </si>
  <si>
    <t>Where is Visa Inc. located?</t>
  </si>
  <si>
    <t>Who established the Confederation of the Rhine?</t>
  </si>
  <si>
    <t>all the horrible wars</t>
  </si>
  <si>
    <t>What is an example of a machine model that deviates from a generally accepted multi-tape Turing machine?</t>
  </si>
  <si>
    <t>What oxygen reservoir is the driving factor of the oxygen cycle?</t>
  </si>
  <si>
    <t>triple</t>
  </si>
  <si>
    <t>Whose decision was it to name the new town New Rochelle?</t>
  </si>
  <si>
    <t>the Schrödinger equation</t>
  </si>
  <si>
    <t>blood–brain barrier, blood–cerebrospinal fluid barrier, and similar fluid–brain barriers</t>
  </si>
  <si>
    <t>a proprietary suite of networking protocols developed by Apple Inc</t>
  </si>
  <si>
    <t>What does the mayor's council divide itself into?</t>
  </si>
  <si>
    <t>Which reason is given sometimes to plead not guilty involving these matters?</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</si>
  <si>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</si>
  <si>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Where does a phagocyte get stuck in a pathogen?</t>
  </si>
  <si>
    <t>make detailed plans and maintain careful oversight</t>
  </si>
  <si>
    <t>How high are Victoria's river regions?</t>
  </si>
  <si>
    <t>What do gravitational forces act between?</t>
  </si>
  <si>
    <t>How many megaregions are there in the United States?</t>
  </si>
  <si>
    <t>tuition-free</t>
  </si>
  <si>
    <t xml:space="preserve"> When did the age of Imperialism end?</t>
  </si>
  <si>
    <t>major economic center</t>
  </si>
  <si>
    <t>What is the largest main branch of the Rhine?</t>
  </si>
  <si>
    <t>At present, the branches Waal and Nederrijn-Lek discharge to the North Sea, through the former Meuse estuary, near Rotterdam. The river IJssel branch flows to the north and enters the IJsselmeer, formerly the Zuider Zee brackish lagoon; however, since 1932, a freshwater lake. The discharge of the Rhine is divided among three branches: the River Waal (6/9 of total discharge), the River Nederrijn – Lek (2/9 of total discharge) and the River IJssel (1/9 of total discharge). This discharge distribution has been maintained since 1709, by river engineering works, including the digging of the Pannerdens canal and since the 20th century, with the help of weirs in the Nederrijn river.</t>
  </si>
  <si>
    <t>orientalism</t>
  </si>
  <si>
    <t>civil, military, and censorial offices</t>
  </si>
  <si>
    <t>The dominant economic sectors in the Middle Rhine area are viniculture and tourism. The Rhine Gorge between Rüdesheim am Rhein and Koblenz is listed as a UNESCO World Heritage Site. Near Sankt Goarshausen, the Rhine flows around the famous rock Lorelei. With its outstanding architectural monuments, the slopes full of vines, settlements crowded on the narrow river banks and scores of castles lined up along the top of the steep slopes, the Middle Rhine Valley can be considered the epitome of the Rhine romanticism.</t>
  </si>
  <si>
    <t>0.2</t>
  </si>
  <si>
    <t>28</t>
  </si>
  <si>
    <t>evenly</t>
  </si>
  <si>
    <t>Why do differentiated effector cells ebb during wake periods?</t>
  </si>
  <si>
    <t xml:space="preserve">What is one way in which graphs can be encoded? </t>
  </si>
  <si>
    <t>What components raise steam temperature above its saturated firebox point?</t>
  </si>
  <si>
    <t>60%</t>
  </si>
  <si>
    <t>Who influenced Bismark besides his neighbors?</t>
  </si>
  <si>
    <t>Huguenots furnished two new regiments</t>
  </si>
  <si>
    <t>obligately anaerobic organisms</t>
  </si>
  <si>
    <t>What fire left 2000 people homeless?</t>
  </si>
  <si>
    <t>repulsion of like charges</t>
  </si>
  <si>
    <t>What did Gasquet think the plague was?</t>
  </si>
  <si>
    <t>the rat population was insufficient</t>
  </si>
  <si>
    <t>How are pharmacists never regulated?</t>
  </si>
  <si>
    <t>What person helped establish the school with a donation?</t>
  </si>
  <si>
    <t>computability theory</t>
  </si>
  <si>
    <t>When did the y. pestis reach England?</t>
  </si>
  <si>
    <t>What is the prize offered for finding a solution to P=NP?</t>
  </si>
  <si>
    <t>The Amazon</t>
  </si>
  <si>
    <t>communicating with patients</t>
  </si>
  <si>
    <t>Who formed the universal theory of gravitation?</t>
  </si>
  <si>
    <t>In what city did the king of France live?</t>
  </si>
  <si>
    <t>How many of the Scottish electorate would need to for it on the referendum?</t>
  </si>
  <si>
    <t>sedimentary rocks</t>
  </si>
  <si>
    <t>What earthquake caused $20 million in damage?</t>
  </si>
  <si>
    <t>mid-Cambrian period</t>
  </si>
  <si>
    <t>at the right bank of the Vistula, by the eastern border of Warsaw</t>
  </si>
  <si>
    <t>356 ± 47 tonnes per hectare</t>
  </si>
  <si>
    <t>waste of resources</t>
  </si>
  <si>
    <t>When was the joint statement on climate change issued?</t>
  </si>
  <si>
    <t>What did the ASER report show about how people feel about private schools?</t>
  </si>
  <si>
    <t>faster</t>
  </si>
  <si>
    <t>What allows the adaptive immune system to react faster and more strongly each subsequent time a pathogen is encountered?</t>
  </si>
  <si>
    <t>After Huguenots fled France, their last remaining bastion was where?</t>
  </si>
  <si>
    <t>a much larger conflict between France and Great Britain</t>
  </si>
  <si>
    <t>Using boiling water to produce mechanical motion goes back over 2000 years, but early devices were not practical. The Spanish inventor Jerónimo de Ayanz y Beaumont obtained the first patent for a steam engine in 1606. In 1698 Thomas Savery patented a steam pump that used steam in direct contact with the water being pumped. Savery's steam pump used condensing steam to create a vacuum and draw water into a chamber, and then applied pressurized steam to further pump the water. Thomas Newcomen's atmospheric engine was the first commercial true steam engine using a piston, and was used in 1712 for pumping in a mine.</t>
  </si>
  <si>
    <t>humoral system</t>
  </si>
  <si>
    <t>Where does the pattern of lower income-longer lives still hold true?</t>
  </si>
  <si>
    <t xml:space="preserve">By 199 how many universities were connected </t>
  </si>
  <si>
    <t>What was Fecamp Abby the center of?</t>
  </si>
  <si>
    <t>What did Vrisovci own?</t>
  </si>
  <si>
    <t>When was the heyday of secular Arab nationalism?</t>
  </si>
  <si>
    <t>distributed</t>
  </si>
  <si>
    <t>L'Église française à la Nouvelle-Amsterdam</t>
  </si>
  <si>
    <t>In what year of 20th century, did Harvard release an important document about education in America?</t>
  </si>
  <si>
    <t>1997 Treaty of Amsterdam</t>
  </si>
  <si>
    <t>How many kilometers is Warsaw from the Carpathian Mountains?</t>
  </si>
  <si>
    <t>Who congratulated the SNP while vowing to campaign against their referendum?</t>
  </si>
  <si>
    <t>What can not be considered an artifact of the potential field?</t>
  </si>
  <si>
    <t>What do nuclear power plants heat to create electricity?</t>
  </si>
  <si>
    <t>MHC class I</t>
  </si>
  <si>
    <t>Famous musicians</t>
  </si>
  <si>
    <t>Buyantu Khan</t>
  </si>
  <si>
    <t>What percentage of Warsaw's population was Protestant in 1901?</t>
  </si>
  <si>
    <t>What Governor in charge of New France died in 1752?</t>
  </si>
  <si>
    <t>37° 9' 58.23"</t>
  </si>
  <si>
    <t>What's the Latin name for Germany?</t>
  </si>
  <si>
    <t xml:space="preserve">Packet switching communication has what kind of bit rate? </t>
  </si>
  <si>
    <t>What other topics can Civil disobedience pertain to?</t>
  </si>
  <si>
    <t>Jon Corzine</t>
  </si>
  <si>
    <t>Lower Norfolk County</t>
  </si>
  <si>
    <t>How does sediment make rock fall?</t>
  </si>
  <si>
    <t>When had the Brotherhood renounced violence as a means of achieving its goals?</t>
  </si>
  <si>
    <t>large-scale development projects</t>
  </si>
  <si>
    <t>What do the vesticles on tentilla contain?</t>
  </si>
  <si>
    <t>What did John Dalton hypothesize in 1805?</t>
  </si>
  <si>
    <t>role of Yersinia pestis in the Black Death</t>
  </si>
  <si>
    <t>The heat required for boiling the water and supplying the steam can be derived from various sources, most commonly from burning combustible materials with an appropriate supply of air in a closed space (called variously combustion chamber, firebox). In some cases the heat source is a nuclear reactor, geothermal energy, solar energy or waste heat from an internal combustion engine or industrial process. In the case of model or toy steam engines, the heat source can be an electric heating element.</t>
  </si>
  <si>
    <t>Gothic</t>
  </si>
  <si>
    <t>What was done to counteract the overpopulation of mnemiopsis in The Black Sea?</t>
  </si>
  <si>
    <t>What Yuan policies did Muslims like?</t>
  </si>
  <si>
    <t>metric slug</t>
  </si>
  <si>
    <t xml:space="preserve">What did this concept contradict </t>
  </si>
  <si>
    <t>Which years did studies find that warming was exceptional?</t>
  </si>
  <si>
    <t>Aristotle</t>
  </si>
  <si>
    <t>What does being conscientious toward the law lead to?</t>
  </si>
  <si>
    <t>Recent studies believe  that ctenophores are the sister lineage to what?</t>
  </si>
  <si>
    <t>a single output</t>
  </si>
  <si>
    <t>The inland delta at the mouth of the Rhine is with what Lake?</t>
  </si>
  <si>
    <t>Who did Jacksonville support with supplies during the Revolutionary war?</t>
  </si>
  <si>
    <t xml:space="preserve"> What did the non-Salafi movement put emphasis on?</t>
  </si>
  <si>
    <t>Ohio Company</t>
  </si>
  <si>
    <t>The Harvard Business School and many of the university's athletics facilities, including Harvard Stadium, are located on a 358-acre (145 ha) campus opposite the Cambridge campus in Allston. The John W. Weeks Bridge is a pedestrian bridge over the Charles River connecting both campuses. The Harvard Medical School, Harvard School of Dental Medicine, and the Harvard School of Public Health are located on a 21-acre (8.5 ha) campus in the Longwood Medical and Academic Area approximately 3.3 miles (5.3 km) southwest of downtown Boston and 3.3 miles (5.3 km) south of the Cambridge campus.</t>
  </si>
  <si>
    <t>What needs to be found to find out if rocks are related?</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</si>
  <si>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</si>
  <si>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see no need to accept punishment for a violation of criminal law that does not infringe the rights of others</t>
  </si>
  <si>
    <t>In lands attributed to what tribe are found remains of large settlements?</t>
  </si>
  <si>
    <t>the turbine casing</t>
  </si>
  <si>
    <t>In what field were double and triple expansion engines common?</t>
  </si>
  <si>
    <t>Why did OPEC raise the price of oil to $5.11?</t>
  </si>
  <si>
    <t>Thomas Piketty</t>
  </si>
  <si>
    <t>better health and longer lives</t>
  </si>
  <si>
    <t>pharmacists practicing in hospitals</t>
  </si>
  <si>
    <t>Ukraine</t>
  </si>
  <si>
    <t>weighted inversely to member state size</t>
  </si>
  <si>
    <t xml:space="preserve"> What type of medicine did non-Mongol shamans use?</t>
  </si>
  <si>
    <t>lactobacilli</t>
  </si>
  <si>
    <t>The election produced a majority SNP government, making this the first time in the Scottish Parliament where a party has commanded a parliamentary majority. The SNP took 16 seats from Labour, with many of their key figures not returned to parliament, although Labour leader Iain Gray retained East Lothian by 151 votes. The SNP took a further eight seats from the Liberal Democrats and one seat from the Conservatives. The SNP overall majority meant that there was sufficient support in the Scottish Parliament to hold a referendum on Scottish independence.</t>
  </si>
  <si>
    <t>What was the name of the locomotive that debuted in 1825?</t>
  </si>
  <si>
    <t>What does the owner produce to show how to attain the goals?</t>
  </si>
  <si>
    <t>1606</t>
  </si>
  <si>
    <t>What cells do helper B cells assist?</t>
  </si>
  <si>
    <t>their soft, gelatinous bodies</t>
  </si>
  <si>
    <t>What profession was Nathan Gorska?</t>
  </si>
  <si>
    <t>The Peruvian Amazon indigienous people are one group struggling in the Amazon, what is another group?</t>
  </si>
  <si>
    <t>Who allegedly haunted the gate?</t>
  </si>
  <si>
    <t>designed to equip students with necessary skill sets to be able to perform at work</t>
  </si>
  <si>
    <t>What theorem remains valid in unique Gaussian primes?</t>
  </si>
  <si>
    <t>property owner</t>
  </si>
  <si>
    <t xml:space="preserve">Who did the geographic scholars work for? </t>
  </si>
  <si>
    <t>repulsion of like charges under the influence of the electromagnetic force</t>
  </si>
  <si>
    <t>There is criticism that the energy policies are expensive quick fixes that ignore which facts?</t>
  </si>
  <si>
    <t>In the China of the Yuan, or Mongol era, various important developments in the arts occurred or continued in their development, including the areas of painting, mathematics, calligraphy, poetry, and theater, with many great artists and writers being famous today. Due to the coming together of painting, poetry, and calligraphy at this time many of the artists practicing these different pursuits were the same individuals, though perhaps more famed for one area of their achievements than others. Often in terms of the further development of landscape painting as well as the classical joining together of the arts of painting, poetry, and calligraphy, the Song dynasty and the Yuan dynasty are linked together. In the area of Chinese painting during the Yuan dynasty there were many famous painters. In the area of calligraphy many of the great calligraphers were from the Yuan dynasty era. In Yuan poetry, the main development was the qu, which was used among other poetic forms by most of the famous Yuan poets. Many of the poets were also involved in the major developments in the theater during this time, and the other way around, with people important in the theater becoming famous through the development of the sanqu type of qu. One of the key factors in the mix of the zaju variety show was the incorporation of poetry both classical and of the newer qu form. One of the important cultural developments during the Yuan era was the consolidation of poetry, painting, and calligraphy into a unified piece of the type that tends to come to mind when people think of classical Chinese art. Another important aspect of Yuan times is the increasing incorporation of the then current, vernacular Chinese into both the qu form of poetry and the zaju variety show. Another important consideration regarding Yuan dynasty arts and culture is that so much of it has survived in China, relatively to works from the Tang dynasty and Song dynasty, which have often been better preserved in places such as the Shōsōin, in Japan.</t>
  </si>
  <si>
    <t>several</t>
  </si>
  <si>
    <t>What can people work towards if they are denied their functionings, capabilities and agency?</t>
  </si>
  <si>
    <t>inequality</t>
  </si>
  <si>
    <t>North Sea</t>
  </si>
  <si>
    <t>all numbers up to n = 2 · 1017</t>
  </si>
  <si>
    <t>the dilemma faced by German citizens when Hitler's secret police demanded to know if they were hiding a Jew in their house</t>
  </si>
  <si>
    <t>John Dalton's original atomic hypothesis assumed that all elements were monatomic and that the atoms in compounds would normally have the simplest atomic ratios with respect to one another. For example, Dalton assumed that water's formula was HO, giving the atomic mass of oxygen as 8 times that of hydrogen, instead of the modern value of about 16. In 1805, Joseph Louis Gay-Lussac and Alexander von Humboldt showed that water is formed of two volumes of hydrogen and one volume of oxygen; and by 1811 Amedeo Avogadro had arrived at the correct interpretation of water's composition, based on what is now called Avogadro's law and the assumption of diatomic elemental molecules.[a]</t>
  </si>
  <si>
    <t>What additional srevice did BSkyB offer besides HD channels that they claimed offered "substantially more value"?</t>
  </si>
  <si>
    <t>What was a centre of ivorywork in the 1100s?</t>
  </si>
  <si>
    <t>The show globe</t>
  </si>
  <si>
    <t>The Intergovernmental Panel on Climate Change (IPCC) is a scientific intergovernmental body under the auspices of the United Nations, set up at the request of member governments. It was first established in 1988 by two United Nations organizations, the World Meteorological Organization (WMO) and the United Nations Environment Programme (UNEP), and later endorsed by the United Nations General Assembly through Resolution 43/53. Membership of the IPCC is open to all members of the WMO and UNEP. The IPCC produces reports that support the United Nations Framework Convention on Climate Change (UNFCCC), which is the main international treaty on climate change. The ultimate objective of the UNFCCC is to "stabilize greenhouse gas concentrations in the atmosphere at a level that would prevent dangerous anthropogenic [i.e., human-induced] interference with the climate system". IPCC reports cover "the scientific, technical and socio-economic information relevant to understanding the scientific basis of risk of human-induced climate change, its potential impacts and options for adaptation and mitigation."</t>
  </si>
  <si>
    <t>In what year was Prince Louis de Conde born?</t>
  </si>
  <si>
    <t>Saudi Arabia and Iran</t>
  </si>
  <si>
    <t>How many metric tons of carbon are believed to be stored in the Amazon forest?</t>
  </si>
  <si>
    <t>When was the Germany Pitsudski war fought?</t>
  </si>
  <si>
    <t>molecular orbitals</t>
  </si>
  <si>
    <t>Who has the responsibility for publishing materials?</t>
  </si>
  <si>
    <t>an educational process or da'wah</t>
  </si>
  <si>
    <t>What responsibilities are pharmacists believed to be taking less of in the future?</t>
  </si>
  <si>
    <t>ten million</t>
  </si>
  <si>
    <t xml:space="preserve">Where does the Rhine make a distinctive turn to the north? </t>
  </si>
  <si>
    <t>How many people protested the school assimilation program in Malaysia?</t>
  </si>
  <si>
    <t>allegedly corrupt machinations of François Bigot</t>
  </si>
  <si>
    <t>the Catholic Church in the region</t>
  </si>
  <si>
    <t>Islamism is a controversial concept not just because it posits a political role for Islam but also because its supporters believe their views merely reflect Islam, while the contrary idea that Islam is, or can be, apolitical is an error. Scholars and observers who do not believe that Islam is merely a political ideology include Fred Halliday, John Esposito and Muslim intellectuals like Javed Ahmad Ghamidi. Hayri Abaza argues the failure to distinguish between Islam and Islamism leads many in the West to support illiberal Islamic regimes, to the detriment of progressive moderates who seek to separate religion from politics.</t>
  </si>
  <si>
    <t>What increases with the increase of income inequality?</t>
  </si>
  <si>
    <t>Who is the patron saint of the Huguenots?</t>
  </si>
  <si>
    <t>the oldest street in the United States of America</t>
  </si>
  <si>
    <t>the chao</t>
  </si>
  <si>
    <t xml:space="preserve"> When was the Brotherhood first accepted in Egypt?</t>
  </si>
  <si>
    <t>Construction</t>
  </si>
  <si>
    <t>Since what year did the university offer a doctorate in music composition?</t>
  </si>
  <si>
    <t>What practical role does defining the complexity of problems play in everyday computing?</t>
  </si>
  <si>
    <t>When did ISIL refuse to pledge allegiance to al-Qaeda?</t>
  </si>
  <si>
    <t>Who was the first geologist?</t>
  </si>
  <si>
    <t>Who are likely participants in creating an overall plan for the financial management of the building construction project?</t>
  </si>
  <si>
    <t>What second part of air was deemed lifeless by Lavoisier?</t>
  </si>
  <si>
    <t>all angles remain the same</t>
  </si>
  <si>
    <t>What type of familiy sends their children to preschool?</t>
  </si>
  <si>
    <t>the completed (or local) fields</t>
  </si>
  <si>
    <t>the true Islamic system</t>
  </si>
  <si>
    <t>What typically sits Tuesdays, Wednesdays, and Fridays?</t>
  </si>
  <si>
    <t>the movements of nature, movements of free and unequal durations</t>
  </si>
  <si>
    <t>practical Carnot cycle</t>
  </si>
  <si>
    <t>There were many Mongols with what expected status?</t>
  </si>
  <si>
    <t>What did pharma not sell?</t>
  </si>
  <si>
    <t>What antigens do Helper T cells not recognize?</t>
  </si>
  <si>
    <t>Abercrombie was recalled and replaced</t>
  </si>
  <si>
    <t>When was there a armed protest at Ballarat about mining taxes?</t>
  </si>
  <si>
    <t xml:space="preserve">What was the US Air Force interested in? </t>
  </si>
  <si>
    <t>increases</t>
  </si>
  <si>
    <t>Cow Counties</t>
  </si>
  <si>
    <t>Professional sports teams in Southern California include teams from the NFL (Los Angeles Rams, San Diego Chargers); NBA (Los Angeles Lakers, Los Angeles Clippers); MLB (Los Angeles Dodgers, Los Angeles Angels of Anaheim, San Diego Padres); NHL (Los Angeles Kings, Anaheim Ducks); and MLS (LA Galaxy).</t>
  </si>
  <si>
    <t>When did Zhu Shijie get a new job?</t>
  </si>
  <si>
    <t>at partial pressures more than 50 kilopascals</t>
  </si>
  <si>
    <t>Westminster</t>
  </si>
  <si>
    <t>On where are most tourist attractions focused in Victoria?</t>
  </si>
  <si>
    <t>PSPACE</t>
  </si>
  <si>
    <t xml:space="preserve">What is the name of one algorithm useful for conveniently testing the primality of large numbers? </t>
  </si>
  <si>
    <t>What does not form the basis for most separation results of complexity classes?</t>
  </si>
  <si>
    <t>22 times between 1361 and 1528</t>
  </si>
  <si>
    <t>What is the name of one algebraic generalization prime numbers have inspired?</t>
  </si>
  <si>
    <t>What does Rosenfield feel plays the most significant role in expanding the income gap?</t>
  </si>
  <si>
    <t>passenger volume</t>
  </si>
  <si>
    <t>accompanying documents</t>
  </si>
  <si>
    <t>provide connection-oriented operations</t>
  </si>
  <si>
    <t>applied</t>
  </si>
  <si>
    <t>multiple paths between any two points</t>
  </si>
  <si>
    <t>lower sixth</t>
  </si>
  <si>
    <t>The neighborhood of Sunnyside is on Fresno's far southeast side, bounded by Chestnut Avenue to the West. Its major thoroughfares are Kings Canyon Avenue and Clovis Avenue. Although parts of Sunnyside are within the City of Fresno, much of the neighborhood is a "county island" within Fresno County. Largely developed in the 1950s through the 1970s, it has recently experienced a surge in new home construction. It is also the home of the Sunnyside Country Club, which maintains a golf course designed by William P. Bell.</t>
  </si>
  <si>
    <t>What allows ions, water and toxins to exit the target cell's membrane?</t>
  </si>
  <si>
    <t>What was the seat of former party leader David McLetchie?</t>
  </si>
  <si>
    <t>legend</t>
  </si>
  <si>
    <t>What are the lithosphere and asthenosphere called when coupled together?</t>
  </si>
  <si>
    <t>What wars did France fight in the 1600s?</t>
  </si>
  <si>
    <t xml:space="preserve">Which parts of the Earth are included in the lithosphere? </t>
  </si>
  <si>
    <t>narcotic drugs</t>
  </si>
  <si>
    <t>Halford Mackinder and Friedrich Ratzel where what kind of geographers?</t>
  </si>
  <si>
    <t>In 1979, during the oil crisis, what was the highest price of oil?</t>
  </si>
  <si>
    <t>gradient of potentials.</t>
  </si>
  <si>
    <t>public official</t>
  </si>
  <si>
    <t>dispersed population and distance</t>
  </si>
  <si>
    <t>What was the price of oil in March of 1974?</t>
  </si>
  <si>
    <t>phagolysosome</t>
  </si>
  <si>
    <t>What percentage of seats did political parties identifying as Islamist win in the Egyptian parliamentary election of 2012-2013?</t>
  </si>
  <si>
    <t>Istanbul</t>
  </si>
  <si>
    <t>5.3%</t>
  </si>
  <si>
    <t>What is the cycle condenser sometimes called?</t>
  </si>
  <si>
    <t>March 2011</t>
  </si>
  <si>
    <t>66–34 Mya</t>
  </si>
  <si>
    <t>Which is one of the park features located in North Fresno?</t>
  </si>
  <si>
    <t>available information about climate change based on published sources</t>
  </si>
  <si>
    <t>When did Kublai move the Mongol capital?</t>
  </si>
  <si>
    <t>Who's chains were made out of copper?</t>
  </si>
  <si>
    <t>Where do scientists think all of the plagues originated from?</t>
  </si>
  <si>
    <t>deprived of earning as much income as they would otherwise</t>
  </si>
  <si>
    <t>What major adjust was made to the treaties in 1960?</t>
  </si>
  <si>
    <t>160 kPa</t>
  </si>
  <si>
    <t>Beroe</t>
  </si>
  <si>
    <t>What is almost identical across all nations and jurisdictions?</t>
  </si>
  <si>
    <t>When was Charles Darwin's theory of evolution published?</t>
  </si>
  <si>
    <t>cells</t>
  </si>
  <si>
    <t>What name was given to the western half of the colony?</t>
  </si>
  <si>
    <t>medication regimen review</t>
  </si>
  <si>
    <t>Roeding Park</t>
  </si>
  <si>
    <t>(~11,600 BP</t>
  </si>
  <si>
    <t>Which is older the British Empire or the Ethiopian Empire?</t>
  </si>
  <si>
    <t>Who took command of French in spring of 1735?</t>
  </si>
  <si>
    <t>the 1974 Mustang I</t>
  </si>
  <si>
    <t>prestigious</t>
  </si>
  <si>
    <t>What was the first British empire based on?</t>
  </si>
  <si>
    <t>Who do coordinating lead authors report to?</t>
  </si>
  <si>
    <t>What expression does not usually contain DTIME(n)?</t>
  </si>
  <si>
    <t>reassembled</t>
  </si>
  <si>
    <t xml:space="preserve"> Who did Kublai reject as ruler of Korea?</t>
  </si>
  <si>
    <t>France took control of Algeria in 1830 but began in earnest to rebuild its worldwide empire after 1850, concentrating chiefly in North and West Africa, as well as South-East Asia, with other conquests in Central and East Africa, as well as the South Pacific. Republicans, at first hostile to empire, only became supportive when Germany started to build her own colonial empire. As it developed, the new empire took on roles of trade with France, supplying raw materials and purchasing manufactured items, as well as lending prestige to the motherland and spreading French civilization and language as well as Catholicism. It also provided crucial manpower in both World Wars.</t>
  </si>
  <si>
    <t>The zeta function</t>
  </si>
  <si>
    <t>The weak force acts upon what?</t>
  </si>
  <si>
    <t xml:space="preserve"> What organization is devoted to Jihad against Iraq?</t>
  </si>
  <si>
    <t xml:space="preserve">Who credited Paul Baran for his development? </t>
  </si>
  <si>
    <t>What was developed in the 1980's by the social partners representatives?</t>
  </si>
  <si>
    <t>The principle of cross-cutting relationships pertains to the formation of faults and the age of the sequences through which they cut. Faults are younger than the rocks they cut; accordingly, if a fault is found that penetrates some formations but not those on top of it, then the formations that were cut are older than the fault, and the ones that are not cut must be younger than the fault. Finding the key bed in these situations may help determine whether the fault is a normal fault or a thrust fault.</t>
  </si>
  <si>
    <t>Petitcodiac in 1755 and at Bloody Creek</t>
  </si>
  <si>
    <t>Southern California had a population of 22,680,010 according to the census from which year?</t>
  </si>
  <si>
    <t>no known polynomial-time solution</t>
  </si>
  <si>
    <t>When did the United States withdraw from the Bretton Woods Accord?</t>
  </si>
  <si>
    <t>most cost efficient bidder</t>
  </si>
  <si>
    <t>Subject Committees</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</si>
  <si>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</si>
  <si>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What is a statocyst?</t>
  </si>
  <si>
    <t>What is the obligation of a pharmacy filling a prescription?</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</si>
  <si>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</si>
  <si>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Downtown San Diego</t>
  </si>
  <si>
    <t>the absolute value</t>
  </si>
  <si>
    <t>How long was Germany occupied by Poland?</t>
  </si>
  <si>
    <t>How many posters are in Warsaw?</t>
  </si>
  <si>
    <t>How much capital did UK law require to start a company?</t>
  </si>
  <si>
    <t>Stockton and Darlington</t>
  </si>
  <si>
    <t>How many seats must a political party have to be represented on the Parliamentary Bureau?</t>
  </si>
  <si>
    <t>Industrial Revolution</t>
  </si>
  <si>
    <t>How do geologists identify the measurements of a geological structure?</t>
  </si>
  <si>
    <t>Economy, Energy and Tourism is one of the what?</t>
  </si>
  <si>
    <t>Among the smallest predatory creatures are the black Caiman and what?</t>
  </si>
  <si>
    <t>What did Japan lift in March 1974?</t>
  </si>
  <si>
    <t>American Medical Association (AMA)</t>
  </si>
  <si>
    <t>How are forces classified with regard to push and pull strengt?</t>
  </si>
  <si>
    <t>Who commissioned Danish vikings to create the Bayeux Tapestry?</t>
  </si>
  <si>
    <t>three hundred</t>
  </si>
  <si>
    <t>tears</t>
  </si>
  <si>
    <t xml:space="preserve">What had Vice President Agnew always suffered from? </t>
  </si>
  <si>
    <t>Parliamentary time is also set aside for question periods in the debating chamber. A "General Question Time" takes place on a Thursday between 11:40 a.m. and 12 p.m. where members can direct questions to any member of the Scottish Government. At 2.30pm, a 40-minute long themed "Question Time" takes place, where members can ask questions of ministers in departments that are selected for questioning that sitting day, such as health and justice or education and transport. Between 12 p.m. and 12:30 p.m. on Thursdays, when Parliament is sitting, First Minister's Question Time takes place. This gives members an opportunity to question the First Minister directly on issues under their jurisdiction. Opposition leaders ask a general question of the First Minister and then supplementary questions. Such a practice enables a "lead-in" to the questioner, who then uses their supplementary question to ask the First Minister any issue. The four general questions available to opposition leaders are:</t>
  </si>
  <si>
    <t>2013</t>
  </si>
  <si>
    <t>What effect do technologies and resources generate?</t>
  </si>
  <si>
    <t>In business, notable alumni include Microsoft CEO Satya Nadella, Oracle Corporation founder and the third richest man in America Larry Ellison, Goldman Sachs and MF Global CEO as well as former Governor of New Jersey Jon Corzine, McKinsey &amp; Company founder and author of the first management accounting textbook James O. McKinsey, Arley D. Cathey, Bloomberg L.P. CEO Daniel Doctoroff, Credit Suisse CEO Brady Dougan, Morningstar, Inc. founder and CEO Joe Mansueto, Chicago Cubs owner and chairman Thomas S. Ricketts, and NBA commissioner Adam Silver.</t>
  </si>
  <si>
    <t>In what year did the affiliate program end?</t>
  </si>
  <si>
    <t>What body constitutes the supreme legislature of Scotland?</t>
  </si>
  <si>
    <t>definitions of time and space complexity</t>
  </si>
  <si>
    <t>a fee per unit of connection time</t>
  </si>
  <si>
    <t>Both innate and adaptive immunity depend on the ability of the immune system to distinguish between self and non-self molecules. In immunology, self molecules are those components of an organism's body that can be distinguished from foreign substances by the immune system. Conversely, non-self molecules are those recognized as foreign molecules. One class of non-self molecules are called antigens (short for antibody generators) and are defined as substances that bind to specific immune receptors and elicit an immune response.</t>
  </si>
  <si>
    <t>Thoreau mentions what type of person could corrupt a government system?</t>
  </si>
  <si>
    <t>What does the Fermat primality test depend upon?</t>
  </si>
  <si>
    <t>How much Victorian farmland is farmed in rye grass?</t>
  </si>
  <si>
    <t>Where is cross-polarized light identified by petrologists?</t>
  </si>
  <si>
    <t>How many were in Langlades expedition?</t>
  </si>
  <si>
    <t>Linda Dessau</t>
  </si>
  <si>
    <t>global regulation based on the Montreal Protocol</t>
  </si>
  <si>
    <t>When was the Old Truman Brewery founded?</t>
  </si>
  <si>
    <t>When was the Lisbon Treaty rejected?</t>
  </si>
  <si>
    <t>What characteristic of oxygen causes it to form bonds with other elements?</t>
  </si>
  <si>
    <t>What force leads to a commonly used unit of mass?</t>
  </si>
  <si>
    <t>its central location</t>
  </si>
  <si>
    <t>mass</t>
  </si>
  <si>
    <t>What is one variable on which the running time may be contingent?</t>
  </si>
  <si>
    <t>How long might a speaker address the members during the Time of Reflection?</t>
  </si>
  <si>
    <t>What is the translation of Oude Maas?</t>
  </si>
  <si>
    <t>Cydippid are typically what shape?</t>
  </si>
  <si>
    <t>February 9, 1832</t>
  </si>
  <si>
    <t>about 3.5 billion people</t>
  </si>
  <si>
    <t>(/ˈfrɛznoʊ/ FREZ-noh)</t>
  </si>
  <si>
    <t>During the American Civil War, Jacksonville was a key supply point for hogs and cattle being shipped from Florida to aid the Confederate cause. The city was blockaded by Union forces, who gained control of the nearby Fort Clinch. Though no battles were fought in Jacksonville proper, the city changed hands several times between Union and Confederate forces. The Skirmish of the Brick Church in 1862 just outside Jacksonville proper resulted in the first Confederate victory in Florida. In February 1864 Union forces left Jacksonville and confronted a Confederate Army at the Battle of Olustee resulting in a Confederate victory. Union forces then retreated to Jacksonville and held the city for the remainder of the war. In March 1864 a Confederate cavalry confronted a Union expedition resulting in the Battle of Cedar Creek. Warfare and the long occupation left the city disrupted after the war.</t>
  </si>
  <si>
    <t xml:space="preserve"> When was Isiah Bowman not appointed to President Wilson's Inquiry?</t>
  </si>
  <si>
    <t>What types of diseases are specialty drugs no longer used against?</t>
  </si>
  <si>
    <t>How is St Andrew's College run?</t>
  </si>
  <si>
    <t>Ctenophora</t>
  </si>
  <si>
    <t>What city proper has a population of 1,345,596?</t>
  </si>
  <si>
    <t>2,000</t>
  </si>
  <si>
    <t>Where does southern California's megalopolis standard in terms of population nationwide?</t>
  </si>
  <si>
    <t>What was the name of BSkyB's digital service launched under?</t>
  </si>
  <si>
    <t>civil rebellion are justified by appeal to constitutional defects, rebellion is much more</t>
  </si>
  <si>
    <t>What is the chemical that mediates Type 1 hypersensitivity?</t>
  </si>
  <si>
    <t>university and military academy</t>
  </si>
  <si>
    <t>What was the result in Montpellier of the Edict of Ales in 1629?</t>
  </si>
  <si>
    <t>to coordinate the response to the embargo</t>
  </si>
  <si>
    <t>river Aare</t>
  </si>
  <si>
    <t>What was rationing intended to promote in the market?</t>
  </si>
  <si>
    <t>What was not the main executive body of the EU?</t>
  </si>
  <si>
    <t>What percentage of Filipino primary school students are in private schools?</t>
  </si>
  <si>
    <t>National Defence University</t>
  </si>
  <si>
    <t>Which species moves by a darting motion?</t>
  </si>
  <si>
    <t>121,200</t>
  </si>
  <si>
    <t>The path of violence and military struggle was then taken up by the Egyptian Islamic Jihad organization responsible for the assassination of Anwar Sadat in 1981. Unlike earlier anti-colonial movements the extremist group directed its attacks against what it believed were "apostate" leaders of Muslim states, leaders who held secular leanings or who had introduced or promoted Western/foreign ideas and practices into Islamic societies. Its views were outlined in a pamphlet written by Muhammad Abd al-Salaam Farag, in which he states:</t>
  </si>
  <si>
    <t>When is the latest Britain had an imperialist policy?</t>
  </si>
  <si>
    <t>How many Huguenots were killed altogether in France?</t>
  </si>
  <si>
    <t>between 1960 and 2000</t>
  </si>
  <si>
    <t>What is the field of studying immunogenicity through bioinformatics known as?</t>
  </si>
  <si>
    <t>Who has the task of ensuring that party members don't vote according to party line?</t>
  </si>
  <si>
    <t>Warszawa</t>
  </si>
  <si>
    <t>heavy civil or heavy engineering</t>
  </si>
  <si>
    <t>18</t>
  </si>
  <si>
    <t>What civilization did the pottery belong to?</t>
  </si>
  <si>
    <t>Along with sport and art, what is a type of talent scholarship?</t>
  </si>
  <si>
    <t>What is one method of achieving perspirational consumption?</t>
  </si>
  <si>
    <t>Thermochemical</t>
  </si>
  <si>
    <t>principle of inclusions and components</t>
  </si>
  <si>
    <t>Name a type of Toyota compact trucks?</t>
  </si>
  <si>
    <t>The use of remote sensing for the conservation of the Amazon is also being used by the indigenous tribes of the basin to protect their tribal lands from commercial interests. Using handheld GPS devices and programs like Google Earth, members of the Trio Tribe, who live in the rainforests of southern Suriname, map out their ancestral lands to help strengthen their territorial claims. Currently, most tribes in the Amazon do not have clearly defined boundaries, making it easier for commercial ventures to target their territories.</t>
  </si>
  <si>
    <t>inequality in wealth and income</t>
  </si>
  <si>
    <t>What is the Yuan dynasty's official name?</t>
  </si>
  <si>
    <t>fear of betrayal</t>
  </si>
  <si>
    <t>Who is the Attorney General and Obama Campaign advisor?</t>
  </si>
  <si>
    <t>Why does the O2 appear red?</t>
  </si>
  <si>
    <t>What is distribution of income from labor due to the differences of?</t>
  </si>
  <si>
    <t>1624</t>
  </si>
  <si>
    <t>What percent of the global assets in 2000 were owned by just 1% of adults?</t>
  </si>
  <si>
    <t>What organization is the IPCC a part of?</t>
  </si>
  <si>
    <t>What type of locomotive was Salamanca?</t>
  </si>
  <si>
    <t>1317</t>
  </si>
  <si>
    <t>What ejects pathogens from the gastrointestinal tract?</t>
  </si>
  <si>
    <t>the sum of divisors function</t>
  </si>
  <si>
    <t>because the nationalisation law was from 1962, and the treaty was in force from 1958, Costa had no claim</t>
  </si>
  <si>
    <t>Neutrophils</t>
  </si>
  <si>
    <t>heat and pressure</t>
  </si>
  <si>
    <t>The English name "Normans" comes from the French words Normans/Normanz, plural of Normant, modern French normand, which is itself borrowed from Old Low Franconian Nortmann "Northman" or directly from Old Norse Norðmaðr, Latinized variously as Nortmannus, Normannus, or Nordmannus (recorded in Medieval Latin, 9th century) to mean "Norseman, Viking".</t>
  </si>
  <si>
    <t>demolished</t>
  </si>
  <si>
    <t>What nuclear forces only act at short distances?</t>
  </si>
  <si>
    <t xml:space="preserve"> What was not thought to decide a person's behavior?</t>
  </si>
  <si>
    <t>1760</t>
  </si>
  <si>
    <t>What do many people want to integrate into interstate 5?</t>
  </si>
  <si>
    <t>unbalanced centripetal force</t>
  </si>
  <si>
    <t>Egypt's premier Mahmud Fami Naqrashi</t>
  </si>
  <si>
    <t>Old Meuse</t>
  </si>
  <si>
    <t>Great Mongol State</t>
  </si>
  <si>
    <t>How many populous counties are in the United States?</t>
  </si>
  <si>
    <t>1910–1940</t>
  </si>
  <si>
    <t>Emmerich Rhine Bridge,</t>
  </si>
  <si>
    <t>Where was the disease spreading between 1348 and 1350?</t>
  </si>
  <si>
    <t>he moved south, he drove off or captured British traders</t>
  </si>
  <si>
    <t>When was a zoological garden established in the Praga Park?</t>
  </si>
  <si>
    <t>In what month does the Victorian Parliament register voters?</t>
  </si>
  <si>
    <t>force</t>
  </si>
  <si>
    <t>What to do university students find the dated sixteenth century?</t>
  </si>
  <si>
    <t>most seats</t>
  </si>
  <si>
    <t>What does the IPCC not do?</t>
  </si>
  <si>
    <t>What was the purpose of NSF?</t>
  </si>
  <si>
    <t>What impacts distribution of wealth when evaluating labor?</t>
  </si>
  <si>
    <t>Accountants</t>
  </si>
  <si>
    <t>After Malaysia's independence in 1957, the government instructed all schools to surrender their properties and be assimilated into the National School system. This caused an uproar among the Chinese and a compromise was achieved in that the schools would instead become "National Type" schools. Under such a system, the government is only in charge of the school curriculum and teaching personnel while the lands still belonged to the schools. While Chinese primary schools were allowed to retain Chinese as the medium of instruction, Chinese secondary schools are required to change into English-medium schools. Over 60 schools converted to become National Type schools.</t>
  </si>
  <si>
    <t>Studies on income inequality and growth have sometimes found evidence confirming the Kuznets curve hypothesis, which states that with economic development, inequality first increases, then decreases. Economist Thomas Piketty challenges this notion, claiming that from 1914 to 1945 wars and "violent economic and political shocks" reduced inequality. Moreover, Piketty argues that the "magical" Kuznets curve hypothesis, with its emphasis on the balancing of economic growth in the long run, cannot account for the significant increase in economic inequality throughout the developed world since the 1970s.</t>
  </si>
  <si>
    <t>91</t>
  </si>
  <si>
    <t>How did their lawyer suggest they would plea?</t>
  </si>
  <si>
    <t>What kind of art did the Normans have a rich tradition of?</t>
  </si>
  <si>
    <t>Which two leading roles did Audra McDonald perform when she was in high school?</t>
  </si>
  <si>
    <t>What process attributes old wealth to those that already have it?</t>
  </si>
  <si>
    <t>Where is the border of Germany?</t>
  </si>
  <si>
    <t>What is a hormone that does not effect the immune system?</t>
  </si>
  <si>
    <t>What castles were built by the Irish?</t>
  </si>
  <si>
    <t>Trioxygen (O
3) is usually known as ozone and is a very reactive allotrope of oxygen that is damaging to lung tissue. Ozone is produced in the upper atmosphere when O
2 combines with atomic oxygen made by the splitting of O
2 by ultraviolet (UV) radiation. Since ozone absorbs strongly in the UV region of the spectrum, the ozone layer of the upper atmosphere functions as a protective radiation shield for the planet. Near the Earth's surface, it is a pollutant formed as a by-product of automobile exhaust. The metastable molecule tetraoxygen (O
4) was discovered in 2001, and was assumed to exist in one of the six phases of solid oxygen. It was proven in 2006 that this phase, created by pressurizing O
2 to 20 GPa, is in fact a rhombohedral O
8 cluster. This cluster has the potential to be a much more powerful oxidizer than either O
2 or O
3 and may therefore be used in rocket fuel. A metallic phase was discovered in 1990 when solid oxygen is subjected to a pressure of above 96 GPa and it was shown in 1998 that at very low temperatures, this phase becomes superconducting.</t>
  </si>
  <si>
    <t>How are eggs and sperm released?</t>
  </si>
  <si>
    <t>What was New Briton's response to Celeron?</t>
  </si>
  <si>
    <t>Who had a main goal of attracting the wealthy to Harvard?</t>
  </si>
  <si>
    <t>When did Washington reach Fort Le Boeuf?</t>
  </si>
  <si>
    <t>What makes up 49.2% of the sun's mass?</t>
  </si>
  <si>
    <t>seal</t>
  </si>
  <si>
    <t>What were local court proceedings being held about?</t>
  </si>
  <si>
    <t>in 2018</t>
  </si>
  <si>
    <t>the ultimate authority of member states</t>
  </si>
  <si>
    <t>More in the present prevalence of civil disobedience has turned and said to be?</t>
  </si>
  <si>
    <t>anthropological</t>
  </si>
  <si>
    <t>What is a type of disobedience against the federal government?</t>
  </si>
  <si>
    <t>20th century,</t>
  </si>
  <si>
    <t>What does the word component generally suggest?</t>
  </si>
  <si>
    <t>solidarity</t>
  </si>
  <si>
    <t>In addition to the General Assembly Hall, the Parliament also used buildings rented from the City of Edinburgh Council. The former administrative building of Lothian Regional Council on George IV Bridge was used for the MSP's offices. Following the move to Holyrood in 2004 this building was demolished. The former Midlothian County Buildings facing Parliament Square, High Street and George IV Bridge in Edinburgh (originally built as the headquarters of the pre-1975 Midlothian County Council) housed the Parliament's visitors' centre and shop, whilst the main hall was used as the Parliament's principal committee room.</t>
  </si>
  <si>
    <t>In what city is the Groton School located?</t>
  </si>
  <si>
    <t>What sort of engines utilized the Olympic balancing system?</t>
  </si>
  <si>
    <t>What ethnic group located in Jacksonville is ranked tenth largest?</t>
  </si>
  <si>
    <t>What were manufacturing techniques used as a source of?</t>
  </si>
  <si>
    <t>half as much coal</t>
  </si>
  <si>
    <t>plan for an invasion of Western Europe during the Cold War</t>
  </si>
  <si>
    <t>Where were French North Americans settled?</t>
  </si>
  <si>
    <t>What program provides financial assistance for tuition and fees for a college or technical education?</t>
  </si>
  <si>
    <t>the Wankel engine</t>
  </si>
  <si>
    <t>Why were the 2011 Special Reports issued?</t>
  </si>
  <si>
    <t>Datanet 1 was the public switched data network operated by the Dutch PTT Telecom (now known as KPN). Strictly speaking Datanet 1 only referred to the network and the connected users via leased lines (using the X.121 DNIC 2041), the name also referred to the public PAD service Telepad (using the DNIC 2049). And because the main Videotex service used the network and modified PAD devices as infrastructure the name Datanet 1 was used for these services as well. Although this use of the name was incorrect all these services were managed by the same people within one department of KPN contributed to the confusion.</t>
  </si>
  <si>
    <t>Sydney</t>
  </si>
  <si>
    <t>When more workers are required, what happens to the job market?</t>
  </si>
  <si>
    <t>What fixed set of factors determine the actions of a deterministic Turing machine</t>
  </si>
  <si>
    <t>In what year did the name "black death" spread into Germany?</t>
  </si>
  <si>
    <t>What captured the Vosges Mountains?</t>
  </si>
  <si>
    <t>What percentage was the increase of agricultural products in 2003-04?</t>
  </si>
  <si>
    <t>inconclusively, with both sides withdrawing from the field</t>
  </si>
  <si>
    <t>The student government is led by the president and chaired by who?</t>
  </si>
  <si>
    <t xml:space="preserve">What is the boundary between the High and Upper Rhine? </t>
  </si>
  <si>
    <t>If a Constituency MSP is forced from Parliament, what does it trigger?</t>
  </si>
  <si>
    <t>How many MSPs out of 139 are known as "Constituency MSPs"?</t>
  </si>
  <si>
    <t>Keck and Mithouard</t>
  </si>
  <si>
    <t>In between French and British, what groups controlled land?</t>
  </si>
  <si>
    <t>John Pell, Lord of Pelham Manor</t>
  </si>
  <si>
    <t>What does it take a country with high inequality longer to achieve?</t>
  </si>
  <si>
    <t>29.7%</t>
  </si>
  <si>
    <t>Where was the 1857 gold rush?</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</si>
  <si>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</si>
  <si>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"design build" contract</t>
  </si>
  <si>
    <t xml:space="preserve">What was the purpose of the suite developed in 1985? </t>
  </si>
  <si>
    <t>If an internal force acts on the system, the center of mass will experience what?</t>
  </si>
  <si>
    <t>What is one factor that increases the importance of the pharmacy performing at a high level?</t>
  </si>
  <si>
    <t>What NAB teams are from Southern California?</t>
  </si>
  <si>
    <t>February 2011</t>
  </si>
  <si>
    <t>What opportunity did Barack Obama support for Swedish children?</t>
  </si>
  <si>
    <t>very similar</t>
  </si>
  <si>
    <t>How was the efficiency of a concept engine typically evaluated?</t>
  </si>
  <si>
    <t>How many miles is Montpellier from Paris?</t>
  </si>
  <si>
    <t>As a member of the Scottish Parliamentary Corporate Body, the Presiding Officer is responsible for ensuring that the Parliament functions effectively and has the staff, property and resources it requires to operate. Convening the Parliamentary Bureau, which allocates time and sets the work agenda in the chamber, is another of the roles of the Presiding Officer. Under the Standing Orders of the Parliament the Bureau consists of the Presiding Officer and one representative from each political parties with five or more seats in the Parliament. Amongst the duties of the Bureau are to agree the timetable of business in the chamber, establish the number, remit and membership of parliamentary committees and regulate the passage of legislation (bills) through the Parliament. The Presiding Officer also represents the Scottish Parliament at home and abroad in an official capacity.</t>
  </si>
  <si>
    <t>What is one thing that can prevent non-fatal injuries?</t>
  </si>
  <si>
    <t>within the dispensary compounding/dispensing medications</t>
  </si>
  <si>
    <t>What does ctenophora mean in Greek?</t>
  </si>
  <si>
    <t>Where do thrust faults form?</t>
  </si>
  <si>
    <t>did in fact not break any law</t>
  </si>
  <si>
    <t>What did water that flowed towards the Pacific have to flow across during the mid-Eocene?</t>
  </si>
  <si>
    <t>What complex features flower-shaped buildings?</t>
  </si>
  <si>
    <t>The university runs a number of academic institutions and programs apart from its undergraduate and postgraduate schools. It operates the University of Chicago Laboratory Schools (a private day school for K-12 students and day care), the Sonia Shankman Orthogenic School (a residential treatment program for those with behavioral and emotional problems), and four public charter schools on the South Side of Chicago administered by the university's Urban Education Institute. In addition, the Hyde Park Day School, a school for students with learning disabilities, maintains a location on the University of Chicago campus. Since 1983, the University of Chicago has maintained the University of Chicago School Mathematics Project, a mathematics program used in urban primary and secondary schools. The university runs a program called the Council on Advanced Studies in the Social Sciences and Humanities, which administers interdisciplinary workshops to provide a forum for graduate students, faculty, and visiting scholars to present scholarly work in progress. The university also operates the University of Chicago Press, the largest university press in the United States.</t>
  </si>
  <si>
    <t>higher oxygen content</t>
  </si>
  <si>
    <t>What South African family had the largest vineyard in France?</t>
  </si>
  <si>
    <t>What did Michigan Inc. start in the mid-1980s?</t>
  </si>
  <si>
    <t>Pittsburgh, Pennsylvania</t>
  </si>
  <si>
    <t>When was the Holocene?</t>
  </si>
  <si>
    <t>format of the congress and many specifics of the plan became the prototype for confederation during the War of Independence</t>
  </si>
  <si>
    <t>What notion causes one to deal with classical variables instead of operators?</t>
  </si>
  <si>
    <t>Oxygen was discovered independently by Carl Wilhelm Scheele, in Uppsala, in 1773 or earlier, and Joseph Priestley in Wiltshire, in 1774, but Priestley is often given priority because his work was published first. The name oxygen was coined in 1777 by Antoine Lavoisier, whose experiments with oxygen helped to discredit the then-popular phlogiston theory of combustion and corrosion. Its name derives from the Greek roots ὀξύς oxys, "acid", literally "sharp", referring to the sour taste of acids and -γενής -genes, "producer", literally "begetter", because at the time of naming, it was mistakenly thought that all acids required oxygen in their composition. Common uses of oxygen includes the production cycle of steel, plastics and textiles, brazing, welding and cutting of steels and other metals, rocket propellant, in oxygen therapy and life support systems in aircraft, submarines, spaceflight and diving.</t>
  </si>
  <si>
    <t>Montpellier</t>
  </si>
  <si>
    <t>Who is the third riches man in America?</t>
  </si>
  <si>
    <t>What were the reasons not to consolidate the government?</t>
  </si>
  <si>
    <t>domestic legislation of the Scottish Parliament.</t>
  </si>
  <si>
    <t>During the Oligocene, for example, the rainforest spanned a relatively narrow band.</t>
  </si>
  <si>
    <t>What will a pharmacist who fails the ambulatory pharmacist exam be called?</t>
  </si>
  <si>
    <t>labor inputs</t>
  </si>
  <si>
    <t>How old is the NCAA Division I Ivy League competition?</t>
  </si>
  <si>
    <t>Harris School of Public Policy Studies</t>
  </si>
  <si>
    <t>Who predicted the existence of many other planets?</t>
  </si>
  <si>
    <t>When was it discovered that prime numbers could applied to the creation of public key cryptography algorithms?</t>
  </si>
  <si>
    <t>Which of the three heavily populated areas has the least number of inhabitants?</t>
  </si>
  <si>
    <t>quadruple</t>
  </si>
  <si>
    <t>What percentage of people in isolated areas of Europe died from the Black Death?</t>
  </si>
  <si>
    <t>How are the rates of social goods in countries with lower inequality?</t>
  </si>
  <si>
    <t>What has having an EU Citizenship increased?</t>
  </si>
  <si>
    <t>LA Galaxy</t>
  </si>
  <si>
    <t>each packet includes complete addressing information</t>
  </si>
  <si>
    <t>On what day does a General Question Time take place?</t>
  </si>
  <si>
    <t>11th century</t>
  </si>
  <si>
    <t>less workers are required</t>
  </si>
  <si>
    <t>In which French city was about 2,000 Huguenots killed?</t>
  </si>
  <si>
    <t>What have the two different Islamist movements been described as oscillating between?</t>
  </si>
  <si>
    <t>80,000</t>
  </si>
  <si>
    <t>Sherwood Boehlert</t>
  </si>
  <si>
    <t>concurring, smaller assessments of special problems</t>
  </si>
  <si>
    <t xml:space="preserve"> What have many HT members failed to to join?</t>
  </si>
  <si>
    <t>claimed by both sides</t>
  </si>
  <si>
    <t>What is the jelly-like susbtance called?</t>
  </si>
  <si>
    <t>probabilistic Turing machine</t>
  </si>
  <si>
    <t>There is a public database of epitopes for pathogens known to be recognizable by what cells?</t>
  </si>
  <si>
    <t>50%</t>
  </si>
  <si>
    <t>antibonding</t>
  </si>
  <si>
    <t>The Warsaw Citadel</t>
  </si>
  <si>
    <t>separate condenser</t>
  </si>
  <si>
    <t>Who owns the rail cars in Victoria?</t>
  </si>
  <si>
    <t>Richard Lindzen</t>
  </si>
  <si>
    <t>Brownlee justifies civil disobedience toward what branch of the government?</t>
  </si>
  <si>
    <t>When was the European Convention of Human Rights written?</t>
  </si>
  <si>
    <t>How is packet switching charecterized</t>
  </si>
  <si>
    <t>What conviction motivated Eliot to move towards secularization?</t>
  </si>
  <si>
    <t>When did the Democratic Republic of Afghanistan collapse?</t>
  </si>
  <si>
    <t>sessile frond-like</t>
  </si>
  <si>
    <t>What was Robert Watson's role in the IPCC?</t>
  </si>
  <si>
    <t>Jacksonville began to suffer and decline after what major world event?</t>
  </si>
  <si>
    <t>architects, interior designers, engineers and constructors</t>
  </si>
  <si>
    <t>What was Frensh military presence at start of war?</t>
  </si>
  <si>
    <t>Philo</t>
  </si>
  <si>
    <t xml:space="preserve"> The Ottoman empire controlled territory on four continents, Africa, Asia and which other?</t>
  </si>
  <si>
    <t>undermine the law by encouraging general disobedience which is neither conscientious nor of social benefit</t>
  </si>
  <si>
    <t xml:space="preserve"> What did the the Europeans not think the peoples in the tropics were in need of?</t>
  </si>
  <si>
    <t>What mainlines head west and south from the city?</t>
  </si>
  <si>
    <t>What ocean has large and small interior valleys?</t>
  </si>
  <si>
    <t>Where did the hero Siegfried discover the rock?</t>
  </si>
  <si>
    <t>eighteenth century,</t>
  </si>
  <si>
    <t>What had Radcliffe been transformed into by the 19th century?</t>
  </si>
  <si>
    <t>the West Side</t>
  </si>
  <si>
    <t>Drop in the blood levels of cortisol and epinephrine results in increase levels of what hormones?</t>
  </si>
  <si>
    <t>a balance between different viewpoints and political parties</t>
  </si>
  <si>
    <t>small portion of the population lives off unearned property income</t>
  </si>
  <si>
    <t>Who is responsible for axiomatic complexity theory?</t>
  </si>
  <si>
    <t>What has a negative influence over the US economy?</t>
  </si>
  <si>
    <t>What cells do plants and animals both have?</t>
  </si>
  <si>
    <t>the Oriental Institute</t>
  </si>
  <si>
    <t>Who is elected at the beginning of each term?</t>
  </si>
  <si>
    <t>What non-Japanese empire did the Yuan dynasty succeed?</t>
  </si>
  <si>
    <t>capture Niagara, Crown Point and Duquesne, he proposed attacks on Fort Frontenac on the north shore of Lake Ontario</t>
  </si>
  <si>
    <t>disobedience of laws</t>
  </si>
  <si>
    <t>What did the European Court of Justice not find about supply guidelines?</t>
  </si>
  <si>
    <t>In Sept 1706 who negotiated a capitulation from Montreal?</t>
  </si>
  <si>
    <t>males</t>
  </si>
  <si>
    <t>What is the name of the university's summer festival?</t>
  </si>
  <si>
    <t>quick and decisive</t>
  </si>
  <si>
    <t>What interfered with Kublai's second invasion of Japan?</t>
  </si>
  <si>
    <t>What kind of measurements define accelerlations?</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</si>
  <si>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</si>
  <si>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Where do the branches Waal and Nederrijn-Lek discharge to?</t>
  </si>
  <si>
    <t>How large is the San Joaquin Valley?</t>
  </si>
  <si>
    <t>other herbs not listed</t>
  </si>
  <si>
    <t>University President Robert Maynard Hutchins de-emphasized varsity athletics in 1939</t>
  </si>
  <si>
    <t>Central</t>
  </si>
  <si>
    <t>In contrast to product requirements or other laws that hinder market access, the Court of Justice developed a presumption that "selling arrangements" would be presumed to not fall into TFEU article 34, if they applied equally to all sellers, and affected them in the same manner in fact. In Keck and Mithouard two importers claimed that their prosecution under a French competition law, which prevented them selling Picon beer under wholesale price, was unlawful. The aim of the law was to prevent cut throat competition, not to hinder trade. The Court of Justice held, as "in law and in fact" it was an equally applicable "selling arrangement" (not something that alters a product's content) it was outside the scope of article 34, and so did not need to be justified. Selling arrangements can be held to have an unequal effect "in fact" particularly where traders from another member state are seeking to break into the market, but there are restrictions on advertising and marketing. In Konsumentombudsmannen v De Agostini the Court of Justice reviewed Swedish bans on advertising to children under age 12, and misleading commercials for skin care products. While the bans have remained (justifiable under article 36 or as a mandatory requirement) the Court emphasised that complete marketing bans could be disproportionate if advertising were "the only effective form of promotion enabling [a trader] to penetrate" the market. In Konsumentombudsmannen v Gourmet AB the Court suggested that a total ban for advertising alcohol on the radio, TV and in magazines could fall within article 34 where advertising was the only way for sellers to overcome consumers' "traditional social practices and to local habits and customs" to buy their products, but again the national courts would decide whether it was justified under article 36 to protect public health. Under the Unfair Commercial Practices Directive, the EU harmonised restrictions on restrictions on marketing and advertising, to forbid conduct that distorts average consumer behaviour, is misleading or aggressive, and sets out a list of examples that count as unfair. Increasingly, states have to give mutual recognition to each other's standards of regulation, while the EU has attempted to harmonise minimum ideals of best practice. The attempt to raise standards is hoped to avoid a regulatory "race to the bottom", while allowing consumers access to goods from around the continent.</t>
  </si>
  <si>
    <t>When were writs issued for the election of the New South Wales president?</t>
  </si>
  <si>
    <t>"one-stop shopping"</t>
  </si>
  <si>
    <t>a difference</t>
  </si>
  <si>
    <t xml:space="preserve">When did Saudi Arabia join the embargo? </t>
  </si>
  <si>
    <t>to avoid the "inconvenience" of visiting a doctor or to obtain medications which their doctors were unwilling to prescribe</t>
  </si>
  <si>
    <t>the Uighurs surrendered peacefully without violently resisting</t>
  </si>
  <si>
    <t>What are the most abundant kind of phagocyte?</t>
  </si>
  <si>
    <t>What is the name given to the input string of a computational problem?</t>
  </si>
  <si>
    <t>In 1992, what percentage of East German students attended private schools?</t>
  </si>
  <si>
    <t>ideas</t>
  </si>
  <si>
    <t>When did the "Germanic Heroic Age" end?</t>
  </si>
  <si>
    <t>Olivier Messiaen</t>
  </si>
  <si>
    <t>What does Untersee mean?</t>
  </si>
  <si>
    <t>Aristotle provided a philosophical discussion of the concept of a force as an integral part of Aristotelian cosmology. In Aristotle's view, the terrestrial sphere contained four elements that come to rest at different "natural places" therein. Aristotle believed that motionless objects on Earth, those composed mostly of the elements earth and water, to be in their natural place on the ground and that they will stay that way if left alone. He distinguished between the innate tendency of objects to find their "natural place" (e.g., for heavy bodies to fall), which led to "natural motion", and unnatural or forced motion, which required continued application of a force. This theory, based on the everyday experience of how objects move, such as the constant application of a force needed to keep a cart moving, had conceptual trouble accounting for the behavior of projectiles, such as the flight of arrows. The place where the archer moves the projectile was at the start of the flight, and while the projectile sailed through the air, no discernible efficient cause acts on it. Aristotle was aware of this problem and proposed that the air displaced through the projectile's path carries the projectile to its target. This explanation demands a continuum like air for change of place in general.</t>
  </si>
  <si>
    <t>What year did more than 375 officials attend the IPCC Bureau session?</t>
  </si>
  <si>
    <t>lower incomes</t>
  </si>
  <si>
    <t>Tugh Temur</t>
  </si>
  <si>
    <t>What group fully funds preschool?</t>
  </si>
  <si>
    <t>What does the Scotland Act of 2012 extend?</t>
  </si>
  <si>
    <t xml:space="preserve">Which is more sophisticated, numericals model or an analog models of orogenic wedges? </t>
  </si>
  <si>
    <t>Where did no Spanish Catholic move after British takeover in Florida?</t>
  </si>
  <si>
    <t>Thomas Savery.</t>
  </si>
  <si>
    <t>When was earthenware movable type invented?</t>
  </si>
  <si>
    <t>What is unique about  a hermaphrodite?</t>
  </si>
  <si>
    <t>Who did the Scotish king take hostage?</t>
  </si>
  <si>
    <t>What is the name of the museum and research center for Near Eastern studies, that is owned by the university?</t>
  </si>
  <si>
    <t>Who had mathmatical insite?</t>
  </si>
  <si>
    <t>The Tech Coast</t>
  </si>
  <si>
    <t>What is equivalent to 103.1 kPa?</t>
  </si>
  <si>
    <t>What well known political scientists are currently on the university's faculty?</t>
  </si>
  <si>
    <t>Zoning requirements, environmental impact, budgeting, and logistics are things who should consider?</t>
  </si>
  <si>
    <t>What do increased hormone levels cause in aging adults?</t>
  </si>
  <si>
    <t>What party forms the Scottish Parliament?</t>
  </si>
  <si>
    <t>1115</t>
  </si>
  <si>
    <t>When has Toyota said it will close its Victoria plant?</t>
  </si>
  <si>
    <t xml:space="preserve"> When was the military-political complex reflected upon not within the scope of understanding imperialism?</t>
  </si>
  <si>
    <t>the instance</t>
  </si>
  <si>
    <t>Where are summer temperature ranges 70-50s?</t>
  </si>
  <si>
    <t>little Hugos, or those who want Hugo.</t>
  </si>
  <si>
    <t>Who normally manages a construction job?</t>
  </si>
  <si>
    <t>Who is viewed as the first modern geologist?</t>
  </si>
  <si>
    <t>What is oxygen instead of an oxidant?</t>
  </si>
  <si>
    <t>Concrete bounding of computation time frequently produces complexity classes contingent upon what?</t>
  </si>
  <si>
    <t>Past faculty have also included Egyptologist James Henry Breasted, mathematician Alberto Calderón, Nobel prize winning economist and classical liberalism defender Friedrich Hayek, meteorologist Ted Fujita, chemists Glenn T. Seaborg, the developer of the actinide concept and Nobel Prize winner Yuan T. Lee, Nobel Prize winning novelist Saul Bellow, political philosopher and author Allan Bloom, cancer researchers Charles Brenton Huggins and Janet Rowley, astronomer Gerard Kuiper, one of the most important figures in the early development of the discipline of linguistics Edward Sapir, and the founder of McKinsey &amp; Co., James O. McKinsey.</t>
  </si>
  <si>
    <t>Since Thoreau was not a well known writer what happened when he was arrested?</t>
  </si>
  <si>
    <t>Who caused the dissolution of the Holy Roman Empire?</t>
  </si>
  <si>
    <t>Approximately 1,000 British soldiers were killed or injured.</t>
  </si>
  <si>
    <t>What award was given to Corliss?</t>
  </si>
  <si>
    <t>What do the former Midlothian County Buildings face?</t>
  </si>
  <si>
    <t>Sky+</t>
  </si>
  <si>
    <t>a product of primes</t>
  </si>
  <si>
    <t>solar power, nuclear power or geothermal energy</t>
  </si>
  <si>
    <t>What fields may pharmacy informatics also work in?</t>
  </si>
  <si>
    <t>What is a transformation of two problems into on three problems?</t>
  </si>
  <si>
    <t>Where did Moncalm slip away to attack, left largely protected?</t>
  </si>
  <si>
    <t>The Ruhr</t>
  </si>
  <si>
    <t xml:space="preserve">What were select locations connected to? </t>
  </si>
  <si>
    <t>Are there any other aviation communities such as Sierra Sky Park in the United States?</t>
  </si>
  <si>
    <t>What is oxygen-16 the lighter one of?</t>
  </si>
  <si>
    <t>Who called for more government oversight into the IPCC?</t>
  </si>
  <si>
    <t>Ottoman</t>
  </si>
  <si>
    <t>construction manager, design engineer, construction engineer or project manager</t>
  </si>
  <si>
    <t>The passage of what act gave Victoria its own government?</t>
  </si>
  <si>
    <t>his work was published first</t>
  </si>
  <si>
    <t>What happens to the working fluid in a chemistry system?</t>
  </si>
  <si>
    <t>14,000</t>
  </si>
  <si>
    <t>What are the three sectors of construction?</t>
  </si>
  <si>
    <t>What isn't economic growth sufficient for progress on?</t>
  </si>
  <si>
    <t>a proper hierarchy on the classes defined</t>
  </si>
  <si>
    <t>the reported rates of mortality in rural areas during the 14th-century pandemic were inconsistent with the modern bubonic plague</t>
  </si>
  <si>
    <t>Massachusetts Bay Colony</t>
  </si>
  <si>
    <t>Decision</t>
  </si>
  <si>
    <t>What problem did some tree ring data have?</t>
  </si>
  <si>
    <t>What percentage of a high pressure engine's efficiency has the compound engine achieved?</t>
  </si>
  <si>
    <t>How did William Shirley feel about English advancement?</t>
  </si>
  <si>
    <t>What are the weakly filled higher orbitals of oxygen?</t>
  </si>
  <si>
    <t>Dendritic cells present antigens to what cells of the adaptive nervous system?</t>
  </si>
  <si>
    <t>Southern California is home to many major business districts. Central business districts (CBD) include Downtown Los Angeles, Downtown San Diego, Downtown San Bernardino, Downtown Bakersfield, South Coast Metro and Downtown Riverside.</t>
  </si>
  <si>
    <t>Where was Andrew Lortie originally from?</t>
  </si>
  <si>
    <t>classical position variables</t>
  </si>
  <si>
    <t>Fredericia (Denmark), Berlin, Stockholm, Hamburg, Frankfurt, Helsinki, and Emden</t>
  </si>
  <si>
    <t>What generally does not allow citizens to sue other citizens?</t>
  </si>
  <si>
    <t>40 km wide</t>
  </si>
  <si>
    <t>What did the agreement not aim to do regarding Germany?</t>
  </si>
  <si>
    <t>programs to identify, recruit, and support talented youth</t>
  </si>
  <si>
    <t>The legislative competence of the Parliament species what areas?</t>
  </si>
  <si>
    <t>When did Hilliard, Taylor, and Wheeler work?</t>
  </si>
  <si>
    <t>Which article of the Treaty on European Union states that Commissioners should be completely independent and not take instructions from any Government?</t>
  </si>
  <si>
    <t>Who are elected using an open ballot?</t>
  </si>
  <si>
    <t>What kind of structures are typical in living lagerstatten?</t>
  </si>
  <si>
    <t>What army was pushing deep into Polish territory to pursue the Germans in 1944?</t>
  </si>
  <si>
    <t>Chur</t>
  </si>
  <si>
    <t>Why are some forces due to that are impossible to model?</t>
  </si>
  <si>
    <t>helping Adolf Hitler's rise to power</t>
  </si>
  <si>
    <t>As of 2008, about what percentage of Swedish students attended private schools?</t>
  </si>
  <si>
    <t>Parliament typically sits Tuesdays, Wednesdays and Thursdays from early January to late June and from early September to mid December, with two-week recesses in April and October. Plenary meetings in the debating chamber usually take place on Wednesday afternoons from 2 pm to 6 pm and on Thursdays from 9:15 am to 6 pm. Chamber debates and committee meetings are open to the public. Entry is free, but booking in advance is recommended due to limited space. Meetings are broadcast on the Parliament's own channel Holyrood.tv and on the BBC's parliamentary channel BBC Parliament. Proceedings are also recorded in text form, in print and online, in the Official Report, which is the substantially verbatim transcript of parliamentary debates.</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</si>
  <si>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</si>
  <si>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What is the least important natural region of the Netherlands?</t>
  </si>
  <si>
    <t>Who was bound to apply an EU law where a national rule conflicted?</t>
  </si>
  <si>
    <t>What was the most rainfall recorded in June?</t>
  </si>
  <si>
    <t>What year was it when St. Elizabeth flooded part of the North Sea?</t>
  </si>
  <si>
    <t>0.5–1.4 m [50–140 cm]</t>
  </si>
  <si>
    <t>Sinback worked with what college on a time-sharing system?</t>
  </si>
  <si>
    <t>Hendrix v Employee Insurance Institute</t>
  </si>
  <si>
    <t>international law</t>
  </si>
  <si>
    <t xml:space="preserve">What contributed to water pollution in the Rhine? </t>
  </si>
  <si>
    <t>likelihood of repeating her illegal actions</t>
  </si>
  <si>
    <t>What did the theory regarding the San Andreas fault do?</t>
  </si>
  <si>
    <t>difficult for predators to evolve that could specialize as predators on Magicicadas</t>
  </si>
  <si>
    <t>What process is responsible for the planet's oxygen content?</t>
  </si>
  <si>
    <t>How many reptiles have been discovered in the Amazon region?</t>
  </si>
  <si>
    <t>Where is the neighborhood of Sunnyside located in Fresno?</t>
  </si>
  <si>
    <t>WHat allows customers to get Sky+ functions if they do not subscribe to BSkyB's channels?</t>
  </si>
  <si>
    <t>Catawba, Muskogee-speaking Creek and Choctaw</t>
  </si>
  <si>
    <t>NP-complete</t>
  </si>
  <si>
    <t>Pulling on an object on a frictional surface can result in what?</t>
  </si>
  <si>
    <t>When was the book, Sur, published?</t>
  </si>
  <si>
    <t>Who deployed its army into Iraq in 1979?</t>
  </si>
  <si>
    <t>What does the Riding Museum boast having from Adolf Hitler's private collection?</t>
  </si>
  <si>
    <t>Who ordered Loudoun to attack Louisbourg?</t>
  </si>
  <si>
    <t>second Gleichschaltung</t>
  </si>
  <si>
    <t>conservation of momentum</t>
  </si>
  <si>
    <t>Where weren't populations centered in colonies?</t>
  </si>
  <si>
    <t>Where was the centrifugal governor first observed by Boulton?</t>
  </si>
  <si>
    <t>Diermeier was replaced as Provost by who?</t>
  </si>
  <si>
    <t>19.3%</t>
  </si>
  <si>
    <t>What kind of T cells kill cells that are infected with pathogens?</t>
  </si>
  <si>
    <t>Which laws mentioned predate EU law?</t>
  </si>
  <si>
    <t>Which entity focused upon the free movement of workers?</t>
  </si>
  <si>
    <t>effective planning</t>
  </si>
  <si>
    <t xml:space="preserve"> Who refused Buyantu?</t>
  </si>
  <si>
    <t>long-lived memory cells</t>
  </si>
  <si>
    <t>Who were later Yuan emperors isolated from?</t>
  </si>
  <si>
    <t>The process of growing more trees in the forest is known as what?</t>
  </si>
  <si>
    <t>Who issued the Royal Proclamation of 1736?</t>
  </si>
  <si>
    <t>Are California Bungalows located in the north or east?</t>
  </si>
  <si>
    <t xml:space="preserve"> Who weren't exempt from the Ministry of Justice?</t>
  </si>
  <si>
    <t>Rhine-Meuse Delta</t>
  </si>
  <si>
    <t>circumcision</t>
  </si>
  <si>
    <t>reverts to the first Thursday in May, a multiple of four years after 1999</t>
  </si>
  <si>
    <t>How many Protestant Walloons and Huguenots continued on through England and ended up in Ireland?</t>
  </si>
  <si>
    <t>Jessé de Forest</t>
  </si>
  <si>
    <t>What civilization was the first known to clearly study prime numbers?</t>
  </si>
  <si>
    <t>accepted 5.3% of applicants</t>
  </si>
  <si>
    <t>inside hospitals and clinics</t>
  </si>
  <si>
    <t>What direction did Watson say the mistake went in?</t>
  </si>
  <si>
    <t>In what year was Andrew Lortie born?</t>
  </si>
  <si>
    <t>kip</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</si>
  <si>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</si>
  <si>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Another important library – the University Library, founded in 1816, is home to over two million items. The building was designed by architects Marek Budzyński and Zbigniew Badowski and opened on 15 December 1999. It is surrounded by green. The University Library garden, designed by Irena Bajerska, was opened on 12 June 2002. It is one of the largest and most beautiful roof gardens in Europe with an area of more than 10,000 m2 (107,639.10 sq ft), and plants covering 5,111 m2 (55,014.35 sq ft). As the university garden it is open to the public every day.</t>
  </si>
  <si>
    <t>UDP</t>
  </si>
  <si>
    <t>held secular leanings or who had introduced or promoted Western/foreign ideas and practices into Islamic societies</t>
  </si>
  <si>
    <t>When did Tugh Temur die?</t>
  </si>
  <si>
    <t>When would a program not be useful for very small instances and in that sense the intractability of a problem is somewhat independent of technological progress?</t>
  </si>
  <si>
    <t>Renaissance</t>
  </si>
  <si>
    <t>What French city was Alexander Pepin originally from?</t>
  </si>
  <si>
    <t>What does education in an area where there is high demand for workers tend to create?</t>
  </si>
  <si>
    <t>hockey stick graph</t>
  </si>
  <si>
    <t>six to nine percent</t>
  </si>
  <si>
    <t>1,160,000</t>
  </si>
  <si>
    <t>cilia</t>
  </si>
  <si>
    <t>Dutch East India Company</t>
  </si>
  <si>
    <t>What type of number theory utilizes and studies prime ideals?</t>
  </si>
  <si>
    <t>characteristics of the conquering peoples</t>
  </si>
  <si>
    <t>What gearing was used on steam turbine marine engines in the 20th century?</t>
  </si>
  <si>
    <t>to one another</t>
  </si>
  <si>
    <t>The Assembly Center was used to take what kind of photographs?</t>
  </si>
  <si>
    <t>steam turbines</t>
  </si>
  <si>
    <t>With what European country did the Huguenots feel kinship for emigration to?</t>
  </si>
  <si>
    <t>When did this attempt take place?</t>
  </si>
  <si>
    <t>What legitimate dynasty came after the Yuan?</t>
  </si>
  <si>
    <t>The region spans which mountains other than the Transverse ranges?</t>
  </si>
  <si>
    <t>Rotterdam</t>
  </si>
  <si>
    <t>What plateau has groups of clay terraces?</t>
  </si>
  <si>
    <t>If none of Parliament agrees to the general principals of the bill, it proceeds to what Stage?</t>
  </si>
  <si>
    <t>What was Abu Hamaz al-Masri charged with when he was arrested?</t>
  </si>
  <si>
    <t>Dodge D-50</t>
  </si>
  <si>
    <t>Steam engines are external combustion engines, where the working fluid is separate from the combustion products. Non-combustion heat sources such as solar power, nuclear power or geothermal energy may be used. The ideal thermodynamic cycle used to analyze this process is called the Rankine cycle. In the cycle, water is heated and transforms into steam within a boiler operating at a high pressure. When expanded through pistons or turbines, mechanical work is done. The reduced-pressure steam is then condensed and pumped back into the boiler.</t>
  </si>
  <si>
    <t>What video game series did Alex Seropian make?</t>
  </si>
  <si>
    <t>In 1466, perhaps 40,000 people died of the plague in Paris. During the 16th and 17th centuries, the plague was present in Paris around 30 per cent of the time. The Black Death ravaged Europe for three years before it continued on into Russia, where the disease was present somewhere in the country 25 times between 1350 to 1490. Plague epidemics ravaged London in 1563, 1593, 1603, 1625, 1636, and 1665, reducing its population by 10 to 30% during those years. Over 10% of Amsterdam's population died in 1623–25, and again in 1635–36, 1655, and 1664. Plague occurred in Venice 22 times between 1361 and 1528. The plague of 1576–77 killed 50,000 in Venice, almost a third of the population. Late outbreaks in central Europe included the Italian Plague of 1629–1631, which is associated with troop movements during the Thirty Years' War, and the Great Plague of Vienna in 1679. Over 60% of Norway's population died in 1348–50. The last plague outbreak ravaged Oslo in 1654.</t>
  </si>
  <si>
    <t>HgO</t>
  </si>
  <si>
    <t>strong</t>
  </si>
  <si>
    <t>nineteenth-century cartographic techniques</t>
  </si>
  <si>
    <t>Where is the coldest section of Victoria?</t>
  </si>
  <si>
    <t>What is the main component of the aboral organ?</t>
  </si>
  <si>
    <t>German New Guinea</t>
  </si>
  <si>
    <t>30–60% of Europe's total population</t>
  </si>
  <si>
    <t>What is the minimum distance between a patient's home and the nearest pharmacy that allows a physician to give out medication?</t>
  </si>
  <si>
    <t>the southern and central parts of France</t>
  </si>
  <si>
    <t>the geochemical evolution of rock units</t>
  </si>
  <si>
    <t>1% to 3%</t>
  </si>
  <si>
    <t>number of gates</t>
  </si>
  <si>
    <t>What is one of the mammal animals that lives in the nature reserve and bird sanctuary?</t>
  </si>
  <si>
    <t>What do contractors inspect during building construction?</t>
  </si>
  <si>
    <t>Cobham–Edmonds thesis</t>
  </si>
  <si>
    <t>Who had established the Russian empire to its former glory prior to 1921?</t>
  </si>
  <si>
    <t>compounds of oxygen with a high oxidative potential</t>
  </si>
  <si>
    <t>The strife between races in Canada is a unique form of what?</t>
  </si>
  <si>
    <t>What year was the ECSC agreement established?</t>
  </si>
  <si>
    <t>Catholic orthodoxy</t>
  </si>
  <si>
    <t>What resource is the economy of southern California depedent on?</t>
  </si>
  <si>
    <t>Who was the author of the fourth assessment report?</t>
  </si>
  <si>
    <t>When people take on debt, it leads potentially to what?</t>
  </si>
  <si>
    <t>Who is best able to leverage the accumulation of wealth?</t>
  </si>
  <si>
    <t>Although some Acadians went to France and other destiantions, what North American city did many move to?</t>
  </si>
  <si>
    <t>What was Fort Caroline renamed to after the Spanish attack?</t>
  </si>
  <si>
    <t>chronic pain</t>
  </si>
  <si>
    <t>sending an email</t>
  </si>
  <si>
    <t>around 1.7 billion years ago</t>
  </si>
  <si>
    <t>What river does Warsaw straddle?</t>
  </si>
  <si>
    <t>What types of pumps are typically used in jet engines?</t>
  </si>
  <si>
    <t>What is the key bed?</t>
  </si>
  <si>
    <t>melanomas</t>
  </si>
  <si>
    <t>What relationship with Israel is Sadat for?</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</si>
  <si>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</si>
  <si>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Silk Road</t>
  </si>
  <si>
    <t>world revolution</t>
  </si>
  <si>
    <t>In ring theory</t>
  </si>
  <si>
    <t>healthcare professionals with specialised education</t>
  </si>
  <si>
    <t>How did Chinese medicine spread?</t>
  </si>
  <si>
    <t>Jumonville Glen</t>
  </si>
  <si>
    <t>9–88 cm</t>
  </si>
  <si>
    <t>What area has a population of 5,105,786?</t>
  </si>
  <si>
    <t>How did the unequal treatment of Chinese versus Mongols in the Yuan make the dynasty seem?</t>
  </si>
  <si>
    <t>What type of radar was used to classify the forest by plant type?</t>
  </si>
  <si>
    <t>What are public schools called in Germany?</t>
  </si>
  <si>
    <t>attacked the British column</t>
  </si>
  <si>
    <t>city</t>
  </si>
  <si>
    <t xml:space="preserve">X.25 networks were helped by what? </t>
  </si>
  <si>
    <t>What is the atomic number of the element oxygen?</t>
  </si>
  <si>
    <t>What nationality was Leonardo da Vinci?</t>
  </si>
  <si>
    <t>What is the intrisic angular variable called when particles act upon one another?</t>
  </si>
  <si>
    <t>How do you pronounce Fresno?</t>
  </si>
  <si>
    <t>What kinds of trees is Kearney Boulevard lined with?</t>
  </si>
  <si>
    <t xml:space="preserve"> Who had Kublai wanted to precede him?</t>
  </si>
  <si>
    <t xml:space="preserve"> Why were Eastern Chinese ranked lower?</t>
  </si>
  <si>
    <t>What is the theory that this King's name is the origin of "Huguenot" called?</t>
  </si>
  <si>
    <t>TEU articles 4 and 5</t>
  </si>
  <si>
    <t>discouraged development of alternative energies</t>
  </si>
  <si>
    <t>NSF helped the network enhance what?</t>
  </si>
  <si>
    <t>instances</t>
  </si>
  <si>
    <t>traditional private schools</t>
  </si>
  <si>
    <t>In what sense must you be observing the curvature of space-time?</t>
  </si>
  <si>
    <t>Who was the inventor of the atmospheric engine?</t>
  </si>
  <si>
    <t>John Myhill</t>
  </si>
  <si>
    <t>How many temperature reconstructions were included in the second assessment report?</t>
  </si>
  <si>
    <t>very low tuition fees</t>
  </si>
  <si>
    <t>What is not strictly contained in EXPTIME?</t>
  </si>
  <si>
    <t>high risk of a conflict of interest</t>
  </si>
  <si>
    <t>How many graduate students does Harvard have?</t>
  </si>
  <si>
    <t>Which company still offers Video On Demand and HD?</t>
  </si>
  <si>
    <t>Phagocytosis first evolved as means of doing what?</t>
  </si>
  <si>
    <t>a violation of criminal law that does not infringe the rights of others.</t>
  </si>
  <si>
    <t>What did S&amp;P recommend to somewhat remedy the wealth gap?</t>
  </si>
  <si>
    <t>nearly $12</t>
  </si>
  <si>
    <t>Did Baran develop this "only" for use by the Air Force?</t>
  </si>
  <si>
    <t>What must a project adhere to?</t>
  </si>
  <si>
    <t>The Iroquois sent runners to the manor of William Johnson in upstate New York. The British Superintendent for Indian Affairs in the New York region and beyond, Johnson was known to the Iroquois as Warraghiggey, meaning "He who does great things." He spoke their languages and had become a respected honorary member of the Iroquois Confederacy in the area. In 1746, Johnson was made a colonel of the Iroquois. Later he was commissioned as a colonel of the Western New York Militia. They met at Albany, New York with Governor Clinton and officials from some of the other American colonies. Mohawk Chief Hendrick, Speaker of their tribal council, insisted that the British abide by their obligations and block French expansion. When Clinton did not respond to his satisfaction, Chief Hendrick said that the "Covenant Chain", a long-standing friendly relationship between the Iroquois Confederacy and the British Crown, was broken.</t>
  </si>
  <si>
    <t>What do David Castlles-Quintana and Vicente Royuela do for a living?</t>
  </si>
  <si>
    <t>EU law</t>
  </si>
  <si>
    <t xml:space="preserve">What is the colloquial phrase used to convey the continuum of algorithms with unlimited availability irrespective of time? </t>
  </si>
  <si>
    <t>EU law has primacy</t>
  </si>
  <si>
    <t>What is the Rhine called in French?</t>
  </si>
  <si>
    <t>What in a nuclear power plant is the diesel turbine connected to?</t>
  </si>
  <si>
    <t>How do platyctenids reproduce?</t>
  </si>
  <si>
    <t>Halford Mackinder and Friedrich Ratzel where what kind of philosophers?</t>
  </si>
  <si>
    <t>Who opened the new Parliament building on October 9, 2004?</t>
  </si>
  <si>
    <t>What does the orientation of the thin sections tell geologists?</t>
  </si>
  <si>
    <t>Earth</t>
  </si>
  <si>
    <t>*Rīnaz</t>
  </si>
  <si>
    <t>When was UNEP founded?</t>
  </si>
  <si>
    <t>What did the UGSS release?</t>
  </si>
  <si>
    <t>Even though some proofs of complexity-theoretic theorems regularly assume some concrete choice of input encoding, one tries to keep the discussion abstract enough to be independent of the choice of encoding. This can be achieved by ensuring that different representations can be transformed into each other efficiently.</t>
  </si>
  <si>
    <t>What does the sea monster with a female upper body hold in its claws?</t>
  </si>
  <si>
    <t>To monitor what event would measuring radiance from vegetation provide information?</t>
  </si>
  <si>
    <t>Which provinces in Canada limit the rights of pharmacists in prescribing?</t>
  </si>
  <si>
    <t>Along with internal combustion engines, what machines have superseded steam in some areas?</t>
  </si>
  <si>
    <t>for its popular beaches</t>
  </si>
  <si>
    <t>the balance of religious beliefs</t>
  </si>
  <si>
    <t>a combination of poor management, internal divisions, and effective Canadian scouts</t>
  </si>
  <si>
    <t>Britain</t>
  </si>
  <si>
    <t>What does the utilitarian principle seek for the lowest number of people?</t>
  </si>
  <si>
    <t xml:space="preserve">What is Creon trying to stop Antigone from doing in the play? </t>
  </si>
  <si>
    <t>the original Fresno County Courthouse (demolished), the Fresno Carnegie Public Library (demolished)</t>
  </si>
  <si>
    <t>What happens if a problem X is in C, and soft for C?</t>
  </si>
  <si>
    <t>Where did Kublai tear down his administration's strength?</t>
  </si>
  <si>
    <t>Who's infected corpse was one of the ones catapulted over the walls of Kaffa by the Mongol army?</t>
  </si>
  <si>
    <t xml:space="preserve"> What fields of study were not advanced during the Yuan?</t>
  </si>
  <si>
    <t>increased wages</t>
  </si>
  <si>
    <t>Who was the first Cetrum President?</t>
  </si>
  <si>
    <t>27-30%</t>
  </si>
  <si>
    <t>What does not have extended structure?</t>
  </si>
  <si>
    <t>Outlaws ravaged the country</t>
  </si>
  <si>
    <t>J.I. Pontanus</t>
  </si>
  <si>
    <t>Phagocytosis is an important feature of cellular innate immunity performed by cells called 'phagocytes' that engulf, or eat, pathogens or particles. Phagocytes generally patrol the body searching for pathogens, but can be called to specific locations by cytokines. Once a pathogen has been engulfed by a phagocyte, it becomes trapped in an intracellular vesicle called a phagosome, which subsequently fuses with another vesicle called a lysosome to form a phagolysosome. The pathogen is killed by the activity of digestive enzymes or following a respiratory burst that releases free radicals into the phagolysosome. Phagocytosis evolved as a means of acquiring nutrients, but this role was extended in phagocytes to include engulfment of pathogens as a defense mechanism. Phagocytosis probably represents the oldest form of host defense, as phagocytes have been identified in both vertebrate and invertebrate animals.</t>
  </si>
  <si>
    <t>Reconstruction and the Gilded Age</t>
  </si>
  <si>
    <t>What should be avoided when talking to authorities?</t>
  </si>
  <si>
    <t>Who is an award winning photographer and writer?</t>
  </si>
  <si>
    <t>Rocks on top of a fault that are cut are always older or younger than the fault itself?</t>
  </si>
  <si>
    <t>What was the fort that was being built to be named?</t>
  </si>
  <si>
    <t>How were British unable to cut supplies to Louisbourg?</t>
  </si>
  <si>
    <t>What is the median temperature in the summer?</t>
  </si>
  <si>
    <t>What does a 2003 report on Nigeria suggest it's growth has done?</t>
  </si>
  <si>
    <t>Who is the founder of T. Seaborg and Co.?</t>
  </si>
  <si>
    <t>moral reasons to follow this law</t>
  </si>
  <si>
    <t>compute primes</t>
  </si>
  <si>
    <t>How does one measure the simplicity of a computational problem?</t>
  </si>
  <si>
    <t>Where does a pathogen come in direct contact with immune cells, antibodies and complement?</t>
  </si>
  <si>
    <t>pseudo-sciences</t>
  </si>
  <si>
    <t>Why do do ciliary rosettes need to decrease density in seawater?</t>
  </si>
  <si>
    <t>What state in Australia is the center of dairy farming?</t>
  </si>
  <si>
    <t>Treaty provisions</t>
  </si>
  <si>
    <t>What was classified in 2008?</t>
  </si>
  <si>
    <t>PVR</t>
  </si>
  <si>
    <t>First Minister</t>
  </si>
  <si>
    <t>fluid–brain barriers</t>
  </si>
  <si>
    <t>straight down</t>
  </si>
  <si>
    <t>What language is used in Chinese primary schools in Malaysia?</t>
  </si>
  <si>
    <t>one at a time they stepped across the "line" and were immediately arrested</t>
  </si>
  <si>
    <t>What is the term for the original Aboriginal people of Victoria?</t>
  </si>
  <si>
    <t>the emergence of Hollywood</t>
  </si>
  <si>
    <t>I do not think myself obliged to obey</t>
  </si>
  <si>
    <t>In one experiment, Lavoisier observed that there was no overall increase in weight when tin and air were heated in a closed container. He noted that air rushed in when he opened the container, which indicated that part of the trapped air had been consumed. He also noted that the tin had increased in weight and that increase was the same as the weight of the air that rushed back in. This and other experiments on combustion were documented in his book Sur la combustion en général, which was published in 1777. In that work, he proved that air is a mixture of two gases; 'vital air', which is essential to combustion and respiration, and azote (Gk. ἄζωτον "lifeless"), which did not support either. Azote later became nitrogen in English, although it has kept the name in French and several other European languages.</t>
  </si>
  <si>
    <t>Parliament elects a second minister from whom?</t>
  </si>
  <si>
    <t>unnatural</t>
  </si>
  <si>
    <t>What was the Anglo-Norman language's final form?</t>
  </si>
  <si>
    <t>architect</t>
  </si>
  <si>
    <t>What nominal title did Yuan emperors have?</t>
  </si>
  <si>
    <t>Jean De Rely's illustrated French-language scriptures were first published in what city?</t>
  </si>
  <si>
    <t>sodium carbonate and potassium carbonate</t>
  </si>
  <si>
    <t>rich</t>
  </si>
  <si>
    <t>Who applies expertise to relate the work and materials involved to a proper valuation?</t>
  </si>
  <si>
    <t>1895</t>
  </si>
  <si>
    <t>What are three basic primary resources used to gauge complexity?</t>
  </si>
  <si>
    <t>In what century did the history of the steam engine begin?</t>
  </si>
  <si>
    <t>School desegregation in the United States led to an increased number of students of what ethnicity in public schools?</t>
  </si>
  <si>
    <t>What is missing a theory on quantum gravity?</t>
  </si>
  <si>
    <t>What do bottom-dwelling platyctenids usually lack like the adults?</t>
  </si>
  <si>
    <t>orientalism and tropicality</t>
  </si>
  <si>
    <t>What event occurred 5.2 billion years ago?</t>
  </si>
  <si>
    <t>Where does the IJssel and Nederrijn redistribute into?</t>
  </si>
  <si>
    <t>What was thought to decide a person's behavior?</t>
  </si>
  <si>
    <t>affiliated with other Protestant denominations</t>
  </si>
  <si>
    <t>environment</t>
  </si>
  <si>
    <t>After Braddock was born, who controlled North American British forces?</t>
  </si>
  <si>
    <t>increasing unemployment</t>
  </si>
  <si>
    <t>its North American provinces</t>
  </si>
  <si>
    <t>One in five of all the bird species in the world</t>
  </si>
  <si>
    <t>Following the death of Braddock, William Shirley assumed command of British forces in North America. At a meeting in Albany in December 1755, he laid out his plans for 1756. In addition to renewing the efforts to capture Niagara, Crown Point and Duquesne, he proposed attacks on Fort Frontenac on the north shore of Lake Ontario and an expedition through the wilderness of the Maine district and down the Chaudière River to attack the city of Quebec. Bogged down by disagreements and disputes with others, including William Johnson and New York's Governor Sir Charles Hardy, Shirley's plan had little support.</t>
  </si>
  <si>
    <t>What profession does Simon Kuznets have?</t>
  </si>
  <si>
    <t>How many Protestant Walloons fled to England before the Foreign Protestants Naturalization Act was passed?</t>
  </si>
  <si>
    <t>Who proved that these exist practical relevant problems that are NP-complete in 1961?</t>
  </si>
  <si>
    <t>Port of San Diego</t>
  </si>
  <si>
    <t>Which sea was oil discovered in?</t>
  </si>
  <si>
    <t>John Pell</t>
  </si>
  <si>
    <t>between 96,660 and 128,843</t>
  </si>
  <si>
    <t xml:space="preserve">What is the name of another algorithm useful for conveniently testing the primality of large numbers? </t>
  </si>
  <si>
    <t>What does the bolinopsis generally eat?</t>
  </si>
  <si>
    <t>What is peer to peer?</t>
  </si>
  <si>
    <t>What is another term for year 12 of education?</t>
  </si>
  <si>
    <t>What did Dutch health authorities regard as necessary?</t>
  </si>
  <si>
    <t>Private Education Student Financial Assistance</t>
  </si>
  <si>
    <t>STB</t>
  </si>
  <si>
    <t>The US Government can refer the bill to whom?</t>
  </si>
  <si>
    <t>West Side</t>
  </si>
  <si>
    <t>Before the statement is delivered, who is questioned?</t>
  </si>
  <si>
    <t>entrepreneurship rates</t>
  </si>
  <si>
    <t>San Diego International Airport</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</si>
  <si>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</si>
  <si>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What are some proposals to connect campuses?</t>
  </si>
  <si>
    <t>What is the immune system unable to distinguish from healthy tissue?</t>
  </si>
  <si>
    <t>What two scientists were proponents of the humoral theory of immunity?</t>
  </si>
  <si>
    <t xml:space="preserve">Where does the Lek join? </t>
  </si>
  <si>
    <t>When was he elected by Nixon?</t>
  </si>
  <si>
    <t>The Rocky Mountains enclosed a late creating what basing?</t>
  </si>
  <si>
    <t>Where did HT fail to pull off a bloodless coup in 1974?</t>
  </si>
  <si>
    <t>the founding of new Protestant churches</t>
  </si>
  <si>
    <t>forts Shirley had erected at the Oneida Carry</t>
  </si>
  <si>
    <t>Han Chinese, Khitans, Jurchens, Mongols, and Tibetan Buddhists</t>
  </si>
  <si>
    <t>What is as important as identifying plague symptoms?</t>
  </si>
  <si>
    <t>When was the drainage basin of the Amazon believed to have split in the middle of South America?</t>
  </si>
  <si>
    <t>Why is Priestley usually given credit for being first to discover oxygen?</t>
  </si>
  <si>
    <t>The party with the lowest quotient is awarded what?</t>
  </si>
  <si>
    <t>How many French colonists were gained by British?</t>
  </si>
  <si>
    <t>Wealth concentration</t>
  </si>
  <si>
    <t>bays</t>
  </si>
  <si>
    <t>Which park is home to the Kearney Mansion?</t>
  </si>
  <si>
    <t>slowed the animal's metabolism</t>
  </si>
  <si>
    <t>The Dornbirner Ach</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</si>
  <si>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</si>
  <si>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a result of increasing crime and poverty</t>
  </si>
  <si>
    <t>What is the trend in skills among architects?</t>
  </si>
  <si>
    <t>whiteness</t>
  </si>
  <si>
    <t>During which period in history was the Amazon rainforest a narrow band of forest?</t>
  </si>
  <si>
    <t>What do the top 400 richest Americans have more of than half of all Americans combined?</t>
  </si>
  <si>
    <t>What do bathyctena chuni, euplokamis stationis and eurhamphaea vexilligera have in common?</t>
  </si>
  <si>
    <t>Which fort was rebuilt in 1964?</t>
  </si>
  <si>
    <t>decline in hormone levels</t>
  </si>
  <si>
    <t>the Bureau of Buddhist and Tibetan Affairs</t>
  </si>
  <si>
    <t>Scottish Parliament Building</t>
  </si>
  <si>
    <t>Miasma theory.</t>
  </si>
  <si>
    <t>Where does centripetal force go?</t>
  </si>
  <si>
    <t>What is not based on a pistonless rotary engine?</t>
  </si>
  <si>
    <t>Other prominent alumni include anthropologists David Graeber and Donald Johanson, who is best known for discovering the fossil of a female hominid australopithecine known as "Lucy" in the Afar Triangle region, psychologist John B. Watson, American psychologist who established the psychological school of behaviorism, communication theorist Harold Innis, chess grandmaster Samuel Reshevsky, and conservative international relations scholar and White House Coordinator of Security Planning for the National Security Council Samuel P. Huntington.</t>
  </si>
  <si>
    <t>central location</t>
  </si>
  <si>
    <t>What has the U of C maintained since 1938?</t>
  </si>
  <si>
    <t>Why was there a depreciation of the industrialized nations dollars?</t>
  </si>
  <si>
    <t>What cause city funding to increase?</t>
  </si>
  <si>
    <t>Whose activities weren't the French able to gain knowledge of?</t>
  </si>
  <si>
    <t xml:space="preserve"> What does a writer for the International Crisis Group think the concept of political Islam is not a creation of?</t>
  </si>
  <si>
    <t>1967</t>
  </si>
  <si>
    <t>When was Al-Banna assassinated?</t>
  </si>
  <si>
    <t>Where did a bloody civil war break out?</t>
  </si>
  <si>
    <t>storage</t>
  </si>
  <si>
    <t>Where can a tribute to the fall of Katyn be found?</t>
  </si>
  <si>
    <t>What did Aristotle refer to forced motion as?</t>
  </si>
  <si>
    <t>charging their students tuition</t>
  </si>
  <si>
    <t>45</t>
  </si>
  <si>
    <t>IN the United States, what is a maximum potential with 60 Hertz of power?</t>
  </si>
  <si>
    <t>What is the name of the epoch expanded in the second scale?</t>
  </si>
  <si>
    <t>Sargans</t>
  </si>
  <si>
    <t>In what year did the Amazon experience its worst drought of recent history?</t>
  </si>
  <si>
    <t>an amorphous area of central Europe</t>
  </si>
  <si>
    <t>What does the inability to separate Islam from Islamism lead many in the West to support?</t>
  </si>
  <si>
    <t>Poland Prime Minister Donald Tusk</t>
  </si>
  <si>
    <t>best, worst and average</t>
  </si>
  <si>
    <t>OAPEC proclaimed the embargo that curbed exports to various countries and blocked all oil deliveries to the US as a "principal hostile country</t>
  </si>
  <si>
    <t>What does TFEU article 288 not say?</t>
  </si>
  <si>
    <t>hypersensitive response of plants against pathogen attack</t>
  </si>
  <si>
    <t>cut off the French frontier forts</t>
  </si>
  <si>
    <t>a variety of different illegal acts</t>
  </si>
  <si>
    <t>What percentage of the population of London died during the 1589 breakout of the Black Death?</t>
  </si>
  <si>
    <t>What is the cost of living near Harvard?</t>
  </si>
  <si>
    <t>What is fully understood about γδ T cells?</t>
  </si>
  <si>
    <t>What actually causes rigidity in matter?</t>
  </si>
  <si>
    <t>between 3 and 14 hours a week</t>
  </si>
  <si>
    <t>citrus</t>
  </si>
  <si>
    <t>what do conquering people pass down to native populations?</t>
  </si>
  <si>
    <t>What is the most abundant element in the universe followed by hydrogen and helium?</t>
  </si>
  <si>
    <t>the proportion of female undergraduates steadily increased, mirroring a trend throughout higher education in the United States</t>
  </si>
  <si>
    <t>How many areas were impacted by the the death of vegetation in the 2010 drought?</t>
  </si>
  <si>
    <t>10%</t>
  </si>
  <si>
    <t>When have humans started impacting the delta?</t>
  </si>
  <si>
    <t>What does the minister who was the catalyst of the Members Business do by speaking after everyone else?</t>
  </si>
  <si>
    <t>coercion</t>
  </si>
  <si>
    <t>What is circuit switching characterized by</t>
  </si>
  <si>
    <t>According to Gluga's theorem, what factorial must be divisible by n if some integer n &gt; 4 is to be considered composite?</t>
  </si>
  <si>
    <t>1 July 1851</t>
  </si>
  <si>
    <t>British failures in North America, combined with other failures in the European theater</t>
  </si>
  <si>
    <t>a round trip through all sites in Milan whose total length is at most 10 km</t>
  </si>
  <si>
    <t>"business as usual" (BAU)</t>
  </si>
  <si>
    <t>potentially dangerous</t>
  </si>
  <si>
    <t>better</t>
  </si>
  <si>
    <t>judges</t>
  </si>
  <si>
    <t>southern Chinese manufacturers and merchants</t>
  </si>
  <si>
    <t>How is civil disobedience typically defined in connection of the citizen's?</t>
  </si>
  <si>
    <t>What is the most snow Fresno has ever had?</t>
  </si>
  <si>
    <t>military force</t>
  </si>
  <si>
    <t>a Commission proposal</t>
  </si>
  <si>
    <t>Who may seek changes or exemptions in the law that governs the land where the building will be built?</t>
  </si>
  <si>
    <t>east of the Mississippi</t>
  </si>
  <si>
    <t>Treaty of Hubertusburg on 15 February 1763</t>
  </si>
  <si>
    <t>All Italian chocolate is made from what alone?</t>
  </si>
  <si>
    <t>local-global</t>
  </si>
  <si>
    <t>law</t>
  </si>
  <si>
    <t>How many vice presidents are on the Student Board?</t>
  </si>
  <si>
    <t>level fell significantly</t>
  </si>
  <si>
    <t>essentials</t>
  </si>
  <si>
    <t>dynamic equilibrium</t>
  </si>
  <si>
    <t>The Chicago government is made up of what type of students?</t>
  </si>
  <si>
    <t>What does stong force act upon?</t>
  </si>
  <si>
    <t>Breast milk</t>
  </si>
  <si>
    <t>Sainte Foy in Quebec</t>
  </si>
  <si>
    <t>that a time-sharing system, based on Kemney's work at Dartmouth—which used a computer on loan from GE—could be profitable</t>
  </si>
  <si>
    <t>What industry has managed to survive major military spending cutbacks?</t>
  </si>
  <si>
    <t>32%</t>
  </si>
  <si>
    <t>Ireland</t>
  </si>
  <si>
    <t>new and enlarged bridges, a shuttle service and/or a tram</t>
  </si>
  <si>
    <t>What is William Rankine's nationality?</t>
  </si>
  <si>
    <t>optimal health outcomes</t>
  </si>
  <si>
    <t>What is the nervous system made up of?</t>
  </si>
  <si>
    <t>How long has the imagery of the mermaid been used by Warsaw?</t>
  </si>
  <si>
    <t>What is one of the first responses the immune system has to infection?</t>
  </si>
  <si>
    <t>What is a higher rate of social goods an effect of?</t>
  </si>
  <si>
    <t>What corresponds to solving the problem of multiplying three numbers/</t>
  </si>
  <si>
    <t>the proprietors of illegal medical cannabis dispensaries</t>
  </si>
  <si>
    <t>What did Kublai do to prevent famines?</t>
  </si>
  <si>
    <t>September 2001</t>
  </si>
  <si>
    <t>How many tons of dust are blown from the Sahara each year?</t>
  </si>
  <si>
    <t>What famous surfing spots is Oahu second to?</t>
  </si>
  <si>
    <t>were open standards with published specifications, and several implementations were developed outside DEC, including one for Linux</t>
  </si>
  <si>
    <t>After the Rhine emerges from Lake Constance, what direction does it flow?</t>
  </si>
  <si>
    <t>By what century did researchers see that they could liquefy air?</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</si>
  <si>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</si>
  <si>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Brownlee</t>
  </si>
  <si>
    <t>individuals</t>
  </si>
  <si>
    <t>What other entity was not established at the same time as the European Convention of Human Rights?</t>
  </si>
  <si>
    <t>What are the antimicrobial peptides that are the main form of invertebrate systemic immunity called?</t>
  </si>
  <si>
    <t>What does factorization of prime ideals approximate?</t>
  </si>
  <si>
    <t>What are two examples of cytotoxic or immunosuppressive drugs?</t>
  </si>
  <si>
    <t>What is generally not accepted about EU law?</t>
  </si>
  <si>
    <t>What is unknown about the complexity classes between L and P that further prevents determining the value relationship between L and P?</t>
  </si>
  <si>
    <t>debased</t>
  </si>
  <si>
    <t>What business districts does the Riverside area maintain?</t>
  </si>
  <si>
    <t>2.2 inches (0.06 m)</t>
  </si>
  <si>
    <t>In what year did the U of C become one of 7 founding members of the Association of Chicago Universities?</t>
  </si>
  <si>
    <t>birefringence, pleochroism, twinning, and interference properties</t>
  </si>
  <si>
    <t>What is the system by which prokaryotes retain phage gene fragments that they have previously come in contact with?</t>
  </si>
  <si>
    <t>What did families with incomes below $38,000 pay for tuition in 2009?</t>
  </si>
  <si>
    <t>Who came up with the concept that falling objects fell at the same speed regardless of weight?</t>
  </si>
  <si>
    <t>Hisao Yamada</t>
  </si>
  <si>
    <t xml:space="preserve"> Who thought the world could not be split into climatic zones?</t>
  </si>
  <si>
    <t>1919</t>
  </si>
  <si>
    <t>philanthropy</t>
  </si>
  <si>
    <t>a series of strikes</t>
  </si>
  <si>
    <t>any great amount of it would undermine the law</t>
  </si>
  <si>
    <t>Sandwich, Faversham and Maidstone</t>
  </si>
  <si>
    <t>Sonderungsverbot</t>
  </si>
  <si>
    <t>fossil sequences</t>
  </si>
  <si>
    <t>What group of civil disobedients brought medicine to Iraq without the permission of the government?</t>
  </si>
  <si>
    <t>How did Yesun Temur die</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</si>
  <si>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</si>
  <si>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albarellos from the 16th and 17th centuries, old prescription books and antique drugs</t>
  </si>
  <si>
    <t>British failures in North America</t>
  </si>
  <si>
    <t xml:space="preserve"> What modern city did Khanbaliq not become?</t>
  </si>
  <si>
    <t>Whose activities were the French able to gain knowledge of?</t>
  </si>
  <si>
    <t>Who threw Hagen into the river?</t>
  </si>
  <si>
    <t xml:space="preserve"> What did 'Di Yuan Shi' mean?</t>
  </si>
  <si>
    <t>Central business districts</t>
  </si>
  <si>
    <t>oxygen and hydrogen</t>
  </si>
  <si>
    <t>suspended sentences</t>
  </si>
  <si>
    <t>What aren't the Siouan-speaking tribes?</t>
  </si>
  <si>
    <t>The Amazon represents over half of the planet's remaining rainforests</t>
  </si>
  <si>
    <t>Enrique Pérez de Guzmán</t>
  </si>
  <si>
    <t>What was the bubonic plague mechanism reliant on?</t>
  </si>
  <si>
    <t>What do the reactive forms of oxygen produce in organisms?</t>
  </si>
  <si>
    <t>When were Shimer College students allowed to transfer to the University of Chicago?</t>
  </si>
  <si>
    <t>more active and lived longer while breathing it</t>
  </si>
  <si>
    <t>What type of landscapes other than geologic and natural ecosystem landscapes can be found in southern California?</t>
  </si>
  <si>
    <t>St. Elizabeth's</t>
  </si>
  <si>
    <t>What type of steam engine doesn't need valves to direct engines?</t>
  </si>
  <si>
    <t>What does a U.S. census report state that even after other factors there still exists this between earnings of men and women?</t>
  </si>
  <si>
    <t>three hundred years</t>
  </si>
  <si>
    <t xml:space="preserve"> What happened to the credibility of secular politics as a result of the Eight-Day War?</t>
  </si>
  <si>
    <t>Who provided a discussion on the concept of time as an integral part of Aristotelian cosmology?</t>
  </si>
  <si>
    <t>seawater</t>
  </si>
  <si>
    <t>Kublai readied the move of the Mongol capital from Karakorum in Mongolia to Khanbaliq in 1264, constructing a new city near the former Jurchen capital Zhongdu, now modern Beijing, in 1266. In 1271, Kublai formally claimed the Mandate of Heaven and declared that 1272 was the first year of the Great Yuan (Chinese: 大元) in the style of a traditional Chinese dynasty. The name of the dynasty originated from the I Ching and describes the "origin of the universe" or a "primal force". Kublai proclaimed Khanbaliq the "Great Capital" or Daidu (Dadu, Chinese: 大都 in Chinese) of the dynasty. The era name was changed to Zhiyuan to herald a new era of Chinese history. The adoption of a dynastic name legitimized Mongol rule by integrating the government into the narrative of traditional Chinese political succession. Khublai evoked his public image as a sage emperor by following the rituals of Confucian propriety and ancestor veneration, while simultaneously retaining his roots as a leader from the steppes.</t>
  </si>
  <si>
    <t>What keeps the theory of transform boundaries going?</t>
  </si>
  <si>
    <t>Which entity developed the principles of European Union Law?</t>
  </si>
  <si>
    <t>How much dust is blown into the sonar every year</t>
  </si>
  <si>
    <t>What is the name of one impressive continuation of the Carmichael primality test?</t>
  </si>
  <si>
    <t>1702 and 1709</t>
  </si>
  <si>
    <t>160 kPa (about 1.6 atm)</t>
  </si>
  <si>
    <t>the Welsh</t>
  </si>
  <si>
    <t>Richard Wilkinson and Kate Pickett</t>
  </si>
  <si>
    <t>What encouraged cultural exchange under the Yuan?</t>
  </si>
  <si>
    <t>What is the potential earnings for a job where there are few skilled workers but many available positions?</t>
  </si>
  <si>
    <t>Dutch PTT Telecom</t>
  </si>
  <si>
    <t>Killer T cells</t>
  </si>
  <si>
    <t>What is the most distinctive feature of ctenophora?</t>
  </si>
  <si>
    <t>What implication can not be derived for P and NP is P and co-NP are established to be unequal?</t>
  </si>
  <si>
    <t>What did the license to build this type of car expire in 1995?</t>
  </si>
  <si>
    <t>Which conjecture holds that every even integer n greater than 2 can be expressed as a sum of two primes?</t>
  </si>
  <si>
    <t>What does Vriscovci mean in Polish?</t>
  </si>
  <si>
    <t>MSP</t>
  </si>
  <si>
    <t>Who was one of the most famous people born in Warsaw?</t>
  </si>
  <si>
    <t>Where was the location of the 2003 Rose revolution?</t>
  </si>
  <si>
    <t>What is the goal of the incapabilities approach?</t>
  </si>
  <si>
    <t>What did Basset analyze before coming to his conclusions?</t>
  </si>
  <si>
    <t>Newton</t>
  </si>
  <si>
    <t>FREZ-noh</t>
  </si>
  <si>
    <t>There's a rough border between Switzerland and what other country formed by the Rhine?</t>
  </si>
  <si>
    <t>What impact did the high school education movement have on the wages of skilled workers?</t>
  </si>
  <si>
    <t>In what year did le roi Huguet die?</t>
  </si>
  <si>
    <t>How many streetcars did the Fresno Traction Company operate in 1931?</t>
  </si>
  <si>
    <t>What is divided into five classes?</t>
  </si>
  <si>
    <t>When is the Warsaw Gallery Weekend held?</t>
  </si>
  <si>
    <t>What type of phrase is North of the Tehachapis?</t>
  </si>
  <si>
    <t>Which branch of the EU has had the least amount of influence on the development of Eu law?</t>
  </si>
  <si>
    <t>When was the Scottish Constitutional Convention held?</t>
  </si>
  <si>
    <t>What functions usually lie with US Government ministers?</t>
  </si>
  <si>
    <t>sea water</t>
  </si>
  <si>
    <t>Adolf Galland</t>
  </si>
  <si>
    <t>What was first battle in 1745?</t>
  </si>
  <si>
    <t>segregation academies</t>
  </si>
  <si>
    <t>Orange, San Diego, Riverside and San Bernardino make up four of the five counties. What is the name of the last county?</t>
  </si>
  <si>
    <t>about 50% oxygen composition at standard pressure</t>
  </si>
  <si>
    <t>Who was a political philosopher, mathematician, author and also former faculty member?</t>
  </si>
  <si>
    <t>What has the infrastructure done a lot of over the past years?</t>
  </si>
  <si>
    <t>What was first battle in 1754?</t>
  </si>
  <si>
    <t>47°39′N 9°19′E﻿ / ﻿47.650°N 9.317°E﻿ / 47.650; 9.317</t>
  </si>
  <si>
    <t>ministers</t>
  </si>
  <si>
    <t>What used to be described by the Schrodinger equation?</t>
  </si>
  <si>
    <t>What shape are some of the buildings in the Parliament complex?</t>
  </si>
  <si>
    <t>Along with marine engines and industrial units, in what machines was compounding popular?</t>
  </si>
  <si>
    <t xml:space="preserve">Plate tectonics can be seen as the intimate coupling between rigid plates on the surface of the Earth and what? </t>
  </si>
  <si>
    <t>Bucks Point</t>
  </si>
  <si>
    <t>In 1973</t>
  </si>
  <si>
    <t>What lies between L and P that prevents a definitive determination of the relationship between L and P?</t>
  </si>
  <si>
    <t>What was persistent unemployment have a negative effect on?</t>
  </si>
  <si>
    <t>What liberal succeeded Joseph Willard as president?</t>
  </si>
  <si>
    <t>top</t>
  </si>
  <si>
    <t xml:space="preserve">The Rhine forms the border between Austria and what other country? </t>
  </si>
  <si>
    <t>What does not explain the failure of vaccines directed at the HIV virus?</t>
  </si>
  <si>
    <t>north</t>
  </si>
  <si>
    <t>Outside of Northern San Diego, which other region contains business districts?</t>
  </si>
  <si>
    <t>deadly explosives</t>
  </si>
  <si>
    <t>chemical oxygen generators</t>
  </si>
  <si>
    <t>How much of the lake connecting with the Rhine can you see from the German islands?</t>
  </si>
  <si>
    <t>191.766 billion PLN</t>
  </si>
  <si>
    <t>X.25</t>
  </si>
  <si>
    <t>There is no known case</t>
  </si>
  <si>
    <t>In Japan, at the end of the Asuka period (538–710) and the early Nara period (710–794), the men who fulfilled roles similar to those of modern pharmacists were highly respected. The place of pharmacists in society was expressly defined in the Taihō Code (701) and re-stated in the Yōrō Code (718). Ranked positions in the pre-Heian Imperial court were established; and this organizational structure remained largely intact until the Meiji Restoration (1868). In this highly stable hierarchy, the pharmacists—and even pharmacist assistants—were assigned status superior to all others in health-related fields such as physicians and acupuncturists. In the Imperial household, the pharmacist was even ranked above the two personal physicians of the Emperor.</t>
  </si>
  <si>
    <t>Who is the CEO of Microsoft and also served as Governor in NJ?</t>
  </si>
  <si>
    <t>Which of Newton's Laws described a rotational inertia equation?</t>
  </si>
  <si>
    <t>about 2.5 million</t>
  </si>
  <si>
    <t>1905</t>
  </si>
  <si>
    <t>Presidents in the governing party introduce what laws?</t>
  </si>
  <si>
    <t>Although some Acadians went to France and other destiantions, what North American city did many not move to?</t>
  </si>
  <si>
    <t>What does the failure of a pathogen depend on?</t>
  </si>
  <si>
    <t>kinematic</t>
  </si>
  <si>
    <t>Rhine Delta</t>
  </si>
  <si>
    <t>What are the three sources of American Union Law?</t>
  </si>
  <si>
    <t>Mexican</t>
  </si>
  <si>
    <t>within the premises of the hospital</t>
  </si>
  <si>
    <t>the Pechenegs, the Bulgars, and especially the Seljuk Turks</t>
  </si>
  <si>
    <t>What Welsh lords did William conquer?</t>
  </si>
  <si>
    <t>residential and non-residential (commercial/institutional)</t>
  </si>
  <si>
    <t>mass of the system</t>
  </si>
  <si>
    <t>Who chartered the British East India Company?</t>
  </si>
  <si>
    <t>To what gauge have some lines been changed north of Victoria?</t>
  </si>
  <si>
    <t>formidable natural obstacle</t>
  </si>
  <si>
    <t>At what rank is GPS service in Victoria?</t>
  </si>
  <si>
    <t>the size of the instance</t>
  </si>
  <si>
    <t xml:space="preserve"> In which continent besides Asia were major gains made by the Asia Empire in the late 19th century?</t>
  </si>
  <si>
    <t>What centuries did the Roman times take place within?</t>
  </si>
  <si>
    <t xml:space="preserve"> How did the equal treatment of Chinese versus Mongols in the Yuan make the dynasty seem?</t>
  </si>
  <si>
    <t>Off-Off Campus</t>
  </si>
  <si>
    <t>What do pharmacy technicians depend on less and less?</t>
  </si>
  <si>
    <t>What title did Iroquois give Johnson?</t>
  </si>
  <si>
    <t xml:space="preserve"> What monarchy did Eastern troops protect?</t>
  </si>
  <si>
    <t>What is the name of the basin that was created from a enclosed lake?</t>
  </si>
  <si>
    <t>declaration of war in 1756 to the signing of the peace treaty in 1763</t>
  </si>
  <si>
    <t>What is the rotational equivalent of velocity?</t>
  </si>
  <si>
    <t>In the EU in 2009, what was the fatal injury rate among construction workers?</t>
  </si>
  <si>
    <t>What type of civil disobedience is larger scale?</t>
  </si>
  <si>
    <t>Macroeconomic problems</t>
  </si>
  <si>
    <t>6.04 milliliters</t>
  </si>
  <si>
    <t>in less than quadratic time</t>
  </si>
  <si>
    <t>What did Joseph Louis von Humboldt and Alexander Gay-Lussac show about water?</t>
  </si>
  <si>
    <t>ground</t>
  </si>
  <si>
    <t>21 February 1804</t>
  </si>
  <si>
    <t>protest should be maintained all the way</t>
  </si>
  <si>
    <t>What is one variable which the running of time be not be contingent?</t>
  </si>
  <si>
    <t>conservative</t>
  </si>
  <si>
    <t>subtropical</t>
  </si>
  <si>
    <t>What is the name of the third, permanent Huguenot church in New Rochelle?</t>
  </si>
  <si>
    <t>What building is the most interesting of the late 18th-century architecture?</t>
  </si>
  <si>
    <t>How many organizations issued the joint statement on climate change?</t>
  </si>
  <si>
    <t>March 1974.</t>
  </si>
  <si>
    <t>What did not follow the election of the UK Labour Party to government?</t>
  </si>
  <si>
    <t>When did the Netherlands begin to occupy the Late-Glacial valley?</t>
  </si>
  <si>
    <t xml:space="preserve"> What rituals did Kublai follow to destroy his image?</t>
  </si>
  <si>
    <t xml:space="preserve"> Who was the Uighur King of Qocho ranked below?</t>
  </si>
  <si>
    <t>told them to leave</t>
  </si>
  <si>
    <t>Saul Alinsky</t>
  </si>
  <si>
    <t>spiritual</t>
  </si>
  <si>
    <t>What did Thoreau claim about the majority?</t>
  </si>
  <si>
    <t>higher political office</t>
  </si>
  <si>
    <t xml:space="preserve">Purpose of Telnet </t>
  </si>
  <si>
    <t>The individual</t>
  </si>
  <si>
    <t>large compensation pools</t>
  </si>
  <si>
    <t>What do the Waal and the Nederrijn-Lek discharge throguh?</t>
  </si>
  <si>
    <t>1987</t>
  </si>
  <si>
    <t>undermining the communist ideology</t>
  </si>
  <si>
    <t>magnetic field</t>
  </si>
  <si>
    <t>Who was the only member state not to veto the Social Charter the Social Charter being included as the Social Charter of Masstricht Treaty?</t>
  </si>
  <si>
    <t>I may have violated some specific laws, but I am guilty of doing no wrong</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</si>
  <si>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</si>
  <si>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What impacts distribution of wealth when not evaluating labor?</t>
  </si>
  <si>
    <t>6 million Lira</t>
  </si>
  <si>
    <t>What university was John of London an alum of?</t>
  </si>
  <si>
    <t>Alan Turing</t>
  </si>
  <si>
    <t>Besides the study of prime numbers, what general theory was considered the official example of pure mathematics?</t>
  </si>
  <si>
    <t>upper lake</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</si>
  <si>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</si>
  <si>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When did Germany found their first settlement?</t>
  </si>
  <si>
    <t>How many nations are within the Amazon Basin?</t>
  </si>
  <si>
    <t>The Weavers</t>
  </si>
  <si>
    <t>three-region</t>
  </si>
  <si>
    <t>What did the US Department of Defense gain from their funding to RAND Corporation?</t>
  </si>
  <si>
    <t>the United States</t>
  </si>
  <si>
    <t>late 1980s</t>
  </si>
  <si>
    <t>NP-complete problems</t>
  </si>
  <si>
    <t xml:space="preserve">Where does the name Rhine derive from? </t>
  </si>
  <si>
    <t>believed to disadvantage low-income and under-represented minority applicants</t>
  </si>
  <si>
    <t>How and when did the first variant of y. pestis enter Europe?</t>
  </si>
  <si>
    <t xml:space="preserve"> Which religion did Kublai reject?</t>
  </si>
  <si>
    <t>When did Gou's calendar become the official calendar of the Yuan?</t>
  </si>
  <si>
    <t>In the fall quarter of 2014, how many students signed up for the college?</t>
  </si>
  <si>
    <t>The Rhine (Romansh: Rein, German: Rhein, French: le Rhin, Dutch: Rijn) is a European river that begins in the Swiss canton of Graubünden in the southeastern Swiss Alps, forms part of the Swiss-Austrian, Swiss-Liechtenstein border, Swiss-German and then the Franco-German border, then flows through the Rhineland and eventually empties into the North Sea in the Netherlands. The biggest city on the river Rhine is Cologne, Germany with a population of more than 1,050,000 people. It is the second-longest river in Central and Western Europe (after the Danube), at about 1,230 km (760 mi),[note 2][note 1] with an average discharge of about 2,900 m3/s (100,000 cu ft/s).</t>
  </si>
  <si>
    <t>Paleoclimatologists measure the ratio of oxygen-18 and oxygen-16 in the shells and skeletons of marine organisms to determine what the climate was like millions of years ago (see oxygen isotope ratio cycle). Seawater molecules that contain the lighter isotope, oxygen-16, evaporate at a slightly faster rate than water molecules containing the 12% heavier oxygen-18; this disparity increases at lower temperatures. During periods of lower global temperatures, snow and rain from that evaporated water tends to be higher in oxygen-16, and the seawater left behind tends to be higher in oxygen-18. Marine organisms then incorporate more oxygen-18 into their skeletons and shells than they would in a warmer climate. Paleoclimatologists also directly measure this ratio in the water molecules of ice core samples that are up to several hundreds of thousands of years old.</t>
  </si>
  <si>
    <t>low wage</t>
  </si>
  <si>
    <t>explore computer networking</t>
  </si>
  <si>
    <t>What organization did General Gaafar al-Nimeiry invite members of to serve in his government?</t>
  </si>
  <si>
    <t>courts of member states</t>
  </si>
  <si>
    <t>What is the name of Harvard's basketball facility?</t>
  </si>
  <si>
    <t>Besides 1,3 and 7, what other number must all primes greater than 5 end with?</t>
  </si>
  <si>
    <t>temperate</t>
  </si>
  <si>
    <t>After each election to the Scottish Parliament, at the beginning of each parliamentary session, Parliament elects one MSP to serve as Presiding Officer, the equivalent of the speaker (currently Tricia Marwick), and two MSPs to serve as deputies (currently Elaine Smith and John Scott). The Presiding Officer and deputies are elected by a secret ballot of the 129 MSPs, which is the only secret ballot conducted in the Scottish Parliament. Principally, the role of the Presiding Officer is to chair chamber proceedings and the Scottish Parliamentary Corporate Body. When chairing meetings of the Parliament, the Presiding Officer and his/her deputies must be politically impartial. During debates, the Presiding Officer (or the deputy) is assisted by the parliamentary clerks, who give advice on how to interpret the standing orders that govern the proceedings of meetings. A vote clerk sits in front of the Presiding Officer and operates the electronic voting equipment and chamber clocks.</t>
  </si>
  <si>
    <t>socialism in one country'</t>
  </si>
  <si>
    <t>A computational problem</t>
  </si>
  <si>
    <t>the project coordinator</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</si>
  <si>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</si>
  <si>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soy</t>
  </si>
  <si>
    <t>What case were French vigilantes helping shipments of Spanish Strawberries?</t>
  </si>
  <si>
    <t>In the United States, there has been a push to legalize importation of medications from Canada and other countries, in order to reduce consumer costs. While in most cases importation of prescription medications violates Food and Drug Administration (FDA) regulations and federal laws, enforcement is generally targeted at international drug suppliers, rather than consumers. There is no known case of any U.S. citizens buying Canadian drugs for personal use with a prescription, who has ever been charged by authorities.</t>
  </si>
  <si>
    <t>Who disliked the affiliate program?</t>
  </si>
  <si>
    <t>How successful was the French revised efforts?</t>
  </si>
  <si>
    <t>legalize importation of medications from Canada and other countries</t>
  </si>
  <si>
    <t>The West saw the East as what?</t>
  </si>
  <si>
    <t>only the single number 1</t>
  </si>
  <si>
    <t>Mercury</t>
  </si>
  <si>
    <t>How fast does pneumonic plague usually kill most people when left untreated?</t>
  </si>
  <si>
    <t>uniformitarianism</t>
  </si>
  <si>
    <t>In what year did Alpha Phi Omega estimate that about 10% of students participated in sororities/fraternities?</t>
  </si>
  <si>
    <t>The stress tensor</t>
  </si>
  <si>
    <t>United Kingdom</t>
  </si>
  <si>
    <t>What is oxygen on Earth, O, referred to as?</t>
  </si>
  <si>
    <t>long-run economic growth</t>
  </si>
  <si>
    <t>What is the term for wind-blown dust in a tundra?</t>
  </si>
  <si>
    <t>November 28, 1995</t>
  </si>
  <si>
    <t>Solimões Basin</t>
  </si>
  <si>
    <t>2nd century BCE</t>
  </si>
  <si>
    <t>Water on the eastern side flowed toward the Atlantic,</t>
  </si>
  <si>
    <t>How many books are endorsed by the American Library Association?</t>
  </si>
  <si>
    <t xml:space="preserve"> When was Mongke Khan born?</t>
  </si>
  <si>
    <t>toxic waste</t>
  </si>
  <si>
    <t>How many days did the Red ArmyWarsaw Uprising last?</t>
  </si>
  <si>
    <t>What is a common occurrence during summer days?</t>
  </si>
  <si>
    <t>Given the weakness of French forces at Louisbourg, what did Loudoun do?</t>
  </si>
  <si>
    <t>state or government schools</t>
  </si>
  <si>
    <t>The two symbols most commonly associated with pharmacy in English-speaking countries are the mortar and pestle and the ℞ (recipere) character, which is often written as "Rx" in typed text. The show globe was also used until the early 20th century. Pharmacy organizations often use other symbols, such as the Bowl of Hygieia which is often used in the Netherlands, conical measures, and caduceuses in their logos. Other symbols are common in different countries: the green Greek cross in France, Argentina, the United Kingdom, Belgium, Ireland, Italy, Spain, and India, the increasingly rare Gaper in the Netherlands, and a red stylized letter A in Germany and Austria (from Apotheke, the German word for pharmacy, from the same Greek root as the English word 'apothecary').</t>
  </si>
  <si>
    <t>Kathmandu</t>
  </si>
  <si>
    <t>at least 90%</t>
  </si>
  <si>
    <t>large-scale, distributed, survivable communications network</t>
  </si>
  <si>
    <t>In addition to the Riemann hypothesis, many more conjectures revolving about primes have been posed. Often having an elementary formulation, many of these conjectures have withstood a proof for decades: all four of Landau's problems from 1912 are still unsolved. One of them is Goldbach's conjecture, which asserts that every even integer n greater than 2 can be written as a sum of two primes. As of February 2011[update], this conjecture has been verified for all numbers up to n = 2 · 1017. Weaker statements than this have been proven, for example Vinogradov's theorem says that every sufficiently large odd integer can be written as a sum of three primes. Chen's theorem says that every sufficiently large even number can be expressed as the sum of a prime and a semiprime, the product of two primes. Also, any even integer can be written as the sum of six primes. The branch of number theory studying such questions is called additive number theory.</t>
  </si>
  <si>
    <t>Shiphrah and Puah refused a direct order of Pharaoh but misrepresented how they did it</t>
  </si>
  <si>
    <t>Germany</t>
  </si>
  <si>
    <t>During the compression stage of the efficiency cycle, what state is the working fluid in?</t>
  </si>
  <si>
    <t>Conservative</t>
  </si>
  <si>
    <t>How many men older than 18 are there for every 100 women?</t>
  </si>
  <si>
    <t>nequality in the presence of credit market perfections has what kind of effect on human capital formation?</t>
  </si>
  <si>
    <t>In what century did Mayow and Boyle perform their experiments?</t>
  </si>
  <si>
    <t>On March 17, 1752, the Governor-General of New France, Marquis de la Jonquière, died and was temporarily replaced by Charles le Moyne de Longueuil. His permanent replacement, the Marquis Duquesne, did not arrive in New France until 1752 to take over the post. The continuing British activity in the Ohio territories prompted Longueuil to dispatch another expedition to the area under the command of Charles Michel de Langlade, an officer in the Troupes de la Marine. Langlade was given 300 men, including French-Canadians and warriors of the Ottawa. His objective was to punish the Miami people of Pickawillany for not following Céloron's orders to cease trading with the British. On June 21, the French war party attacked the trading centre at Pickawillany, capturing three traders and killing 14 people of the Miami nation, including Old Briton. He was reportedly ritually cannibalized by some aboriginal members of the expedition.</t>
  </si>
  <si>
    <t>What is another word for thinning rocks in French?</t>
  </si>
  <si>
    <t>carbon dioxide</t>
  </si>
  <si>
    <t>greater steam pressure and more power</t>
  </si>
  <si>
    <t>When was the Jacksonville town charter approved?</t>
  </si>
  <si>
    <t>What year did the College have the highest acceptance rate in its history?</t>
  </si>
  <si>
    <t>the Philippines</t>
  </si>
  <si>
    <t>What entity has not taken the view that the specific goal of free trade are to underpinned by the general aims of improvement of people's well being?</t>
  </si>
  <si>
    <t>a system of internal canals</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</si>
  <si>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</si>
  <si>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What agreement was made for trade with natives and British?</t>
  </si>
  <si>
    <t>Where was the centrifugal governor first observed by Watt?</t>
  </si>
  <si>
    <t>mild and sunny</t>
  </si>
  <si>
    <t>Harvard Library</t>
  </si>
  <si>
    <t>What is never involved in a review of prescribed medications?</t>
  </si>
  <si>
    <t>What kind of T cells have the purpose of modulating the immune response?</t>
  </si>
  <si>
    <t>Which countries use the green Greek cross as a symbol of pharmacy?</t>
  </si>
  <si>
    <t>20 to 1</t>
  </si>
  <si>
    <t>60</t>
  </si>
  <si>
    <t>What must be at 28°C?</t>
  </si>
  <si>
    <t>In February 2010, in response to controversies regarding claims in the Fourth Assessment Report, five climate scientists – all contributing or lead IPCC report authors – wrote in the journal Nature calling for changes to the IPCC. They suggested a range of new organizational options, from tightening the selection of lead authors and contributors, to dumping it in favor of a small permanent body, or even turning the whole climate science assessment process into a moderated "living" Wikipedia-IPCC. Other recommendations included that the panel employ a full-time staff and remove government oversight from its processes to avoid political interference.</t>
  </si>
  <si>
    <t>In ring theory, the notion of number is generally replaced with that of ideal. Prime ideals, which generalize prime elements in the sense that the principal ideal generated by a prime element is a prime ideal, are an important tool and object of study in commutative algebra, algebraic number theory and algebraic geometry. The prime ideals of the ring of integers are the ideals (0), (2), (3), (5), (7), (11), … The fundamental theorem of arithmetic generalizes to the Lasker–Noether theorem, which expresses every ideal in a Noetherian commutative ring as an intersection of primary ideals, which are the appropriate generalizations of prime powers.</t>
  </si>
  <si>
    <t>Who wasn't on Celeron's expedition?</t>
  </si>
  <si>
    <t>Shi Bingzhi</t>
  </si>
  <si>
    <t>When did Hutton die?</t>
  </si>
  <si>
    <t>pseudorandom</t>
  </si>
  <si>
    <t>Which company provides train service in Fresno?</t>
  </si>
  <si>
    <t>What was intent of Celeron's expedition?</t>
  </si>
  <si>
    <t>Sweyn Forkbeard</t>
  </si>
  <si>
    <t>In what year was the Satyagraha massacre?</t>
  </si>
  <si>
    <t>Income not from the creation of wealth but by grabbing a larger share of it is know to economists by what term?</t>
  </si>
  <si>
    <t>Which company owns ABC?</t>
  </si>
  <si>
    <t>How high did the sea level rise during the ice ages?</t>
  </si>
  <si>
    <t>have violated some specific laws, but I am guilty of doing no w</t>
  </si>
  <si>
    <t xml:space="preserve"> What did Mote think the Yuan class system didn't represent?</t>
  </si>
  <si>
    <t>Buckland Valley</t>
  </si>
  <si>
    <t>he published his findings first</t>
  </si>
  <si>
    <t>time or space</t>
  </si>
  <si>
    <t>What is the average precipitation rate in July?</t>
  </si>
  <si>
    <t>What was Loudoun's plans for 1775?</t>
  </si>
  <si>
    <t>mercantilism</t>
  </si>
  <si>
    <t>How many metropolitan areas does Southern California's population encompass?</t>
  </si>
  <si>
    <t>In what interval are some of the greatest primes without a distinct digit discovered in?</t>
  </si>
  <si>
    <t>What acts in no particular direction?</t>
  </si>
  <si>
    <t>Who's satellites would the new free-to-air channels be broadcast from?</t>
  </si>
  <si>
    <t>What is seldom considered by those involved with the design and execution of infatructure?</t>
  </si>
  <si>
    <t>Who wrote the principles of faunal succession?</t>
  </si>
  <si>
    <t>What force acts on an object suspended on a spring scale in addition to gravity?</t>
  </si>
  <si>
    <t>What makes the bounds dependent of the specific details of the computational model?</t>
  </si>
  <si>
    <t>What plateau has groups of clay pits?</t>
  </si>
  <si>
    <t>What satellite was used when Sky digital was launched?</t>
  </si>
  <si>
    <t>The largest construction projects are known as what?</t>
  </si>
  <si>
    <t>Education</t>
  </si>
  <si>
    <t>adaptive immune system.</t>
  </si>
  <si>
    <t>the 2006 Israel-Lebanon conflict</t>
  </si>
  <si>
    <t>What is 2H02?</t>
  </si>
  <si>
    <t>reordering</t>
  </si>
  <si>
    <t>3 million</t>
  </si>
  <si>
    <t>The Catholic Church in France</t>
  </si>
  <si>
    <t>Where do dikes form?</t>
  </si>
  <si>
    <t>Besides Confucianism, Buddhism, and Islam, what religions were not tolerated during the Yuan?</t>
  </si>
  <si>
    <t>Why did Ghandi write The Mask of Anarchy?</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</si>
  <si>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</si>
  <si>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basis of the methodology</t>
  </si>
  <si>
    <t>At what degree are the pistons of a two-cylinder compound connected to the cranks?</t>
  </si>
  <si>
    <t>Halo</t>
  </si>
  <si>
    <t>The curved line path in space-time is seen as a what line in space?</t>
  </si>
  <si>
    <t>ensure that the prescription is valid</t>
  </si>
  <si>
    <t>Who is the first Japanese Senator?</t>
  </si>
  <si>
    <t>What is the delta in the Rhine delimited in the east by?</t>
  </si>
  <si>
    <t>Numerical models</t>
  </si>
  <si>
    <t>What does packet switching pre-allocate?</t>
  </si>
  <si>
    <t>sports</t>
  </si>
  <si>
    <t xml:space="preserve"> When was the the third German empire founded?</t>
  </si>
  <si>
    <t>What happens to the lead fusible plugs if the water level of the boiler drops?</t>
  </si>
  <si>
    <t>since the Sui and Tang dynasties</t>
  </si>
  <si>
    <t>Ctenophores, cnidarians and what other group are labelled diploblastic?</t>
  </si>
  <si>
    <t>Where did many Spanish Catholic move after British takeover in Florida?</t>
  </si>
  <si>
    <t>both the army and the populace</t>
  </si>
  <si>
    <t>What antigens present differently than viral antigens?</t>
  </si>
  <si>
    <t>What was held at the San Diego Yacht Club from 1985 to 1998?</t>
  </si>
  <si>
    <t>3.07</t>
  </si>
  <si>
    <t>staying home</t>
  </si>
  <si>
    <t>In what year did Alexandre Yersin discover the Yersinia pestis?</t>
  </si>
  <si>
    <t>2008</t>
  </si>
  <si>
    <t>The party, or parties, that hold the majority of seats in the Parliament forms the Scottish Government. In contrast to many other parliamentary systems, Parliament elects a First Minister from a number of candidates at the beginning of each parliamentary term (after a general election). Any member can put their name forward to be First Minister, and a vote is taken by all members of Parliament. Normally, the leader of the largest party is returned as First Minister, and head of the Scottish Government. Theoretically, Parliament also elects the Scottish Ministers who form the government of Scotland and sit in the Scottish cabinet, but such ministers are, in practice, appointed to their roles by the First Minister. Junior ministers, who do not attend cabinet, are also appointed to assist Scottish ministers in their departments. Most ministers and their juniors are drawn from amongst the elected MSPs, with the exception of Scotland's Chief Law Officers: the Lord Advocate and the Solicitor General. Whilst the First Minister chooses the ministers – and may decide to remove them at any time – the formal appointment or dismissal is made by the Sovereign.</t>
  </si>
  <si>
    <t>a proper hierarchy on the classes</t>
  </si>
  <si>
    <t>What is issued once construction is complete and a final inspection has been passed?</t>
  </si>
  <si>
    <t>What does a Turing machine handle on a strip of tape?</t>
  </si>
  <si>
    <t>suburban communities and use of automobiles and highways</t>
  </si>
  <si>
    <t>tall palm trees</t>
  </si>
  <si>
    <t>When was the first Parliament House built in Victoria?</t>
  </si>
  <si>
    <t>Who was the directer of Noah in 2014?</t>
  </si>
  <si>
    <t>1,000 British soldiers</t>
  </si>
  <si>
    <t>What policies have been promoted due to nuclear power?</t>
  </si>
  <si>
    <t>ongoing tectonic subsidence</t>
  </si>
  <si>
    <t>What is the name of the old north branch of the Rhine?</t>
  </si>
  <si>
    <t>Where are no hospital pharmacies located?</t>
  </si>
  <si>
    <t>In what year did Malaysia receive its independence?</t>
  </si>
  <si>
    <t>No imperialism was carried out using which method of transport?</t>
  </si>
  <si>
    <t>cross-cutting relationships</t>
  </si>
  <si>
    <t>What places younger units above older units?</t>
  </si>
  <si>
    <t>What was the name of the infamous German Heroic prison?</t>
  </si>
  <si>
    <t>What type of compounds such as acetone,contain oxygen?</t>
  </si>
  <si>
    <t>Who funds the IPCC's Secretary?</t>
  </si>
  <si>
    <t>Anglo-Saxon</t>
  </si>
  <si>
    <t>Cultural imperialism is when a country's influence is felt in social and cultural circles, i.e. its soft power, such that it changes the moral, cultural and societal worldview of another. This is more than just "foreign" music, television or film becoming popular with young people, but that popular culture changing their own expectations of life and their desire for their own country to become more like the foreign country depicted. For example, depictions of opulent American lifestyles in the soap opera Dallas during the Cold War changed the expectations of Romanians; a more recent example is the influence of smuggled South Korean drama series in North Korea. The importance of soft power is not lost on authoritarian regimes, fighting such influence with bans on foreign popular culture, control of the internet and unauthorised satellite dishes etc. Nor is such a usage of culture recent, as part of Roman imperialism local elites would be exposed to the benefits and luxuries of Roman culture and lifestyle, with the aim that they would then become willing participants.</t>
  </si>
  <si>
    <t>35.7</t>
  </si>
  <si>
    <t>What session is the Scottish Parliament in?</t>
  </si>
  <si>
    <t>How many people lived in Warsaw in 1939?</t>
  </si>
  <si>
    <t>what was the name of the other HD channel Virgin media could carry in the future?</t>
  </si>
  <si>
    <t>9</t>
  </si>
  <si>
    <t>Who was drawn to Jacksonville in the 1910s?</t>
  </si>
  <si>
    <t>In what did the President re-emphasize athletics at the university?</t>
  </si>
  <si>
    <t>Who helped develop the first man-made self-sustaining nuclear reaction?</t>
  </si>
  <si>
    <t>At what temperatures is O2 more soluble?</t>
  </si>
  <si>
    <t>What sort of engines utilized the Yarrow-Schlick-Tweedy balancing system?</t>
  </si>
  <si>
    <t>Who announced that she would not step down as party leader?</t>
  </si>
  <si>
    <t xml:space="preserve">The integer factorization problem essentially seeks to determine if the value of of an input is less than what variable? </t>
  </si>
  <si>
    <t>chairman</t>
  </si>
  <si>
    <t>The biodiversity of what is the lowest on earth?</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</si>
  <si>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Rély, was printed in Paris in 1487.</t>
  </si>
  <si>
    <t>stereoscopic</t>
  </si>
  <si>
    <t>Islamic rebellion</t>
  </si>
  <si>
    <t>What year saw the earliest recorded use of the steam engine indicator?</t>
  </si>
  <si>
    <t>What does ctenophora rely on for digestion and respiration?</t>
  </si>
  <si>
    <t>What treaty ended the Wars of Religion?</t>
  </si>
  <si>
    <t>What is the approximate turbine entry temperature of a pump turbine?</t>
  </si>
  <si>
    <t>storage methods</t>
  </si>
  <si>
    <t>What was developed in 1859?</t>
  </si>
  <si>
    <t>What natives were displaced by British takeover in Florida?</t>
  </si>
  <si>
    <t>The Amazon forest stores what percentage of the world's carbon dioxide</t>
  </si>
  <si>
    <t>Who is currently speaker of the Scottish Parliament?</t>
  </si>
  <si>
    <t>What is the name of the university's core curriculum?</t>
  </si>
  <si>
    <t>supporting applications such as on-line betting, financial applications</t>
  </si>
  <si>
    <t>When was the concept of a social market economy introduced into EU law?</t>
  </si>
  <si>
    <t xml:space="preserve">This type of system is known as </t>
  </si>
  <si>
    <t>How many counties initially made up the definition of southern California?</t>
  </si>
  <si>
    <t>Maine</t>
  </si>
  <si>
    <t>solar</t>
  </si>
  <si>
    <t>What does coastal beriods use as teeth?</t>
  </si>
  <si>
    <t>Central and Western Europe</t>
  </si>
  <si>
    <t>Prior to 1960 what method was used to clear forest?</t>
  </si>
  <si>
    <t>Who invented the notion of a steam engine's duty?</t>
  </si>
  <si>
    <t>What can residential and non-residential also be broken into?</t>
  </si>
  <si>
    <t>Every May since 1987, the University of Chicago has held the University of Chicago Scavenger Hunt, in which large teams of students compete to obtain notoriously esoteric items from a list. Since 1963, the Festival of the Arts (FOTA) takes over campus for 7–10 days of exhibitions and interactive artistic endeavors. Every January, the university holds a week-long winter festival, Kuviasungnerk/Kangeiko, which include early morning exercise routines and fitness workshops. The university also annually holds a summer carnival and concert called Summer Breeze that hosts outside musicians, and is home to Doc Films, a student film society founded in 1932 that screens films nightly at the university. Since 1946, the university has organized the Latke-Hamantash Debate, which involves humorous discussions about the relative merits and meanings of latkes and hamantashen.</t>
  </si>
  <si>
    <t>Who was the British explorer chartered the St. John's River?</t>
  </si>
  <si>
    <t>Fryderyk Chopin University of Music</t>
  </si>
  <si>
    <t>What was the first state to have set educational standards?</t>
  </si>
  <si>
    <t>forces as being due to gradient of potentials</t>
  </si>
  <si>
    <t>pivotal event</t>
  </si>
  <si>
    <t>What three industries are centered in Hollywood?</t>
  </si>
  <si>
    <t>around 200–300</t>
  </si>
  <si>
    <t>What are the results of policies that use renewable energy?</t>
  </si>
  <si>
    <t>younger</t>
  </si>
  <si>
    <t>What is malum in se considerations?</t>
  </si>
  <si>
    <t>engage in moral dialogue</t>
  </si>
  <si>
    <t>What types of health outcomes do pharmacists never have with their patients?</t>
  </si>
  <si>
    <t>How many people gather along the banks of the Vistula for the Wreaths festival?</t>
  </si>
  <si>
    <t>the Pacific</t>
  </si>
  <si>
    <t>foot of the mast</t>
  </si>
  <si>
    <t>What has the fish larvae caused a sharp drop in?</t>
  </si>
  <si>
    <t>What percentage of leukocytes do neutrophils represent?</t>
  </si>
  <si>
    <t>distribution and price disruptions</t>
  </si>
  <si>
    <t>Summer Breeze</t>
  </si>
  <si>
    <t>What is the shortest river in Germany?</t>
  </si>
  <si>
    <t>What was the one linear HD channel Virgin Media carried from November 2006 to July 2009?</t>
  </si>
  <si>
    <t>Shaun White</t>
  </si>
  <si>
    <t>The notion "force" keeps its meaning in quantum mechanics, though one is now dealing with operators instead of classical variables and though the physics is now described by the Schrödinger equation instead of Newtonian equations. This has the consequence that the results of a measurement are now sometimes "quantized", i.e. they appear in discrete portions. This is, of course, difficult to imagine in the context of "forces". However, the potentials V(x,y,z) or fields, from which the forces generally can be derived, are treated similar to classical position variables, i.e., .</t>
  </si>
  <si>
    <t>What system has an impact on income inequality?</t>
  </si>
  <si>
    <t>destruction of Israel</t>
  </si>
  <si>
    <t>What did the richest 400 Americans have as children that helped them be successful adults?</t>
  </si>
  <si>
    <t>What absorbs UBV rays?</t>
  </si>
  <si>
    <t>the European Court of Justice</t>
  </si>
  <si>
    <t>viral</t>
  </si>
  <si>
    <t>What campaigh did the Scottish National Party (SNP) run?</t>
  </si>
  <si>
    <t>chemical oxygen generators or oxygen candles</t>
  </si>
  <si>
    <t>The College grants Bachelor of Science/Arts degrees in 50 minors and how many majors?</t>
  </si>
  <si>
    <t>When does rain typically fall in Jacksonville?</t>
  </si>
  <si>
    <t>What is Victoria's highest monthly temperature?</t>
  </si>
  <si>
    <t>Europe itself.</t>
  </si>
  <si>
    <t>other members</t>
  </si>
  <si>
    <t>5,792</t>
  </si>
  <si>
    <t>What was Martin Parry's role in the IPCC?</t>
  </si>
  <si>
    <t>What is the worlds largest academic and private library system?</t>
  </si>
  <si>
    <t>Why do firms substitute equipment for workers?</t>
  </si>
  <si>
    <t>How many miles, once completed, will the the Lewis S. Eaton trail cover?</t>
  </si>
  <si>
    <t>Comb like bands of cilia are called what?</t>
  </si>
  <si>
    <t>What is R-OOC-R?</t>
  </si>
  <si>
    <t>When did Calvinist parties and traditional ideas come to dominate universities?</t>
  </si>
  <si>
    <t>What is an example of a peer-reviewed resource?</t>
  </si>
  <si>
    <t>What Sen. visited Jacksonville in 1888?</t>
  </si>
  <si>
    <t>Antigone was a play made by whom?</t>
  </si>
  <si>
    <t>What state in Australia invented dairy farming?</t>
  </si>
  <si>
    <t>Alfred Wegener</t>
  </si>
  <si>
    <t>When did BSkyB end their analogue service?</t>
  </si>
  <si>
    <t>unfair laws</t>
  </si>
  <si>
    <t>what they deem to be unfair</t>
  </si>
  <si>
    <t>When did the KMJ-TV first broadcast?</t>
  </si>
  <si>
    <t>In 2012 the Economist Intelligence Unit ranked Warsaw as the 32nd most liveable city in the world. It was also ranked as one of the most liveable cities in Central Europe. Today Warsaw is considered an "Alpha–" global city, a major international tourist destination and a significant cultural, political and economic hub. Warsaw's economy, by a wide variety of industries, is characterised by FMCG manufacturing, metal processing, steel and electronic manufacturing and food processing. The city is a significant centre of research and development, BPO, ITO, as well as of the Polish media industry. The Warsaw Stock Exchange is one of the largest and most important in Central and Eastern Europe. Frontex, the European Union agency for external border security, has its headquarters in Warsaw. It has been said that Warsaw, together with Frankfurt, London, Paris and Barcelona is one of the cities with the highest number of skyscrapers in the European Union. Warsaw has also been called "Eastern Europe’s chic cultural capital with thriving art and club scenes and serious restaurants".</t>
  </si>
  <si>
    <t>What can changes in habitat be used to provide about formations?</t>
  </si>
  <si>
    <t>Euclid's fundamental theorem of arithmetic</t>
  </si>
  <si>
    <t xml:space="preserve">what does vBNS stand for </t>
  </si>
  <si>
    <t>What were the national elections in 1991 canceled by?</t>
  </si>
  <si>
    <t>Who is the UK's largest digital subscription television company?</t>
  </si>
  <si>
    <t>What Yuan policies did Muslims dislike?</t>
  </si>
  <si>
    <t>Who was rejected as the replacement for Duke Yansheng Kong Duanyou?</t>
  </si>
  <si>
    <t>From Italy, the disease spread northwest across Europe, striking France, Spain, Portugal and England by June 1348, then turned and spread east through Germany and Scandinavia from 1348 to 1350. It was introduced in Norway in 1349 when a ship landed at Askøy, then spread to Bjørgvin (modern Bergen) and Iceland. Finally it spread to northwestern Russia in 1351. The plague was somewhat less common in parts of Europe that had smaller trade relations with their neighbours, including the Kingdom of Poland, the majority of the Basque Country, isolated parts of Belgium and the Netherlands, and isolated alpine villages throughout the continent.</t>
  </si>
  <si>
    <t>use the proceedings as a forum</t>
  </si>
  <si>
    <t>What is the vast disparities in wealth not attributed to by Socialists?</t>
  </si>
  <si>
    <t>What were the three parts of Kublai's government?</t>
  </si>
  <si>
    <t>How else might a physician not take advantage of self-interest?</t>
  </si>
  <si>
    <t>working fluid</t>
  </si>
  <si>
    <t>Who explored Ohio territory in 1570?</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</si>
  <si>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</si>
  <si>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What area of science is understanding slowly changing?</t>
  </si>
  <si>
    <t>the leaflets will have to be given to the leafleter's own jury as evidence</t>
  </si>
  <si>
    <t>How are ergänzungsschulen funded?</t>
  </si>
  <si>
    <t>Where did Iroquois Confederation control?</t>
  </si>
  <si>
    <t>Ticonderoga Point</t>
  </si>
  <si>
    <t>an attempt to reform the constitutional law of the European Union and make it more transparent</t>
  </si>
  <si>
    <t>By what year was selling children into slavery common among the Mongols?</t>
  </si>
  <si>
    <t>as a means to help the state's educational and economic development</t>
  </si>
  <si>
    <t>Who is drawing maps of their inset ancestral lands?</t>
  </si>
  <si>
    <t>What is not a problem with internet pharmacies?</t>
  </si>
  <si>
    <t>What did the loss mean to France?</t>
  </si>
  <si>
    <t>the referendum in France and the referendum in the Netherlands</t>
  </si>
  <si>
    <t>white</t>
  </si>
  <si>
    <t>campaign for a free India</t>
  </si>
  <si>
    <t>Indigenous territories are being preserved through what type of conservation efforts?</t>
  </si>
  <si>
    <t>Bricks for Warsaw</t>
  </si>
  <si>
    <t>What law has 3 customeries?</t>
  </si>
  <si>
    <t>What changed the Rhine's Delta?</t>
  </si>
  <si>
    <t>Louis XIV</t>
  </si>
  <si>
    <t>National Science Foundation</t>
  </si>
  <si>
    <t>a lack of remorse</t>
  </si>
  <si>
    <t>Where was Shirley planning an expedition?</t>
  </si>
  <si>
    <t>How did the Mongols acquire Japanese printing technology?</t>
  </si>
  <si>
    <t>about a third</t>
  </si>
  <si>
    <t>In a purely capitalist mode of production (i.e. where professional and labor organizations cannot limit the number of workers) the workers wages will not be controlled by these organizations, or by the employer, but rather by the market. Wages work in the same way as prices for any other good. Thus, wages can be considered as a function of market price of skill. And therefore, inequality is driven by this price. Under the law of supply and demand, the price of skill is determined by a race between the demand for the skilled worker and the supply of the skilled worker. "On the other hand, markets can also concentrate wealth, pass environmental costs on to society, and abuse workers and consumers." "Markets, by themselves, even when they are stable, often lead to high levels of inequality, outcomes that are widely viewed as unfair." Employers who offer a below market wage will find that their business is chronically understaffed. Their competitors will take advantage of the situation by offering a higher wage the best of their labor. For a businessman who has the profit motive as the prime interest, it is a losing proposition to offer below or above market wages to workers.</t>
  </si>
  <si>
    <t>Jerónimo de Ayanz y Beaumont</t>
  </si>
  <si>
    <t>For each of the 28 member states, how many Commissioner's are represented for each one?</t>
  </si>
  <si>
    <t>The Bruins belong to which college?</t>
  </si>
  <si>
    <t>Huntington Boulevard</t>
  </si>
  <si>
    <t>3.5 million</t>
  </si>
  <si>
    <t>Who does BSkyB have an operating license from?</t>
  </si>
  <si>
    <t>in obtaining cost-effective medication and avoiding the unnecessary use of medication that may have side-effects</t>
  </si>
  <si>
    <t>the WWF report</t>
  </si>
  <si>
    <t>James Bryant Conant</t>
  </si>
  <si>
    <t>What did the Polish citizens understand the subtext of John Paul II's words to be?</t>
  </si>
  <si>
    <t>How large is the Allston neighborhood in Boston?</t>
  </si>
  <si>
    <t>How much area does the University Library cover?</t>
  </si>
  <si>
    <t>Who works to get workers higher compensation?</t>
  </si>
  <si>
    <t>electrostatic force</t>
  </si>
  <si>
    <t>The referendum to establish a devolved Scottish Assembly succeeded in what year?</t>
  </si>
  <si>
    <t>AvtoZAZ</t>
  </si>
  <si>
    <t>BBC HD</t>
  </si>
  <si>
    <t>Gasquet (1908) claimed that the Latin name atra mors (Black Death) for the 14th-century epidemic first appeared in modern times in 1631 in a book on Danish history by J.I. Pontanus: "Vulgo &amp; ab effectu atram mortem vocatibant. ("Commonly and from its effects, they called it the black death"). The name spread through Scandinavia and then Germany, gradually becoming attached to the mid 14th-century epidemic as a proper name. In England, it was not until 1823 that the medieval epidemic was first called the Black Death.</t>
  </si>
  <si>
    <t>How many French colonists weren't gained by British?</t>
  </si>
  <si>
    <t>the Pac-12</t>
  </si>
  <si>
    <t>a party has commanded a parliamentary majority</t>
  </si>
  <si>
    <t xml:space="preserve"> When did the Il-khanate stop experimenting with paper money?</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</si>
  <si>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</si>
  <si>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What line is at 30 degrees, 36 minutes?</t>
  </si>
  <si>
    <t>the Pauli exclusion principle</t>
  </si>
  <si>
    <t>inversely</t>
  </si>
  <si>
    <t>multilateral negotiations</t>
  </si>
  <si>
    <t>What have Muslims praised Hamas for doing?</t>
  </si>
  <si>
    <t>Who issued the Royal Proclamation of 1763?</t>
  </si>
  <si>
    <t>What percentage of Australia's dairy cattle are found in Victoria?</t>
  </si>
  <si>
    <t>remote sensing</t>
  </si>
  <si>
    <t xml:space="preserve">What is level two of the connection-orientated operation? </t>
  </si>
  <si>
    <t>exploitation of the valuable assets and supplies of the nation that was conquered</t>
  </si>
  <si>
    <t>more than 100 universities</t>
  </si>
  <si>
    <t>What was the ultimate development of the horizontal engine?</t>
  </si>
  <si>
    <t>Virginia</t>
  </si>
  <si>
    <t>Besides Leibniz, what other mathematician proved the validity of Fermat's little theorem?</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</si>
  <si>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</si>
  <si>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trunnion</t>
  </si>
  <si>
    <t>What is the last line of defense against infection?</t>
  </si>
  <si>
    <t>the journal Nature</t>
  </si>
  <si>
    <t>356 ± 47 tonnes</t>
  </si>
  <si>
    <t>What French General negotiated at Montreal?</t>
  </si>
  <si>
    <t>Another important role of the immune system is to identify and eliminate tumors. This is called immune surveillance. The transformed cells of tumors express antigens that are not found on normal cells. To the immune system, these antigens appear foreign, and their presence causes immune cells to attack the transformed tumor cells. The antigens expressed by tumors have several sources; some are derived from oncogenic viruses like human papillomavirus, which causes cervical cancer, while others are the organism's own proteins that occur at low levels in normal cells but reach high levels in tumor cells. One example is an enzyme called tyrosinase that, when expressed at high levels, transforms certain skin cells (e.g. melanocytes) into tumors called melanomas. A third possible source of tumor antigens are proteins normally important for regulating cell growth and survival, that commonly mutate into cancer inducing molecules called oncogenes.</t>
  </si>
  <si>
    <t>What is the application of prime numbers used in information technology which utilizes the fact that factoring very large prime numbers is very challenging?</t>
  </si>
  <si>
    <t>What percentage of electrical power in the United States is made by steam turbines?</t>
  </si>
  <si>
    <t>floor function</t>
  </si>
  <si>
    <t>Who does the wage gap between genders provide a disadvantage?</t>
  </si>
  <si>
    <t>market and technology realities</t>
  </si>
  <si>
    <t>ideal strings that are massless, frictionless, unbreakable, and unstretchable</t>
  </si>
  <si>
    <t>outcome</t>
  </si>
  <si>
    <t>to clean them</t>
  </si>
  <si>
    <t>During which era did the Aztec and Incan empires thrive?</t>
  </si>
  <si>
    <t>How man volumes does the The University of Chicago Library system hold?</t>
  </si>
  <si>
    <t>How much money was Francovich allowed to claim from the Italian goverment in damages?</t>
  </si>
  <si>
    <t>For most of human history higher material living standards – full stomachs, access to clean water and warmth from fuel – led to better health and longer lives. This pattern of higher incomes-longer lives still holds among poorer countries, where life expectancy increases rapidly as per capita income increases, but in recent decades it has slowed down among middle income countries and plateaued among the richest thirty or so countries in the world. Americans live no longer on average (about 77 years in 2004) than Greeks (78 years) or New Zealanders (78), though the USA has a higher GDP per capita. Life expectancy in Sweden (80 years) and Japan (82) – where income was more equally distributed – was longer.</t>
  </si>
  <si>
    <t>What lake no longer has any silt?</t>
  </si>
  <si>
    <t>valleys and ground depressions</t>
  </si>
  <si>
    <t>What can people work towards if they aren't denied their functionings, capabilities and agency?</t>
  </si>
  <si>
    <t>The UK</t>
  </si>
  <si>
    <t>Many changes in the vegetation of the amazon rainforest took place since the  Last Glacial Maximum, which was how many years ago?</t>
  </si>
  <si>
    <t>Charles Porter</t>
  </si>
  <si>
    <t>What does the transport and storage demand for safety in dealing with oxygen?</t>
  </si>
  <si>
    <t>commutative ring R</t>
  </si>
  <si>
    <t>What element do squalene and the carotenes contain?</t>
  </si>
  <si>
    <t>2 metres (6 ft 7 in)</t>
  </si>
  <si>
    <t>more equally</t>
  </si>
  <si>
    <t>deforestation increased in Brazil during what years?</t>
  </si>
  <si>
    <t>Who developed the lithium ion battery which let to lead-lead dating?</t>
  </si>
  <si>
    <t>Noetherian</t>
  </si>
  <si>
    <t xml:space="preserve">Why was the Rhine measurement changed? </t>
  </si>
  <si>
    <t>Saudi Arabia</t>
  </si>
  <si>
    <t>at least four</t>
  </si>
  <si>
    <t>Along with toys, where are oscillating cylinder steam engines typically used?</t>
  </si>
  <si>
    <t>Confederate</t>
  </si>
  <si>
    <t>end of the 19th century</t>
  </si>
  <si>
    <t>49.6%</t>
  </si>
  <si>
    <t>Following the Cretaceous–Paleogene extinction event, the extinction of the dinosaurs and the wetter climate may have allowed the tropical rainforest to spread out across the continent. From 66–34 Mya, the rainforest extended as far south as 45°. Climate fluctuations during the last 34 million years have allowed savanna regions to expand into the tropics. During the Oligocene, for example, the rainforest spanned a relatively narrow band. It expanded again during the Middle Miocene, then retracted to a mostly inland formation at the last glacial maximum. However, the rainforest still managed to thrive during these glacial periods, allowing for the survival and evolution of a broad diversity of species.</t>
  </si>
  <si>
    <t>about 75,000</t>
  </si>
  <si>
    <t>algae</t>
  </si>
  <si>
    <t>"winds up" the debate</t>
  </si>
  <si>
    <t>In local Alemannic dialect, what is the the singular form of the names of the islands formed by the Rhine?</t>
  </si>
  <si>
    <t>show globe</t>
  </si>
  <si>
    <t>What is the process by which the antigen/antibody complex is processed in to peptides?</t>
  </si>
  <si>
    <t>macrophages and lymphocytes</t>
  </si>
  <si>
    <t>increased flooding and sedimentation</t>
  </si>
  <si>
    <t>Who won the Seven Years' War?</t>
  </si>
  <si>
    <t>CBSE</t>
  </si>
  <si>
    <t>What uses a flexible set of rules to determine its future actions?</t>
  </si>
  <si>
    <t>before World War I,</t>
  </si>
  <si>
    <t>a powerful magnet</t>
  </si>
  <si>
    <t>Gamma delta T cells have a different version of what receptor?</t>
  </si>
  <si>
    <t>What does decreasing inequality harm?</t>
  </si>
  <si>
    <t>What types of health outcomes do pharmacists aim for with their patients?</t>
  </si>
  <si>
    <t xml:space="preserve">What did Warner Sinback decide </t>
  </si>
  <si>
    <t>What are two ways that mud doesn't change in volume?</t>
  </si>
  <si>
    <t>What is the Rhine called in Dutch?</t>
  </si>
  <si>
    <t>What type of cascade results when complement proteins bind to microbes and activate their protease activity?</t>
  </si>
  <si>
    <t>An important factor in the creation of inequality is variation in individuals' access to education. Education, especially in an area where there is a high demand for workers, creates high wages for those with this education, however, increases in education first increase and then decrease growth as well as income inequality. As a result, those who are unable to afford an education, or choose not to pursue optional education, generally receive much lower wages. The justification for this is that a lack of education leads directly to lower incomes, and thus lower aggregate savings and investment. Conversely, education raises incomes and promotes growth because it helps to unleash the productive potential of the poor.</t>
  </si>
  <si>
    <t>19</t>
  </si>
  <si>
    <t>status superior to all others in health-related fields such as physicians and acupuncturists</t>
  </si>
  <si>
    <t>Abilene</t>
  </si>
  <si>
    <t>1271</t>
  </si>
  <si>
    <t>The flora of the city may be considered very rich in species. The species richness is mainly due to the location of Warsaw within the border region of several big floral regions comprising substantial proportions of close-to-wilderness areas (natural forests, wetlands along the Vistula) as well as arable land, meadows and forests. Bielany Forest, located within the borders of Warsaw, is the remaining part of the Masovian Primeval Forest. Bielany Forest nature reserve is connected with Kampinos Forest. It is home to rich fauna and flora. Within the forest there are three cycling and walking trails. Other big forest area is Kabaty Forest by the southern city border. Warsaw has also two botanic gardens: by the Łazienki park (a didactic-research unit of the University of Warsaw) as well as by the Park of Culture and Rest in Powsin (a unit of the Polish Academy of Science).</t>
  </si>
  <si>
    <t>The embargo had a negative influence on the US economy by causing immediate demands to address the threats to U.S. energy security. On an international level, the price increases changed competitive positions in many industries, such as automobiles. Macroeconomic problems consisted of both inflationary and deflationary impacts. The embargo left oil companies searching for new ways to increase oil supplies, even in rugged terrain such as the Arctic. Finding oil and developing new fields usually required five to ten years before significant production.</t>
  </si>
  <si>
    <t>early twentieth century</t>
  </si>
  <si>
    <t>When was Europe fully forested and recovered from the last Ice Age?</t>
  </si>
  <si>
    <t>hermaphroditism and early reproduction</t>
  </si>
  <si>
    <t>Where is the mesoglea different in other parts of the canal system?</t>
  </si>
  <si>
    <t>very weak</t>
  </si>
  <si>
    <t>The USGS</t>
  </si>
  <si>
    <t>When was ctenophore mnemiopsis leidyi introduced into The Black Sea and the Sea of Azov?</t>
  </si>
  <si>
    <t>What must the adoption of laws which will not have legal effect in the EU have?</t>
  </si>
  <si>
    <t>How many tonnes of tomatoes does Victoria produce?</t>
  </si>
  <si>
    <t>In what year was Henry of Navarre born?</t>
  </si>
  <si>
    <t>the work of leading theoretical physicists</t>
  </si>
  <si>
    <t>Catholic</t>
  </si>
  <si>
    <t>King Charles III</t>
  </si>
  <si>
    <t>What do the CBSE and the CISCe both have the power to govern?</t>
  </si>
  <si>
    <t>Contrecœur led 500 men south from Fort Venango on April 5, 1754</t>
  </si>
  <si>
    <t>Alexius Komnenos</t>
  </si>
  <si>
    <t>Who argues that the government redistributes wealth by peace?</t>
  </si>
  <si>
    <t>Allston</t>
  </si>
  <si>
    <t>projected rises in sea levels</t>
  </si>
  <si>
    <t>continuous input of sediment</t>
  </si>
  <si>
    <t>How many pairs of 2p orbitals lie along the O-O axis?</t>
  </si>
  <si>
    <t>Steven Barkan writes that if defendants plead not guilty, "they must decide whether their primary goal will be to win an acquittal and avoid imprisonment or a fine, or to use the proceedings as a forum to inform the jury and the public of the political circumstances surrounding the case and their reasons for breaking the law via civil disobedience." A technical defense may enhance the chances for acquittal but make for more boring proceedings and reduced press coverage. During the Vietnam War era, the Chicago Eight used a political defense, while Benjamin Spock used a technical defense. In countries such as the United States whose laws guarantee the right to a jury trial but do not excuse lawbreaking for political purposes, some civil disobedients seek jury nullification. Over the years, this has been made more difficult by court decisions such as Sparf v. United States, which held that the judge need not inform jurors of their nullification prerogative, and United States v. Dougherty, which held that the judge need not allow defendants to openly seek jury nullification.</t>
  </si>
  <si>
    <t>majority</t>
  </si>
  <si>
    <t>In what year was the Corliss engine patented?</t>
  </si>
  <si>
    <t>How does the corporation deliver these messages?</t>
  </si>
  <si>
    <t>What do new homes comprise the majority of?</t>
  </si>
  <si>
    <t>What kind of status comes with going to a public school in Australia?</t>
  </si>
  <si>
    <t>What is the edge of the moraine plateau called?</t>
  </si>
  <si>
    <t>What was the name of the Norman castle?</t>
  </si>
  <si>
    <t>"The Bill for this Act of the Scottish Parliament was passed by the Parliament on [Date] and received royal assent on [Date]".</t>
  </si>
  <si>
    <t>Because of the complexity of medications including specific indications, effectiveness of treatment regimens, safety of medications (i.e., drug interactions) and patient compliance issues (in the hospital and at home) many pharmacists practicing in hospitals gain more education and training after pharmacy school through a pharmacy practice residency and sometimes followed by another residency in a specific area. Those pharmacists are often referred to as clinical pharmacists and they often specialize in various disciplines of pharmacy. For example, there are pharmacists who specialize in hematology/oncology, HIV/AIDS, infectious disease, critical care, emergency medicine, toxicology, nuclear pharmacy, pain management, psychiatry, anti-coagulation clinics, herbal medicine, neurology/epilepsy management, pediatrics, neonatal pharmacists and more.</t>
  </si>
  <si>
    <t>analog and numerical experiments</t>
  </si>
  <si>
    <t>richest</t>
  </si>
  <si>
    <t>pairs of primes with difference 2</t>
  </si>
  <si>
    <t>Rhine knee</t>
  </si>
  <si>
    <t xml:space="preserve">What did Davies call the System </t>
  </si>
  <si>
    <t>What was the percentage of Black or African-Americans living in the city?</t>
  </si>
  <si>
    <t>What year did Adolf Hitler's rise to power?</t>
  </si>
  <si>
    <t>What is the equality of forces between two objects exerting force on each other??</t>
  </si>
  <si>
    <t>What city in Victoria is called the sporting capital of Australia?</t>
  </si>
  <si>
    <t>After what year was compounding frequently used in railway engines?</t>
  </si>
  <si>
    <t>also called "ctenes" or "comb plates</t>
  </si>
  <si>
    <t>dammed</t>
  </si>
  <si>
    <t>Who first came up with the bubonic plague theory?</t>
  </si>
  <si>
    <t>Synthetic aperture radar (SAR)</t>
  </si>
  <si>
    <t>graph isomorphism problem, the discrete logarithm problem and the integer factorization problem</t>
  </si>
  <si>
    <t>What differing variable remains the same size when providing the four likelihoods of case complexities?</t>
  </si>
  <si>
    <t>expendable nature of the worker</t>
  </si>
  <si>
    <t>chum salmon</t>
  </si>
  <si>
    <t>Does BSkyB carry any control over a channels content?</t>
  </si>
  <si>
    <t>What Harvard Alumni was the Palestine Prime Minister?</t>
  </si>
  <si>
    <t>A third type of conjectures concerns aspects of the distribution of primes. It is conjectured that there are infinitely many twin primes, pairs of primes with difference 2 (twin prime conjecture). Polignac's conjecture is a strengthening of that conjecture, it states that for every positive integer n, there are infinitely many pairs of consecutive primes that differ by 2n. It is conjectured there are infinitely many primes of the form n2 + 1. These conjectures are special cases of the broad Schinzel's hypothesis H. Brocard's conjecture says that there are always at least four primes between the squares of consecutive primes greater than 2. Legendre's conjecture states that there is a prime number between n2 and (n + 1)2 for every positive integer n. It is implied by the stronger Cramér's conjecture.</t>
  </si>
  <si>
    <t>tundra</t>
  </si>
  <si>
    <t>what other digital TV service took Sky UK Limited's most popular spot?</t>
  </si>
  <si>
    <t>20%</t>
  </si>
  <si>
    <t>Who challenges the notion of the Kuznets curve hypothesis?</t>
  </si>
  <si>
    <t>15</t>
  </si>
  <si>
    <t>In what year did the U of C associate with Kalamazoo College, located in Mount Carroll?</t>
  </si>
  <si>
    <t>What cells are not eliminated by the immune system?</t>
  </si>
  <si>
    <t>It is uncertain</t>
  </si>
  <si>
    <t>public switched data network</t>
  </si>
  <si>
    <t>Who reported that 17,000 customers received the service due to failed deliveries?</t>
  </si>
  <si>
    <t>What needs to be made to ensure richer members of society can participate in economic growth?</t>
  </si>
  <si>
    <t>How much potential economic growth could the United States amass if everyone went through less schooling?</t>
  </si>
  <si>
    <t>conflicting territorial claims</t>
  </si>
  <si>
    <t>The freedom to provide services under TFEU article 56 applies to who?</t>
  </si>
  <si>
    <t>In what year was David Tappan elected to the chair?</t>
  </si>
  <si>
    <t>What percentage of oxygen will a zeolite sieve produce?</t>
  </si>
  <si>
    <t>The plague theory was first significantly challenged by the work of British bacteriologist J. F. D. Shrewsbury in 1970, who noted that the reported rates of mortality in rural areas during the 14th-century pandemic were inconsistent with the modern bubonic plague, leading him to conclude that contemporary accounts were exaggerations. In 1984 zoologist Graham Twigg produced the first major work to challenge the bubonic plague theory directly, and his doubts about the identity of the Black Death have been taken up by a number of authors, including Samuel K. Cohn, Jr. (2002), David Herlihy (1997), and Susan Scott and Christopher Duncan (2001).</t>
  </si>
  <si>
    <t>What wasn't William Johnson's role in British military?</t>
  </si>
  <si>
    <t>Notable alumni in the field of government and politics include the founder of modern community organizing Saul Alinsky, Obama campaign advisor and top political advisor to President Bill Clinton David Axelrod, Attorney General and federal judge Robert Bork, Attorney General Ramsey Clark, Prohibition agent Eliot Ness, Supreme Court Justice John Paul Stevens, Prime Minister of Canada William Lyon Mackenzie King, 11th Prime Minister of Poland Marek Belka, Governor of the Bank of Japan Masaaki Shirakawa, the first female African-American Senator Carol Moseley Braun, United States Senator from Vermont and 2016 Democratic Presidential Candidate Bernie Sanders, and former World Bank President Paul Wolfowitz.</t>
  </si>
  <si>
    <t>Who described a steam turbine in 1690?</t>
  </si>
  <si>
    <t>"shortening the cutoff"</t>
  </si>
  <si>
    <t>What administrative division did Kublai leave unmodified?</t>
  </si>
  <si>
    <t>Which IPCC sessions are open to everyone?</t>
  </si>
  <si>
    <t>subsequent long-run economic growth</t>
  </si>
  <si>
    <t>Who established the amount of chosen numbers in existence?</t>
  </si>
  <si>
    <t>Where did it join in the direction of its flow?</t>
  </si>
  <si>
    <t>marriage between Han and Jurchen</t>
  </si>
  <si>
    <t>How much of Europe's population was Jewish?</t>
  </si>
  <si>
    <t>What are private schools that charge no tuition called?</t>
  </si>
  <si>
    <t>stereoscopic theatre</t>
  </si>
  <si>
    <t>The city of Pritzker is home to which University?</t>
  </si>
  <si>
    <t>pharma</t>
  </si>
  <si>
    <t>What news magazine transitioned to being exclusively online in 2009?</t>
  </si>
  <si>
    <t>What is the throat called?</t>
  </si>
  <si>
    <t>James Hutton</t>
  </si>
  <si>
    <t>One theory is that, while disobedience may be helpful, any great amount of it would undermine the law by encouraging general disobedience which is neither conscientious nor of social benefit. Therefore, conscientious lawbreakers must be punished. Michael Bayles argues that if a person violates a law in order to create a test case as to the constitutionality of a law, and then wins his case, then that act did not constitute civil disobedience. It has also been argued that breaking the law for self-gratification, as in the case of a homosexual or cannabis user who does not direct his act at securing the repeal of amendment of the law, is not civil disobedience. Likewise, a protestor who attempts to escape punishment by committing the crime covertly and avoiding attribution, or by denying having committed the crime, or by fleeing the jurisdiction, is generally viewed as not being a civil disobedient.</t>
  </si>
  <si>
    <t>What nationality is the architect Enric Miralles?</t>
  </si>
  <si>
    <t>to provide a fault-tolerant, efficient routing method for telecommunication messages</t>
  </si>
  <si>
    <t>Terra preta</t>
  </si>
  <si>
    <t>To what nation did the fewest Huguenots flee to from France?</t>
  </si>
  <si>
    <t>curriculum standards</t>
  </si>
  <si>
    <t>silicon</t>
  </si>
  <si>
    <t>Who organized the trees of the world into four categories?</t>
  </si>
  <si>
    <t>How long were the fighters of the Warsaw Ghetto Uprising able to hold out?</t>
  </si>
  <si>
    <t>has the ability to expand and develop the law according to the principles it deems to be appropriate</t>
  </si>
  <si>
    <t>What is one work by Olivier Messiaen?</t>
  </si>
  <si>
    <t>computer programs</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</si>
  <si>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</si>
  <si>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What is the name given to the district that is associated with the motion picture industry?</t>
  </si>
  <si>
    <t>What was result of French attack of the school?</t>
  </si>
  <si>
    <t>What are EU Regulations essentially the same as in the case mentioned?</t>
  </si>
  <si>
    <t>conflicting territorial claims between British and French</t>
  </si>
  <si>
    <t>What did DECnet Phase I become?</t>
  </si>
  <si>
    <t>What is Fe2O?</t>
  </si>
  <si>
    <t>Oahu</t>
  </si>
  <si>
    <t>Hobson argued that imperialism was an international what?</t>
  </si>
  <si>
    <t>When did economists reach a conclusion without the S&amp;P's rating agency?</t>
  </si>
  <si>
    <t>From what French King did the Huguenot name possibly descend?</t>
  </si>
  <si>
    <t>What platform was Sentanta Sports planning on launching on?</t>
  </si>
  <si>
    <t>The British failures in North America, combined with other failures in the European theater, led to the fall from power of Newcastle and his principal military advisor, the Duke of Cumberland. Newcastle and Pitt joined in an uneasy coalition in which Pitt dominated the military planning. He embarked on a plan for the 1758 campaign that was largely developed by Loudoun. He had been replaced by Abercrombie as commander in chief after the failures of 1757. Pitt's plan called for three major offensive actions involving large numbers of regular troops, supported by the provincial militias, aimed at capturing the heartlands of New France. Two of the expeditions were successful, with Fort Duquesne and Louisbourg falling to sizable British forces.</t>
  </si>
  <si>
    <t>In what year did Richard Trevithick patent his device?</t>
  </si>
  <si>
    <t>to emphasize academics over athletics,</t>
  </si>
  <si>
    <t>world systems theory</t>
  </si>
  <si>
    <t>What is the name of one algorithm useful for conveniently testing the primality of decimal digits?</t>
  </si>
  <si>
    <t>Who formulated the idea of clonal selection theory of immunity?</t>
  </si>
  <si>
    <t>last glacial maximum</t>
  </si>
  <si>
    <t>In 1962, who was responsible for the authorship of a paper published on real time-computations?</t>
  </si>
  <si>
    <t>convection of the mantle</t>
  </si>
  <si>
    <t>English</t>
  </si>
  <si>
    <t>In what year was HMS Dreadnought launched?</t>
  </si>
  <si>
    <t>Where do two thirds of the Rhine flow inside of Germany?</t>
  </si>
  <si>
    <t>the Jin</t>
  </si>
  <si>
    <t>rotational inertia</t>
  </si>
  <si>
    <t xml:space="preserve"> What is the Yuan dynasty's unofficial name?</t>
  </si>
  <si>
    <t>it cannot be written as the knot sum of two nontrivial knots</t>
  </si>
  <si>
    <t>What happens after the lead melts?</t>
  </si>
  <si>
    <t>What molecules are repelled by pathogenic antigens?</t>
  </si>
  <si>
    <t>11–13th century</t>
  </si>
  <si>
    <t>What cells undergo slow apoptosis?</t>
  </si>
  <si>
    <t>cicadas</t>
  </si>
  <si>
    <t>How was Tymnet connected to dozens of other private networks?</t>
  </si>
  <si>
    <t>the Guanabara Confession of Faith</t>
  </si>
  <si>
    <t>What is the redundant concept coming from momentum conservation?</t>
  </si>
  <si>
    <t>Newton's Universal Gravitation Constant,</t>
  </si>
  <si>
    <t>Who is the current President of Victoria?</t>
  </si>
  <si>
    <t xml:space="preserve">When are packet mode communications not implemented? </t>
  </si>
  <si>
    <t>Who was elected in 1859?</t>
  </si>
  <si>
    <t>What is one uncertainty about the theory of evolution that makes it complex?</t>
  </si>
  <si>
    <t>Who was lost to the party as Washington went on the way?</t>
  </si>
  <si>
    <t>cubic interpolation formula</t>
  </si>
  <si>
    <t xml:space="preserve">What is the conventional method to measure the Rhine? </t>
  </si>
  <si>
    <t>Immediately after Decision Time</t>
  </si>
  <si>
    <t>7 to 10 percent of American physicians</t>
  </si>
  <si>
    <t>Islamists have asked the question, "If Islam is a way of life, how can we say that those who want to live by its principles in legal, social, political, economic, and political spheres of life are not Muslims, but Islamists and believe in Islamism, not [just] Islam?" Similarly, a writer for the International Crisis Group maintains that "the conception of 'political Islam'" is a creation of Americans to explain the Iranian Islamic Revolution and apolitical Islam was a historical fluke of the "short-lived era of the heyday of secular Arab nationalism between 1945 and 1970", and it is quietist/non-political Islam, not Islamism, that requires explanation.</t>
  </si>
  <si>
    <t>Who granted royal assent to the Scotland Act of 1988?</t>
  </si>
  <si>
    <t>What is the ranking of the military forces in Jacksonville?</t>
  </si>
  <si>
    <t>In what year was the school renamed as Harvard College?</t>
  </si>
  <si>
    <t>What war in Ireland featured Huguenot regiments?</t>
  </si>
  <si>
    <t>What measures at 1.4 kPa?</t>
  </si>
  <si>
    <t xml:space="preserve"> Which theory does not justify imperialism in part?</t>
  </si>
  <si>
    <t>win an acquittal and avoid imprisonment</t>
  </si>
  <si>
    <t>Where is the Asian influence strongest in Victoria?</t>
  </si>
  <si>
    <t>After what battle did Union forces return to and occupy Jacksonville for the rest of the war?</t>
  </si>
  <si>
    <t>How many professors does the Music University of Technology employ?</t>
  </si>
  <si>
    <t>Why are debates on proposed motions by an MSP conducted?</t>
  </si>
  <si>
    <t>George Stigler</t>
  </si>
  <si>
    <t>When did Tancred lay siege to Antioch?</t>
  </si>
  <si>
    <t>Who unified the force responsible for atoms falling at the surface of the Earth?</t>
  </si>
  <si>
    <t>Parliament's temporary home was on the Royal Mills in what area?</t>
  </si>
  <si>
    <t>Along with geothermal and nuclear, what is a notable combustion heat source?</t>
  </si>
  <si>
    <t>Which country's invasion show the insecurity of the Middle East?</t>
  </si>
  <si>
    <t>in the 10th and 11th centuries</t>
  </si>
  <si>
    <t>In which decade did the university begin several thousand dollar expansion projects?</t>
  </si>
  <si>
    <t>The inside of a ctenophore is lined with what?</t>
  </si>
  <si>
    <t>What three churches have colleges in Sydney?</t>
  </si>
  <si>
    <t>Which genus is considered the "aunt" of ctenophores?</t>
  </si>
  <si>
    <t>Premier of Victoria</t>
  </si>
  <si>
    <t>online pharmacies</t>
  </si>
  <si>
    <t>the Pakistan movement</t>
  </si>
  <si>
    <t>What often affects or facilitates ease of analysis in computational problems?</t>
  </si>
  <si>
    <t>Where can sedimentary rock not be found at the same time?</t>
  </si>
  <si>
    <t>Bell Northern Research</t>
  </si>
  <si>
    <t>Prince of Płock</t>
  </si>
  <si>
    <t>Which job requires that member be under 18?</t>
  </si>
  <si>
    <t>Assessing the Amazon rain forest was restricted after what era?</t>
  </si>
  <si>
    <t>When did Zhenjin die?</t>
  </si>
  <si>
    <t>Lenin</t>
  </si>
  <si>
    <t xml:space="preserve"> Informal imperialism is still dominant; however, more what?</t>
  </si>
  <si>
    <t>When did Polonia Ekstraklasa win the country's championship prior to 2000?</t>
  </si>
  <si>
    <t>What is stage 1 in the life of a bill?</t>
  </si>
  <si>
    <t>When did Huguenots colonize in North America?</t>
  </si>
  <si>
    <t>12</t>
  </si>
  <si>
    <t>due to their higher oxygen content</t>
  </si>
  <si>
    <t>90.20 K (−182.95 °C, −297.31 °F)</t>
  </si>
  <si>
    <t>What are other signs of insecurity in Mecca?</t>
  </si>
  <si>
    <t>object started with a non-zero velocity</t>
  </si>
  <si>
    <t>2.8%</t>
  </si>
  <si>
    <t>Stephen Greenblatt</t>
  </si>
  <si>
    <t>April 1943</t>
  </si>
  <si>
    <t>forceful</t>
  </si>
  <si>
    <t>What is the name of the book written by Archeologist Betty Meggers?</t>
  </si>
  <si>
    <t>What primitive jawed vertebrates do not contain lymphocyte-derived molecules?</t>
  </si>
  <si>
    <t>The Paris Palace had been an exceptional example of what type of architecture?</t>
  </si>
  <si>
    <t>Greenhouse Gas Inventories</t>
  </si>
  <si>
    <t>What is the bond order of dioxygen molecules?</t>
  </si>
  <si>
    <t>Eutelsat's Eurobird 1</t>
  </si>
  <si>
    <t>the mass () and the radius () of the Earth</t>
  </si>
  <si>
    <t>The rain force failed to thrive during what periods?</t>
  </si>
  <si>
    <t>~3000 yr BP</t>
  </si>
  <si>
    <t>What does high levels of inequality do to growth in poor countries?</t>
  </si>
  <si>
    <t>What type of commutative ring does the prime ideals theorem express every ideal as an intersection of Noetherian arithmetic in?</t>
  </si>
  <si>
    <t xml:space="preserve"> How did Hobson argue to not rid the world of imperialism?</t>
  </si>
  <si>
    <t>Did Davies and Baran collaborate at any point after they both developed this concept?</t>
  </si>
  <si>
    <t>By how much did the Navy increase the defendant's sentence?</t>
  </si>
  <si>
    <t>The European Court of Justice</t>
  </si>
  <si>
    <t>a turbine connected to an electrical generator</t>
  </si>
  <si>
    <t>What lake contains part of the Rhine Falls?</t>
  </si>
  <si>
    <t>The Brotherhood's members are against consuming what beverage?</t>
  </si>
  <si>
    <t>a third</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</si>
  <si>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</si>
  <si>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a pivotal event</t>
  </si>
  <si>
    <t>Who did Gegeen appoint as grand chancellor?</t>
  </si>
  <si>
    <t>mercuric oxide</t>
  </si>
  <si>
    <t>Cultural imperialism</t>
  </si>
  <si>
    <t>the south-east of Australia</t>
  </si>
  <si>
    <t>Besh Baliq, Almaliq, and Samarqand</t>
  </si>
  <si>
    <t>What has Cambridge purchased in Allston?</t>
  </si>
  <si>
    <t>During what time did civilization in the Amazon was flourishing when Orellana made his observations?</t>
  </si>
  <si>
    <t>What decreases rapidly as per capita income increases?</t>
  </si>
  <si>
    <t>In the Rankine cycle, in what state is the working fluid received in the steam?</t>
  </si>
  <si>
    <t>What battle outside Quebec City did British lose in 1706?</t>
  </si>
  <si>
    <t>boudins</t>
  </si>
  <si>
    <t>Rheinrinne</t>
  </si>
  <si>
    <t>over 12 million inhabitants</t>
  </si>
  <si>
    <t>How much of Warsaw's population was Jewish?</t>
  </si>
  <si>
    <t>if the head of government of a country were to refuse to enforce a decision of that country's highest court</t>
  </si>
  <si>
    <t>Epoxides</t>
  </si>
  <si>
    <t>Simulation of what is consistent across different models?</t>
  </si>
  <si>
    <t xml:space="preserve">Stephen Eilmann demonstrates covert law breaking in Nazi Germany.   Citizen's illegally had been doing what? </t>
  </si>
  <si>
    <t>randomized algorithms</t>
  </si>
  <si>
    <t>When a person’s capabilities are lowered, they are in some way deprived of earning as much income as they would otherwise. An old, ill man cannot earn as much as a healthy young man; gender roles and customs may prevent a woman from receiving an education or working outside the home. There may be an epidemic that causes widespread panic, or there could be rampant violence in the area that prevents people from going to work for fear of their lives. As a result, income and economic inequality increases, and it becomes more difficult to reduce the gap without additional aid. To prevent such inequality, this approach believes it’s important to have political freedom, economic facilities, social opportunities, transparency guarantees, and protective security to ensure that people aren’t denied their functionings, capabilities, and agency and can thus work towards a better relevant income.</t>
  </si>
  <si>
    <t>When was the The Weavers converted into a restaurant?</t>
  </si>
  <si>
    <t>What proclamation gave Huguenots special privileges in Brandenburg?</t>
  </si>
  <si>
    <t>The uniflow engine is an attempt to fix an issue that arises in what cycle?</t>
  </si>
  <si>
    <t>Who applies American Union law?</t>
  </si>
  <si>
    <t>if they were non-discriminatory, "justified by imperative requirements in the general interest" and proportionately applied</t>
  </si>
  <si>
    <t>Between the 1880s and World War II, Downtown Fresno flourished, filled with electric Street Cars, and contained some of the San Joaquin Valley's most beautiful architectural buildings. Among them, the original Fresno County Courthouse (demolished), the Fresno Carnegie Public Library (demolished), the Fresno Water Tower, the Bank of Italy Building, the Pacific Southwest Building, the San Joaquin Light &amp; Power Building (currently known as the Grand 1401), and the Hughes Hotel (burned down), to name a few.</t>
  </si>
  <si>
    <t>How frequent is snow in the Southwest of the state?</t>
  </si>
  <si>
    <t>Often rules apply to all goods neutrally, but may have a greater practical effect on imports than domestic products. For such "indirect" discriminatory (or "indistinctly applicable") measures the Court of Justice has developed more justifications: either those in article 36, or additional "mandatory" or "overriding" requirements such as consumer protection, improving labour standards, protecting the environment, press diversity, fairness in commerce, and more: the categories are not closed. In the most famous case Rewe-Zentral AG v Bundesmonopol für Branntwein, the Court of Justice found that a German law requiring all spirits and liqueurs (not just imported ones) to have a minimum alcohol content of 25 per cent was contrary to TFEU article 34, because it had a greater negative effect on imports. German liqueurs were over 25 per cent alcohol, but Cassis de Dijon, which Rewe-Zentrale AG wished to import from France, only had 15 to 20 per cent alcohol. The Court of Justice rejected the German government's arguments that the measure proportionately protected public health under TFEU article 36, because stronger beverages were available and adequate labelling would be enough for consumers to understand what they bought. This rule primarily applies to requirements about a product's content or packaging. In Walter Rau Lebensmittelwerke v De Smedt PVBA the Court of Justice found that a Belgian law requiring all margarine to be in cube shaped packages infringed article 34, and was not justified by the pursuit of consumer protection. The argument that Belgians would believe it was butter if it was not cube shaped was disproportionate: it would "considerably exceed the requirements of the object in view" and labelling would protect consumers "just as effectively". In a 2003 case, Commission v Italy Italian law required that cocoa products that included other vegetable fats could not be labelled as "chocolate". It had to be "chocolate substitute". All Italian chocolate was made from cocoa butter alone, but British, Danish and Irish manufacturers used other vegetable fats. They claimed the law infringed article 34. The Court of Justice held that a low content of vegetable fat did not justify a "chocolate substitute" label. This was derogatory in the consumers' eyes. A ‘neutral and objective statement’ was enough to protect consumers. If member states place considerable obstacles on the use of a product, this can also infringe article 34. So, in a 2009 case, Commission v Italy, the Court of Justice held that an Italian law prohibiting motorcycles or mopeds pulling trailers infringed article 34. Again, the law applied neutrally to everyone, but disproportionately affected importers, because Italian companies did not make trailers. This was not a product requirement, but the Court reasoned that the prohibition would deter people from buying it: it would have "a considerable influence on the behaviour of consumers" that "affects the access of that product to the market". It would require justification under article 36, or as a mandatory requirement.</t>
  </si>
  <si>
    <t>110 mph</t>
  </si>
  <si>
    <t>What is another name for a coal supply bin?</t>
  </si>
  <si>
    <t>may no longer exist</t>
  </si>
  <si>
    <t>What is the metric they use to determine how busy airports are?</t>
  </si>
  <si>
    <t>Who analysed the Medieval Cold Period?</t>
  </si>
  <si>
    <t>dating to 1338–39</t>
  </si>
  <si>
    <t>Antibodies transported from the mother to an infant via the placenta is an example of what type of short-lived immunity?</t>
  </si>
  <si>
    <t>Archduke Sigismund</t>
  </si>
  <si>
    <t>Focus on what is to ameliorate the many problems that arise from the often highly competitive and adversarial practices within the construction industry.</t>
  </si>
  <si>
    <t xml:space="preserve">Where did the Meuse flow before the flood? </t>
  </si>
  <si>
    <t>How would the word apothecary be viewed by contemporary English speakers?</t>
  </si>
  <si>
    <t>What problem was proposed by Clay Mathematics Institute at the Alpha Prize Problems?</t>
  </si>
  <si>
    <t>South American</t>
  </si>
  <si>
    <t>Whose law did not explain the orbit of the planet Saturn?</t>
  </si>
  <si>
    <t>What is the main gap to continued urbanization?</t>
  </si>
  <si>
    <t>When did Augustus die?</t>
  </si>
  <si>
    <t>vocational</t>
  </si>
  <si>
    <t>What does the focus on forms of procurement try to prevent?</t>
  </si>
  <si>
    <t>1500 and 1850</t>
  </si>
  <si>
    <t>What problems did the Yuan dynasty have near its beginning?</t>
  </si>
  <si>
    <t>In what direction does the mountain system extend?</t>
  </si>
  <si>
    <t xml:space="preserve"> Where was the non-Muslim Brotherhood founded?</t>
  </si>
  <si>
    <t>Möngke Khan commenced a military campaign against the Chinese Song dynasty in southern China. The Mongol force that invaded southern China was far greater than the force they sent to invade the Middle East in 1256. He died in 1259 without a successor. Kublai returned from fighting the Song in 1260 when he learned that his brother, Ariq Böke, was challenging his claim to the throne. Kublai convened a kurultai in Kaiping that elected him Great Khan. A rival kurultai in Mongolia proclaimed Ariq Böke Great Khan, beginning a civil war. Kublai depended on the cooperation of his Chinese subjects to ensure that his army received ample resources. He bolstered his popularity among his subjects by modeling his government on the bureaucracy of traditional Chinese dynasties and adopting the Chinese era name of Zhongtong. Ariq Böke was hampered by inadequate supplies and surrendered in 1264. All of the three western khanates (Golden Horde, Chagatai Khanate and Ilkhanate) became functionally autonomous, although only the Ilkhans truly recognized Kublai as Great Khan. Civil strife had permanently divided the Mongol Empire.</t>
  </si>
  <si>
    <t>Which nation contains the majority of the amazon forest?</t>
  </si>
  <si>
    <t>Feynman diagrams</t>
  </si>
  <si>
    <t>its own special category as a "unit"</t>
  </si>
  <si>
    <t>Mayor W. Haydon Burns'</t>
  </si>
  <si>
    <t>nuclear force.</t>
  </si>
  <si>
    <t>What area in modern-day Canada received Huguenot immigrants?</t>
  </si>
  <si>
    <t>population levels would start to drop to a sustainable level</t>
  </si>
  <si>
    <t>To better illustrate this idea, Bassett focuses his analysis of the role of nineteenth-century maps during the "scramble for Africa". He states that maps "contributed to empire by promoting, assisting, and legitimizing the extension of French and British power into West Africa". During his analysis of nineteenth-century cartographic techniques, he highlights the use of blank space to denote unknown or unexplored territory. This provided incentives for imperial and colonial powers to obtain "information to fill in blank spaces on contemporary maps".</t>
  </si>
  <si>
    <t>non-violent</t>
  </si>
  <si>
    <t>What entity is created if the three different institutions cannot come to a consensus at any stage?</t>
  </si>
  <si>
    <t>marine waters worldwide</t>
  </si>
  <si>
    <t>Amazon</t>
  </si>
  <si>
    <t>dependent upon how strong</t>
  </si>
  <si>
    <t>Louis de Condé</t>
  </si>
  <si>
    <t>In what year was The Cape Monthly first published?</t>
  </si>
  <si>
    <t>market</t>
  </si>
  <si>
    <t>They viewed the economic value of the Caribbean islands' sugar cane to be greater</t>
  </si>
  <si>
    <t>Specialty pharmacies supply high cost injectable, oral, infused, or inhaled medications that are used for chronic and complex disease states such as cancer, hepatitis, and rheumatoid arthritis. Unlike a traditional community pharmacy where prescriptions for any common medication can be brought in and filled, specialty pharmacies carry novel medications that need to be properly stored, administered, carefully monitored, and clinically managed. In addition to supplying these drugs, specialty pharmacies also provide lab monitoring, adherence counseling, and assist patients with cost-containment strategies needed to obtain their expensive specialty drugs. It is currently the fastest growing sector of the pharmaceutical industry with 19 of 28 newly FDA approved medications in 2013 being specialty drugs.</t>
  </si>
  <si>
    <t>What laws are different in every inertial frame of reference?</t>
  </si>
  <si>
    <t>to make an impression</t>
  </si>
  <si>
    <t>What characteristic of oxygen makes it necessary to life?</t>
  </si>
  <si>
    <t>Within the last 5–10 million years</t>
  </si>
  <si>
    <t>communication</t>
  </si>
  <si>
    <t>What rate of unionization do Scandinavian nations have?</t>
  </si>
  <si>
    <t>What is one type of public key cryptography algorithm?</t>
  </si>
  <si>
    <t>What is another name for the Aboral?</t>
  </si>
  <si>
    <t>Why are memory cells not considered adaptive?</t>
  </si>
  <si>
    <t>According to agreement between Iroquois and British, where was a strong house to be built?</t>
  </si>
  <si>
    <t>compresses the most recent era</t>
  </si>
  <si>
    <t>second and third run movies</t>
  </si>
  <si>
    <t xml:space="preserve">Who developed the same technology as Baran </t>
  </si>
  <si>
    <t>What was the Jacksonville fire later known as?</t>
  </si>
  <si>
    <t>certain "entrenched" provisions</t>
  </si>
  <si>
    <t>What types of pharmacy functions have never been outsourced?</t>
  </si>
  <si>
    <t>On the other hand, higher economic inequality tends to increase entrepreneurship rates at the individual level (self-employment). However, most of it is often based on necessity rather than opportunity. Necessity-based entrepreneurship is motivated by survival needs such as income for food and shelter ("push" motivations), whereas opportunity-based entrepreneurship is driven by achievement-oriented motivations ("pull") such as vocation and more likely to involve the pursue of new products, services, or underserved market needs. The economic impact of the former type of entrepreneurialism tends to be redistributive while the latter is expected to foster technological progress and thus have a more positive impact on economic growth.</t>
  </si>
  <si>
    <t>On what scale would scientists show measurements of vegetation?</t>
  </si>
  <si>
    <t>How many city officials were indicted due to corruption?</t>
  </si>
  <si>
    <t>In what way do idea strings transmit tesion forces?</t>
  </si>
  <si>
    <t>What has been held since 1987, taking over the campus for 7-10 days with exhibitions?</t>
  </si>
  <si>
    <t>ended inconclusively</t>
  </si>
  <si>
    <t>What can concentrate wealth, pass environmental costs on to society and abuse both workers and consumers?</t>
  </si>
  <si>
    <t xml:space="preserve">Who else did DATNET 1 refer to </t>
  </si>
  <si>
    <t>since the 1960s</t>
  </si>
  <si>
    <t>It is generally assumed that a Turing machine can solve anything capable of also being solved using what?</t>
  </si>
  <si>
    <t>What is the main goal of criminal punishment of civil disobedients?</t>
  </si>
  <si>
    <t>What Chinese-style name did Rinchinbal use?</t>
  </si>
  <si>
    <t>Besides the analytic property of Goldbach's conjecture, what other property of Goldbach's conjecture does number theory focus on?</t>
  </si>
  <si>
    <t>Treaties establishing the European Union</t>
  </si>
  <si>
    <t>Who along with Russia supported post WW-II communist movements?</t>
  </si>
  <si>
    <t>What profession doesn't Simon Kuznets have?</t>
  </si>
  <si>
    <t>What was the Norman religion?</t>
  </si>
  <si>
    <t>How do physical experiments explain fluid inclusion data?</t>
  </si>
  <si>
    <t>4,097.9 people per square mile</t>
  </si>
  <si>
    <t>What do studies on metamorphism through pressure help clarify?</t>
  </si>
  <si>
    <t>beta decay</t>
  </si>
  <si>
    <t>What was the defeat of the Arab troops at the hand of the Israeli troops during the Seven-Day War?</t>
  </si>
  <si>
    <t>What can be combined with geophysical data to produce a better view of the subsurface?</t>
  </si>
  <si>
    <t>deterministic sorting algorithm quicksort</t>
  </si>
  <si>
    <t>Who did the Mongols give control of Korea?</t>
  </si>
  <si>
    <t>From the late 1340s onwards</t>
  </si>
  <si>
    <t>single</t>
  </si>
  <si>
    <t>Why was Lake Tuggenersee regulated?</t>
  </si>
  <si>
    <t>What is the size of the mantle?</t>
  </si>
  <si>
    <t>What can the pleuobrachia do with its mouth when its in the way?</t>
  </si>
  <si>
    <t>increased blood flow into tissue</t>
  </si>
  <si>
    <t>To what schools did the U of C agree to provide books and supplies free of charge?</t>
  </si>
  <si>
    <t>When did Dyrrachium  fall to the Normans?</t>
  </si>
  <si>
    <t>What can weak tidal currents do?</t>
  </si>
  <si>
    <t>many places</t>
  </si>
  <si>
    <t>James Henry Breasted</t>
  </si>
  <si>
    <t>Fort Le Boeuf (present-day Waterford, Pennsylvania</t>
  </si>
  <si>
    <t>from the constitutional traditions common to the member states</t>
  </si>
  <si>
    <t>it is impossible</t>
  </si>
  <si>
    <t>1817</t>
  </si>
  <si>
    <t>27-30</t>
  </si>
  <si>
    <t>Reciprocating piston type</t>
  </si>
  <si>
    <t>status superior to all others in health-related fields</t>
  </si>
  <si>
    <t>Cobb, Shepley, Rutan and Coolidge, Holabird &amp; Roche, and other architectural firms</t>
  </si>
  <si>
    <t>Activation of a helper T cell causes it to release what chemicals that influence cell activity?</t>
  </si>
  <si>
    <t>What two things can pharmacy informatics not bring together?</t>
  </si>
  <si>
    <t>When did Ronald Robinson die?</t>
  </si>
  <si>
    <t>When wasn't a study conducted of Swedish counties?</t>
  </si>
  <si>
    <t>Rēnos</t>
  </si>
  <si>
    <t>The internal cavity forms: a mouth that can usually be closed by muscles; a pharynx ("throat"); a wider area in the center that acts as a stomach; and a system of internal canals. These branch through the mesoglea to the most active parts of the animal: the mouth and pharynx; the roots of the tentacles, if present; all along the underside of each comb row; and four branches round the sensory complex at the far end from the mouth – two of these four branches terminate in anal pores. The inner surface of the cavity is lined with an epithelium, the gastrodermis. The mouth and pharynx have both cilia and well-developed muscles. In other parts of the canal system, the gastrodermis is different on the sides nearest to and furthest from the organ that it supplies. The nearer side is composed of tall nutritive cells that store nutrients in vacuoles (internal compartments), germ cells that produce eggs or sperm, and photocytes that produce bioluminescence. The side furthest from the organ is covered with ciliated cells that circulate water through the canals, punctuated by ciliary rosettes, pores that are surrounded by double whorls of cilia and connect to the mesoglea.</t>
  </si>
  <si>
    <t>What did Artur Oppman give to the world?</t>
  </si>
  <si>
    <t xml:space="preserve"> Who called for an agency to be destroyed for undermining the Islamism ideology?</t>
  </si>
  <si>
    <t>For instance, while traveling in a moving vehicle at a constant velocity, the laws of physics do not change from being at rest. A person can throw a ball straight up in the air and catch it as it falls down without worrying about applying a force in the direction the vehicle is moving. This is true even though another person who is observing the moving vehicle pass by also observes the ball follow a curving parabolic path in the same direction as the motion of the vehicle. It is the inertia of the ball associated with its constant velocity in the direction of the vehicle's motion that ensures the ball continues to move forward even as it is thrown up and falls back down. From the perspective of the person in the car, the vehicle and everything inside of it is at rest: It is the outside world that is moving with a constant speed in the opposite direction. Since there is no experiment that can distinguish whether it is the vehicle that is at rest or the outside world that is at rest, the two situations are considered to be physically indistinguishable. Inertia therefore applies equally well to constant velocity motion as it does to rest.</t>
  </si>
  <si>
    <t xml:space="preserve"> How did the final Song emperor begin?</t>
  </si>
  <si>
    <t>What involves delivering a gas stream that is 9% to 93% O2?</t>
  </si>
  <si>
    <t>What is the name of the area that the main campus is centered in Cambridge?</t>
  </si>
  <si>
    <t>Who used imperialism during their rule of the Mongol Empire?</t>
  </si>
  <si>
    <t>in 1851</t>
  </si>
  <si>
    <t>macrophages, neutrophils, and dendritic cells</t>
  </si>
  <si>
    <t>Where is Samuel Marsden Collegiate School located?</t>
  </si>
  <si>
    <t>What natives were displaced by British takeover in Georgia?</t>
  </si>
  <si>
    <t>Polignac's conjecture</t>
  </si>
  <si>
    <t>not have any standing forces</t>
  </si>
  <si>
    <t>granulysin</t>
  </si>
  <si>
    <t>Where do clinical pharmacists work with patients?</t>
  </si>
  <si>
    <t>When extensive time is required to sort integers, this represents what case complexity?</t>
  </si>
  <si>
    <t>What is an example of adversarial practices that involve partnering?</t>
  </si>
  <si>
    <t>seismic</t>
  </si>
  <si>
    <t>Most went to Cuba</t>
  </si>
  <si>
    <t>Late published versions were utilized by who?</t>
  </si>
  <si>
    <t>Pauli principle</t>
  </si>
  <si>
    <t>3600</t>
  </si>
  <si>
    <t>Invitations to address the House of Commons are determined by whom?</t>
  </si>
  <si>
    <t>Who managed Datanet 1 for KPN?</t>
  </si>
  <si>
    <t>New Paltz</t>
  </si>
  <si>
    <t xml:space="preserve"> What was the Irish title of Polo's book?</t>
  </si>
  <si>
    <t>What did Olivier Roy state underwent a remarkable shift in the second half of the 20th century?</t>
  </si>
  <si>
    <t>Cydippid ctenophores have bodies that are more or less rounded, sometimes nearly spherical and other times more cylindrical or egg-shaped; the common coastal "sea gooseberry," Pleurobrachia, sometimes has an egg-shaped body with the mouth at the narrow end, although some individuals are more uniformly round. From opposite sides of the body extends a pair of long, slender tentacles, each housed in a sheath into which it can be withdrawn. Some species of cydippids have bodies that are flattened to various extents, so that they are wider in the plane of the tentacles.</t>
  </si>
  <si>
    <t>Virginia in the South to Nova Scotia in the North</t>
  </si>
  <si>
    <t>What gained ground when Arab nationalism suffered?</t>
  </si>
  <si>
    <t>What organization did Harvard found in 1900?</t>
  </si>
  <si>
    <t>Who is Kearney Boulevard named after?</t>
  </si>
  <si>
    <t>the Parliament of the United Kingdom at Westminster</t>
  </si>
  <si>
    <t>y through the port's trade with Constantinople, and ports on the Black Sea</t>
  </si>
  <si>
    <t>What is an example of a problem that rests within the NP complexity class?</t>
  </si>
  <si>
    <t>sending an email to the Lebanon</t>
  </si>
  <si>
    <t>over 400</t>
  </si>
  <si>
    <t>yellow fever</t>
  </si>
  <si>
    <t>What native chief travelled to French fort and threatened Marin?</t>
  </si>
  <si>
    <t>Where are some physicians not permitted to prescribe and give out medications within their practices?</t>
  </si>
  <si>
    <t>the wilderness of the Maine district and down the Chaudière River</t>
  </si>
  <si>
    <t>the Huguenots had their own militia</t>
  </si>
  <si>
    <t>What month is the warmest in Fresno?</t>
  </si>
  <si>
    <t>What is the largest eon?</t>
  </si>
  <si>
    <t>What is another term used for library?</t>
  </si>
  <si>
    <t>third-most</t>
  </si>
  <si>
    <t>What Huguenot French family had the largest brandy distilling business in South Africa?</t>
  </si>
  <si>
    <t>16</t>
  </si>
  <si>
    <t>income inequality</t>
  </si>
  <si>
    <t>the Financial Regulations and Rules of the WMO</t>
  </si>
  <si>
    <t>to render certain laws ineffective,</t>
  </si>
  <si>
    <t>coercive</t>
  </si>
  <si>
    <t>an equality</t>
  </si>
  <si>
    <t>Loudoun, a capable administrator but a cautious field commander, planned one major operation for 1757: an attack on New France's capital, Quebec. Leaving a sizable force at Fort William Henry to distract Montcalm, he began organizing for the expedition to Quebec. He was then ordered by William Pitt, the Secretary of State responsible for the colonies, to attack Louisbourg first. Beset by delays of all kinds, the expedition was finally ready to sail from Halifax, Nova Scotia in early August. In the meantime French ships had escaped the British blockade of the French coast, and a fleet outnumbering the British one awaited Loudoun at Louisbourg. Faced with this strength, Loudoun returned to New York amid news that a massacre had occurred at Fort William Henry.</t>
  </si>
  <si>
    <t>the temperate zone</t>
  </si>
  <si>
    <t>What other sea had fish larvae accidentially introduced into it?</t>
  </si>
  <si>
    <t>Who ruled Cyprus in 1191?</t>
  </si>
  <si>
    <t>n what meeting did Shirley lay out plans for 1765?</t>
  </si>
  <si>
    <t>How many layers of protection are provided by the father?</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</si>
  <si>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</si>
  <si>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What book featured 25 diverse comninatorial and graph theoretical problems each famous for its computational intractability?</t>
  </si>
  <si>
    <t>introductory stage of the bill</t>
  </si>
  <si>
    <t>All of these processes do not necessarily occur in a single environment, and do not necessarily occur in a single order. The Hawaiian Islands, for example, consist almost entirely of layered basaltic lava flows. The sedimentary sequences of the mid-continental United States and the Grand Canyon in the southwestern United States contain almost-undeformed stacks of sedimentary rocks that have remained in place since Cambrian time. Other areas are much more geologically complex. In the southwestern United States, sedimentary, volcanic, and intrusive rocks have been metamorphosed, faulted, foliated, and folded. Even older rocks, such as the Acasta gneiss of the Slave craton in northwestern Canada, the oldest known rock in the world have been metamorphosed to the point where their origin is undiscernable without laboratory analysis. In addition, these processes can occur in stages. In many places, the Grand Canyon in the southwestern United States being a very visible example, the lower rock units were metamorphosed and deformed, and then deformation ended and the upper, undeformed units were deposited. Although any amount of rock emplacement and rock deformation can occur, and they can occur any number of times, these concepts provide a guide to understanding the geological history of an area.</t>
  </si>
  <si>
    <t xml:space="preserve">What would need to remain constant in a multiplication algorithm to produce the same outcome whether multiplying or squaring two integers?  </t>
  </si>
  <si>
    <t>Manakin Town</t>
  </si>
  <si>
    <t>After Washington had returned to Williamsburg, Dinwiddie ordered him to lead a larger force to assist Trent in his work. While en route, Washington learned of Trent's retreat. Since Tanaghrisson had promised support to the British, Washington continued toward Fort Duquesne and met with the Mingo leader. Learning of a French scouting party in the area, Washington, with Tanaghrisson and his party, surprised the Canadians on May 28 in what became known as the Battle of Jumonville Glen. They killed many of the Canadians, including their commanding officer, Joseph Coulon de Jumonville, whose head was reportedly split open by Tanaghrisson with a tomahawk. The historian Fred Anderson suggests that Tanaghrisson was acting to gain the support of the British and regain authority over his own people. They had been inclined to support the French, with whom they had long trading relationships. One of Tanaghrisson's men told Contrecoeur that Jumonville had been killed by British musket fire.</t>
  </si>
  <si>
    <t>briefing B-265</t>
  </si>
  <si>
    <t>What is positively correlated to the duration of economic growth?</t>
  </si>
  <si>
    <t>What year was Chinatown founded?</t>
  </si>
  <si>
    <t>In what year did the Boschwick neighborhood officially change its name to Bushwick?</t>
  </si>
  <si>
    <t>When did Sky announce the total number of homes with Sky+HD was 3,222,000?</t>
  </si>
  <si>
    <t>integer factorization</t>
  </si>
  <si>
    <t>What rift system developed in the Alpine orogeny?</t>
  </si>
  <si>
    <t>What does Neumes say that composition with prime numbers was inspired by?</t>
  </si>
  <si>
    <t>What was the purpose of Loudoun's troops at Fort Henry?</t>
  </si>
  <si>
    <t>B</t>
  </si>
  <si>
    <t>the method by which the medications are requested and received</t>
  </si>
  <si>
    <t>Civil Service Tribunal</t>
  </si>
  <si>
    <t xml:space="preserve"> What natural resources did the Chinese government not have a monopoly on?</t>
  </si>
  <si>
    <t>If this was developed for the Air Force, then does the Air Force still technically own the Intellectual Property?</t>
  </si>
  <si>
    <t>When did embankment of the major Rhine distributaries take palce?</t>
  </si>
  <si>
    <t>What is formed when a phagosome fuses with a lysosome?</t>
  </si>
  <si>
    <t>When was the University of Chicago established?</t>
  </si>
  <si>
    <t>Who created an engine using transport applications in 1801?</t>
  </si>
  <si>
    <t>1775</t>
  </si>
  <si>
    <t>perpendicular</t>
  </si>
  <si>
    <t>Along with fuel sources, what concern has contributed to the development of the combustion movement?</t>
  </si>
  <si>
    <t>What was the UK's least popular TV service in 2015?</t>
  </si>
  <si>
    <t>What is the name of one type of test where p+1 or p-1 takes a certain shape?</t>
  </si>
  <si>
    <t>practical limitations of working in the rainforest mean that data sampling is biased away from the center of the Amazon basin</t>
  </si>
  <si>
    <t>Which tribes did Genghis Khan fight against?</t>
  </si>
  <si>
    <t>How many undeveloped countries did British researchers use to gather statistics from?</t>
  </si>
  <si>
    <t xml:space="preserve"> Who rejected the Mongolian Borjigin clan?</t>
  </si>
  <si>
    <t>What form of oxygen do marine animals acquire in greater amounts during cooler climatic conditions?</t>
  </si>
  <si>
    <t>What physical condition can acute oxygen toxicity cause?</t>
  </si>
  <si>
    <t>where  is the relevant cross-sectional area for the volume for which the stress-tensor is being calculated. This formalism includes pressure terms associated with forces that act normal to the cross-sectional area (the matrix diagonals of the tensor) as well as shear terms associated with forces that act parallel to the cross-sectional area (the off-diagonal elements). The stress tensor accounts for forces that cause all strains (deformations) including also tensile stresses and compressions.:133–134:38-1–38-11</t>
  </si>
  <si>
    <t>What did the IPCC complain was happening from government oversight?</t>
  </si>
  <si>
    <t>What order didn't British make of French?</t>
  </si>
  <si>
    <t>While the Treaties and Regulations will have direct effect (if clear, unconditional and immediate), Directives do not generally give citizens (as opposed to the member state) standing to sue other citizens. In theory, this is because TFEU article 288 says Directives are addressed to the member states and usually "leave to the national authorities the choice of form and methods" to implement. In part this reflects that directives often create minimum standards, leaving member states to apply higher standards. For example, the Working Time Directive requires that every worker has at least 4 weeks paid holidays each year, but most member states require more than 28 days in national law. However, on the current position adopted by the Court of Justice, citizens have standing to make claims based on national laws that implement Directives, but not from Directives themselves. Directives do not have so called "horizontal" direct effect (i.e. between non-state parties). This view was instantly controversial, and in the early 1990s three Advocate Generals persuasively argued that Directives should create rights and duties for all citizens. The Court of Justice refused, but there are five large exceptions.</t>
  </si>
  <si>
    <t>Did the plague spread in Scandinavia or Germany first?</t>
  </si>
  <si>
    <t>quantum mechanics</t>
  </si>
  <si>
    <t>Did Paul Baran has assistance from anyone when he developed the concept?</t>
  </si>
  <si>
    <t>"Decision Time"</t>
  </si>
  <si>
    <t>After what year did compounding cease to be used in Britain?</t>
  </si>
  <si>
    <t>self-consistent unification models</t>
  </si>
  <si>
    <t>What are the ties that best described what the "eight counties" are based on?</t>
  </si>
  <si>
    <t xml:space="preserve"> When was the Imperial Library Directorate not established?</t>
  </si>
  <si>
    <t>Winter Film Capital of the World</t>
  </si>
  <si>
    <t>compound engines</t>
  </si>
  <si>
    <t>The last glacial ran from ~74,000 (BP = Before Present), until the end of the Pleistocene (~11,600 BP). In northwest Europe, it saw two very cold phases, peaking around 70,000 BP and around 29,000–24,000 BP. The last phase slightly predates the global last ice age maximum (Last Glacial Maximum). During this time, the lower Rhine flowed roughly west through the Netherlands and extended to the southwest, through the English Channel and finally, to the Atlantic Ocean. The English Channel, the Irish Channel and most of the North Sea were dry land, mainly because sea level was approximately 120 m (390 ft) lower than today.</t>
  </si>
  <si>
    <t>Prior to the arrival of the French, the area now known as Jacksonville was previously inhabited by what people?</t>
  </si>
  <si>
    <t>Paleoproterozoic</t>
  </si>
  <si>
    <t>Variable lymphocyte receptors</t>
  </si>
  <si>
    <t>What type of network does SITA HLN not use?</t>
  </si>
  <si>
    <t>expansion</t>
  </si>
  <si>
    <t>Who do no jurisdictions say can give scheduled drugs to the public?</t>
  </si>
  <si>
    <t>prefabricated</t>
  </si>
  <si>
    <t>1990s</t>
  </si>
  <si>
    <t>State Route 99</t>
  </si>
  <si>
    <t>Wankel</t>
  </si>
  <si>
    <t>What type of fire killed the Apollo 1 crew?</t>
  </si>
  <si>
    <t>allowed to worship freely</t>
  </si>
  <si>
    <t>the Iroquois Six Nations</t>
  </si>
  <si>
    <t>What political response wasn't convening in June/July 1754?</t>
  </si>
  <si>
    <t>created</t>
  </si>
  <si>
    <t>lower price models such as the Chevrolet Bel Air, and Ford Galaxie 500</t>
  </si>
  <si>
    <t>steeper tax progressivity</t>
  </si>
  <si>
    <t xml:space="preserve"> What non-dynasty came before the Yuan?</t>
  </si>
  <si>
    <t>What is the vast disparities in wealth attributed to by Socialists?</t>
  </si>
  <si>
    <t>mathematical by-product</t>
  </si>
  <si>
    <t>Commission v Italy</t>
  </si>
  <si>
    <t>What does the Zachęta National Gallery of Art organize exhibitions of art from?</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</si>
  <si>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</si>
  <si>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What do supporters of Islamism believe their views reflect?</t>
  </si>
  <si>
    <t>Oxygen toxicity to the lungs and central nervous system</t>
  </si>
  <si>
    <t>Newton's First</t>
  </si>
  <si>
    <t>enhanced transit infrastructure, possible shuttles open to the public, and park space which will also be publicly accessible.</t>
  </si>
  <si>
    <t>Braddock (with George Washington as one of his aides) led about 1,500 army troops and provincial militia on an expedition in June 1755 to take Fort Duquesne. The expedition was a disaster. It was attacked by French and Indian soldiers ambushing them from up in trees and behind logs. Braddock called for a retreat. He was killed. Approximately 1,000 British soldiers were killed or injured. The remaining 500 British troops, led by George Washington, retreated to Virginia. Two future opponents in the American Revolutionary War, Washington and Thomas Gage, played key roles in organizing the retreat.</t>
  </si>
  <si>
    <t>How many valves did the Rumford engine use?</t>
  </si>
  <si>
    <t>What is the system of many biological structures and processes that protect an organism from cold?</t>
  </si>
  <si>
    <t>preventing it from being cut down</t>
  </si>
  <si>
    <t>Finsteraarhorn</t>
  </si>
  <si>
    <t>no revising chamber</t>
  </si>
  <si>
    <t>How did france differ from Britain in managing its colonies?</t>
  </si>
  <si>
    <t>What was iron found to be made mostly of?</t>
  </si>
  <si>
    <t>What does it mean when a harmonic series diverges?</t>
  </si>
  <si>
    <t>Decision problems</t>
  </si>
  <si>
    <t>How many vineyards are located in the "the Romantic Rhine"?</t>
  </si>
  <si>
    <t>pressure to reduce costs and maximize profits</t>
  </si>
  <si>
    <t>Telstra started what in the early 1980s?</t>
  </si>
  <si>
    <t>Luxury homes were built on what corner?</t>
  </si>
  <si>
    <t>What case complexity is represented when each pivoting divides the list in thirds, also needing O(n log n) time?</t>
  </si>
  <si>
    <t>Which newspaper defined southern California?</t>
  </si>
  <si>
    <t>Who created assessments that were found to have substantial errors?</t>
  </si>
  <si>
    <t xml:space="preserve"> Where was the Song dynasty's capital?</t>
  </si>
  <si>
    <t>nonviolent resistance</t>
  </si>
  <si>
    <t>What is the main judicial body of the EU?</t>
  </si>
  <si>
    <t>What will the output be for a member of the language of a decision problem?</t>
  </si>
  <si>
    <t>Astra's satellites</t>
  </si>
  <si>
    <t>There are fifteen fraternities and seven sororities at the University of Chicago, as well as one co-ed community service fraternity, Alpha Phi Omega. Four of the sororities are members of the National Panhellenic Conference, and ten of the fraternities form the University of Chicago Interfraternity Council. In 2002, the Associate Director of Student Activities estimated that 8–10 percent of undergraduates were members of fraternities or sororities. The student activities office has used similar figures, stating that one in ten undergraduates participate in Greek life.</t>
  </si>
  <si>
    <t>Orientalism, as theorized by Edward Said, refers to how the West developed an imaginative geography of the East. This imaginative geography relies on an essentializing discourse that represents neither the diversity nor the social reality of the East. Rather, by essentializing the East, this discourse uses the idea of place-based identities to create difference and distance between "we" the West and "them" the East, or "here" in the West and "there" in the East. This difference was particularly apparent in textual and visual works of early European studies of the Orient that positioned the East as irrational and backward in opposition to the rational and progressive West. Defining the East as a negative vision of itself, as its inferior, not only increased the West’s sense of self, but also was a way of ordering the East and making it known to the West so that it could be dominated and controlled. The discourse of Orientalism therefore served as an ideological justification of early Western imperialism, as it formed a body of knowledge and ideas that rationalized social, cultural, political, and economic control of other territories.</t>
  </si>
  <si>
    <t>How long has the concept of legal certainty been recognized as one of the general principles by the EU law?</t>
  </si>
  <si>
    <t>What equilibrium occurs in fluctuating velocity motion?</t>
  </si>
  <si>
    <t xml:space="preserve"> When was Phags-pa script destroyed?</t>
  </si>
  <si>
    <t>Tibetan Buddhism</t>
  </si>
  <si>
    <t>How many tons of live plants were found to live in one square kilometer of the Amazon rainforest in 1999?</t>
  </si>
  <si>
    <t>Imperialism has played an important role in the histories of Japan, Korea, the Assyrian Empire, the Chinese Empire, the Roman Empire, Greece, the Byzantine Empire, the Persian Empire, the Ottoman Empire, Ancient Egypt, the British Empire, India, and many other empires. Imperialism was a basic component to the conquests of Genghis Khan during the Mongol Empire, and of other war-lords. Historically recognized Muslim empires number in the dozens. Sub-Saharan Africa has also featured dozens of empires that predate the European colonial era, for example the Ethiopian Empire, Oyo Empire, Asante Union, Luba Empire, Lunda Empire, and Mutapa Empire. The Americas during the pre-Columbian era also had large empires such as the Aztec Empire and the Incan Empire.</t>
  </si>
  <si>
    <t>What type of gradients are formed by faulting and other deformational processes?</t>
  </si>
  <si>
    <t>its root word pharma</t>
  </si>
  <si>
    <t>Fulton Street in Downtown Fresno was Fresno's main financial and commercial district before being converted into one of the nation's first pedestrian malls in 1964. Renamed the Fulton Mall, the area contains the densest collection of historic buildings in Fresno. While the Fulton Mall corridor has suffered a sharp decline from its heyday, the Mall includes some of the finest public art pieces in the country, including the only Pierre-Auguste Renoir piece in the world that one can walk up to and touch. Current plans call for the reopening of the Fulton Mall to automobile traffic. The public art pieces will be restored and placed near their current locations and will feature wide sidewalks (up to 28' on the east side of the street) to continue with the pedestrian friendly environment of the district.</t>
  </si>
  <si>
    <t>2,290 m3/s</t>
  </si>
  <si>
    <t>clinical pharmacists</t>
  </si>
  <si>
    <t>How much of the greenhouse effect is due to carbon dioxide?</t>
  </si>
  <si>
    <t>What reconstructions supported the 1999 paper's information?</t>
  </si>
  <si>
    <t>How were leaders back in Europe feeling about news from Celeron expedition?</t>
  </si>
  <si>
    <t xml:space="preserve">What did vBNS do </t>
  </si>
  <si>
    <t>What is Warsaw's economy characterized by?</t>
  </si>
  <si>
    <t>Colonel Monckton</t>
  </si>
  <si>
    <t>How long was the Southern Pacific line?</t>
  </si>
  <si>
    <t>What were requests made from British?</t>
  </si>
  <si>
    <t>Where were several Norman mercenary familes originate from?</t>
  </si>
  <si>
    <t>Egyptians against the British occupation in the 1919 Revolution.</t>
  </si>
  <si>
    <t>Most imperialism was carried out using which method of transport?</t>
  </si>
  <si>
    <t>xenoliths</t>
  </si>
  <si>
    <t>Changes to what have the support of scientific evidence?</t>
  </si>
  <si>
    <t>the adaptive immune system</t>
  </si>
  <si>
    <t>What tracts does commensal flora help pathogens thrive in?</t>
  </si>
  <si>
    <t>1950s through the 1970s</t>
  </si>
  <si>
    <t>the Cape of Good Hope</t>
  </si>
  <si>
    <t>dimensional constant</t>
  </si>
  <si>
    <t>What year was the University of Warsaw established?</t>
  </si>
  <si>
    <t>Where did the residents of Antioch flee to due to the plague?</t>
  </si>
  <si>
    <t>Why did the university eventually leave the conference?</t>
  </si>
  <si>
    <t>How effective was the military use of the "Afghan Arabs"?</t>
  </si>
  <si>
    <t>months</t>
  </si>
  <si>
    <t>connection-oriented operations. But X.25 does it at the network layer of the OSI Model. Frame Relay does it at level two, the data link layer</t>
  </si>
  <si>
    <t>Andes Mountains</t>
  </si>
  <si>
    <t>How is admission to the Early Action program characterized?</t>
  </si>
  <si>
    <t>What Major Soccer League teams played in Los Angeles in 2014?</t>
  </si>
  <si>
    <t>Imperialism is most often associated with which sovereignty?</t>
  </si>
  <si>
    <t>the Ethiopian Empire</t>
  </si>
  <si>
    <t>Who did the attacks resonate most with?</t>
  </si>
  <si>
    <t>What concept is frequently used to define complexity classes?</t>
  </si>
  <si>
    <t>The abnormal force is responsible for the structural integrity of what?</t>
  </si>
  <si>
    <t>internal canal network under the comb rows</t>
  </si>
  <si>
    <t>How many contributing authors does an IPCC report chapter have?</t>
  </si>
  <si>
    <t>The university agreed to grant a degree to any graduate of affiliate schoos that did what?</t>
  </si>
  <si>
    <t>Philippines</t>
  </si>
  <si>
    <t>October 2010</t>
  </si>
  <si>
    <t>How many of the six total packages available to broadcasters did Setanta give away?</t>
  </si>
  <si>
    <t>spiritus nitroaereus</t>
  </si>
  <si>
    <t>Where are the streams the Rhine captured?</t>
  </si>
  <si>
    <t xml:space="preserve"> Who didn't the Mongols send to Bukhara as administrators?</t>
  </si>
  <si>
    <t>Israelis</t>
  </si>
  <si>
    <t>the United States Census Bureau</t>
  </si>
  <si>
    <t>What kingdom annexed Duchy in 1796?</t>
  </si>
  <si>
    <t>What is least important complexity class of counting problems?</t>
  </si>
  <si>
    <t>What is the name of the river that is completely contained inside Jacksonville?</t>
  </si>
  <si>
    <t>What sate are things inside of a moving vehicle as seen by a  person inside the vehicle?</t>
  </si>
  <si>
    <t>potential drug interactions, adverse drug reactions, and assess patient drug allergies</t>
  </si>
  <si>
    <t xml:space="preserve">The presence or absence of what can be used to determine the relative age of the formations in which they are found? </t>
  </si>
  <si>
    <t>What was the name of Bohemond's nephew?</t>
  </si>
  <si>
    <t xml:space="preserve"> What Chinese era name did Kublai reject?</t>
  </si>
  <si>
    <t>The Muslim Brotherhood's competence does not compare against what type of local governments?</t>
  </si>
  <si>
    <t>To what is 50 kilopascals equal?</t>
  </si>
  <si>
    <t>66 million years</t>
  </si>
  <si>
    <t>relatively little work is required to drive the pump,</t>
  </si>
  <si>
    <t xml:space="preserve"> What was the Chinese name of Gou's math?</t>
  </si>
  <si>
    <t>How much money did Francovich not allowed to claim from the Italian government in claims?</t>
  </si>
  <si>
    <t>What yields the non original force?</t>
  </si>
  <si>
    <t>the VA, the Indian Health Service, and NIH</t>
  </si>
  <si>
    <t>antigen from a pathogen</t>
  </si>
  <si>
    <t>ultraviolet radiation</t>
  </si>
  <si>
    <t>Victorian Government</t>
  </si>
  <si>
    <t>How are analog models different than numerical models?</t>
  </si>
  <si>
    <t>Who was not given authority to designate an agenda?</t>
  </si>
  <si>
    <t>degrees of privilege</t>
  </si>
  <si>
    <t>What was the name of du Pont's gunpowder operation?</t>
  </si>
  <si>
    <t>Lake Überlingen</t>
  </si>
  <si>
    <t>Earth must be much older than had previously been supposed</t>
  </si>
  <si>
    <t>Taliban</t>
  </si>
  <si>
    <t>How long did the Ice Ages last?</t>
  </si>
  <si>
    <t>balance of parties across Parliament</t>
  </si>
  <si>
    <t>Maria Fold and Thrust Belt</t>
  </si>
  <si>
    <t>hydrocarbon</t>
  </si>
  <si>
    <t>a customs union</t>
  </si>
  <si>
    <t>energy</t>
  </si>
  <si>
    <t>Name a luxury division of Toyota.</t>
  </si>
  <si>
    <t>SurfClassic</t>
  </si>
  <si>
    <t>What type of issues are members typically allowed to vote as they please?</t>
  </si>
  <si>
    <t>Buckland Valley near Bright</t>
  </si>
  <si>
    <t>What does the government provide for students turned away from priority courses?</t>
  </si>
  <si>
    <t>According to Wilson's theorem, what factorial must be divisible by n if some integer n &gt; 4 is to be considered composite?</t>
  </si>
  <si>
    <t>three, later four</t>
  </si>
  <si>
    <t>What kind of experiments of rock deformation do structural geologists perform?</t>
  </si>
  <si>
    <t>What force acted on bodies to retard their velocity?</t>
  </si>
  <si>
    <t>Combustion is caused by an oxidant and a fuel. What role does oxygen play in combustion?</t>
  </si>
  <si>
    <t>In what year was the school formed?</t>
  </si>
  <si>
    <t>Who separated a number of earlier theories into a set of 20 scalar equations?</t>
  </si>
  <si>
    <t>the immune system</t>
  </si>
  <si>
    <t>When was the second Huguenot rebellion?</t>
  </si>
  <si>
    <t>jail solidarity</t>
  </si>
  <si>
    <t>In what year was the University of Maynard incorporated?</t>
  </si>
  <si>
    <t>How was france the same as Britain in managing its colonies?</t>
  </si>
  <si>
    <t>A decade after the 1973</t>
  </si>
  <si>
    <t>Where did the Huguenots land in New York originally?</t>
  </si>
  <si>
    <t>phagosome</t>
  </si>
  <si>
    <t>What is the total cost of attendance in 2012-13?</t>
  </si>
  <si>
    <t>What governing body appoints commissioners and the board of American Central Bank?</t>
  </si>
  <si>
    <t>Whose value was know in Newton's life?</t>
  </si>
  <si>
    <t>sea and trade routes</t>
  </si>
  <si>
    <t>What gives sedimentary rock its characteristic fabric?</t>
  </si>
  <si>
    <t>Compared to the rest of Florida, how does Jacksonville's Filipino population rank?</t>
  </si>
  <si>
    <t>What is not a cause of tumor antigens?</t>
  </si>
  <si>
    <t>Since the 1970s</t>
  </si>
  <si>
    <t>1891</t>
  </si>
  <si>
    <t>What establishments have been around since 1990?</t>
  </si>
  <si>
    <t>3,600</t>
  </si>
  <si>
    <t>What is another name for the Yosemite Freeway?</t>
  </si>
  <si>
    <t>About what year was the vacuum engine developed?</t>
  </si>
  <si>
    <t>public high schools lost their accreditation</t>
  </si>
  <si>
    <t>What effect does trade with richer countries have on the workers in poorer countries?</t>
  </si>
  <si>
    <t>Jean Ribault</t>
  </si>
  <si>
    <t xml:space="preserve">What happened on October 6, 1973 with Syria and Egypt? </t>
  </si>
  <si>
    <t>What type of person can not be attributed civil disobedience?</t>
  </si>
  <si>
    <t>major business</t>
  </si>
  <si>
    <t>British Empire</t>
  </si>
  <si>
    <t>What space-time path is seen as a curved line in space?</t>
  </si>
  <si>
    <t xml:space="preserve">According to geographic scholars under colonizing empires, the world could be split into climatic zones. These scholars believed that Northern Europe and the Mid-Atlantic temperate climate produced a hard-working, moral, and upstanding human being. Alternatively, tropical climates yielded lazy attitudes, sexual promiscuity, exotic culture, and moral degeneracy. The people of these climates were believed to be in need of guidance and intervention from the European empire to aid in the governing of a more evolved social structure; they were seen as incapable of such a feat. Similarly, orientalism is a view of a people based on their geographical location. </t>
  </si>
  <si>
    <t>Who was appointed as second in command to Lor Loudoun in 1765?</t>
  </si>
  <si>
    <t>Who was part of the case with Wisconsin in 1976?</t>
  </si>
  <si>
    <t>Lagos and Quiberon Bay</t>
  </si>
  <si>
    <t>Iran</t>
  </si>
  <si>
    <t>Northern Chinese</t>
  </si>
  <si>
    <t>survival</t>
  </si>
  <si>
    <t>farm tractors</t>
  </si>
  <si>
    <t>What countries use a blue stylized A to signify pharmacy?</t>
  </si>
  <si>
    <t>Levels of what things are used to determine emission factors?</t>
  </si>
  <si>
    <t>can include arbitrarily many instances of 1 in any factorization</t>
  </si>
  <si>
    <t xml:space="preserve">What were X.25 and Frame relay used for </t>
  </si>
  <si>
    <t>growing quickly</t>
  </si>
  <si>
    <t>local</t>
  </si>
  <si>
    <t>Which theory states that slow geological processes are still occurring today, and have occurred throughout Earth's history?</t>
  </si>
  <si>
    <t>pressure terms associated with forces that act normal to the cross-sectional area (the matrix diagonals of the tensor) as well as shear terms</t>
  </si>
  <si>
    <t>What type of hypersensitivity is associated with allergies?</t>
  </si>
  <si>
    <t>Newton's First Law</t>
  </si>
  <si>
    <t>the Gini index</t>
  </si>
  <si>
    <t>The concept of prime number is so important that it has been generalized in different ways in various branches of mathematics. Generally, "prime" indicates minimality or indecomposability, in an appropriate sense. For example, the prime field is the smallest subfield of a field F containing both 0 and 1. It is either Q or the finite field with p elements, whence the name. Often a second, additional meaning is intended by using the word prime, namely that any object can be, essentially uniquely, decomposed into its prime components. For example, in knot theory, a prime knot is a knot that is indecomposable in the sense that it cannot be written as the knot sum of two nontrivial knots. Any knot can be uniquely expressed as a connected sum of prime knots. Prime models and prime 3-manifolds are other examples of this type.</t>
  </si>
  <si>
    <t>Is the output of a functional problem typically characterized by a simple or complex answer?</t>
  </si>
  <si>
    <t>1082</t>
  </si>
  <si>
    <t>What does Syria sell refined oil for to the middle east?</t>
  </si>
  <si>
    <t>What is the term for a hyperactive immune system that attacks normal tissues?</t>
  </si>
  <si>
    <t>18% higher</t>
  </si>
  <si>
    <t>How many seats are in the debating chamber?</t>
  </si>
  <si>
    <t>What approach did Oppenheimer advocate?</t>
  </si>
  <si>
    <t>What can a simultaneous hermaphrodite do?</t>
  </si>
  <si>
    <t>prevent the installation of pagan images in the Temple in Jerusalem</t>
  </si>
  <si>
    <t>decline in hormone levels with age</t>
  </si>
  <si>
    <t>equal in magnitude</t>
  </si>
  <si>
    <t>Who governs Nobel Prize central bank?</t>
  </si>
  <si>
    <t>missing self</t>
  </si>
  <si>
    <t>nationwide network</t>
  </si>
  <si>
    <t>areas controlled by Russia in 1914</t>
  </si>
  <si>
    <t>capacity as public official</t>
  </si>
  <si>
    <t>Chief Hendrick</t>
  </si>
  <si>
    <t>The term imperialism has been applied to western countries, and which eastern county?</t>
  </si>
  <si>
    <t>What device did Alan Turning invent in 1974?</t>
  </si>
  <si>
    <t xml:space="preserve"> What were European countries not doing during the 1700's?</t>
  </si>
  <si>
    <t>$105 billion</t>
  </si>
  <si>
    <t>What were later Yuan emperors interested in?</t>
  </si>
  <si>
    <t>Newton's First Law of Motion states that objects continue to move in a state of constant velocity unless acted upon by an external net force or resultant force. This law is an extension of Galileo's insight that constant velocity was associated with a lack of net force (see a more detailed description of this below). Newton proposed that every object with mass has an innate inertia that functions as the fundamental equilibrium "natural state" in place of the Aristotelian idea of the "natural state of rest". That is, the first law contradicts the intuitive Aristotelian belief that a net force is required to keep an object moving with constant velocity. By making rest physically indistinguishable from non-zero constant velocity, Newton's First Law directly connects inertia with the concept of relative velocities. Specifically, in systems where objects are moving with different velocities, it is impossible to determine which object is "in motion" and which object is "at rest". In other words, to phrase matters more technically, the laws of physics are the same in every inertial frame of reference, that is, in all frames related by a Galilean transformation.</t>
  </si>
  <si>
    <t>In what year did a tropical storm cause a four day loss of power to Jacksonville?</t>
  </si>
  <si>
    <t>Paul Samuelson</t>
  </si>
  <si>
    <t>When some species, including Bathyctena chuni, Euplokamis stationis and Eurhamphaea vexilligera, are disturbed, they produce secretions (ink) that luminesce at much the same wavelengths as their bodies. Juveniles will luminesce more brightly in relation to their body size than adults, whose luminescence is diffused over their bodies. Detailed statistical investigation has not suggested the function of ctenophores' bioluminescence nor produced any correlation between its exact color and any aspect of the animals' environments, such as depth or whether they live in coastal or mid-ocean waters.</t>
  </si>
  <si>
    <t>As of August 2010, Victoria had 1,548 public schools, 489 Catholic schools and 214 independent schools. Just under 540,800 students were enrolled in public schools, and just over 311,800 in private schools. Over 61 per cent of private students attend Catholic schools. More than 462,000 students were enrolled in primary schools and more than 390,000 in secondary schools. Retention rates for the final two years of secondary school were 77 per cent for public school students and 90 per cent for private school students. Victoria has about 63,519 full-time teachers.</t>
  </si>
  <si>
    <t>What exist both in quadratic equations and integers?</t>
  </si>
  <si>
    <t>What is name of the function used for the largest integer not greater than the number in question?</t>
  </si>
  <si>
    <t>embroidery</t>
  </si>
  <si>
    <t>The IPCC concentrates its activities on the tasks allotted to it by the relevant WMO Executive Council and UNEP Governing Council resolutions and decisions as well as on actions in support of the UNFCCC process. While the preparation of the assessment reports is a major IPCC function, it also supports other activities, such as the Data Distribution Centre and the National Greenhouse Gas Inventories Programme, required under the UNFCCC. This involves publishing default emission factors, which are factors used to derive emissions estimates based on the levels of fuel consumption, industrial production and so on.</t>
  </si>
  <si>
    <t>CD40</t>
  </si>
  <si>
    <t>the Rip</t>
  </si>
  <si>
    <t>How can graphs be encoded indirectly?</t>
  </si>
  <si>
    <t>What decreased in number between 1984 and 1991?</t>
  </si>
  <si>
    <t>What UN organizations established the IPCC?</t>
  </si>
  <si>
    <t>When did the European Council task an entity with drafting a European Charter of Human Rights?</t>
  </si>
  <si>
    <t>Although it is generally accepted that EU law has primacy, not all EU laws give citizens standing to bring claims: that is, not all EU laws have "direct effect". In Van Gend en Loos v Nederlandse Administratie der Belastingen it was held that the provisions of the Treaties (and EU Regulations) are directly effective, if they are (1) clear and unambiguous (2) unconditional, and (3) did not require EU or national authorities to take further action to implement them. Van Gend en Loos, a postal company, claimed that what is now TFEU article 30 prevented the Dutch Customs Authorities charging tariffs, when it imported urea-formaldehyde plastics from Germany to the Netherlands. After a Dutch court made a reference, the Court of Justice held that even though the Treaties did not "expressly" confer a right on citizens or companies to bring claims, they could do so. Historically, international treaties had only allowed states to have legal claims for their enforcement, but the Court of Justice proclaimed "the Community constitutes a new legal order of international law". Because article 30 clearly, unconditionally and immediately stated that no quantitative restrictions could be placed on trade, without a good justification, Van Gend en Loos could recover the money it paid for the tariff. EU Regulations are the same as Treaty provisions in this sense, because as TFEU article 288 states, they are ‘directly applicable in all Member States’. Moreover, member states comes under a duty not to replicate Regulations in their own law, in order to prevent confusion. For instance, in Commission v Italy the Court of Justice held that Italy had breached a duty under the Treaties, both by failing to operate a scheme to pay farmers a premium to slaughter cows (to reduce dairy overproduction), and by reproducing the rules in a decree with various additions. "Regulations," held the Court of Justice, "come into force solely by virtue of their publication" and implementation could have the effect of "jeopardizing their simultaneous and uniform application in the whole of the Union." On the other hand, some Regulations may themselves expressly require implementing measures, in which case those specific rules should be followed.</t>
  </si>
  <si>
    <t>Who refused to endorse the IPCC?</t>
  </si>
  <si>
    <t>Kuviasungnerk/Kangeiko</t>
  </si>
  <si>
    <t>How did Saint-Pierre respond to Washington?</t>
  </si>
  <si>
    <t>In 2001, 16 national science academies issued a joint statement on climate change. The joint statement was made by the Australian Academy of Science, the Royal Flemish Academy of Belgium for Science and the Arts, the Brazilian Academy of Sciences, the Royal Society of Canada, the Caribbean Academy of Sciences, the Chinese Academy of Sciences, the French Academy of Sciences, the German Academy of Natural Scientists Leopoldina, the Indian National Science Academy, the Indonesian Academy of Sciences, the Royal Irish Academy, Accademia Nazionale dei Lincei (Italy), the Academy of Sciences Malaysia, the Academy Council of the Royal Society of New Zealand, the Royal Swedish Academy of Sciences, and the Royal Society (UK). The statement, also published as an editorial in the journal Science, stated "we support the [TAR's] conclusion that it is at least 90% certain that temperatures will continue to rise, with average global surface temperature projected to increase by between 1.4 and 5.8 °C above 1990 levels by 2100". The TAR has also been endorsed by the Canadian Foundation for Climate and Atmospheric Sciences, Canadian Meteorological and Oceanographic Society, and European Geosciences Union (refer to "Endorsements of the IPCC").</t>
  </si>
  <si>
    <t>static friction</t>
  </si>
  <si>
    <t>Who lost money?</t>
  </si>
  <si>
    <t>municipal building inspector</t>
  </si>
  <si>
    <t>How long did Ms Kucukdeveci work for Swedex Gmbh &amp; Co KG before she was dismissed?</t>
  </si>
  <si>
    <t>What machine does not define BQP or QMA?</t>
  </si>
  <si>
    <t>What is not possible to transfer from one person to another artificially?</t>
  </si>
  <si>
    <t>10</t>
  </si>
  <si>
    <t>bans</t>
  </si>
  <si>
    <t>When did Warsaw Palace start to rebuild?</t>
  </si>
  <si>
    <t>an international data communications network headquartered in San Jose, CA</t>
  </si>
  <si>
    <t>Hence, 6 is not prime. The image at the right illustrates that 12 is not prime: 12 = 3 · 4. No even number greater than 2 is prime because by definition, any such number n has at least three distinct divisors, namely 1, 2, and n. This implies that n is not prime. Accordingly, the term odd prime refers to any prime number greater than 2. Similarly, when written in the usual decimal system, all prime numbers larger than 5 end in 1, 3, 7, or 9, since even numbers are multiples of 2 and numbers ending in 0 or 5 are multiples of 5.</t>
  </si>
  <si>
    <t>other parts</t>
  </si>
  <si>
    <t>When did Great Britain sell Australia?</t>
  </si>
  <si>
    <t>What did the Hamas charter uncompromisingly encourage?</t>
  </si>
  <si>
    <t>survived many wars, conflicts and invasions</t>
  </si>
  <si>
    <t>What are some examples of legal considerations for an addition?</t>
  </si>
  <si>
    <t>Gilded Age</t>
  </si>
  <si>
    <t>Of the 129 MSPs, 73 are elected to represent first past the post constituencies and are known as "Constituency MSPs". Voters choose one member to represent the constituency, and the member with most votes is returned as a constituency MSP. The 73 Scottish Parliament constituencies shared the same boundaries as the UK Parliament constituencies in Scotland, prior to the 2005 reduction in the number of Scottish MPs, with the exception of Orkney and Shetland which each return their own constituency MSP. Currently, the average Scottish Parliament constituency comprises 55,000 electors. Given the geographical distribution of population in Scotland, this results in constituencies of a smaller area in the Central Lowlands, where the bulk of Scotland's population live, and much larger constituency areas in the north and west of the country, which have a low population density. The island archipelagos of Orkney, Shetland and the Western Isles comprise a much smaller number of electors, due to their dispersed population and distance from the Scottish Parliament in Edinburgh. If a Constituency MSP resigns from Parliament, this triggers a by-election in his or her constituency, where a replacement MSP is returned from one of the parties by the plurality system.</t>
  </si>
  <si>
    <t>William Smilie</t>
  </si>
  <si>
    <t>the Scottish Parliament</t>
  </si>
  <si>
    <t>standardized interface</t>
  </si>
  <si>
    <t>In what year did Boleslaw become the official capital of the Masovian Duchy?</t>
  </si>
  <si>
    <t>Who is Miasta has the power of legislative action?</t>
  </si>
  <si>
    <t>How much larger would cicada populations be if predator outbreaks occurred at 14 and 15 year intervals?</t>
  </si>
  <si>
    <t>How much did the gross agricultural product increase since 2004?</t>
  </si>
  <si>
    <t>62,528</t>
  </si>
  <si>
    <t>How much resources were French placing in North America?</t>
  </si>
  <si>
    <t>Annam</t>
  </si>
  <si>
    <t>What element did Gay-Lussac and von Humboldt discover was present in twice the amount of oxygen in water?</t>
  </si>
  <si>
    <t xml:space="preserve"> What aspects of life does Islamism not seek to integrate itself into?</t>
  </si>
  <si>
    <t>in modern times, become utterly debased</t>
  </si>
  <si>
    <t>academic</t>
  </si>
  <si>
    <t>all other animals</t>
  </si>
  <si>
    <t>Why would rampant violence prevent people from going to work?</t>
  </si>
  <si>
    <t>spiritus nitroaereus or just nitroaereus</t>
  </si>
  <si>
    <t>What school model is Sweden notable for?</t>
  </si>
  <si>
    <t>rely on osmotic pressure</t>
  </si>
  <si>
    <t>Where did Maududi's books place Islam?</t>
  </si>
  <si>
    <t>What philosophies underlay Chinese medicine?</t>
  </si>
  <si>
    <t>The Ottoman empire controlled territory on three continents, Africa, Asia and which other?</t>
  </si>
  <si>
    <t>What is a reason for the movement to illegalize importing medicines from other countries?</t>
  </si>
  <si>
    <t>Mediterranean geography</t>
  </si>
  <si>
    <t>optimisation of a drug treatment</t>
  </si>
  <si>
    <t>What did the people of Rome accept as the only fertile plain?</t>
  </si>
  <si>
    <t>What does the Sieve of Euclid do?</t>
  </si>
  <si>
    <t>Central Secretariat</t>
  </si>
  <si>
    <t>National Type</t>
  </si>
  <si>
    <t>What did the Court of Justice rule fell under TFEU article 34?</t>
  </si>
  <si>
    <t>1.6 kilometres</t>
  </si>
  <si>
    <t>What is the theory of evolution based on?</t>
  </si>
  <si>
    <t>Which parliament has no ability to amend the terms of reference of the Scottish Parliament?</t>
  </si>
  <si>
    <t>For the 2012–13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</si>
  <si>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What system has no impact on income inequality?</t>
  </si>
  <si>
    <t>What is covalent bond a result of?</t>
  </si>
  <si>
    <t>St. Lawrence and Mississippi watersheds, did business with local tribes, and often married Indian women</t>
  </si>
  <si>
    <t>Newton's</t>
  </si>
  <si>
    <t>Dating of lava and volcanic ash layers found within a stratigraphic sequence</t>
  </si>
  <si>
    <t>Threatening government officials</t>
  </si>
  <si>
    <t>smaller assessments of special problems instead of the large scale approach</t>
  </si>
  <si>
    <t>How is dioxygen most simply described?</t>
  </si>
  <si>
    <t>Initially built with three layers, it later (1982) evolved into a seven-layer OSI-compliant networking protocol</t>
  </si>
  <si>
    <t>How many same-sex partnerships without kids were there?</t>
  </si>
  <si>
    <t>liquid phase</t>
  </si>
  <si>
    <t>What are examples of differentiated effector cells that peak during wake periods?</t>
  </si>
  <si>
    <t>Why do polar oceans support reduced amounts of life?</t>
  </si>
  <si>
    <t>Advanced Steam</t>
  </si>
  <si>
    <t>What branch of theoretical computer science deals with broadly classifying computational problems by difficulty and class of relationship?</t>
  </si>
  <si>
    <t>One of the most famous people born in Warsaw was Maria Skłodowska-Curie, who achieved international recognition for her research on radioactivity and was the first female recipient of the Nobel Prize. Famous musicians include Władysław Szpilman and Frédéric Chopin. Though Chopin was born in the village of Żelazowa Wola, about 60 km (37 mi) from Warsaw, he moved to the city with his family when he was seven months old. Casimir Pulaski, a Polish general and hero of the American Revolutionary War, was born here in 1745.</t>
  </si>
  <si>
    <t>Computer Science Network</t>
  </si>
  <si>
    <t>the Solimões Basin</t>
  </si>
  <si>
    <t>To what trust does the IPCC give funding?</t>
  </si>
  <si>
    <t>substantially increasing the atmospheric concentrations of the greenhouse gases</t>
  </si>
  <si>
    <t>What do computers analyze in the lab?</t>
  </si>
  <si>
    <t>By August 2010 how many public schools did Victoria have?</t>
  </si>
  <si>
    <t>What policy did Stalin implement shortly after Lenin's Death?</t>
  </si>
  <si>
    <t>How many passengers can the Ford Fiesta accommodate?</t>
  </si>
  <si>
    <t>Most antibiotics target bacteria and don't affect what class of organisms?</t>
  </si>
  <si>
    <t>When was Warsaw Palace completely razed to the ground by bombing raids?</t>
  </si>
  <si>
    <t>What do astronauts experience when in free-fall orbit around Saturn?</t>
  </si>
  <si>
    <t>put on a bus and taken to the Nye County seat of Tonopah, Nevada, and arraigned for trial before the local Justice of the Peace</t>
  </si>
  <si>
    <t>European_Union_law</t>
  </si>
  <si>
    <t>In what year did the Wars of Religion start?</t>
  </si>
  <si>
    <t>In addition to recirculating water, what do condensers do?</t>
  </si>
  <si>
    <t>a handshake between the communicating parties before any user packets are transmitted</t>
  </si>
  <si>
    <t>What are the exchanged particles predicted by the standard Model?</t>
  </si>
  <si>
    <t>The normal force is due to repulsive forces of interaction between atoms at close contact. When their electron clouds overlap, Pauli repulsion (due to fermionic nature of electrons) follows resulting in the force that acts in a direction normal to the surface interface between two objects.:93 The normal force, for example, is responsible for the structural integrity of tables and floors as well as being the force that responds whenever an external force pushes on a solid object. An example of the normal force in action is the impact force on an object crashing into an immobile surface.</t>
  </si>
  <si>
    <t>Ted Heath</t>
  </si>
  <si>
    <t>Oxygen is released in cellular respiration by?</t>
  </si>
  <si>
    <t>isolated</t>
  </si>
  <si>
    <t>What is Europe's smallest inland port?</t>
  </si>
  <si>
    <t>Where did Ibna Sina believe the origin of geology science was?</t>
  </si>
  <si>
    <t>USSR's</t>
  </si>
  <si>
    <t>recycled continuously</t>
  </si>
  <si>
    <t>France Antarctique</t>
  </si>
  <si>
    <t>Which city is the most populous in California?</t>
  </si>
  <si>
    <t>What compiles and reports on data about the size of design and construction companies?</t>
  </si>
  <si>
    <t>between the modern Baden and Württemberg</t>
  </si>
  <si>
    <t>How many troops were defeated for British in BAttle of Carillon?</t>
  </si>
  <si>
    <t>Nederrijn at Angeren</t>
  </si>
  <si>
    <t>What was the Yuan's plastic money called?</t>
  </si>
  <si>
    <t>What is the approximate condenser temperature in a turbine?</t>
  </si>
  <si>
    <t>In what year were there 5751 Filipinos in Jacksonville</t>
  </si>
  <si>
    <t>Which TFEU article states that states are exempt from infringing on rights of establishment when they exercise official authority?</t>
  </si>
  <si>
    <t>Which successor to Henry resumed persecution of the Huguenots?</t>
  </si>
  <si>
    <t xml:space="preserve"> How ineffective was the military use of the "Afghan Arabs"?</t>
  </si>
  <si>
    <t>$159 million</t>
  </si>
  <si>
    <t>What religion was John Calvin?</t>
  </si>
  <si>
    <t>What is the Rhine Gorge listed as?</t>
  </si>
  <si>
    <t>BPP, ZPP and RP</t>
  </si>
  <si>
    <t>mercuric oxide (HgO)</t>
  </si>
  <si>
    <t>The IPCC process on climate change and its efficiency and success has been compared with dealings with other environmental challenges (compare Ozone depletion and global warming). In case of the Ozone depletion global regulation based on the Montreal Protocol has been successful, in case of Climate Change, the Kyoto Protocol failed. The Ozone case was used to assess the efficiency of the IPCC process. The lockstep situation of the IPCC is having built a broad science consensus while states and governments still follow different, if not opposing goals. The underlying linear model of policy-making of more knowledge we have, the better the political response will be is being doubted.</t>
  </si>
  <si>
    <t>438,000 species</t>
  </si>
  <si>
    <t>dampening the fire</t>
  </si>
  <si>
    <t>Antibody-dependent hypersensitivity belongs to what class of hypersensitivity?</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</si>
  <si>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</si>
  <si>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doctrine of Satyagraha</t>
  </si>
  <si>
    <t>hundreds</t>
  </si>
  <si>
    <t>Most Platyctenida have oval bodies that are flattened in the oral-aboral direction, with a pair of tentilla-bearing tentacles on the aboral surface. They cling to and creep on surfaces by everting the pharynx and using it as a muscular "foot". All but one of the known platyctenid species lack comb-rows. Platyctenids are usually cryptically colored, live on rocks, algae, or the body surfaces of other invertebrates, and are often revealed by their long tentacles with many sidebranches, seen streaming off the back of the ctenophore into the current.</t>
  </si>
  <si>
    <t>October 16, 1973,</t>
  </si>
  <si>
    <t>monophyletic</t>
  </si>
  <si>
    <t>peroxides, chlorates, nitrates, perchlorates, and dichromates</t>
  </si>
  <si>
    <t xml:space="preserve">How is Packet Switching allocated? </t>
  </si>
  <si>
    <t>What parts of a conventional reciprocating steam engine could be replaced by a pistonless valve gear?</t>
  </si>
  <si>
    <t>Policies which try to control unemployment support economic growth because they reduce what?</t>
  </si>
  <si>
    <t>Where is the western canal regulation of the Rhine?</t>
  </si>
  <si>
    <t>What was the objective of Royal Proclamation of 1736?</t>
  </si>
  <si>
    <t>1.4 times</t>
  </si>
  <si>
    <t>At what angle were the groups of pistons set in relation to one another in a 4-cylinder crank?</t>
  </si>
  <si>
    <t>In the virtual call system, the network guarantees sequenced delivery of data to the host</t>
  </si>
  <si>
    <t>Which University's library system has over 10 millionvolumes?</t>
  </si>
  <si>
    <t>1,294</t>
  </si>
  <si>
    <t>On-line betting was supported by what network frame?</t>
  </si>
  <si>
    <t>When did Barton and Whitfield demand climate research records?</t>
  </si>
  <si>
    <t>What did Harold Wilson call for Israel to do in 1970?</t>
  </si>
  <si>
    <t>How many divisions make up the academics of the university?</t>
  </si>
  <si>
    <t>The innate immune</t>
  </si>
  <si>
    <t>Germanic tribes crossed the Rhine in the Migration period, by the 5th century establishing the kingdoms of Francia on the Lower Rhine, Burgundy on the Upper Rhine and Alemannia on the High Rhine. This "Germanic Heroic Age" is reflected in medieval legend, such as the Nibelungenlied which tells of the hero Siegfried killing a dragon on the Drachenfels (Siebengebirge) ("dragons rock"), near Bonn at the Rhine and of the Burgundians and their court at Worms, at the Rhine and Kriemhild's golden treasure, which was thrown into the Rhine by Hagen.</t>
  </si>
  <si>
    <t>environment in which they lived</t>
  </si>
  <si>
    <t>What suite uses UDP?</t>
  </si>
  <si>
    <t>directly elected Scottish Assembly</t>
  </si>
  <si>
    <t>American attack on Iraq</t>
  </si>
  <si>
    <t>Sir Charles Lyell first published his famous book, Principles of Geology, in 1830. This book, which influenced the thought of Charles Darwin, successfully promoted the doctrine of uniformitarianism. This theory states that slow geological processes have occurred throughout the Earth's history and are still occurring today. In contrast, catastrophism is the theory that Earth's features formed in single, catastrophic events and remained unchanged thereafter. Though Hutton believed in uniformitarianism, the idea was not widely accepted at the time.</t>
  </si>
  <si>
    <t>Gegeen Khan</t>
  </si>
  <si>
    <t>What is a main tributary to the Rhine that goes through Northeastern France and part of Belgium?</t>
  </si>
  <si>
    <t>John Harvard</t>
  </si>
  <si>
    <t>What suffered considerably for Bloc when it had an Eastern economy?</t>
  </si>
  <si>
    <t>What generally does allow citizens to sue other citizens?</t>
  </si>
  <si>
    <t>in committee</t>
  </si>
  <si>
    <t>select their students</t>
  </si>
  <si>
    <t>16th and 17th centuries</t>
  </si>
  <si>
    <t xml:space="preserve"> When was earthenware movable type destroyed?</t>
  </si>
  <si>
    <t>Economist Intelligence Unit</t>
  </si>
  <si>
    <t>What has a stronger effect during sleep deprivation?</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</si>
  <si>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</si>
  <si>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the state</t>
  </si>
  <si>
    <t>How much did Sky bid to win the 4 broadcast pacakges they bought?</t>
  </si>
  <si>
    <t>among states in the US with larger income inequalities</t>
  </si>
  <si>
    <t>Harvard</t>
  </si>
  <si>
    <t>Whenever he encountered British merchants or fur-traders, Céloron informed them of the French claims on the territory and told them to leave.</t>
  </si>
  <si>
    <t>strikes by coal miners and railroad workers</t>
  </si>
  <si>
    <t xml:space="preserve">What major companies are headquartered in Los Angeles? </t>
  </si>
  <si>
    <t>What group needs to decide if they should make a creative plea or not?</t>
  </si>
  <si>
    <t>What immune response is not antigen-specific?</t>
  </si>
  <si>
    <t>How old was Chopin when he moved to Wola with his family?</t>
  </si>
  <si>
    <t>the convenience of the railroad and worried about flooding</t>
  </si>
  <si>
    <t xml:space="preserve"> What illegitimate dynasty came before the Yuan?</t>
  </si>
  <si>
    <t>Who serves as Attorney General as well as top political advisor to the President?</t>
  </si>
  <si>
    <t>What are the Siouan-speaking British?</t>
  </si>
  <si>
    <t>When was the military-political complex reflected upon within the scope of understanding imperialism?</t>
  </si>
  <si>
    <t>Who made experimental measurements on a model steam engine?</t>
  </si>
  <si>
    <t>oscillating cylinder</t>
  </si>
  <si>
    <t>The economy of Victoria is highly diversified: service sectors including financial and property services, health, education, wholesale, retail, hospitality and manufacturing constitute the majority of employment. Victoria's total gross state product (GSP) is ranked second in Australia, although Victoria is ranked fourth in terms of GSP per capita because of its limited mining activity. Culturally, Melbourne is home to a number of museums, art galleries and theatres and is also described as the "sporting capital of Australia". The Melbourne Cricket Ground is the largest stadium in Australia, and the host of the 1956 Summer Olympics and the 2006 Commonwealth Games. The ground is also considered the "spiritual home" of Australian cricket and Australian rules football, and hosts the grand final of the Australian Football League (AFL) each year, usually drawing crowds of over 95,000 people. Victoria includes eight public universities, with the oldest, the University of Melbourne, having been founded in 1853.</t>
  </si>
  <si>
    <t>the d'Hondt method</t>
  </si>
  <si>
    <t>NP-intermediate</t>
  </si>
  <si>
    <t xml:space="preserve"> What wasn't apolitical Islam?</t>
  </si>
  <si>
    <t>to select their students</t>
  </si>
  <si>
    <t>guilty of doing no wrong</t>
  </si>
  <si>
    <t>Who received the first chamber engine patent?</t>
  </si>
  <si>
    <t>at the narrow end</t>
  </si>
  <si>
    <t>secularism</t>
  </si>
  <si>
    <t>saw them as too Chinese</t>
  </si>
  <si>
    <t>explanations are reasonably well supported</t>
  </si>
  <si>
    <t>What does the word Seerhein translate to?</t>
  </si>
  <si>
    <t>three museums.</t>
  </si>
  <si>
    <t>General Ban Ki-moon</t>
  </si>
  <si>
    <t xml:space="preserve">Why is the node requiered to look up </t>
  </si>
  <si>
    <t>they are judged "wrong" by an individual conscience</t>
  </si>
  <si>
    <t>What was one of the countries that had isolated alpine villages?</t>
  </si>
  <si>
    <t>confirming Britain's position as the dominant colonial power in eastern North America</t>
  </si>
  <si>
    <t>Greenland</t>
  </si>
  <si>
    <t>What racial group has increased since 1970?</t>
  </si>
  <si>
    <t>10th and 11th centuries</t>
  </si>
  <si>
    <t>What park covers an area of 76 ha.?</t>
  </si>
  <si>
    <t>In what year was the first known experiments on combustion and air conducted?</t>
  </si>
  <si>
    <t>How much of the student population went to private schools in 1984?</t>
  </si>
  <si>
    <t>What does not often help algorithms solve problems more efficiently?</t>
  </si>
  <si>
    <t>What is one thing ash layers can be used to determine in a crystal lattice?</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</si>
  <si>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</si>
  <si>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Geology</t>
  </si>
  <si>
    <t xml:space="preserve"> What was Tugh's Japanese-style name?</t>
  </si>
  <si>
    <t>Where did the plague originate?</t>
  </si>
  <si>
    <t>How long was the Leon Theatre in operation?</t>
  </si>
  <si>
    <t>placebo</t>
  </si>
  <si>
    <t>Cape Town</t>
  </si>
  <si>
    <t>What are the stages in a compound engine called?</t>
  </si>
  <si>
    <t>How are incomes distributed in Sweden?</t>
  </si>
  <si>
    <t>The Beroida</t>
  </si>
  <si>
    <t>When what are packed together loosely is there not enough lower energy?</t>
  </si>
  <si>
    <t>nominate speakers</t>
  </si>
  <si>
    <t>The graph isomorphism problem</t>
  </si>
  <si>
    <t>How much dust is blown out of the Sahara each year?</t>
  </si>
  <si>
    <t>Odo</t>
  </si>
  <si>
    <t>What is the mortality rate of pneumonic plague?</t>
  </si>
  <si>
    <t>What language other than English has the Scottish Parliament had meetings in?</t>
  </si>
  <si>
    <t>an estimated total of 75,000 to 100,000 people</t>
  </si>
  <si>
    <t>Australian Labor Party</t>
  </si>
  <si>
    <t>teacher's salaries are paid by the State</t>
  </si>
  <si>
    <t>middle period of classical antiquity</t>
  </si>
  <si>
    <t>Where did the discharge from glaciers go in Europe in the last Ice Age?</t>
  </si>
  <si>
    <t>What South African industry descended from Huguenot settlers?</t>
  </si>
  <si>
    <t>signing of the Treaty of Aix-la-Chapelle</t>
  </si>
  <si>
    <t>autoimmune</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</si>
  <si>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</si>
  <si>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Why is giving a defiant speech sometimes more harmful for the individual?</t>
  </si>
  <si>
    <t>tentacles and tentacle sheaths</t>
  </si>
  <si>
    <t>A function problem is an example of what?</t>
  </si>
  <si>
    <t>When was a study published confirming the 2001 IPCC projections?</t>
  </si>
  <si>
    <t>continue worshiping in their Roman Catholic tradition, continued ownership of their property, and the right to remain undisturbed</t>
  </si>
  <si>
    <t>KGPE</t>
  </si>
  <si>
    <t xml:space="preserve">What finite hierarchy implies that the graph isomorphism problem is NP-complete? </t>
  </si>
  <si>
    <t>What are other major fatality causes?</t>
  </si>
  <si>
    <t>Where can ctenophores be found in large amounts?</t>
  </si>
  <si>
    <t>2,000 buildings</t>
  </si>
  <si>
    <t>Ku band</t>
  </si>
  <si>
    <t>Where might the doctor's self-interest be at odds with the patient's self-interest?</t>
  </si>
  <si>
    <t>In what year did John Calvin graduate from the University of Paris?</t>
  </si>
  <si>
    <t>How many people visit the park each day?</t>
  </si>
  <si>
    <t>What cells attack smaller pathogens through contact?</t>
  </si>
  <si>
    <t xml:space="preserve"> Who had no real military power after the Yuan?</t>
  </si>
  <si>
    <t>Who initially started the Wars of Religion?</t>
  </si>
  <si>
    <t>physical barriers</t>
  </si>
  <si>
    <t>killer T cell and the helper T cell</t>
  </si>
  <si>
    <t>Complexity measures</t>
  </si>
  <si>
    <t>Who does the Carnegie Foundation depend on for some aspects of undergraduate education?</t>
  </si>
  <si>
    <t>Who may also submit private bills to Parliament?</t>
  </si>
  <si>
    <t>Where was there a weakness in British supply chain?</t>
  </si>
  <si>
    <t>the outer core and inner core</t>
  </si>
  <si>
    <t xml:space="preserve">In cases with shared medium how is it delivered </t>
  </si>
  <si>
    <t>The term imperialism has never been applied to western countries, and which eastern county?</t>
  </si>
  <si>
    <t>Who claimed that only two inhabitants per square kilometer could be sustained in the rain forest?</t>
  </si>
  <si>
    <t>Before Rollo's arrival, its populations did not differ from Picardy or the Île-de-France, which were considered "Frankish". Earlier Viking settlers had begun arriving in the 880s, but were divided between colonies in the east (Roumois and Pays de Caux) around the low Seine valley and in the west in the Cotentin Peninsula, and were separated by traditional pagii, where the population remained about the same with almost no foreign settlers. Rollo's contingents who raided and ultimately settled Normandy and parts of the Atlantic coast included Danes, Norwegians, Norse–Gaels, Orkney Vikings, possibly Swedes, and Anglo-Danes from the English Danelaw under Norse control.</t>
  </si>
  <si>
    <t>What is the main reason consulting pharmacists are increasingly working directly with patients?</t>
  </si>
  <si>
    <t>12 to 15 million</t>
  </si>
  <si>
    <t>knowing the direction of the forces</t>
  </si>
  <si>
    <t>areas that are being actively deformed</t>
  </si>
  <si>
    <t>What time did a river system develop in the Upper Rhine Graben?</t>
  </si>
  <si>
    <t>an average 182 million</t>
  </si>
  <si>
    <t>If P = NP is unsolved, and reduction is applied to a known NP-complete problem vis a vis Π2 to  Π1, what conclusion can be drawn for Π1?</t>
  </si>
  <si>
    <t>The origin of what would not be fully explained until 1964?</t>
  </si>
  <si>
    <t>the Han Chinese, Khitans, Jurchens, Mongols, and Tibetan Buddhists</t>
  </si>
  <si>
    <t>Who was Ogedei's wife?</t>
  </si>
  <si>
    <t>CEPR</t>
  </si>
  <si>
    <t>Who is eligible to toss their name in the hat to be First Minister?</t>
  </si>
  <si>
    <t>unequal</t>
  </si>
  <si>
    <t>What are three kinds of phagocytes?</t>
  </si>
  <si>
    <t>How successful was the English revised efforts?</t>
  </si>
  <si>
    <t>Zaltbommel</t>
  </si>
  <si>
    <t>Who was iron thought to have a lot of?</t>
  </si>
  <si>
    <t>prices</t>
  </si>
  <si>
    <t>produce both eggs and sperm at the same time</t>
  </si>
  <si>
    <t>What is the area called where one plate subducts under another?</t>
  </si>
  <si>
    <t>in late antiquity</t>
  </si>
  <si>
    <t xml:space="preserve">What was Iran's relationship with the US at this time? </t>
  </si>
  <si>
    <t>(HDTV)</t>
  </si>
  <si>
    <t>What distinction does the Bank of America Tower hold?</t>
  </si>
  <si>
    <t>The plague repeatedly returned to haunt Europe and the Mediterranean throughout the 14th to 17th centuries. According to Biraben, the plague was present somewhere in Europe in every year between 1346 and 1671. The Second Pandemic was particularly widespread in the following years: 1360–63; 1374; 1400; 1438–39; 1456–57; 1464–66; 1481–85; 1500–03; 1518–31; 1544–48; 1563–66; 1573–88; 1596–99; 1602–11; 1623–40; 1644–54; and 1664–67. Subsequent outbreaks, though severe, marked the retreat from most of Europe (18th century) and northern Africa (19th century). According to Geoffrey Parker, "France alone lost almost a million people to the plague in the epidemic of 1628–31."</t>
  </si>
  <si>
    <t>During what period did the Alpine orogeny end?</t>
  </si>
  <si>
    <t>Where were most municipal services concentrated at?</t>
  </si>
  <si>
    <t>During the mid-Eocene, it is believed that the drainage basin of the Amazon was split along the middle of the continent by the Purus Arch.</t>
  </si>
  <si>
    <t>continuing their protest</t>
  </si>
  <si>
    <t>What is not an obligation of a pharmacy filling a prescription?</t>
  </si>
  <si>
    <t>winter of 1973–74</t>
  </si>
  <si>
    <t>What is the approximate condenser temperature in stainless steel?</t>
  </si>
  <si>
    <t>When is the correlation occasionally positive?</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</si>
  <si>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</si>
  <si>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How much percentage of Victoria's land is taken up by consumable crops?</t>
  </si>
  <si>
    <t>The Ottoman Empire was an imperial state that lasted from 1299 to 1923. During the 16th and 17th centuries, in particular at the height of its power under the reign of Suleiman the Magnificent, the Ottoman Empire was a powerful multinational, multilingual empire controlling much of Southeast Europe, Western Asia, the Caucasus, North Africa, and the Horn of Africa. At the beginning of the 17th century the empire contained 32 provinces and numerous vassal states. Some of these were later absorbed into the empire, while others were granted various types of autonomy during the course of centuries.</t>
  </si>
  <si>
    <t>What is the term for closing off rivers that are no longer connected?</t>
  </si>
  <si>
    <t>IPCC chairman</t>
  </si>
  <si>
    <t>Warsaw was occupied by Germany from 4 August 1915 until November 1918. The Allied Armistice terms required in Article 12 that Germany withdraw from areas controlled by Russia in 1914, which included Warsaw. Germany did so, and underground leader Piłsudski returned to Warsaw on 11 November and set up what became the Second Polish Republic, with Warsaw the capital. In the course of the Polish-Bolshevik War of 1920, the huge Battle of Warsaw was fought on the eastern outskirts of the city in which the capital was successfully defended and the Red Army defeated. Poland stopped by itself the full brunt of the Red Army and defeated an idea of the "export of the revolution".</t>
  </si>
  <si>
    <t>In modern particle physics, forces and the acceleration of particles are explained as a mathematical by-product of exchange of momentum-carrying gauge bosons. With the development of quantum field theory and general relativity, it was realized that force is a redundant concept arising from conservation of momentum (4-momentum in relativity and momentum of virtual particles in quantum electrodynamics). The conservation of momentum can be directly derived from the homogeneity or symmetry of space and so is usually considered more fundamental than the concept of a force. Thus the currently known fundamental forces are considered more accurately to be "fundamental interactions".:199–128 When particle A emits (creates) or absorbs (annihilates) virtual particle B, a momentum conservation results in recoil of particle A making impression of repulsion or attraction between particles A A' exchanging by B. This description applies to all forces arising from fundamental interactions. While sophisticated mathematical descriptions are needed to predict, in full detail, the accurate result of such interactions, there is a conceptually simple way to describe such interactions through the use of Feynman diagrams. In a Feynman diagram, each matter particle is represented as a straight line (see world line) traveling through time, which normally increases up or to the right in the diagram. Matter and anti-matter particles are identical except for their direction of propagation through the Feynman diagram. World lines of particles intersect at interaction vertices, and the Feynman diagram represents any force arising from an interaction as occurring at the vertex with an associated instantaneous change in the direction of the particle world lines. Gauge bosons are emitted away from the vertex as wavy lines and, in the case of virtual particle exchange, are absorbed at an adjacent vertex.</t>
  </si>
  <si>
    <t>Who develped the theory of relativity?</t>
  </si>
  <si>
    <t>What happens because younger rock is deeper?</t>
  </si>
  <si>
    <t>What event does the Oxford-Cambridge rivalry culminate in?</t>
  </si>
  <si>
    <t>a citizen's relation to the state and its laws</t>
  </si>
  <si>
    <t>How long does the process of manufacturing continue?</t>
  </si>
  <si>
    <t>"Jacksonvillians"</t>
  </si>
  <si>
    <t>blazer</t>
  </si>
  <si>
    <t>strict, conservative</t>
  </si>
  <si>
    <t>masses</t>
  </si>
  <si>
    <t>lowland South American</t>
  </si>
  <si>
    <t>progressive tax system</t>
  </si>
  <si>
    <t>What type of exercise does research show receives a boost in performance from oxygen?</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</si>
  <si>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</si>
  <si>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Why is the theory of evolution so complex?</t>
  </si>
  <si>
    <t>any member of the Scottish Government</t>
  </si>
  <si>
    <t>They lost money</t>
  </si>
  <si>
    <t>Who ranked Warsaw as 22nd most liveable city in the world?</t>
  </si>
  <si>
    <t>5</t>
  </si>
  <si>
    <t>Who is an actor and also Serial host?</t>
  </si>
  <si>
    <t>Aside from firebox, what is another name for the space in which combustible material is burned in the engine?</t>
  </si>
  <si>
    <t>evacuate the cylinder</t>
  </si>
  <si>
    <t>Who was Kaidu's uncle?</t>
  </si>
  <si>
    <t>When was the mass high school education movement?</t>
  </si>
  <si>
    <t>What type of professional is a Pharmacy Technician considered to be?</t>
  </si>
  <si>
    <t>English university model</t>
  </si>
  <si>
    <t>In which century was the Grand Canal d'Alsace ended?</t>
  </si>
  <si>
    <t>What does Rajan feel has created deep financial fault lines?</t>
  </si>
  <si>
    <t>his observation of fossil animal shells</t>
  </si>
  <si>
    <t>What is the name of one type of computing method that is used to find prime numbers?</t>
  </si>
  <si>
    <t>random noise</t>
  </si>
  <si>
    <t>What is defined as the majority vote?</t>
  </si>
  <si>
    <t>The mechanisms used to evade the adaptive immune system are more complicated. The simplest approach is to rapidly change non-essential epitopes (amino acids and/or sugars) on the surface of the pathogen, while keeping essential epitopes concealed. This is called antigenic variation. An example is HIV, which mutates rapidly, so the proteins on its viral envelope that are essential for entry into its host target cell are constantly changing. These frequent changes in antigens may explain the failures of vaccines directed at this virus. The parasite Trypanosoma brucei uses a similar strategy, constantly switching one type of surface protein for another, allowing it to stay one step ahead of the antibody response. Masking antigens with host molecules is another common strategy for avoiding detection by the immune system. In HIV, the envelope that covers the virion is formed from the outermost membrane of the host cell; such "self-cloaked" viruses make it difficult for the immune system to identify them as "non-self" structures.</t>
  </si>
  <si>
    <t>What do anarchists accept about the role of government?</t>
  </si>
  <si>
    <t>At what temperature will oxygen condense?</t>
  </si>
  <si>
    <t>What has having an EU Citizenship decreased?</t>
  </si>
  <si>
    <t>French Huguenot explorer Jean Ribault charted the St. Johns River in 1562 calling it the River of May because he discovered it in May. Ribault erected a stone column near present-day Jacksonville claiming the newly discovered land for France. In 1564, René Goulaine de Laudonnière established the first European settlement, Fort Caroline, on the St. Johns near the main village of the Saturiwa. Philip II of Spain ordered Pedro Menéndez de Avilés to protect the interest of Spain by attacking the French presence at Fort Caroline. On September 20, 1565, a Spanish force from the nearby Spanish settlement of St. Augustine attacked Fort Caroline, and killed nearly all the French soldiers defending it. The Spanish renamed the fort San Mateo, and following the ejection of the French, St. Augustine's position as the most important settlement in Florida was solidified. The location of Fort Caroline is subject to debate but a reconstruction of the fort was established on the St. Johns River in 1964.</t>
  </si>
  <si>
    <t>increasingly substitute capital equipment for labor inputs</t>
  </si>
  <si>
    <t>What part of the Rhine flows west at Katwijk?</t>
  </si>
  <si>
    <t>How many lakes are there in Czerniakow?</t>
  </si>
  <si>
    <t>ideal pulleys</t>
  </si>
  <si>
    <t xml:space="preserve">MPs representing English constituencies can only veto laws affecting which country? </t>
  </si>
  <si>
    <t>Gan</t>
  </si>
  <si>
    <t>disastrous financial situation.</t>
  </si>
  <si>
    <t>When did France and the Dutch fight in the 17th century?</t>
  </si>
  <si>
    <t>Parliamentary time</t>
  </si>
  <si>
    <t>How is lap provided by overlapping the stationary marketplace port?</t>
  </si>
  <si>
    <t>What is course content funding subject to?</t>
  </si>
  <si>
    <t>When was Zia-ul-Haq born?</t>
  </si>
  <si>
    <t>chosen machine model</t>
  </si>
  <si>
    <t>FMCG manufacturing</t>
  </si>
  <si>
    <t>When were the Mongols defeated by the Tran?</t>
  </si>
  <si>
    <t>fungi</t>
  </si>
  <si>
    <t>X reduces to Y</t>
  </si>
  <si>
    <t xml:space="preserve"> What uprising ended in 1351?</t>
  </si>
  <si>
    <t>the Saudi-interpretation</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</si>
  <si>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</si>
  <si>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What can be interpreted by individuals to determine if funding for course content is forbidden?</t>
  </si>
  <si>
    <t>colonial rule, or physical occupation of a territory is not an example of what kind of imperialism?</t>
  </si>
  <si>
    <t>What are two fields of theoretical computer science that closely mirror computational simplicity theory?</t>
  </si>
  <si>
    <t>Who do clinical pharmacists work with much of the time?</t>
  </si>
  <si>
    <t>What was French population in North America?</t>
  </si>
  <si>
    <t>significantly slowed the animal's metabolism</t>
  </si>
  <si>
    <t>15,244</t>
  </si>
  <si>
    <t>How long was Warsaw occupied by Germany?</t>
  </si>
  <si>
    <t>The development of fundamental theories for forces proceeded along the lines of unification of disparate ideas. For example, Isaac Newton unified the force responsible for objects falling at the surface of the Earth with the force responsible for the orbits of celestial mechanics in his universal theory of gravitation. Michael Faraday and James Clerk Maxwell demonstrated that electric and magnetic forces were unified through one consistent theory of electromagnetism. In the 20th century, the development of quantum mechanics led to a modern understanding that the first three fundamental forces (all except gravity) are manifestations of matter (fermions) interacting by exchanging virtual particles called gauge bosons. This standard model of particle physics posits a similarity between the forces and led scientists to predict the unification of the weak and electromagnetic forces in electroweak theory subsequently confirmed by observation. The complete formulation of the standard model predicts an as yet unobserved Higgs mechanism, but observations such as neutrino oscillations indicate that the standard model is incomplete. A Grand Unified Theory allowing for the combination of the electroweak interaction with the strong force is held out as a possibility with candidate theories such as supersymmetry proposed to accommodate some of the outstanding unsolved problems in physics. Physicists are still attempting to develop self-consistent unification models that would combine all four fundamental interactions into a theory of everything. Einstein tried and failed at this endeavor, but currently the most popular approach to answering this question is string theory.:212–219</t>
  </si>
  <si>
    <t>5,000 to 30,000</t>
  </si>
  <si>
    <t>rebellion is much more destructive</t>
  </si>
  <si>
    <t>How many customers does Sky UK Limited have as a pay-TV broadcaster as of 2015?</t>
  </si>
  <si>
    <t>19th century</t>
  </si>
  <si>
    <t>1941</t>
  </si>
  <si>
    <t>additional French forces</t>
  </si>
  <si>
    <t>What is not prohibited between member states?</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</si>
  <si>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</si>
  <si>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How many days does the Council have to override the mayor's veto?</t>
  </si>
  <si>
    <t>What should be the main goal of not using punishment in a just system?</t>
  </si>
  <si>
    <t>high pressure</t>
  </si>
  <si>
    <t>gender inequality in education</t>
  </si>
  <si>
    <t>Some of the export commodities that were used for oil purchases helped create tensions where?</t>
  </si>
  <si>
    <t>Paris</t>
  </si>
  <si>
    <t>poor harvest</t>
  </si>
  <si>
    <t>One of the more notable applications of printing technology was the chao, the paper money of the Yuan. Chao were made from the bark of mulberry trees. The Yuan government used woodblocks to print paper money, but switched to bronze plates in 1275. The Mongols experimented with establishing the Chinese-style paper monetary system in Mongol-controlled territories outside of China. The Yuan minister Bolad was sent to Iran, where he explained Yuan paper money to the Il-khanate court of Gaykhatu. The Il-khanate government issued paper money in 1294, but public distrust of the exotic new currency doomed the experiment.</t>
  </si>
  <si>
    <t>1015 kelvins</t>
  </si>
  <si>
    <t>What did NATO negotiate?</t>
  </si>
  <si>
    <t>What value does the seperating into fermions and bosons depend?</t>
  </si>
  <si>
    <t>Baillie-PSW</t>
  </si>
  <si>
    <t>What are the main legislative bodies of the European Union?</t>
  </si>
  <si>
    <t>What device is used to recycle the boiler water in most steam engines?</t>
  </si>
  <si>
    <t>What entities are not included in the federal health care system?</t>
  </si>
  <si>
    <t>The university was a founding force behind what conference?</t>
  </si>
  <si>
    <t>In 1529, Warsaw for the first time became the seat of the General Sejm, permanent from 1569. In 1573 the city gave its name to the Warsaw Confederation, formally establishing religious freedom in the Polish–Lithuanian Commonwealth. Due to its central location between the Commonwealth's capitals of Kraków and Vilnius, Warsaw became the capital of the Commonwealth and the Crown of the Kingdom of Poland when King Sigismund III Vasa moved his court from Kraków to Warsaw in 1596. In the following years the town expanded towards the suburbs. Several private independent districts were established, the property of aristocrats and the gentry, which were ruled by their own laws. Three times between 1655–1658 the city was under siege and three times it was taken and pillaged by the Swedish, Brandenburgian and Transylvanian forces.</t>
  </si>
  <si>
    <t>31 July 2013</t>
  </si>
  <si>
    <t>making it seem like climate change is more serious by overstating the impact</t>
  </si>
  <si>
    <t>in the direction in which the mouth is pointing,</t>
  </si>
  <si>
    <t>Reyners v Belgium</t>
  </si>
  <si>
    <t>Aboriginal</t>
  </si>
  <si>
    <t>Ali Shariati</t>
  </si>
  <si>
    <t>cloud storage</t>
  </si>
  <si>
    <t>Orientalism refers to how the West developed a what of the East?</t>
  </si>
  <si>
    <t>the unjust forms of authority</t>
  </si>
  <si>
    <t>What does disconnecting different Sky Q boxes enable them to do?</t>
  </si>
  <si>
    <t>What made emigration to these colonies attractive?</t>
  </si>
  <si>
    <t>2.4m customers</t>
  </si>
  <si>
    <t>For what purpose is oxygen used by animal life?</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</si>
  <si>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</si>
  <si>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$414 million</t>
  </si>
  <si>
    <t>uncivilized people</t>
  </si>
  <si>
    <t>Who named Thorne Ave?</t>
  </si>
  <si>
    <t>How many museums does the Busch-Reisinger Museum comprise?</t>
  </si>
  <si>
    <t>After liberation</t>
  </si>
  <si>
    <t>What made the oil crisis worse in the US?</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</si>
  <si>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</si>
  <si>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Newton's Third Law asserts the direct proportionality of acceleration to what?</t>
  </si>
  <si>
    <t>Which country had trading posts in India before Britain?</t>
  </si>
  <si>
    <t>DECnet originally released in 1982 for what reason?</t>
  </si>
  <si>
    <t>75% of the total seats</t>
  </si>
  <si>
    <t>Of what form do Fermat numbers take?</t>
  </si>
  <si>
    <t>Some forms of civil disobedience, such as illegal boycotts, refusals to pay taxes, draft dodging, distributed denial-of-service attacks, and sit-ins, make it more difficult for a system to function. In this way, they might be considered coercive. Brownlee notes that "although civil disobedients are constrained in their use of coercion by their conscientious aim to engage in moral dialogue, nevertheless they may find it necessary to employ limited coercion in order to get their issue onto the table." The Plowshares organization temporarily closed GCSB Waihopai by padlocking the gates and using sickles to deflate one of the large domes covering two satellite dishes.</t>
  </si>
  <si>
    <t>What is Thomas B. Edsall's profession?</t>
  </si>
  <si>
    <t>Boston</t>
  </si>
  <si>
    <t>What northern province in France has a large protestant population?</t>
  </si>
  <si>
    <t>What repulsion follows when atomic clouds overlap?</t>
  </si>
  <si>
    <t>What are buckles facing downwards in a fault called?</t>
  </si>
  <si>
    <t>How is Turing machine M said not to operate?</t>
  </si>
  <si>
    <t>What type of architecture is represented in the majestic churches?</t>
  </si>
  <si>
    <t>22n + 1</t>
  </si>
  <si>
    <t>Along with mills and mines, in what industrial locations did steam drive cultivation?</t>
  </si>
  <si>
    <t>notorious intransigence</t>
  </si>
  <si>
    <t>What is the name of another type of modern primality test?</t>
  </si>
  <si>
    <t>What is usually taken as the best case complexity, unless specified otherwise?</t>
  </si>
  <si>
    <t>What was organized by local families before the Supreme Court case went to court?</t>
  </si>
  <si>
    <t>What are government schools also called in India?</t>
  </si>
  <si>
    <t>the relationship of the number to its corresponding value of Euler's totient function</t>
  </si>
  <si>
    <t>the same message routing methodology as developed by Baran</t>
  </si>
  <si>
    <t>kilometres</t>
  </si>
  <si>
    <t>What was the Fresno Fairgrounds used as?</t>
  </si>
  <si>
    <t>a new investigation into the role of Yersinia pestis in the Black Death</t>
  </si>
  <si>
    <t>How can you find the absolute age of sedimentary rock units which do not contain radioactive isotopes?</t>
  </si>
  <si>
    <t>What is the term for the lack of obsevable free quarks?</t>
  </si>
  <si>
    <t>Germania</t>
  </si>
  <si>
    <t>no indication</t>
  </si>
  <si>
    <t>What is attracted to the poles of a powerful magnet?</t>
  </si>
  <si>
    <t>wide sidewalks</t>
  </si>
  <si>
    <t>elites</t>
  </si>
  <si>
    <t>the principles of legal certainty and good faith</t>
  </si>
  <si>
    <t>Where are there the fewest Protestants in France?</t>
  </si>
  <si>
    <t>westward</t>
  </si>
  <si>
    <t>When is the earliest Britain had an imperialist policy?</t>
  </si>
  <si>
    <t>differences in value added by different classifications of workers</t>
  </si>
  <si>
    <t>the pre-Columbian era</t>
  </si>
  <si>
    <t>on 22 May 2006</t>
  </si>
  <si>
    <t>Numerical</t>
  </si>
  <si>
    <t>London Exhibition</t>
  </si>
  <si>
    <t>On what basis do the radical non-Islamist organizations conduct their attacks?</t>
  </si>
  <si>
    <t>What causes the organism to attack more slowly and weakly every time a pathogen is encountered?</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</si>
  <si>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</si>
  <si>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the study of rocks</t>
  </si>
  <si>
    <t>Which cidippid is used as a description on ctenophores in most textbooks?</t>
  </si>
  <si>
    <t xml:space="preserve"> Who was the third of Kublai's Chinese advisers?</t>
  </si>
  <si>
    <t>The Social Chapter is a chapter of what treaty?</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</si>
  <si>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</si>
  <si>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aerospace</t>
  </si>
  <si>
    <t>What were the native inhabitants of Australia called?</t>
  </si>
  <si>
    <t>What is a popular strolling destination for pheasants?</t>
  </si>
  <si>
    <t xml:space="preserve">What is the current number of electors currently in a Scottish Parliament constituency? </t>
  </si>
  <si>
    <t>linear time</t>
  </si>
  <si>
    <t>What does pharmacy legislation mandate?</t>
  </si>
  <si>
    <t>What did higher material living standards lead to for most of human history?</t>
  </si>
  <si>
    <t>What was a similar view about the Asian continent not called?</t>
  </si>
  <si>
    <t>during the campaign for a free India</t>
  </si>
  <si>
    <t>dozens</t>
  </si>
  <si>
    <t>until the empire fell</t>
  </si>
  <si>
    <t>Although the reciprocating steam engine is no longer in widespread commercial use, various companies are exploring or exploiting the potential of the engine as an alternative to internal combustion engines. The company Energiprojekt AB in Sweden has made progress in using modern materials for harnessing the power of steam. The efficiency of Energiprojekt's steam engine reaches some 27-30% on high-pressure engines. It is a single-step, 5-cylinder engine (no compound) with superheated steam and consumes approx. 4 kg (8.8 lb) of steam per kWh.[not in citation given]</t>
  </si>
  <si>
    <t>What was developed from Watt's measurements on a model steam engine?</t>
  </si>
  <si>
    <t xml:space="preserve"> When did the Yuan people suffer a series of unnatural disasters?</t>
  </si>
  <si>
    <t>cocoa butter</t>
  </si>
  <si>
    <t>What did Franco Frattini, the Justice, Freedom and Security Commissioner, and Dimas reject?</t>
  </si>
  <si>
    <t>local administrative structure of past Chinese dynasties</t>
  </si>
  <si>
    <t>When wasn't King George's war?</t>
  </si>
  <si>
    <t>What type of group is The non-Islamic State?</t>
  </si>
  <si>
    <t>When did Warsaw become the center of the Congress Poland?</t>
  </si>
  <si>
    <t>ambiguity</t>
  </si>
  <si>
    <t>electrocution, transportation accidents, and trench cave-ins</t>
  </si>
  <si>
    <t>How many votes in total does the Council have?</t>
  </si>
  <si>
    <t>the chalcogen group</t>
  </si>
  <si>
    <t>In what year did the Norman's invade at Bannow Bay?</t>
  </si>
  <si>
    <t>CD4</t>
  </si>
  <si>
    <t>Betty Meggers</t>
  </si>
  <si>
    <t>basic channels</t>
  </si>
  <si>
    <t>slug</t>
  </si>
  <si>
    <t>From here, the situation becomes more complicated, as the Dutch name Rijn no longer coincides with the main flow of water. Two thirds of the water flow volume of the Rhine flows farther west, through the Waal and then, via the Merwede and Nieuwe Merwede (De Biesbosch), merging with the Meuse, through the Hollands Diep and Haringvliet estuaries, into the North Sea. The Beneden Merwede branches off, near Hardinxveld-Giessendam and continues as the Noord, to join the Lek, near the village of Kinderdijk, to form the Nieuwe Maas; then flows past Rotterdam and continues via Het Scheur and the Nieuwe Waterweg, to the North Sea. The Oude Maas branches off, near Dordrecht, farther down rejoining the Nieuwe Maas to form Het Scheur.</t>
  </si>
  <si>
    <t>What type of person would be involved in a test case in federal court?</t>
  </si>
  <si>
    <t>When was the deportation of Acadians?</t>
  </si>
  <si>
    <t>What must be specified in order to account for their effects on the motion of the head?</t>
  </si>
  <si>
    <t>What caused changes in the Amazon rainforest vegetation?</t>
  </si>
  <si>
    <t>In what year did Robert Harper become the first president of the University?</t>
  </si>
  <si>
    <t>wilderness of the Maine district and down the Chaudière River</t>
  </si>
  <si>
    <t>The mountain ranges tail off into what kind of geographical formation?</t>
  </si>
  <si>
    <t>Rhine Gutter</t>
  </si>
  <si>
    <t>When was this proclamation issued?</t>
  </si>
  <si>
    <t>(p − 1)! + 1</t>
  </si>
  <si>
    <t>What symbolizes that a partial meeting of Parliament is taking place?</t>
  </si>
  <si>
    <t>sedimentary</t>
  </si>
  <si>
    <t>Which caused the reform to come into force?</t>
  </si>
  <si>
    <t>How many men did Duquesne send to kill Saint-Pierre ?</t>
  </si>
  <si>
    <t>What years was chemist John Boyle alive?</t>
  </si>
  <si>
    <t>about 515 million years</t>
  </si>
  <si>
    <t>Dikes</t>
  </si>
  <si>
    <t>nitroaereus</t>
  </si>
  <si>
    <t>because southern China withstood and fought to the last before caving in</t>
  </si>
  <si>
    <t>When was Rhineland subject to the Treaty of Versailles?</t>
  </si>
  <si>
    <t>Large-scale construction requires collaboration across multiple disciplines. An architect normally manages the job, and a construction manager, design engineer, construction engineer or project manager supervises it. For the successful execution of a project, effective planning is essential. Those involved with the design and execution of the infrastructure in question must consider zoning requirements, the environmental impact of the job, the successful scheduling, budgeting, construction-site safety, availability and transportation of building materials, logistics, inconvenience to the public caused by construction delays and bidding, etc. The largest construction projects are referred to as megaprojects.</t>
  </si>
  <si>
    <t>When was the most important discovery about thermal boundaries made?</t>
  </si>
  <si>
    <t>What type of ideals generalize prime elements?</t>
  </si>
  <si>
    <t>What theorem defines the main role of primes in number theory?</t>
  </si>
  <si>
    <t>six quadrangles</t>
  </si>
  <si>
    <t xml:space="preserve">Packet switching uses what kind of network? </t>
  </si>
  <si>
    <t>By July 1944, the Red Army was deep into Polish territory and pursuing the Germans toward Warsaw. Knowing that Stalin was hostile to the idea of an independent Poland, the Polish government-in-exile in London gave orders to the underground Home Army (AK) to try to seize control of Warsaw from the Germans before the Red Army arrived. Thus, on 1 August 1944, as the Red Army was nearing the city, the Warsaw Uprising began. The armed struggle, planned to last 48 hours, was partially successful, however it went on for 63 days. Eventually the Home Army fighters and civilians assisting them were forced to capitulate. They were transported to PoW camps in Germany, while the entire civilian population was expelled. Polish civilian deaths are estimated at between 150,000 and 200,000.</t>
  </si>
  <si>
    <t>What Shakespeare scholar is currently on the university's faculty?</t>
  </si>
  <si>
    <t>When rock units are placed under horizontal compression, they shorten and become thicker. Because rock units, other than muds, do not significantly change in volume, this is accomplished in two primary ways: through faulting and folding. In the shallow crust, where brittle deformation can occur, thrust faults form, which cause deeper rock to move on top of shallower rock. Because deeper rock is often older, as noted by the principle of superposition, this can result in older rocks moving on top of younger ones. Movement along faults can result in folding, either because the faults are not planar or because rock layers are dragged along, forming drag folds as slip occurs along the fault. Deeper in the Earth, rocks behave plastically, and fold instead of faulting. These folds can either be those where the material in the center of the fold buckles upwards, creating "antiforms", or where it buckles downwards, creating "synforms". If the tops of the rock units within the folds remain pointing upwards, they are called anticlines and synclines, respectively. If some of the units in the fold are facing downward, the structure is called an overturned anticline or syncline, and if all of the rock units are overturned or the correct up-direction is unknown, they are simply called by the most general terms, antiforms and synforms.</t>
  </si>
  <si>
    <t>Mughal state</t>
  </si>
  <si>
    <t>the extinction of the dinosaurs and the wetter climate</t>
  </si>
  <si>
    <t>Stephen Eilmann asks why show public civil disobedience instead what is a better idea?</t>
  </si>
  <si>
    <t>dispatched six regiments to New France under the command of Baron Dieskau in 1755</t>
  </si>
  <si>
    <t>Whenever he encountered British merchants or fur-traders, Céloron informed them of the French claims on the territory and told them to leave</t>
  </si>
  <si>
    <t>Who did the attacks resonate least with?</t>
  </si>
  <si>
    <t>The flushing action of what expels pathogens from the eyes?</t>
  </si>
  <si>
    <t>Mohammad Iqbal was what type of father to the State of Pakistan?</t>
  </si>
  <si>
    <t xml:space="preserve"> Which country did Japan not force into an alliance?</t>
  </si>
  <si>
    <t>CYCLADES packet switching network</t>
  </si>
  <si>
    <t>How do socialists think the means of production should be owned?</t>
  </si>
  <si>
    <t>the role of nineteenth-century maps</t>
  </si>
  <si>
    <t>linen</t>
  </si>
  <si>
    <t>concept of distributed adaptive message block switching</t>
  </si>
  <si>
    <t>because of their belief in the validity of the social contract</t>
  </si>
  <si>
    <t>The Rankine cycle is the fundamental thermodynamic underpinning of the steam engine. The cycle is an arrangement of components as is typically used for simple power production, and utilizes the phase change of water (boiling water producing steam, condensing exhaust steam, producing liquid water)) to provide a practical heat/power conversion system. The heat is supplied externally to a closed loop with some of the heat added being converted to work and the waste heat being removed in a condenser. The Rankine cycle is used in virtually all steam power production applications. In the 1990s, Rankine steam cycles generated about 90% of all electric power used throughout the world, including virtually all solar, biomass, coal and nuclear power plants. It is named after William John Macquorn Rankine, a Scottish polymath.</t>
  </si>
  <si>
    <t>A non-deterministic Turing machine has the ability to capture what facet of useful analysis?</t>
  </si>
  <si>
    <t>interleukins</t>
  </si>
  <si>
    <t>What mechanism moves coal from a firebox to a bunker?</t>
  </si>
  <si>
    <t>Korean economist Hoesung Lee is the chair of the IPCC since October 8, 2015, following the election of the new IPCC Bureau. Before this election, the IPCC was led by his vice-Chair Ismail El Gizouli, who was designated acting Chair after the resignation of Rajendra K. Pachauri in February 2015. The previous chairs were Rajendra K. Pachauri, elected in May 2002; Robert Watson in 1997; and Bert Bolin in 1988. The chair is assisted by an elected bureau including vice-chairs, working group co-chairs, and a secretariat.</t>
  </si>
  <si>
    <t>the colonies of British America and New France</t>
  </si>
  <si>
    <t>Who was President of Radcliffe from 1869-1909?</t>
  </si>
  <si>
    <t>Scottish</t>
  </si>
  <si>
    <t>biochemical oxygen demand</t>
  </si>
  <si>
    <t>What are antibodies never generated to fight?</t>
  </si>
  <si>
    <t>O2</t>
  </si>
  <si>
    <t>CYP27B1</t>
  </si>
  <si>
    <t>17,786,419</t>
  </si>
  <si>
    <t>Ctenophores are less complex than what other group?</t>
  </si>
  <si>
    <t>half a mile</t>
  </si>
  <si>
    <t>Sociologist Jake Rosenfield of the University of Washington asserts that the decline of organized labor in the United States has played a more significant role in expanding the income gap than technological changes and globalization, which were also experienced by other industrialized nations that didn't experience steep surges in inequality. He points out that nations with high rates of unionization, particularly in Scandinavia, have very low levels of inequality, and concludes "the historical pattern is clear; the cross-national pattern is clear: high inequality goes hand-in-hand with weak labor movements and vice-versa."</t>
  </si>
  <si>
    <t>1903</t>
  </si>
  <si>
    <t>Taoism</t>
  </si>
  <si>
    <t>conspiracy</t>
  </si>
  <si>
    <t>How many applicants does the Groton School have each year?</t>
  </si>
  <si>
    <t xml:space="preserve"> What is the French translation of tawhid?</t>
  </si>
  <si>
    <t>President Wilson committed his government to what in 1974?</t>
  </si>
  <si>
    <t>What country did California once rule?</t>
  </si>
  <si>
    <t>continental European</t>
  </si>
  <si>
    <t>What does civil disobedience protest against?</t>
  </si>
  <si>
    <t>When was John Gallagher born?</t>
  </si>
  <si>
    <t>What tool has measured the amount of dust that travels from the Sahara to the Amazon?</t>
  </si>
  <si>
    <t>Where does the pattern of higher income-longer lives still hold true?</t>
  </si>
  <si>
    <t>In what field were double and triple expansion replacements common?</t>
  </si>
  <si>
    <t>plot and combine</t>
  </si>
  <si>
    <t>What conflicts did the ozone mitigation reduce?</t>
  </si>
  <si>
    <t>What type of zero distribution is characterized about x/log x of numbers less than x?</t>
  </si>
  <si>
    <t>nothing</t>
  </si>
  <si>
    <t>How many Americans are richer than more than half of all citizens?</t>
  </si>
  <si>
    <t>L'Église française à la Nouvelle-Amsterdam (the French church in New Amsterdam)</t>
  </si>
  <si>
    <t>What is often used by algorithms to measure bounding of space and atmosphere measurements?</t>
  </si>
  <si>
    <t>Of what were materials that left little residue thought to contain?</t>
  </si>
  <si>
    <t>The bill is submitted to whom before it is passed?</t>
  </si>
  <si>
    <t>What area did the Mocama inhabit in 2500 BC?</t>
  </si>
  <si>
    <t>What is one common example of a critical complexity measure?</t>
  </si>
  <si>
    <t>Is the weather of southern Europe survivable for fleas?</t>
  </si>
  <si>
    <t>An architect</t>
  </si>
  <si>
    <t>What wasn't the purpose of Loudoun's troops at Fort Henry?</t>
  </si>
  <si>
    <t>What are stators attached to?</t>
  </si>
  <si>
    <t>What organization did Iqbal join in London?</t>
  </si>
  <si>
    <t>What can the exhaust steam not fully do when the exhaust event is insufficiently long?</t>
  </si>
  <si>
    <t>What types of preparation do pharmacists not require?</t>
  </si>
  <si>
    <t>What makes the Wells Fargo Center stand out?</t>
  </si>
  <si>
    <t>What are pharmacists forbidden to do?</t>
  </si>
  <si>
    <t>Edinburgh Pentlands</t>
  </si>
  <si>
    <t>What kind of focus has the Ethical Reasoning program had since 2007?</t>
  </si>
  <si>
    <t>Which regions have temperate climates?</t>
  </si>
  <si>
    <t>On what date did the first railway trip in England occur?</t>
  </si>
  <si>
    <t>a citizen or company can invoke a Directive, not just in a dispute with a public authority, but in a dispute with another citizen or company</t>
  </si>
  <si>
    <t>more than half</t>
  </si>
  <si>
    <t>What is the primary goal of pleading not guilty when arrested for Civil Disobedience?</t>
  </si>
  <si>
    <t>The defeat of the Arab troops in the Seven-Day War constituted what for the Arab Muslim world?</t>
  </si>
  <si>
    <t>Two of the expeditions were successful, with Fort Duquesne and Louisbourg</t>
  </si>
  <si>
    <t>Besides combustion, for what other action did Mayow show nitroaereus responsible?</t>
  </si>
  <si>
    <t>16 national science academies</t>
  </si>
  <si>
    <t>Where did Huguenots and Walloons settle in England?</t>
  </si>
  <si>
    <t>What is the usual source of heat for boiling water in the steam engine?</t>
  </si>
  <si>
    <t>Where does the jelly-like layer come from in complex animals?</t>
  </si>
  <si>
    <t>1338–39</t>
  </si>
  <si>
    <t>connected via dial-up connections or dedicated async connections</t>
  </si>
  <si>
    <t>a problem</t>
  </si>
  <si>
    <t>Battle of Jumonville Glen</t>
  </si>
  <si>
    <t>Who has criticized ordering from online pharmacies that don't require prescriptions?</t>
  </si>
  <si>
    <t>probabilistic (or "Monte Carlo")</t>
  </si>
  <si>
    <t>What is held inside the formal legal ownership registration system in many developing countries?</t>
  </si>
  <si>
    <t xml:space="preserve"> What caused the US public to support the occupation of the philippines?</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</si>
  <si>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</si>
  <si>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Islamists came to completely dominate university student unions</t>
  </si>
  <si>
    <t>Where were French North Americans unsettled?</t>
  </si>
  <si>
    <t>What did Lawrence Roberts suggest the system be used for?</t>
  </si>
  <si>
    <t>Intergovernmental_Panel_on_Climate_Change</t>
  </si>
  <si>
    <t>How many original treaties establishing the EU protected fundamental rights?</t>
  </si>
  <si>
    <t>What can scientists apply relative rock sections to to find isotopes?</t>
  </si>
  <si>
    <t>What modern city did Khanbaliq become?</t>
  </si>
  <si>
    <t>What was the name of the first successful credit card?</t>
  </si>
  <si>
    <t>Song</t>
  </si>
  <si>
    <t>How many of the Pitt's planned expeditions weren't successful?</t>
  </si>
  <si>
    <t xml:space="preserve">What did Saudi Arabia try to repress to compensate for its loss of stature? </t>
  </si>
  <si>
    <t>There are eight rows of combs that run from near the mouth to the opposite end, and are spaced evenly round the body. The "combs" beat in a metachronal rhythm rather like that of a Mexican wave. From each balancer in the statocyst a ciliary groove runs out under the dome and then splits to connect with two adjacent comb rows, and in some species runs all the way along the comb rows. This forms a mechanical system for transmitting the beat rhythm from the combs to the balancers, via water disturbances created by the cilia.</t>
  </si>
  <si>
    <t>What put a hierarchical structure in place?</t>
  </si>
  <si>
    <t>the mouth and pharynx;</t>
  </si>
  <si>
    <t>The Kuznets curve says with economic development, inequality will increase after what?</t>
  </si>
  <si>
    <t>Who led New France reinforcements in 1756?</t>
  </si>
  <si>
    <t>Observations on the Geology of the United States</t>
  </si>
  <si>
    <t>Alexandre Yersin</t>
  </si>
  <si>
    <t>What objects in organisms absorb singlet oxygen to prevent harm?</t>
  </si>
  <si>
    <t>1.7 million</t>
  </si>
  <si>
    <t>What do some civil disobedient people feel the need to acknowledge.</t>
  </si>
  <si>
    <t>Nepali</t>
  </si>
  <si>
    <t>What do oxoacids evolve from?</t>
  </si>
  <si>
    <t>theorem of arithmetic</t>
  </si>
  <si>
    <t>Who is responsible for ensuring the Parliament works smoothly?</t>
  </si>
  <si>
    <t>Where does the Lek separate?</t>
  </si>
  <si>
    <t>What does MAS stand for?</t>
  </si>
  <si>
    <t>explaining their actions</t>
  </si>
  <si>
    <t>p − 1</t>
  </si>
  <si>
    <t>The Islamic Republic</t>
  </si>
  <si>
    <t>static discs)</t>
  </si>
  <si>
    <t>Which oil producer is a close ally of the United States?</t>
  </si>
  <si>
    <t>the end itself</t>
  </si>
  <si>
    <t>Victorian Alps</t>
  </si>
  <si>
    <t>tech-oriented</t>
  </si>
  <si>
    <t>How many times did the plague visit Ottoman society before the second quarter of the 19th century?</t>
  </si>
  <si>
    <t>to avoid prohibitively costly dowry demands</t>
  </si>
  <si>
    <t>What influence did Al Banna wish to eliminate from the Muslim world?</t>
  </si>
  <si>
    <t>Where was the famous artist Tamara de Lempicka born?</t>
  </si>
  <si>
    <t>Despite being traditionall described as "eight counties", how many counties does this region actually have?</t>
  </si>
  <si>
    <t>Proper safety equipment</t>
  </si>
  <si>
    <t>Who authored the Liber servitoris?</t>
  </si>
  <si>
    <t>financial assets</t>
  </si>
  <si>
    <t>What is the highest court in the European Union?</t>
  </si>
  <si>
    <t>Afghanistan</t>
  </si>
  <si>
    <t>What is the process of adding structure to real property or construction of buildings?</t>
  </si>
  <si>
    <t>The city's residents fled to the north</t>
  </si>
  <si>
    <t>What is used to calculate cross section area in the volume of an object?</t>
  </si>
  <si>
    <t>Robert Maynard Hutchins de-emphasized varsity athletics</t>
  </si>
  <si>
    <t>empires</t>
  </si>
  <si>
    <t>Which direction did the disease first move in?</t>
  </si>
  <si>
    <t>Following the election of the UK Labour Party to government in 1997, the UK formally subscribed to the Agreement on Social Policy, which allowed it to be included with minor amendments as the Social Chapter of the 1997 Treaty of Amsterdam. The UK subsequently adopted the main legislation previously agreed under the Agreement on Social Policy, the 1994 Works Council Directive, which required workforce consultation in businesses, and the 1996 Parental Leave Directive. In the 10 years following the 1997 Treaty of Amsterdam and adoption of the Social Chapter the European Union has undertaken policy initiatives in various social policy areas, including labour and industry relations, equal opportunity, health and safety, public health, protection of children, the disabled and elderly, poverty, migrant workers, education, training and youth.</t>
  </si>
  <si>
    <t>What activity maintains topographic gradients?</t>
  </si>
  <si>
    <t>What party formed in 2014?</t>
  </si>
  <si>
    <t>granaries were ordered built throughout the empire</t>
  </si>
  <si>
    <t>What type of jihad does HT prefer to engage in?</t>
  </si>
  <si>
    <t>At what rate is Orange County developing its business centers?</t>
  </si>
  <si>
    <t>Kissinger's</t>
  </si>
  <si>
    <t>What are the independant components of a vector sum that has been determined by scalar addition of individual vectors?</t>
  </si>
  <si>
    <t>What was liquified in a stable state for the first time on March 22, 1883?</t>
  </si>
  <si>
    <t>from giving her brother Polynices a proper burial</t>
  </si>
  <si>
    <t>representatives appointed by governments and organizations</t>
  </si>
  <si>
    <t>100</t>
  </si>
  <si>
    <t>Who first showed that Newton's Theory of Gravity was not as correct as another theory?</t>
  </si>
  <si>
    <t>the Ilkhanate</t>
  </si>
  <si>
    <t>actual temperature rise was near the top end of the range given</t>
  </si>
  <si>
    <t>What is lower in public schools rather than private ones?</t>
  </si>
  <si>
    <t>What weapons were the Zulus using during the Anglo-Zulu War of 1879?</t>
  </si>
  <si>
    <t>What organization is devoted to Jihad against Israel?</t>
  </si>
  <si>
    <t>0.52/sq mi</t>
  </si>
  <si>
    <t>What action was taken to address price controls?</t>
  </si>
  <si>
    <t>Quasiturbine</t>
  </si>
  <si>
    <t>gas turbines</t>
  </si>
  <si>
    <t>What did the government want Thoreau to do?</t>
  </si>
  <si>
    <t>What attempt to remedy the difficulties arising from gradient performance?</t>
  </si>
  <si>
    <t>Where are issues like abortion and drug policy legislated on?</t>
  </si>
  <si>
    <t xml:space="preserve"> Where did the Grand Canal not begin?</t>
  </si>
  <si>
    <t>What was used to classify the Amazon population into four categories</t>
  </si>
  <si>
    <t>Who was not exempt from member state taxes?</t>
  </si>
  <si>
    <t>What Catholic society in Wanganui is affiliated with Academic Colleges Group?</t>
  </si>
  <si>
    <t>What animals does the Vistula river's ecosystem include?</t>
  </si>
  <si>
    <t>kinetic friction force</t>
  </si>
  <si>
    <t>a "racket"</t>
  </si>
  <si>
    <t>What is the term of office for each house member?</t>
  </si>
  <si>
    <t>How many academic units make up the school?</t>
  </si>
  <si>
    <t>pharynx</t>
  </si>
  <si>
    <t>lobes</t>
  </si>
  <si>
    <t xml:space="preserve"> What type of outlook do some of the non-Muslims in London have?</t>
  </si>
  <si>
    <t>1870 to 1939</t>
  </si>
  <si>
    <t>To where did Ethelred flee?</t>
  </si>
  <si>
    <t>What happens when one plate touches another?</t>
  </si>
  <si>
    <t>Choctaw and the Creek</t>
  </si>
  <si>
    <t>What does the El Centro metropolitan area and San Diego-Carslbad-San Marcos metropolitan area form?</t>
  </si>
  <si>
    <t>What has sometimes been seen in species of the genus Ocryopsis?</t>
  </si>
  <si>
    <t>What is the first major bend in the Rhine called?</t>
  </si>
  <si>
    <t>employ consultant pharmacists</t>
  </si>
  <si>
    <t>silver</t>
  </si>
  <si>
    <t>the lead melts</t>
  </si>
  <si>
    <t>How does one note classify the computation time (or similar resources)?</t>
  </si>
  <si>
    <t>the Presiding Officer</t>
  </si>
  <si>
    <t>at elevated partial pressures</t>
  </si>
  <si>
    <t>What was the most notable publication of Tugh's academy?</t>
  </si>
  <si>
    <t>evaluates learning levels in rural India</t>
  </si>
  <si>
    <t>How is worst-case time complexity written as an expression?</t>
  </si>
  <si>
    <t>Other than San Bernardino, which other developed southern Californian city is not in close proximity to the coast?</t>
  </si>
  <si>
    <t>The system limited the price of "old oil"</t>
  </si>
  <si>
    <t>3.7%</t>
  </si>
  <si>
    <t>What do platyctenida use their pharynx for?</t>
  </si>
  <si>
    <t>What are the exceptions in the constitution  that require special considerations to amend?</t>
  </si>
  <si>
    <t>Where do other religious experiences happen in Victoria outside of Melbourne?</t>
  </si>
  <si>
    <t>What type of housing was erected in Warsaw as part of the Bricks for Warsaw process?</t>
  </si>
  <si>
    <t>is the defense and justification of empire-building based on seemingly rational grounds</t>
  </si>
  <si>
    <t>When did oil start getting priced in the terms of gold?</t>
  </si>
  <si>
    <t>What year was Fort San Mateo reconstructed?</t>
  </si>
  <si>
    <t>Stage 1 is the first, or introductory stage of the bill, where the minister or member in charge of the bill will formally introduce it to Parliament together with its accompanying documents –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</si>
  <si>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When did the British defeat New France?</t>
  </si>
  <si>
    <t>compound</t>
  </si>
  <si>
    <t>How did Celeron handle meeting with Old Briton?</t>
  </si>
  <si>
    <t>What diagrams are used to simplify particle interactions on a fundamental level?</t>
  </si>
  <si>
    <t>The Normans thereafter adopted the growing feudal doctrines of the rest of France, and worked them into a functional hierarchical system in both Normandy and in England. The new Norman rulers were culturally and ethnically distinct from the old French aristocracy, most of whom traced their lineage to Franks of the Carolingian dynasty. Most Norman knights remained poor and land-hungry, and by 1066 Normandy had been exporting fighting horsemen for more than a generation. Many Normans of Italy, France and England eventually served as avid Crusaders under the Italo-Norman prince Bohemund I and the Anglo-Norman king Richard the Lion-Heart.</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</si>
  <si>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</si>
  <si>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What brought Warsaw's stock exchange to a stop?</t>
  </si>
  <si>
    <t>What is the seldom used force unit equal to one thousand newtons?</t>
  </si>
  <si>
    <t>What systems classify trade contractors?</t>
  </si>
  <si>
    <t>theory of general relativity (GR)</t>
  </si>
  <si>
    <t>fossil animal shells</t>
  </si>
  <si>
    <t>natural motion</t>
  </si>
  <si>
    <t>Amazoneregenwoud</t>
  </si>
  <si>
    <t xml:space="preserve"> When did Tugh Temur destroy his academy?</t>
  </si>
  <si>
    <t>When did Herodotus discover the Rhine?</t>
  </si>
  <si>
    <t>When did these rebellions take place?</t>
  </si>
  <si>
    <t>What group killed thousands of Huguenots?</t>
  </si>
  <si>
    <t>Who was Shi Tianze's father?</t>
  </si>
  <si>
    <t>What is O-R-O?</t>
  </si>
  <si>
    <t>Geologists use a number of field, laboratory, and numerical modeling methods to decipher Earth history and understand the processes that occur on and inside the Earth. In typical geological investigations, geologists use primary information related to petrology (the study of rocks), stratigraphy (the study of sedimentary layers), and structural geology (the study of positions of rock units and their deformation). In many cases, geologists also study modern soils, rivers, landscapes, and glaciers; investigate past and current life and biogeochemical pathways, and use geophysical methods to investigate the subsurface.</t>
  </si>
  <si>
    <t>Over how many studies have shown that violence is more common in societies with income differences?</t>
  </si>
  <si>
    <t>Which group has young that are born with no tentacles and a large mouth?</t>
  </si>
  <si>
    <t>What is an example of the abnormal force in action?</t>
  </si>
  <si>
    <t xml:space="preserve">What is the maximum square miles did Betty Meggers claim that can be sustained in the rainforest? </t>
  </si>
  <si>
    <t>What are the stages in an efficiency engine called?</t>
  </si>
  <si>
    <t>Which American show changed the views of Romanians during the cold war?</t>
  </si>
  <si>
    <t>What did Article 12 of the Allied Armistice terms require Germany to withdraw from?</t>
  </si>
  <si>
    <t>The exodus of Huguenots from France created a brain drain, as many Huguenots had occupied important places in society. The kingdom did not fully recover for years. The French crown's refusal to allow non-Catholics to settle in New France may help to explain that colony's slow rate of population growth compared to that of the neighbouring British colonies, which opened settlement to religious dissenters. By the time of the French and Indian War (the North American front of the Seven Years' War), a sizeable population of Huguenot descent lived in the British colonies, and many participated in the British defeat of New France in 1759-60.</t>
  </si>
  <si>
    <t>What contributed to the severity of the plague?</t>
  </si>
  <si>
    <t xml:space="preserve">What reports did Michael Oppenheimer suggest needed to contain a broad exploration of certainties? </t>
  </si>
  <si>
    <t>village of Pickawillany</t>
  </si>
  <si>
    <t>belief in the validity of the social contract</t>
  </si>
  <si>
    <t>large cilia</t>
  </si>
  <si>
    <t>directed toward the center of the curving path</t>
  </si>
  <si>
    <t>firms engaged in managing construction projects without assuming direct financial responsibility for completion of the construction project</t>
  </si>
  <si>
    <t>What job requires no qualifications?</t>
  </si>
  <si>
    <t>What counties does the more extensive eight county definition of SoCal include?</t>
  </si>
  <si>
    <t>advances in 3D printing technology</t>
  </si>
  <si>
    <t>become lighter</t>
  </si>
  <si>
    <t>journalism</t>
  </si>
  <si>
    <t>Sky Q Silver set top boxes</t>
  </si>
  <si>
    <t>responding to investigators' questions</t>
  </si>
  <si>
    <t>What are phytoplankton?</t>
  </si>
  <si>
    <t>What was one of the cities that had a port on the Black Sea?</t>
  </si>
  <si>
    <t>Victoria is the centre of dairy farming in Australia. It is home to 60% of Australia's 3 million dairy cattle and produces nearly two-thirds of the nation's milk, almost 6.4 billion litres. The state also has 2.4 million beef cattle, with more than 2.2 million cattle and calves slaughtered each year. In 2003–04, Victorian commercial fishing crews and aquaculture industry produced 11,634 tonnes of seafood valued at nearly A$109 million. Blacklipped abalone is the mainstay of the catch, bringing in A$46 million, followed by southern rock lobster worth A$13.7 million. Most abalone and rock lobster is exported to Asia.</t>
  </si>
  <si>
    <t>How often do Oxford and Cambridge put aside their rivalry?</t>
  </si>
  <si>
    <t>How much of Victoria's farmland is sold domestically?</t>
  </si>
  <si>
    <t>When was the Fresno County Courthouse demolished?</t>
  </si>
  <si>
    <t>How are pharmacists regulated in most jurisdictions?</t>
  </si>
  <si>
    <t>In what year did King Louis XIV of France take the throne?</t>
  </si>
  <si>
    <t>some extra costs are levied</t>
  </si>
  <si>
    <t>problem</t>
  </si>
  <si>
    <t>What percentage of farmland grows beans?</t>
  </si>
  <si>
    <t>world revolution.</t>
  </si>
  <si>
    <t>What is the annual budget for the Scavenger Hunt?</t>
  </si>
  <si>
    <t>How many Marine bases are located in Jacksonville?</t>
  </si>
  <si>
    <t>Transpac</t>
  </si>
  <si>
    <t>Which Florida city has the biggest population?</t>
  </si>
  <si>
    <t>What term referred to middle class citizens leaving the suburbs?</t>
  </si>
  <si>
    <t>Satyagraha</t>
  </si>
  <si>
    <t>Cisco Systems company</t>
  </si>
  <si>
    <t>Muhammad Abd al-Salaam Farag</t>
  </si>
  <si>
    <t>spring of 1349</t>
  </si>
  <si>
    <t>When was the Rhine crisis?</t>
  </si>
  <si>
    <t>the Treaty on the Functioning of the European Union</t>
  </si>
  <si>
    <t>surnames</t>
  </si>
  <si>
    <t>What does the plos pathogen paper claim?</t>
  </si>
  <si>
    <t>plea bargain</t>
  </si>
  <si>
    <t>What percentage of the vote for a Scottish Assembly in favor of it?</t>
  </si>
  <si>
    <t>What is the highest reference hospital in all of Germany?</t>
  </si>
  <si>
    <t>steamboats</t>
  </si>
  <si>
    <t>What does Article 107 not lay down?</t>
  </si>
  <si>
    <t>trade with Constantinople</t>
  </si>
  <si>
    <t>What constitutes 28.0% of the Earth's atmosphere?</t>
  </si>
  <si>
    <t xml:space="preserve"> During which era did the Aztec and Incan empires not thrive?</t>
  </si>
  <si>
    <t>What was not central to European development since the Treaty of Rome 1957?</t>
  </si>
  <si>
    <t>What did Harvey Wheeler direct the Hungarians to do?</t>
  </si>
  <si>
    <t>What is the largest medical school in Chopin?</t>
  </si>
  <si>
    <t>What were casualties of battle?</t>
  </si>
  <si>
    <t>To avoid interference with existing VHF television stations</t>
  </si>
  <si>
    <t>How does inequality help growth?</t>
  </si>
  <si>
    <t>From whom were the movement that Eliot followed derived?</t>
  </si>
  <si>
    <t>The Victorian Alps</t>
  </si>
  <si>
    <t>What impact did the high school education movement have on the presence of unskilled workers?</t>
  </si>
  <si>
    <t>Immunoproteomics</t>
  </si>
  <si>
    <t>In 1758 what was duc de Choiseul's plan for unfocused military efforts?</t>
  </si>
  <si>
    <t>What did Smedley Butler call US foreign Policy?</t>
  </si>
  <si>
    <t>reduced moist tropical vegetation cover</t>
  </si>
  <si>
    <t>What kind of immunity do prokaryotes not have?</t>
  </si>
  <si>
    <t>How did the black death make it to the Mediterranean and Europe?</t>
  </si>
  <si>
    <t>For the Conservatives, the main disappointment was the loss of Edinburgh Pentlands, the seat of former party leader David McLetchie, to the SNP. McLetchie was elected on the Lothian regional list and the Conservatives suffered a net loss of five seats, with leader Annabel Goldie claiming that their support had held firm. Nevertheless, she too announced she would step down as leader of the party. Cameron congratulated the SNP on their victory but vowed to campaign for the Union in the independence referendum.</t>
  </si>
  <si>
    <t>shrinking Western demand</t>
  </si>
  <si>
    <t>When did Henry issue the Edict of Nantes?</t>
  </si>
  <si>
    <t>Fraud</t>
  </si>
  <si>
    <t>What fault can produce a magnitude 8.7 event?</t>
  </si>
  <si>
    <t>three weight rooms</t>
  </si>
  <si>
    <t>lighter</t>
  </si>
  <si>
    <t>Which coast is the desert on?</t>
  </si>
  <si>
    <t>Who concluded that the rising income inequality gap was not getting better?</t>
  </si>
  <si>
    <t>increasing importance of human capital</t>
  </si>
  <si>
    <t>A flow of water can not be considered an artifact of what?</t>
  </si>
  <si>
    <t>attack on New France's capital, Quebec</t>
  </si>
  <si>
    <t>Sky TV bills</t>
  </si>
  <si>
    <t>Why did the Royal Society think the Earth was older than previously thought?</t>
  </si>
  <si>
    <t>What is the first line of defense against pathogens that prevents them from entering an organism?</t>
  </si>
  <si>
    <t>cyclosporin</t>
  </si>
  <si>
    <t>Civil disobedience</t>
  </si>
  <si>
    <t>Who can be in the Victorian law enforcement?</t>
  </si>
  <si>
    <t>What can concentrated oxygen produce?</t>
  </si>
  <si>
    <t>Natural killer cells recognize cells that should be targeted by a condition known as what?</t>
  </si>
  <si>
    <t>clapping their lobes</t>
  </si>
  <si>
    <t>as a muscular "foot"</t>
  </si>
  <si>
    <t xml:space="preserve">In the layered model of the Earth, the mantle has two layers below it. What are they? </t>
  </si>
  <si>
    <t>Why did academic and research institutions need NSF's help connecting to ARPANET?</t>
  </si>
  <si>
    <t>"It's Scotland's oil"</t>
  </si>
  <si>
    <t xml:space="preserve">What event would necessitate airline passengers to need a supplemental supply of oxygen? </t>
  </si>
  <si>
    <t>By 1998, the vBNS had grown to connect more than 100 universities and research and engineering institutions via 12 national points of presence with DS-3</t>
  </si>
  <si>
    <t>What is  565 °C the creep limit of?</t>
  </si>
  <si>
    <t>based on his observation of fossil animal shells in a geological stratum in a mountain hundreds of miles from the ocean</t>
  </si>
  <si>
    <t>igneous</t>
  </si>
  <si>
    <t>Which country used to rule California?</t>
  </si>
  <si>
    <t>Why must -1 be excluded in order to preserve the uniqueness of the fundamental theorem?</t>
  </si>
  <si>
    <t>the Roman Empire</t>
  </si>
  <si>
    <t>Plenary meetings in the debating chamber usually take place on Tuesday afternoons from 1pm to what?</t>
  </si>
  <si>
    <t>Stadtholder William III of Orange</t>
  </si>
  <si>
    <t>When were these settlers naturalized as English colonists?</t>
  </si>
  <si>
    <t xml:space="preserve"> What did the civil war leave the state of Iraq economy in?</t>
  </si>
  <si>
    <t>What protects the statocyst?</t>
  </si>
  <si>
    <t>one (or more) of the departments (or ministries) of the Scottish Government</t>
  </si>
  <si>
    <t>32 °C (90 °F)</t>
  </si>
  <si>
    <t>What do diseases from Africa cause?</t>
  </si>
  <si>
    <t>a Noetherian commutative ring</t>
  </si>
  <si>
    <t>In what form is oxygen transported in smaller containers?</t>
  </si>
  <si>
    <t>render certain laws ineffective</t>
  </si>
  <si>
    <t>Computational_complexity_theory</t>
  </si>
  <si>
    <t>What is easy about proving lower bounds?</t>
  </si>
  <si>
    <t xml:space="preserve">What equals the spring reaction force on an object suspended on a spring reaction scale? </t>
  </si>
  <si>
    <t>How large was Woodward's estate in total?</t>
  </si>
  <si>
    <t>What is another term for excessive compression?</t>
  </si>
  <si>
    <t>In addition to the negative consequences of sleep deprivation, sleep and the intertwined circadian system have been shown to have strong regulatory effects on immunological functions affecting both the innate and the adaptive immunity. First, during the early slow-wave-sleep stage, a sudden drop in blood levels of cortisol, epinephrine, and norepinephrine induce increased blood levels of the hormones leptin, pituitary growth hormone, and prolactin. These signals induce a pro-inflammatory state through the production of the pro-inflammatory cytokines interleukin-1, interleukin-12, TNF-alpha and IFN-gamma. These cytokines then stimulate immune functions such as immune cells activation, proliferation, and differentiation. It is during this time that undifferentiated, or less differentiated, like naïve and central memory T cells, peak (i.e. during a time of a slowly evolving adaptive immune response). In addition to these effects, the milieu of hormones produced at this time (leptin, pituitary growth hormone, and prolactin) support the interactions between APCs and T-cells, a shift of the Th1/Th2 cytokine balance towards one that supports Th1, an increase in overall Th cell proliferation, and naïve T cell migration to lymph nodes. This milieu is also thought to support the formation of long-lasting immune memory through the initiation of Th1 immune responses.</t>
  </si>
  <si>
    <t>How many cardio rooms are at the Lavietes Pavillion?</t>
  </si>
  <si>
    <t>In how many places is oxygen stored in its cycle?</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</si>
  <si>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</si>
  <si>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O(n2)</t>
  </si>
  <si>
    <t>How many expansion stages are used by the triple expansion engine?</t>
  </si>
  <si>
    <t>beneath the university's Stagg Field</t>
  </si>
  <si>
    <t>What is the least used type of reduction?</t>
  </si>
  <si>
    <t>What sea have copepods accidentially been released into?</t>
  </si>
  <si>
    <t>What is a notable application of injectors today?</t>
  </si>
  <si>
    <t>What remained an important issue in Scottish national identity for many years?</t>
  </si>
  <si>
    <t>What is another general concept that applies to elements of commutative rings?</t>
  </si>
  <si>
    <t>the accidental introduction of the Mnemiopsis-eating North American ctenophore Beroe ovata, and by a cooling of the local climate from 1991 to 1993</t>
  </si>
  <si>
    <t>What was the belief that maintaining motion required force?</t>
  </si>
  <si>
    <t>How much of the population in the Middle East died of the plague?</t>
  </si>
  <si>
    <t>pathogens, an allograft</t>
  </si>
  <si>
    <t>Who wrote the poem The Mark of Anarchy?</t>
  </si>
  <si>
    <t>According to the theory, what does the name "Huguenot" mean?</t>
  </si>
  <si>
    <t>What year was Casimir Pulaski born in Warsaw?</t>
  </si>
  <si>
    <t>person or group of people</t>
  </si>
  <si>
    <t>its humoral system</t>
  </si>
  <si>
    <t>What does not regularly use input coding as its concrete choice?</t>
  </si>
  <si>
    <t>The Central Region</t>
  </si>
  <si>
    <t>How many farms are there in Victoria?</t>
  </si>
  <si>
    <t>What was the proportion of Huguenots to Catholics at their peak?</t>
  </si>
  <si>
    <t>wid[en] people’s choices and the level of their achieved well-being</t>
  </si>
  <si>
    <t>After what battle did Union forces leave Jacksonville for good?</t>
  </si>
  <si>
    <t>The hardest problems in NP can be analogously written as what class of problems?</t>
  </si>
  <si>
    <t>What was huihui?</t>
  </si>
  <si>
    <t>Des Moines College, Kalamazoo College, Butler University, and Stetson University</t>
  </si>
  <si>
    <t>11 of the then 12 member states</t>
  </si>
  <si>
    <t>his eldest son, Zhenjin</t>
  </si>
  <si>
    <t>90 to 95</t>
  </si>
  <si>
    <t>What triggers a slow killing response?</t>
  </si>
  <si>
    <t>authors Richard Wilkinson and Kate Pickett</t>
  </si>
  <si>
    <t>Which theorem can be simplified to the prime ideals theorem?</t>
  </si>
  <si>
    <t>When wasn't the French and Indian War?</t>
  </si>
  <si>
    <t>What areas do copepods like to live?</t>
  </si>
  <si>
    <t>around 20 hours</t>
  </si>
  <si>
    <t>Where according to gross state product does Victoria rank in Australia?</t>
  </si>
  <si>
    <t>Several project structures can assist the owner in this integration, including design-build, partnering and construction management. In general, each of these project structures allows the owner to integrate the services of architects, interior designers, engineers and constructors throughout design and construction. In response, many companies are growing beyond traditional offerings of design or construction services alone and are placing more emphasis on establishing relationships with other necessary participants through the design-build process.</t>
  </si>
  <si>
    <t>What counties are connected to Los Angeles, Ventura, and San Bernardino by one line?</t>
  </si>
  <si>
    <t>the smallest subfield</t>
  </si>
  <si>
    <t>Europe</t>
  </si>
  <si>
    <t>When did Denmark join the EU?</t>
  </si>
  <si>
    <t>northwest across Europe</t>
  </si>
  <si>
    <t>Charleston, South Carolina</t>
  </si>
  <si>
    <t>the Monroe Doctrine</t>
  </si>
  <si>
    <t>What was the unimportance of the congress?</t>
  </si>
  <si>
    <t>the Battle of Hastings</t>
  </si>
  <si>
    <t>How similar was the Lisbon Treaty to the constitutional treaty?</t>
  </si>
  <si>
    <t>MHC I (major histocompatibility complex)</t>
  </si>
  <si>
    <t>When the election produced an SNP majority government, what was it the first occurrence of?</t>
  </si>
  <si>
    <t>four men attending Harvard College for every woman studying at Radcliffe</t>
  </si>
  <si>
    <t>What number did Henri Lebesgue not regard as a true number?</t>
  </si>
  <si>
    <t>What was the basis mentioned for the develpment of the general theory of relativity?</t>
  </si>
  <si>
    <t>Vendobionta</t>
  </si>
  <si>
    <t>What company agreed to terminate high court proceedings with BSkyB?</t>
  </si>
  <si>
    <t>What play by Oedipus, demonstrates civil disobedience?</t>
  </si>
  <si>
    <t>What provides a solution to a list of integers provided as input that ned to be sorted?</t>
  </si>
  <si>
    <t>How much revenue is private?</t>
  </si>
  <si>
    <t>around 11.5 inches</t>
  </si>
  <si>
    <t>20th Century</t>
  </si>
  <si>
    <t xml:space="preserve">Was the Use of the DATANET 1 name correct </t>
  </si>
  <si>
    <t>in 1185</t>
  </si>
  <si>
    <t>In what complexity class do complement problems of NP problems exist?</t>
  </si>
  <si>
    <t>During which period did Jacksonville become a popular destination for the rich?</t>
  </si>
  <si>
    <t>What gas does the airline exothermic reaction produce?</t>
  </si>
  <si>
    <t>What flows between the Bingen and Bonn?</t>
  </si>
  <si>
    <t>education of children as Catholics</t>
  </si>
  <si>
    <t>a global sense</t>
  </si>
  <si>
    <t>Karakorum</t>
  </si>
  <si>
    <t>Who riled that member stated could not restrict a company from moving its seat of business without infringing TFEU article 49?</t>
  </si>
  <si>
    <t>Where does the Upper Rhine flow through?</t>
  </si>
  <si>
    <t>What sort of system releases the exhaust steam into the atmosphere?</t>
  </si>
  <si>
    <t>What do Killer B cells kill?</t>
  </si>
  <si>
    <t>Queen Elizabeth</t>
  </si>
  <si>
    <t>When did Herve go up against the Turks?</t>
  </si>
  <si>
    <t>framework</t>
  </si>
  <si>
    <t>What astronomer hated Kublai?</t>
  </si>
  <si>
    <t>ca. 2 million</t>
  </si>
  <si>
    <t>What did the Salafi movement put emphasis on?</t>
  </si>
  <si>
    <t>What is another term for the the string of a problem question?</t>
  </si>
  <si>
    <t>In what way did Lavoisier see that the tin he used in his experiment had increased?</t>
  </si>
  <si>
    <t>What institution doesn't Robert Barro hail from?</t>
  </si>
  <si>
    <t>protest and political action</t>
  </si>
  <si>
    <t>Thoreau argues that usually majority rules but their views collectively are sometimes?</t>
  </si>
  <si>
    <t>What was considered to be incorrect for the services given out by KPN?</t>
  </si>
  <si>
    <t>What institution does Robert Barro hail from?</t>
  </si>
  <si>
    <t>Where did Marin build first fort?</t>
  </si>
  <si>
    <t>in the possession of already-wealthy individuals or entities</t>
  </si>
  <si>
    <t>What was the proposed solution to Jacksonville's tax issues?</t>
  </si>
  <si>
    <t>What did article 65 of the ECSC ban?</t>
  </si>
  <si>
    <t xml:space="preserve">Funding limitations allowed CSNET to be what </t>
  </si>
  <si>
    <t>What year did Hoesung Lee become President?</t>
  </si>
  <si>
    <t xml:space="preserve"> When did the Jip dynasty begin?</t>
  </si>
  <si>
    <t>analysis of algorithms</t>
  </si>
  <si>
    <t>Who serves as Microsoft and MF Global CEO?</t>
  </si>
  <si>
    <t>What amount of the worlds carbon is stored in the Amazon forest?</t>
  </si>
  <si>
    <t>What symbol was employed until early in the 20th century?</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</si>
  <si>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</si>
  <si>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 xml:space="preserve">What rive joins the Rhine in Duisburg? </t>
  </si>
  <si>
    <t>Between the 1880s and World War II</t>
  </si>
  <si>
    <t>sovereign branches of government</t>
  </si>
  <si>
    <t>When did the Rhine stop being the Roman boundary?</t>
  </si>
  <si>
    <t>What was the Seven Years War?</t>
  </si>
  <si>
    <t>Mazda, Mitsubishi and Isuzu joined partnership with which American car company?</t>
  </si>
  <si>
    <t>1749</t>
  </si>
  <si>
    <t>Olympic class</t>
  </si>
  <si>
    <t>1599</t>
  </si>
  <si>
    <t>In 1942, what was North Fresno previously called?</t>
  </si>
  <si>
    <t>What was compounding seen as being in the marine industry?</t>
  </si>
  <si>
    <t>Which side won the First World War Battle of Tannenberg?</t>
  </si>
  <si>
    <t>HT does not engage in armed jihad or work for a democratic system, but works to take power through "ideological struggle" to change Muslim public opinion, and in particular through elites who will "facilitate" a "change of the government," i.e., launch a "bloodless" coup. It allegedly attempted and failed such coups in 1968 and 1969 in Jordan, and in 1974 in Egypt, and is now banned in both countries. But many HT members have gone on to join terrorist groups and many jihadi terrorists have cited HT as their key influence.</t>
  </si>
  <si>
    <t>How many campuses affiliated with Harvard existed in 1977?</t>
  </si>
  <si>
    <t>What was the effect of the housing crash on the region?</t>
  </si>
  <si>
    <t>Wilson's geographer.</t>
  </si>
  <si>
    <t>the direction of making it seem like climate change is more serious</t>
  </si>
  <si>
    <t>World Heritage Site</t>
  </si>
  <si>
    <t>What did Eliot handing out The Harvard Crimson at a regatta do for the school in 1875?</t>
  </si>
  <si>
    <t>In what year was the Huguenot Society for America founded?</t>
  </si>
  <si>
    <t>What city has a population of 3.3 million people?</t>
  </si>
  <si>
    <t>What pathway that plays a role in immune response to viruses is present in all eukaryotes?</t>
  </si>
  <si>
    <t>How many Huguenots emigrated to North America as colonists?</t>
  </si>
  <si>
    <t>How can you protest against the government in an individual way?</t>
  </si>
  <si>
    <t>What NLH teams are from Southern California?</t>
  </si>
  <si>
    <t>agriculture and silviculture</t>
  </si>
  <si>
    <t xml:space="preserve"> When was the Ottoman Caliphate maintained?</t>
  </si>
  <si>
    <t>76,000 to 540,000</t>
  </si>
  <si>
    <t>the university and military academy</t>
  </si>
  <si>
    <t xml:space="preserve"> When did Otto von Bismarck die?</t>
  </si>
  <si>
    <t>What is the standard of living for most families in Kathmandu?</t>
  </si>
  <si>
    <t>national courts</t>
  </si>
  <si>
    <t xml:space="preserve">In the layered model of the Earth there are seismic discontinuities in which layer? </t>
  </si>
  <si>
    <t>How many French Huguenots in Manakin Town ended up moving to Kentucky?</t>
  </si>
  <si>
    <t>he sent missionaries, backed by a fund to financially reward converts</t>
  </si>
  <si>
    <t>10% of the carbon stores</t>
  </si>
  <si>
    <t>What city served as Poland's capital in 1313?</t>
  </si>
  <si>
    <t>What year did Iqbal return to Lahore?</t>
  </si>
  <si>
    <t>What medicines to do hyperbaric chambers use?</t>
  </si>
  <si>
    <t>What was established in 1809?</t>
  </si>
  <si>
    <t>Who does Edward Said say is being attacked by US imperialism?</t>
  </si>
  <si>
    <t>How can the deposition of compliment kill invader cells directly?</t>
  </si>
  <si>
    <t xml:space="preserve">Telnet was sold to </t>
  </si>
  <si>
    <t>carriage of their respective basic channels</t>
  </si>
  <si>
    <t>What was the total number of homes Sky announced that had Sky+HD in March of 2012?</t>
  </si>
  <si>
    <t>What is the problem attributed to defining if three finite graphs are isomorphic?</t>
  </si>
  <si>
    <t>Who is one of Frederick Williams' descendants?</t>
  </si>
  <si>
    <t>infrequent rain</t>
  </si>
  <si>
    <t>Maria Goeppert-Mayer</t>
  </si>
  <si>
    <t>1945</t>
  </si>
  <si>
    <t>When did Robert Mayow prove his theories?</t>
  </si>
  <si>
    <t>What happened with the ground water level with the Rhine straightening program?</t>
  </si>
  <si>
    <t>Other than surf, what other culture is southern California home to?</t>
  </si>
  <si>
    <t>wine industry</t>
  </si>
  <si>
    <t>big O notation</t>
  </si>
  <si>
    <t>What organization did Paul Baran work with in the United Kingdom?</t>
  </si>
  <si>
    <t>How did the principle treaties that form the Canadian Union begin?</t>
  </si>
  <si>
    <t>Lake George</t>
  </si>
  <si>
    <t>a simple majority</t>
  </si>
  <si>
    <t>Last Glacial Maximum</t>
  </si>
  <si>
    <t>permanent pulmonary fibrosis</t>
  </si>
  <si>
    <t>What's the name of where the Rhine branches off near Dordrecht?</t>
  </si>
  <si>
    <t>Who did Frank Burnet inspire with a suggestion?</t>
  </si>
  <si>
    <t>Which rail line operates in Melbourne?</t>
  </si>
  <si>
    <t>twenty-five widows who settled in Dover</t>
  </si>
  <si>
    <t>apoptosis</t>
  </si>
  <si>
    <t>In what year did Newcomen patent his steam pump?</t>
  </si>
  <si>
    <t>Who was the main detractor of the cellular theory of immunity?</t>
  </si>
  <si>
    <t>What principle helps define the key bed?</t>
  </si>
  <si>
    <t>What does a constuction engineer manage?</t>
  </si>
  <si>
    <t>Compared to other Australian cities, what is the size of Melbourne?</t>
  </si>
  <si>
    <t>finite</t>
  </si>
  <si>
    <t>What type of requirement does the College's common core require?</t>
  </si>
  <si>
    <t xml:space="preserve">Revolutionary civil disobedience towards culture is highlighted by example of who? </t>
  </si>
  <si>
    <t>Who became the King of the Canary Islands?</t>
  </si>
  <si>
    <t xml:space="preserve">Classification of resources is contingent on determining the upper and lower bounds of minimum time required by what?  </t>
  </si>
  <si>
    <t>"Wise up or die."</t>
  </si>
  <si>
    <t>Which central European country had a Calvinist ruler?</t>
  </si>
  <si>
    <t>E.I. du Pont</t>
  </si>
  <si>
    <t>What was authored in the 12th century?</t>
  </si>
  <si>
    <t>What was sold to foreign PTTs?</t>
  </si>
  <si>
    <t>Polonia Warsaw</t>
  </si>
  <si>
    <t>What additional benefits are there to surrounding community of expansion?</t>
  </si>
  <si>
    <t>What type of skills does the market bid down compensation for?</t>
  </si>
  <si>
    <t>Where is St. Gregory's College located?</t>
  </si>
  <si>
    <t>What can the working fluid in a boiler cycle operate as?</t>
  </si>
  <si>
    <t>When did Eastern governments support fledgling Islamists?</t>
  </si>
  <si>
    <t>Geochronologists</t>
  </si>
  <si>
    <t>How long was the Summer Theatre in operation?</t>
  </si>
  <si>
    <t>Who was a prominent Huguenot in Holland?</t>
  </si>
  <si>
    <t>What impact does higher worker productivity and leveled pay have on higher earners?</t>
  </si>
  <si>
    <t>415,000</t>
  </si>
  <si>
    <t>Germany and Scandinavia</t>
  </si>
  <si>
    <t>The further decline of Byzantine state-of-affairs paved the road to a third attack in 1185, when a large Norman army invaded Dyrrachium, owing to the betrayal of high Byzantine officials. Some time later, Dyrrachium—one of the most important naval bases of the Adriatic—fell again to Byzantine hands.</t>
  </si>
  <si>
    <t>5 million</t>
  </si>
  <si>
    <t>1259</t>
  </si>
  <si>
    <t>a war erupted</t>
  </si>
  <si>
    <t>What event is held at Port Sunshine in Victoria?</t>
  </si>
  <si>
    <t>planning,[citation needed] design, and financing and continues until the project is built</t>
  </si>
  <si>
    <t>In what year was Frederick William named as the Elector of Brandenburg?</t>
  </si>
  <si>
    <t>The second buildings of the U of C are known as what?</t>
  </si>
  <si>
    <t>What famous author used similarity and likeness of Percy Shelly in his writing?</t>
  </si>
  <si>
    <t>Community-based conservation efforts are being replaced where</t>
  </si>
  <si>
    <t>Why are coastal species tough?</t>
  </si>
  <si>
    <t>How many people were in French North American Colonies?</t>
  </si>
  <si>
    <t>honorary member of the Iroquois Confederacy</t>
  </si>
  <si>
    <t>Why could a Dutch lawyer who moved to Belgium give legal advice?</t>
  </si>
  <si>
    <t>What English law made that country more welcoming to Huguenots?</t>
  </si>
  <si>
    <t>Inland Empire</t>
  </si>
  <si>
    <t>By how much did Harvard management reduce its South Africa holdings in response to pressure?</t>
  </si>
  <si>
    <t>What forces shouldn't serve as a brake on wealth concentration?</t>
  </si>
  <si>
    <t>What car is licensed by the FSO Car Factory and built in Egypt?</t>
  </si>
  <si>
    <t>southern California</t>
  </si>
  <si>
    <t>Ice Ages</t>
  </si>
  <si>
    <t>British occupation</t>
  </si>
  <si>
    <t>creation of modern Balkan and Middle Eastern states</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</si>
  <si>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</si>
  <si>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What is a simple form of civil disobedience?</t>
  </si>
  <si>
    <t>What is the least important problem in the United States and elsewhere?</t>
  </si>
  <si>
    <t>What may be presented to Parliament in various ways?</t>
  </si>
  <si>
    <t>What do all Roman Catholic schools teach?</t>
  </si>
  <si>
    <t>Who took over the San Joaquin Valley Railroad branchlines?</t>
  </si>
  <si>
    <t xml:space="preserve">What is the name of the Delta in the Netherlands? </t>
  </si>
  <si>
    <t>binary</t>
  </si>
  <si>
    <t>a fixed set of rules to determine its future actions</t>
  </si>
  <si>
    <t>The following table gives the largest known primes of the mentioned types. Some of these primes have been found using distributed computing. In 2009, the Great Internet Mersenne Prime Search project was awarded a US$100,000 prize for first discovering a prime with at least 10 million digits. The Electronic Frontier Foundation also offers $150,000 and $250,000 for primes with at least 100 million digits and 1 billion digits, respectively. Some of the largest primes not known to have any particular form (that is, no simple formula such as that of Mersenne primes) have been found by taking a piece of semi-random binary data, converting it to a number n, multiplying it by 256k for some positive integer k, and searching for possible primes within the interval [256kn + 1, 256k(n + 1) − 1].[citation needed]</t>
  </si>
  <si>
    <t>The Maroons compete in the NCAA's Division III as members of the University Athletic Association (UAA). The university was a founding member of the Big Ten Conference and participated in the NCAA Division I Men's Basketball and Football and was a regular participant in the Men's Basketball tournament. In 1935, the University of Chicago reached the Sweet Sixteen. In 1935, Chicago Maroons football player Jay Berwanger became the first winner of the Heisman Trophy. However, the university chose to withdraw from the conference in 1946 after University President Robert Maynard Hutchins de-emphasized varsity athletics in 1939 and dropped football. (In 1969, Chicago reinstated football as a Division III team, resuming playing its home games at the new Stagg Field.)</t>
  </si>
  <si>
    <t>From the perspective of whom in the car is the vehicle and everything inside of it at rest?</t>
  </si>
  <si>
    <t>medicines</t>
  </si>
  <si>
    <t>life expectancy is lower</t>
  </si>
  <si>
    <t>about 3 miles</t>
  </si>
  <si>
    <t>How many Huguenots fled France by the 1700s?</t>
  </si>
  <si>
    <t>In what year did Pierre de Fermat declare Euler's little theorem?</t>
  </si>
  <si>
    <t>What are the two simple word responses to a decision problem?</t>
  </si>
  <si>
    <t>When did Jamaa Islamiya renounce violence?</t>
  </si>
  <si>
    <t>Which reports follow a different procedure than the assessment reports?</t>
  </si>
  <si>
    <t>When is the oldest armed seal of Sigilium from?</t>
  </si>
  <si>
    <t>What is sometimes impossible to model?</t>
  </si>
  <si>
    <t>What are three types of sediment partilces that have been found?</t>
  </si>
  <si>
    <t>passive short-term memory or active long-term memory</t>
  </si>
  <si>
    <t>What is the full official city name of Warsaw?</t>
  </si>
  <si>
    <t>the Mi'kmaq and the Abenaki</t>
  </si>
  <si>
    <t>Most of the Rhine's current course was not under the ice during the last Ice Age; although, its source must still have been a glacier. A tundra, with Ice Age flora and fauna, stretched across middle Europe, from Asia to the Atlantic Ocean. Such was the case during the Last Glacial Maximum, ca. 22,000–14,000 yr BP, when ice-sheets covered Scandinavia, the Baltics, Scotland and the Alps, but left the space between as open tundra. The loess or wind-blown dust over that tundra, settled in and around the Rhine Valley, contributing to its current agricultural usefulness.</t>
  </si>
  <si>
    <t>lower wages</t>
  </si>
  <si>
    <t>Which section of the Rhine is most factories found?</t>
  </si>
  <si>
    <t>Compared to Smeaton's improvement on Newcomen's engine, how much coal did Watt's engine use?</t>
  </si>
  <si>
    <t>French and Indian War</t>
  </si>
  <si>
    <t>How is time taken expressed as a function of x?</t>
  </si>
  <si>
    <t>How is oxygen ranked as abundant in the universe?</t>
  </si>
  <si>
    <t>What was abolished during the apartheid era?</t>
  </si>
  <si>
    <t>Why is there not a push for the U.S. to reduce consumer drug costs?</t>
  </si>
  <si>
    <t>Where can population estimates be extrapolated from?</t>
  </si>
  <si>
    <t>What difficulties was Shirly having?</t>
  </si>
  <si>
    <t>Prime ideals are the points of algebro-geometric objects, via the notion of the spectrum of a ring. Arithmetic geometry also benefits from this notion, and many concepts exist in both geometry and number theory. For example, factorization or ramification of prime ideals when lifted to an extension field, a basic problem of algebraic number theory, bears some resemblance with ramification in geometry. Such ramification questions occur even in number-theoretic questions solely concerned with integers. For example, prime ideals in the ring of integers of quadratic number fields can be used in proving quadratic reciprocity, a statement that concerns the solvability of quadratic equations</t>
  </si>
  <si>
    <t>Where did water to the east of the Amazon drainage basin flow towards?</t>
  </si>
  <si>
    <t>Which artist has a piece of his artwork located at the Fulton Mall?</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</si>
  <si>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</si>
  <si>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 xml:space="preserve"> How did the party overthrow the elected government in 1929?</t>
  </si>
  <si>
    <t>1978</t>
  </si>
  <si>
    <t>What do capitalist firms substitute equipment for in a Marxian analysis?</t>
  </si>
  <si>
    <t>What political party is strongest in Melbourne's working class suburbs?</t>
  </si>
  <si>
    <t>What makes up 0.9% of the Earth's crust by mass?</t>
  </si>
  <si>
    <t>King of Thebes</t>
  </si>
  <si>
    <t>A Pharmacy Technician in the UK is considered a health care professional and often does not work under the direct supervision of a pharmacist (if employed in a hospital pharmacy) but instead is supervised and managed by other senior pharmacy technicians. In the UK the role of a PhT has grown and responsibility has been passed on to them to manage the pharmacy department and specialised areas in pharmacy practice allowing pharmacists the time to specialise in their expert field as medication consultants spending more time working with patients and in research. A pharmacy technician once qualified has to register as a professional on the General Pharmaceutical Council (GPhC) register. The GPhC is the governing body for pharmacy health care professionals and this is who regulates the practice of pharmacists and pharmacy technicians.</t>
  </si>
  <si>
    <t>What forces can be modeled using ideal friction strings?</t>
  </si>
  <si>
    <t>What is the name for O3 most often used?</t>
  </si>
  <si>
    <t>For what railroad did Stephenson build a locomotive in 1825?</t>
  </si>
  <si>
    <t xml:space="preserve">Where were servers hosted? </t>
  </si>
  <si>
    <t>When did Pachauri resign as chair of the IPCC?</t>
  </si>
  <si>
    <t>congresses and presidents</t>
  </si>
  <si>
    <t>owner of the property</t>
  </si>
  <si>
    <t>What is the famous rock near Sanke Goarshausen?</t>
  </si>
  <si>
    <t xml:space="preserve"> What were the three forms of environmental determinism?</t>
  </si>
  <si>
    <t>Who measures oxygen-18 and oxygen-16 in skeletons of all organisms?</t>
  </si>
  <si>
    <t>Maria de la Queillerie</t>
  </si>
  <si>
    <t>World Meteorological Organization (WMO) and the United Nations Environment Programme (UNEP),</t>
  </si>
  <si>
    <t>What is the least critical resource measured in assessing the determination of a Turing machine's ability to solve any given set of problems?</t>
  </si>
  <si>
    <t>What medical appliance can be a concern for oxygen toxicity?</t>
  </si>
  <si>
    <t>1249</t>
  </si>
  <si>
    <t>What organization offers monetary awards for identifying primes with at least 100 million digits?</t>
  </si>
  <si>
    <t>What did George Carlin send to the city council in New Hampshire?</t>
  </si>
  <si>
    <t>What do extremely equal societies tend to be?</t>
  </si>
  <si>
    <t>What is the only way to forward packets?</t>
  </si>
  <si>
    <t>In 1891 Scottish chemist James Dewar was able to produce enough liquid oxygen to study. The first commercially viable process for producing liquid oxygen was independently developed in 1895 by German engineer Carl von Linde and British engineer William Hampson. Both men lowered the temperature of air until it liquefied and then distilled the component gases by boiling them off one at a time and capturing them. Later, in 1901, oxyacetylene welding was demonstrated for the first time by burning a mixture of acetylene and compressed O
2. This method of welding and cutting metal later became common.</t>
  </si>
  <si>
    <t>In the effort of maintaining a level of abstraction, what choice is typically left independent?</t>
  </si>
  <si>
    <t>When did BSkyB announce it's intention to replace it's free-to-air digital channels?</t>
  </si>
  <si>
    <t>Joy</t>
  </si>
  <si>
    <t>southern and central parts of France,</t>
  </si>
  <si>
    <t>What is the name of the desert near the border of Nevada?</t>
  </si>
  <si>
    <t>What ideal thermodynamic cycle analyzes the process by which solar engines work?</t>
  </si>
  <si>
    <t>killer T cells</t>
  </si>
  <si>
    <t>Vetra and I Germanica and XX Valeria were the two legions for what?</t>
  </si>
  <si>
    <t>Why are people who distribute leaflets inside courthouses not been arrested?</t>
  </si>
  <si>
    <t>What system gives an organism long lasting immunity against a pathogen?</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</si>
  <si>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</si>
  <si>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Who are the un-elected subordinates of member state governments?</t>
  </si>
  <si>
    <t>When economic inequality is smaller, more waste and pollution is?</t>
  </si>
  <si>
    <t>What are most public schools not a part of?</t>
  </si>
  <si>
    <t>What is the applicant admission rate for class of 2019?</t>
  </si>
  <si>
    <t>Who was the last known European to visit China and return?</t>
  </si>
  <si>
    <t>mathematical models of computation</t>
  </si>
  <si>
    <t xml:space="preserve">How was this possible </t>
  </si>
  <si>
    <t>Lexus</t>
  </si>
  <si>
    <t>Succeeding speakers are usually allotted more what?</t>
  </si>
  <si>
    <t>In the 1970s, the city was the subject of a song, "Walking Into Fresno", written by Hall Of Fame guitarist Bill Aken and recorded by Bob Gallion of the world-famous "WWVA Jamboree" radio and television show in Wheeling, West Virginia. Aken, adopted by Mexican movie actress Lupe Mayorga, grew up in the neighboring town of Madera and his song chronicled the hardships faced by the migrant farm workers he saw as a child. Aken also made his first TV appearance playing guitar on the old country-western show at The Fresno Barn.</t>
  </si>
  <si>
    <t>do not have voting rights</t>
  </si>
  <si>
    <t>October 2016</t>
  </si>
  <si>
    <t>What is the term private school restricted to in the US?</t>
  </si>
  <si>
    <t>Several barriers protect organisms from infection, including mechanical, chemical, and biological barriers. The waxy cuticle of many leaves, the exoskeleton of insects, the shells and membranes of externally deposited eggs, and skin are examples of mechanical barriers that are the first line of defense against infection. However, as organisms cannot be completely sealed from their environments, other systems act to protect body openings such as the lungs, intestines, and the genitourinary tract. In the lungs, coughing and sneezing mechanically eject pathogens and other irritants from the respiratory tract. The flushing action of tears and urine also mechanically expels pathogens, while mucus secreted by the respiratory and gastrointestinal tract serves to trap and entangle microorganisms.</t>
  </si>
  <si>
    <t>southern</t>
  </si>
  <si>
    <t>Computational complexity theory</t>
  </si>
  <si>
    <t>How many pounds of steam per kilowatt hour does the Energiprojekt AB engine use?</t>
  </si>
  <si>
    <t>Which district in Fresno is known as the center for the heavy metal community?</t>
  </si>
  <si>
    <t>blockade French ports, sent out their fleet in February 1755</t>
  </si>
  <si>
    <t>moral issues</t>
  </si>
  <si>
    <t>Who were the two abbots at Fécamp Abbey?</t>
  </si>
  <si>
    <t>In which year did a toxic waste spill from a European ship prompt the Commission to look into legislation against waste?</t>
  </si>
  <si>
    <t>30</t>
  </si>
  <si>
    <t>shelters, educational assistance, free or low cost medical clinics, housing assistance</t>
  </si>
  <si>
    <t>Amboise plot</t>
  </si>
  <si>
    <t>What is also called the nut force?</t>
  </si>
  <si>
    <t>Which plateau is the left part of Vistula on?</t>
  </si>
  <si>
    <t>the Red Army</t>
  </si>
  <si>
    <t>the world's first commercial online service</t>
  </si>
  <si>
    <t>Which non-governmental groups are participants of the plenary sessions?</t>
  </si>
  <si>
    <t>When did the Philippines start teaching English at the primary level in public school?</t>
  </si>
  <si>
    <t>To what extent did Fermat confirm the validity of Euler numbers?</t>
  </si>
  <si>
    <t>more power</t>
  </si>
  <si>
    <t>German citizens when Hitler's secret police demanded to know if they were hiding a Jew in their house</t>
  </si>
  <si>
    <t>capturing three traders and killing 14 people of the Miami nation, including Old Briton</t>
  </si>
  <si>
    <t>What is the largest city in Carpathia?</t>
  </si>
  <si>
    <t>Which organization does the UNFCCC processes support?</t>
  </si>
  <si>
    <t>What century did the spelling with Rh- in English Rhine come from?</t>
  </si>
  <si>
    <t>the set of triples (a, b, c) such that the relation a × b = c holds</t>
  </si>
  <si>
    <t>Beroida</t>
  </si>
  <si>
    <t>What direction do ctenophore swim?</t>
  </si>
  <si>
    <t>Which University ranks having the 9th most number of volumes in the US?</t>
  </si>
  <si>
    <t>What does the inability to separate Islam from Islamism lead many in the Eest to support?</t>
  </si>
  <si>
    <t>Terra Nullius is a Latin expression meaning what in English?</t>
  </si>
  <si>
    <t>617 ft</t>
  </si>
  <si>
    <t>it is neither zero nor a unit</t>
  </si>
  <si>
    <t>bacteriophage</t>
  </si>
  <si>
    <t>What do the auricles do?</t>
  </si>
  <si>
    <t>Meuse</t>
  </si>
  <si>
    <t>Along with internal combustion engines, what machines have superseded power in some areas?</t>
  </si>
  <si>
    <t>96,660 and 128,843</t>
  </si>
  <si>
    <t>Southern California is most famous for tourism and what notably named district?</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</si>
  <si>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</si>
  <si>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What is a computational solution where a single input is expected for every input?</t>
  </si>
  <si>
    <t>The first item of business in the House of Lords is usually what?</t>
  </si>
  <si>
    <t>What is a fourth possible source for tumor antigens?</t>
  </si>
  <si>
    <t>beta decay (of neutrons in atomic nuclei)</t>
  </si>
  <si>
    <t>Compounding was not popular in the construction of what machines?</t>
  </si>
  <si>
    <t>What tool do they use in public school to maintain discipline?</t>
  </si>
  <si>
    <t>the deportation of the French-speaking Acadian population</t>
  </si>
  <si>
    <t xml:space="preserve"> What did the Gulf War do on purpose in the early 1990s?</t>
  </si>
  <si>
    <t>What is the comparison in price between Australian private schools versus public?</t>
  </si>
  <si>
    <t>Sunni Arabs</t>
  </si>
  <si>
    <t>fund travelers who would come back with tales of their discoveries</t>
  </si>
  <si>
    <t>What does the euplokamis use the three types of movement for?</t>
  </si>
  <si>
    <t xml:space="preserve">What was DATANET 1 </t>
  </si>
  <si>
    <t>Why do packets arrive out of order?</t>
  </si>
  <si>
    <t>Which graph was supported by McIntyre and McKitrick?</t>
  </si>
  <si>
    <t>woodblocks</t>
  </si>
  <si>
    <t>Where was the location of the colonial government that administered the new colony?</t>
  </si>
  <si>
    <t>What else contributes to Jacksonville's summer storms other than land heating beside the water?</t>
  </si>
  <si>
    <t>Who demonstrated that P= NP implies problems not present in P or NP-complete?</t>
  </si>
  <si>
    <t>What did Alec Shelbrooke propose payments of benefits to be made on?</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</si>
  <si>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</si>
  <si>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Mohawk Chief Hendrick</t>
  </si>
  <si>
    <t>What business districts are located in Northern downtown San Diego?</t>
  </si>
  <si>
    <t>When was the Brotherhood first banned in Egypt?</t>
  </si>
  <si>
    <t>a 4-week period</t>
  </si>
  <si>
    <t>What type of plea is sometimes taken as an act of disobedience?</t>
  </si>
  <si>
    <t>How many campuses does the University of California have?</t>
  </si>
  <si>
    <t>Where is Harvard stadium located?</t>
  </si>
  <si>
    <t>What career does Joseph Stiglitz have?</t>
  </si>
  <si>
    <t>What army did Germany successfully defend itself against?</t>
  </si>
  <si>
    <t>It is now possible to convert old relative ages into what type of ages using isotopic dating?</t>
  </si>
  <si>
    <t>Along with non-governmental and nonstate schools, what is another name for private schools?</t>
  </si>
  <si>
    <t>Sky Three</t>
  </si>
  <si>
    <t>international drug suppliers, rather than consumers</t>
  </si>
  <si>
    <t>What event is held at Bells Beach in Victoria?</t>
  </si>
  <si>
    <t>30 days</t>
  </si>
  <si>
    <t>the kilogram-force (</t>
  </si>
  <si>
    <t>sequential</t>
  </si>
  <si>
    <t>acted increasingly aggressively to force the Huguenots to convert</t>
  </si>
  <si>
    <t>What was the Yuan dynasty called in Mongolian?</t>
  </si>
  <si>
    <t>For most organisms, what is the dominant system of defense?</t>
  </si>
  <si>
    <t xml:space="preserve"> What cannot be solved by mechanical application of mathematical steps?</t>
  </si>
  <si>
    <t>a statement to the chamber setting out the Government's legislative programme for the forthcoming year</t>
  </si>
  <si>
    <t>What church in Virginia is maintained by Huguenots as a historic shrine?</t>
  </si>
  <si>
    <t>Why should someone not commit a crime when they are protesting?</t>
  </si>
  <si>
    <t>What will a pharmacist who passes the ambulatory pharmacist exam be called?</t>
  </si>
  <si>
    <t>branching</t>
  </si>
  <si>
    <t>the amount of time for which they are allowed to speak</t>
  </si>
  <si>
    <t>What is France a region of?</t>
  </si>
  <si>
    <t>dangerous enemies</t>
  </si>
  <si>
    <t>Who may introduce new laws or amendments to laws already on the books as a bill?</t>
  </si>
  <si>
    <t>Brotherhood</t>
  </si>
  <si>
    <t>As of 2012, quality private schools in the United States charged substantial tuition, close to $40,000 annually for day schools in New York City, and nearly $50,000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</si>
  <si>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Where had the Mongol capital been before Kublai destroyed it?</t>
  </si>
  <si>
    <t>The Lobata have a pair of lobes, which are muscular, cuplike extensions of the body that project beyond the mouth. Their inconspicuous tentacles originate from the corners of the mouth, running in convoluted grooves and spreading out over the inner surface of the lobes (rather than trailing far behind, as in the Cydippida). Between the lobes on either side of the mouth, many species of lobates have four auricles, gelatinous projections edged with cilia that produce water currents that help direct microscopic prey toward the mouth. This combination of structures enables lobates to feed continuously on suspended planktonic prey.</t>
  </si>
  <si>
    <t>commune</t>
  </si>
  <si>
    <t>apostate</t>
  </si>
  <si>
    <t xml:space="preserve">What does the Premier of Victoria need to lead in the Legislative Assembly? </t>
  </si>
  <si>
    <t>the University of California, Irvine</t>
  </si>
  <si>
    <t>Phillip Island</t>
  </si>
  <si>
    <t>fully funded by private parties</t>
  </si>
  <si>
    <t>Al-Muwaffaq</t>
  </si>
  <si>
    <t>Jacksonville,_Florida</t>
  </si>
  <si>
    <t>What is the largest medical school in Poland?</t>
  </si>
  <si>
    <t>What machine's branching does not exactly capture many of the mathematical models we want to analyze?</t>
  </si>
  <si>
    <t>Imperialism and colonialism don't assert a states dominance over what?</t>
  </si>
  <si>
    <t>What type of major impact did the Norman dynasty have on modern Europe?</t>
  </si>
  <si>
    <t>90,790</t>
  </si>
  <si>
    <t>In what year was the battle that resulted from a Confederate cavalry unit attacking a Union expedition?</t>
  </si>
  <si>
    <t>grew up in substantial privilege</t>
  </si>
  <si>
    <t>What is the most important problem in the United States and elsewhere?</t>
  </si>
  <si>
    <t>Who produced the first geological map of the U.S.?</t>
  </si>
  <si>
    <t>What makes up 11.6% of Jacksonville?</t>
  </si>
  <si>
    <t>How many electorates does the Legislative Council have?</t>
  </si>
  <si>
    <t>How were citizens back in Europe feeling about news from Celeron expedition?</t>
  </si>
  <si>
    <t>microbes</t>
  </si>
  <si>
    <t>What flows after Bingen and Bonn?</t>
  </si>
  <si>
    <t>The formal language</t>
  </si>
  <si>
    <t>How were most city officials elected in the 1960s?</t>
  </si>
  <si>
    <t>to recover market share</t>
  </si>
  <si>
    <t>Frontex</t>
  </si>
  <si>
    <t>aspirational consumption</t>
  </si>
  <si>
    <t xml:space="preserve">What is the height of the section that turns north? </t>
  </si>
  <si>
    <t>Abercrombie</t>
  </si>
  <si>
    <t>sharia law</t>
  </si>
  <si>
    <t>In which county does Jacksonville reside?</t>
  </si>
  <si>
    <t>a glass case</t>
  </si>
  <si>
    <t>How many expansion stages are used by the crankshaft engine?</t>
  </si>
  <si>
    <t>Qwest partnered with who to help create Internet2?</t>
  </si>
  <si>
    <t>Hurricane Dora</t>
  </si>
  <si>
    <t>to submit to the punishment prescribed by law</t>
  </si>
  <si>
    <t>When were attempts made to overcome stationary marketplaces?</t>
  </si>
  <si>
    <t>How many people would die of plague in largely populated cities?</t>
  </si>
  <si>
    <t>What is the force equivalent of torque compared to angular momentum?</t>
  </si>
  <si>
    <t>The abolition of the Ottoman Caliphate is believed to have started what system?</t>
  </si>
  <si>
    <t>ink</t>
  </si>
  <si>
    <t>What do toxins that fail to enter an organism encounter?</t>
  </si>
  <si>
    <t>What practice do all internet pharmacies avoid?</t>
  </si>
  <si>
    <t>former party leader</t>
  </si>
  <si>
    <t>unjust forms of authority</t>
  </si>
  <si>
    <t>Islam's pivotal turning point as occurring not with the death of Ali</t>
  </si>
  <si>
    <t>After 2007 how much do student from families earning less than $60,000 pay for school?</t>
  </si>
  <si>
    <t>In what year did the first European travel the entire length of the Amazon River?</t>
  </si>
  <si>
    <t>more wealth and income</t>
  </si>
  <si>
    <t>How did some suspect that Polo learned about China instead of by actually visiting it?</t>
  </si>
  <si>
    <t>attorney</t>
  </si>
  <si>
    <t>Saudi</t>
  </si>
  <si>
    <t>What type of insect employs the use of prime numbers in its evolutionary strategy?</t>
  </si>
  <si>
    <t>In what year was the Edict of Nantes issued?</t>
  </si>
  <si>
    <t>Modern settlements continue to be destroyed by what?</t>
  </si>
  <si>
    <t>Open</t>
  </si>
  <si>
    <t>Shi Tianze was a Han Chinese who lived in the Jin dynasty. Interethnic marriage between Han and Jurchen became common at this time. His father was Shi Bingzhi (史秉直, Shih Ping-chih). Shi Bingzhi was married to a Jurchen woman (surname Na-ho) and a Han Chinese woman (surname Chang); it is unknown which of them was Shi Tianze's mother. Shi Tianze was married to two Jurchen women, a Han Chinese woman, and a Korean woman, and his son Shi Gang was born to one of his Jurchen wives. The surnames of his Jurchen wives were Mo-nien and Na-ho; the surname of his Korean wife was Li; and the surname of his Han Chinese wife was Shi. Shi Tianze defected to Mongol forces upon their invasion of the Jin dynasty. His son Shi Gang married a Kerait woman; the Kerait were Mongolified Turkic people and were considered part of the "Mongol nation". Shi Tianze (Shih T'ien-tse), Zhang Rou (Chang Jou, 張柔), and Yan Shi (Yen Shih, 嚴實) and other high ranking Chinese who served in the Jin dynasty and defected to the Mongols helped build the structure for the administration of the new state. Chagaan (Tsagaan) and Zhang Rou jointly launched an attack on the Song dynasty ordered by Töregene Khatun.</t>
  </si>
  <si>
    <t xml:space="preserve"> When didn't Kublai ban the international Mongol slave trade?</t>
  </si>
  <si>
    <t>1769</t>
  </si>
  <si>
    <t>bounding</t>
  </si>
  <si>
    <t>How many paid holiday days does the Working Time directive require workers to have each year?</t>
  </si>
  <si>
    <t>a Standard Model</t>
  </si>
  <si>
    <t>Tension forces can be modeled using ideal strings that are massless, frictionless, unbreakable, and unstretchable. They can be combined with ideal pulleys, which allow ideal strings to switch physical direction. Ideal strings transmit tension forces instantaneously in action-reaction pairs so that if two objects are connected by an ideal string, any force directed along the string by the first object is accompanied by a force directed along the string in the opposite direction by the second object. By connecting the same string multiple times to the same object through the use of a set-up that uses movable pulleys, the tension force on a load can be multiplied. For every string that acts on a load, another factor of the tension force in the string acts on the load. However, even though such machines allow for an increase in force, there is a corresponding increase in the length of string that must be displaced in order to move the load. These tandem effects result ultimately in the conservation of mechanical energy since the work done on the load is the same no matter how complicated the machine.</t>
  </si>
  <si>
    <t>The Reconstruction of Religious Thought in Islam</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</si>
  <si>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</si>
  <si>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total number of state transitions, or steps, the machine makes before it halts and outputs the answer</t>
  </si>
  <si>
    <t>Science Magazine</t>
  </si>
  <si>
    <t>Loss of biodiversity is not a concern of what?</t>
  </si>
  <si>
    <t>introduction of Beroe</t>
  </si>
  <si>
    <t>In 1271, Kublai Khan imposed the name Great Yuan (Chinese: 大元; pinyin: Dà Yuán; Wade–Giles: Ta-Yüan), establishing the Yuan dynasty. "Dà Yuán" (大元) is from the sentence "大哉乾元" (dà zai Qián Yuán / "Great is Qián, the Primal") in the Commentaries on the Classic of Changes (I Ching) section regarding Qián (乾). The counterpart in Mongolian language was Dai Ön Ulus, also rendered as Ikh Yuan Üls or Yekhe Yuan Ulus. In Mongolian, Dai Ön (Great Yuan) is often used in conjunction with the "Yeke Mongghul Ulus" (lit. "Great Mongol State"), resulting in Dai Ön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</si>
  <si>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Where did the England's first railway journey terminate?</t>
  </si>
  <si>
    <t>What complexity class is not commonly characterized by unknown algorithms to enhance solubility?</t>
  </si>
  <si>
    <t>What was French military presence at end of war?</t>
  </si>
  <si>
    <t>How many valves did the Corliss engine use?</t>
  </si>
  <si>
    <t>What force is part of the modern SI system?</t>
  </si>
  <si>
    <t>What do orogenic wedges work in the same way as?</t>
  </si>
  <si>
    <t>Exodus</t>
  </si>
  <si>
    <t>What did denial of service attacks make it harder for The Plowshares organization to do?</t>
  </si>
  <si>
    <t>the outbreak of the First World War</t>
  </si>
  <si>
    <t>How did the 2001 IPCC report compare to reality for 2001-2006?</t>
  </si>
  <si>
    <t>What type of reaction is present in the emergency oxygen generator of an airplane?</t>
  </si>
  <si>
    <t>According to Lenin why must capitalistic countries have an imperialistic policy?</t>
  </si>
  <si>
    <t xml:space="preserve">Non-revolutionary civil disobedience is a simple disobedience of laws on the grounds that they are judged "wrong" by an individual conscience, or as part of an effort to render certain laws ineffective, to cause their repeal, or to exert pressure to get one's political wishes on some other issue. Revolutionary civil disobedience is more of an active attempt to overthrow a government (or to change cultural traditions, social customs, religious beliefs, etc...revolution doesn't have to be political, i.e. "cultural revolution", it simply implies sweeping and widespread change to a section of the social fabric). Gandhi's acts have been described as revolutionary civil disobedience. It has been claimed that the Hungarians under Ferenc Deák directed revolutionary civil disobedience against the Austrian government. Thoreau also wrote of civil disobedience accomplishing "peaceable revolution." Howard Zinn, Harvey Wheeler, and others have identified the right espoused in The Declaration of Independence to "alter or abolish" an unjust government to be a principle of civil disobedience. </t>
  </si>
  <si>
    <t>Institute for Policy Studies</t>
  </si>
  <si>
    <t>the mid-Eocene</t>
  </si>
  <si>
    <t>What does the U.S. economic and social model have substantial levels of?</t>
  </si>
  <si>
    <t>When did Mechlin lace develop?</t>
  </si>
  <si>
    <t>What river separates the Rhine from Duisburg?</t>
  </si>
  <si>
    <t>What is the term given to the corresponding algorithm assuming that T represents a mononominal in T(n)?</t>
  </si>
  <si>
    <t>blank spaces on contemporary maps</t>
  </si>
  <si>
    <t>City of Edinburgh Council</t>
  </si>
  <si>
    <t>high supply</t>
  </si>
  <si>
    <t>In the case Geven v Land Nordrhein-Westfalen, how many hours was the Dutch woman in question working in Germany?</t>
  </si>
  <si>
    <t>There is evidence that there have been significant changes in Amazon rainforest vegetation over the last 21,000 years through the Last Glacial Maximum (LGM) and subsequent deglaciation. Analyses of sediment deposits from Amazon basin paleolakes and from the Amazon Fan indicate that rainfall in the basin during the LGM was lower than for the present, and this was almost certainly associated with reduced moist tropical vegetation cover in the basin. There is debate, however, over how extensive this reduction was. Some scientists argue that the rainforest was reduced to small, isolated refugia separated by open forest and grassland; other scientists argue that the rainforest remained largely intact but extended less far to the north, south, and east than is seen today. This debate has proved difficult to resolve because the practical limitations of working in the rainforest mean that data sampling is biased away from the center of the Amazon basin, and both explanations are reasonably well supported by the available data.</t>
  </si>
  <si>
    <t>What does motion along dike swarms maintain?</t>
  </si>
  <si>
    <t>To avoid interference with existing VHF television stations in the San Francisco Bay Area and those planned for Chico, Sacramento, Salinas, and Stockton, the Federal Communications Commission decided that Fresno would only have UHF television stations. The very first Fresno television station to begin broadcasting was KMJ-TV, which debuted on June 1, 1953. KMJ is now known as NBC affiliate KSEE. Other Fresno stations include ABC O&amp;O KFSN, CBS affiliate KGPE, CW affiliate KFRE, FOX affiliate KMPH, MNTV affiliate KAIL, PBS affiliate KVPT, Telemundo O&amp;O KNSO, Univision O&amp;O KFTV, and MundoFox and Azteca affiliate KGMC-DT.</t>
  </si>
  <si>
    <t>What subtle tool can not be used in an informal imperialistic situation to expand a controlled area?</t>
  </si>
  <si>
    <t>Polymerase Chain Reaction (PCR) techniques</t>
  </si>
  <si>
    <t>What body would determine that funding for course content is forbidden?</t>
  </si>
  <si>
    <t>When was the IPCC Third Assessment Report published?</t>
  </si>
  <si>
    <t>270,000</t>
  </si>
  <si>
    <t>$8.7 billion</t>
  </si>
  <si>
    <t>the defeat of Napoleon</t>
  </si>
  <si>
    <t>growth and investment</t>
  </si>
  <si>
    <t xml:space="preserve">Are the sizes of packets variable?  </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</si>
  <si>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</si>
  <si>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How long had John Paul II been the pope in 1979?</t>
  </si>
  <si>
    <t>Germany referred to which area more so than an actual country?</t>
  </si>
  <si>
    <t>Where did the residents of Antioch flee to?</t>
  </si>
  <si>
    <t>imperialist</t>
  </si>
  <si>
    <t>Le grand concludes that an author's words offer only what they intended for them to imply regarding this type of terminology?</t>
  </si>
  <si>
    <t>What country did the Rhine continue to rise during the holocene?</t>
  </si>
  <si>
    <t>Other than 7 and 13, what other year interval do predators pupate?</t>
  </si>
  <si>
    <t>The fundamental theorem of arithmetic</t>
  </si>
  <si>
    <t>In what year did the Black Death spread into England?</t>
  </si>
  <si>
    <t>During what period was southern Europe discovered?</t>
  </si>
  <si>
    <t>11,700 years ago</t>
  </si>
  <si>
    <t>a pivotal event in the Arab Muslim world</t>
  </si>
  <si>
    <t>What was the main idea of James Hutton's paper?</t>
  </si>
  <si>
    <t>ring</t>
  </si>
  <si>
    <t>John M. Grunsfeld</t>
  </si>
  <si>
    <t>non-French linguistic origins</t>
  </si>
  <si>
    <t>Who was Al-Banna's assassination a retaliation for the prior assassination of?</t>
  </si>
  <si>
    <t>What do astronaughts experience while in free-fall?</t>
  </si>
  <si>
    <t>Hagen</t>
  </si>
  <si>
    <t>What is not caused by disorders of the immune system?</t>
  </si>
  <si>
    <t>New Holland</t>
  </si>
  <si>
    <t>Who leads the Student Government?</t>
  </si>
  <si>
    <t>Where was the Rhine regulated with an upper canal?</t>
  </si>
  <si>
    <t>Edmund Bellinger</t>
  </si>
  <si>
    <t>US$1,000,000</t>
  </si>
  <si>
    <t>In regard to companies, the Court of Justice held in R (Daily Mail and General Trust plc) v HM Treasury that member states could restrict a company moving its seat of business, without infringing TFEU article 49. This meant the Daily Mail newspaper's parent company could not evade tax by shifting its residence to the Netherlands without first settling its tax bills in the UK. The UK did not need to justify its action, as rules on company seats were not yet harmonised. By contrast, in Centros Ltd v Erhversus-og Selkabssyrelsen the Court of Justice found that a UK limited company operating in Denmark could not be required to comply with Denmark's minimum share capital rules. UK law only required £1 of capital to start a company, while Denmark's legislature took the view companies should only be started up if they had 200,000 Danish krone (around €27,000) to protect creditors if the company failed and went insolvent. The Court of Justice held that Denmark's minimum capital law infringed Centros Ltd's freedom of establishment and could not be justified, because a company in the UK could admittedly provide services in Denmark without being established there, and there were less restrictive means of achieving the aim of creditor protection. This approach was criticised as potentially opening the EU to unjustified regulatory competition, and a race to the bottom in standards, like in the US where the state Delaware attracts most companies and is often argued to have the worst standards of accountability of boards, and low corporate taxes as a result. Similarly in Überseering BV v Nordic Construction GmbH the Court of Justice held that a German court could not deny a Dutch building company the right to enforce a contract in Germany on the basis that it was not validly incorporated in Germany. Although restrictions on freedom of establishment could be justified by creditor protection, labour rights to participate in work, or the public interest in collecting taxes, denial of capacity went too far: it was an "outright negation" of the right of establishment. However, in Cartesio Oktató és Szolgáltató bt the Court of Justice affirmed again that because corporations are created by law, they are in principle subject to any rules for formation that a state of incorporation wishes to impose. This meant that the Hungarian authorities could prevent a company from shifting its central administration to Italy while it still operated and was incorporated in Hungary. Thus, the court draws a distinction between the right of establishment for foreign companies (where restrictions must be justified), and the right of the state to determine conditions for companies incorporated in its territory, although it is not entirely clear why.</t>
  </si>
  <si>
    <t>Where did Friedrich Ratzel work?</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</si>
  <si>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</si>
  <si>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Minister Robert Dinwiddie had an investment in what significant company?</t>
  </si>
  <si>
    <t>Christchurch</t>
  </si>
  <si>
    <t>Which city is the fifth-largest city in California?</t>
  </si>
  <si>
    <t>Whwn forces are at right ngles to each other what can they be broken down to?</t>
  </si>
  <si>
    <t>three types of movement</t>
  </si>
  <si>
    <t>What led to Newcastle's fall from power as political advisor?</t>
  </si>
  <si>
    <t>Today, Warsaw has some of the best medical facilities in Poland and East-Central Europe. The city is home to the Children's Memorial Health Institute (CMHI), the highest-reference hospital in all of Poland, as well as an active research and education center. While the Maria Skłodowska-Curie Institute of Oncology it is one of the largest and most modern oncological institutions in Europe. The clinical section is located in a 10-floor building with 700 beds, 10 operating theatres, an intensive care unit, several diagnostic departments as well as an outpatient clinic. The infrastructure has developed a lot over the past years.</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</si>
  <si>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</si>
  <si>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How many points of presence did NSFBNS have by 1998?</t>
  </si>
  <si>
    <t>Who was pioneer and studied specific complexity measure in 1948?</t>
  </si>
  <si>
    <t>the old country-western show at The Fresno Barn</t>
  </si>
  <si>
    <t>It expanded again during the Middle Miocene, then retracted to a mostly inland formation at the last glacial maximum.</t>
  </si>
  <si>
    <t>Y. p. orientalis and Y. p. medievalis</t>
  </si>
  <si>
    <t>What year did BSkyB and Microsoft announce their settlement?</t>
  </si>
  <si>
    <t>In the 1540s what region lacked a complex civilization?</t>
  </si>
  <si>
    <t>over two million</t>
  </si>
  <si>
    <t>On 8 February 2007, BSkyB announced its intention to replace its three free-to-air digital terrestrial channels with four subscription channels. It was proposed that these channels would offer a range of content from the BSkyB portfolio including sport (including English Premier League Football), films, entertainment and news. The announcement came a day after Setanta Sports confirmed that it would launch in March as a subscription service on the digital terrestrial platform, and on the same day that NTL's services re-branded as Virgin Media. However, industry sources believe BSkyB will be forced to shelve plans to withdraw its channels from Freeview and replace them with subscription channels, due to possible lost advertising revenue.</t>
  </si>
  <si>
    <t>antibodies</t>
  </si>
  <si>
    <t>Stage 3 is the final stage of the bill and is considered at a meeting of the whole Parliament. This stage comprises two parts: consideration of amendments to the bill as a general debate, and a final vote on the bill. Opposition members can table "wrecking amendments" to the bill, designed to thwart further progress and take up parliamentary time, to cause the bill to fall without a final vote being taken. After a general debate on the final form of the bill, members proceed to vote at Decision Time on whether they agree to the general principles of the final bill.</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</si>
  <si>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</si>
  <si>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How many people lived in Oslo at the start of the plague outbreak in 1654?</t>
  </si>
  <si>
    <t>What has been proven is released by ctenophores becaue of their environment?</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</si>
  <si>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</si>
  <si>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What magnetic and electric force acts on a charge?</t>
  </si>
  <si>
    <t>the Industrial Revolution</t>
  </si>
  <si>
    <t>What devices have been credited as the moving force of the Industrial Revolution?</t>
  </si>
  <si>
    <t>What is the name for a form of oxygen in which electrons are paired?</t>
  </si>
  <si>
    <t>Which TEFU article states that no quantitative restrictions can be placed on trade?</t>
  </si>
  <si>
    <t>France was unwilling to risk large convoys to aid the limited forces it had in New France</t>
  </si>
  <si>
    <t>What other locations can the Booth School of Business be found?</t>
  </si>
  <si>
    <t>What part of France were the Normans located?</t>
  </si>
  <si>
    <t>whether or not to plead guilty</t>
  </si>
  <si>
    <t>The early Cambrian sessile frond-like fossil Stromatoveris, from China's Chengjiang lagerstätte and dated to about 515 million years ago, is very similar to Vendobionta of the preceding Ediacaran period. De-Gan Shu, Simon Conway Morris et al. found on its branches what they considered rows of cilia, used for filter feeding. They suggested that Stromatoveris was an evolutionary "aunt" of ctenophores, and that ctenophores originated from sessile animals whose descendants became swimmers and changed the cilia from a feeding mechanism to a propulsion system.</t>
  </si>
  <si>
    <t>The mayor of Warsaw is called President. Generally, in Poland, the mayors of bigger cities are called presidents – i.e. such cities, which have over 100,000 people or these, where already was president before 1990. The first Warsaw President was Jan Andrzej Menich (1695–1696). Between 1975 and 1990 the Warsaw Presidents was simultaneously the Warsaw Voivode. Since 1990 the President of Warsaw had been elected by the City council. In the years of 1994–1999 the mayor of the district Centrum automatically was designated as the President of Warsaw: the mayor of Centrum was elected by the district council of Centrum and the council was elected only by the Centrum residents. Since 2002 the President of Warsaw is elected by all of the citizens of Warsaw.</t>
  </si>
  <si>
    <t>"ctenes" or "comb plates"</t>
  </si>
  <si>
    <t>What instrument is used to perform analogy and numerical experiments?</t>
  </si>
  <si>
    <t>the convecting mantle</t>
  </si>
  <si>
    <t>What is the escape of the firebox unlikely to accomplish in all but the smallest boilers?</t>
  </si>
  <si>
    <t>What makes energy changes in a closed system?</t>
  </si>
  <si>
    <t>Europe's expansion into territorial imperialism was largely focused on economic growth by collecting resources from colonies, in combination with assuming political control by military and political means. The colonization of India in the mid-18th century offers an example of this focus: there, the "British exploited the political weakness of the Mughal state, and, while military activity was important at various times, the economic and administrative incorporation of local elites was also of crucial significance" for the establishment of control over the subcontinent's resources, markets, and manpower. Although a substantial number of colonies had been designed to provide economic profit and to ship resources to home ports in the seventeenth and eighteenth centuries, Fieldhouse suggests that in the nineteenth and twentieth centuries in places such as Africa and Asia, this idea is not necessarily valid:</t>
  </si>
  <si>
    <t>Philosophers in antiquity used the concept of force in the study of stationary and moving objects and simple machines, but thinkers such as Aristotle and Archimedes retained fundamental errors in understanding force. In part this was due to an incomplete understanding of the sometimes non-obvious force of friction, and a consequently inadequate view of the nature of natural motion. A fundamental error was the belief that a force is required to maintain motion, even at a constant velocity. Most of the previous misunderstandings about motion and force were eventually corrected by Galileo Galilei and Sir Isaac Newton. With his mathematical insight, Sir Isaac Newton formulated laws of motion that were not improved-on for nearly three hundred years. By the early 20th century, Einstein developed a theory of relativity that correctly predicted the action of forces on objects with increasing momenta near the speed of light, and also provided insight into the forces produced by gravitation and inertia.</t>
  </si>
  <si>
    <t>What were the two Huguenot neighborhoods created in Berlin?</t>
  </si>
  <si>
    <t>What is being described when simplicity of geometrical forms are teamed with inspiration from the French period?</t>
  </si>
  <si>
    <t>In a market economy, what is inequality a reflection of?</t>
  </si>
  <si>
    <t>When was did Warsaw's stock exchange decline?</t>
  </si>
  <si>
    <t>Pictet</t>
  </si>
  <si>
    <t>24 August – 3 October 1572</t>
  </si>
  <si>
    <t>Hong Kong in 1894</t>
  </si>
  <si>
    <t xml:space="preserve"> What Jewish practice did the Yuan keep?</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</si>
  <si>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</si>
  <si>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What was the fort that was being destroyed to be named?</t>
  </si>
  <si>
    <t>Who were the current rights holders for the Primer League?</t>
  </si>
  <si>
    <t>The use of what device represented the last major evolution of the steam engine?</t>
  </si>
  <si>
    <t>What impact did the high school education movement have on the presence of skilled workers?</t>
  </si>
  <si>
    <t>What Huguenot church was established in Norwich?</t>
  </si>
  <si>
    <t>adapted quickly and often married outside their immediate French communities</t>
  </si>
  <si>
    <t>still managed to thrive</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</si>
  <si>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</si>
  <si>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When did the undergraduate program become coeducational?</t>
  </si>
  <si>
    <t>What prompted Shen Kuo to believe the land was formed by erosion of the mountains?</t>
  </si>
  <si>
    <t>senior pharmacy technicians</t>
  </si>
  <si>
    <t>When did Herve serve as a Byzantine general?</t>
  </si>
  <si>
    <t>until their economic and political objectives were met</t>
  </si>
  <si>
    <t>the Edict of Nantes</t>
  </si>
  <si>
    <t>dangerous by-products</t>
  </si>
  <si>
    <t>Newcomen's and Watt's</t>
  </si>
  <si>
    <t>115 °F</t>
  </si>
  <si>
    <t>What is a manual application of mathematical steps?</t>
  </si>
  <si>
    <t>What food upsets the balance of microbial populations?</t>
  </si>
  <si>
    <t>chalcogen</t>
  </si>
  <si>
    <t>What will maidens be able to predict by floating their wreaths down the Vistula?</t>
  </si>
  <si>
    <t>Prussia</t>
  </si>
  <si>
    <t>What would indicate that there is a known polynomial-time solution for Ii1?</t>
  </si>
  <si>
    <t>What is one not common example of a critical complexity measure?</t>
  </si>
  <si>
    <t>Who was the first American to win the Nobel Memorial Prize in Economic Sciences?</t>
  </si>
  <si>
    <t>it can fertilize its own egg</t>
  </si>
  <si>
    <t>Commission v Austria the Court</t>
  </si>
  <si>
    <t>1976</t>
  </si>
  <si>
    <t>1964</t>
  </si>
  <si>
    <t>What does Pleurobrachia incorporate into their own tentacles?</t>
  </si>
  <si>
    <t>60,000</t>
  </si>
  <si>
    <t>A job where there are many workers willing to work a large amount of time (high supply) competing for a job that few require (low demand) will result in a low wage for that job. This is because competition between workers drives down the wage. An example of this would be jobs such as dish-washing or customer service. Competition amongst workers tends to drive down wages due to the expendable nature of the worker in relation to his or her particular job. A job where there are few able or willing workers (low supply), but a large need for the positions (high demand), will result in high wages for that job. This is because competition between employers for employees will drive up the wage. Examples of this would include jobs that require highly developed skills, rare abilities, or a high level of risk. Competition amongst employers tends to drive up wages due to the nature of the job, since there is a relative shortage of workers for the particular position. Professional and labor organizations may limit the supply of workers which results in higher demand and greater incomes for members. Members may also receive higher wages through collective bargaining, political influence, or corruption.</t>
  </si>
  <si>
    <t>What did Maududi believe Muslim society could be Islamic in the absence of?</t>
  </si>
  <si>
    <t>After what event did the Spanish concede Florida to Britain?</t>
  </si>
  <si>
    <t>How much of Jacksonville is made up of water?</t>
  </si>
  <si>
    <t>What has Islamism been increasingly interdependent with following the non-Arab Spring?</t>
  </si>
  <si>
    <t>Céloron threatened "Old Briton"</t>
  </si>
  <si>
    <t>Imperialism does not extend a country's power and what?</t>
  </si>
  <si>
    <t>Who moved to Hollywood in 2004?</t>
  </si>
  <si>
    <t>X.25 had less functionality because of what?</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</si>
  <si>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</si>
  <si>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11</t>
  </si>
  <si>
    <t>Melbourne</t>
  </si>
  <si>
    <t>Where did Oursel lead the Franks?</t>
  </si>
  <si>
    <t>In what year did Savery patent his steam pump?</t>
  </si>
  <si>
    <t>What does a T cell extend when it encounters a foreign pathogen?</t>
  </si>
  <si>
    <t>How much did the population New South Wales increase in ten years after the discovery of gold?</t>
  </si>
  <si>
    <t>The "freedom to provide services" under TFEU article 56 applies to people who give services "for remuneration", especially commercial or professional activity. For example, in Van Binsbergen v Bestuur van de Bedrijfvereniging voor de Metaalnijverheid a Dutch lawyer moved to Belgium while advising a client in a social security case, and was told he could not continue because Dutch law said only people established in the Netherlands could give legal advice. The Court of Justice held that the freedom to provide services applied, it was directly effective, and the rule was probably unjustified: having an address in the member state would be enough to pursue the legitimate aim of good administration of justice. The Court of Justice has held that secondary education falls outside the scope of article 56, because usually the state funds it, though higher education does not. Health care generally counts as a service. In Geraets-Smits v Stichting Ziekenfonds Mrs Geraets-Smits claimed she should be reimbursed by Dutch social insurance for costs of receiving treatment in Germany. The Dutch health authorities regarded the treatment unnecessary, so she argued this restricted the freedom (of the German health clinic) to provide services. Several governments submitted that hospital services should not be regarded as economic, and should not fall within article 56. But the Court of Justice held health was a "service" even though the government (rather than the service recipient) paid for the service. National authorities could be justified in refusing to reimburse patients for medical services abroad if the health care received at home was without undue delay, and it followed "international medical science" on which treatments counted as normal and necessary. The Court requires that the individual circumstances of a patient justify waiting lists, and this is also true in the context of the UK's National Health Service. Aside from public services, another sensitive field of services are those classified as illegal. Josemans v Burgemeester van Maastricht held that the Netherlands' regulation of cannabis consumption, including the prohibitions by some municipalities on tourists (but not Dutch nationals) going to coffee shops, fell outside article 56 altogether. The Court of Justice reasoned that narcotic drugs were controlled in all member states, and so this differed from other cases where prostitution or other quasi-legal activity was subject to restriction. If an activity does fall within article 56, a restriction can be justified under article 52 or overriding requirements developed by the Court of Justice. In Alpine Investments BV v Minister van Financiën a business that sold commodities futures (with Merrill Lynch and another banking firms) attempted to challenge a Dutch law that prohibiting cold calling customers. The Court of Justice held the Dutch prohibition pursued a legitimate aim to prevent "undesirable developments in securities trading" including protecting the consumer from aggressive sales tactics, thus maintaining confidence in the Dutch markets. In Omega Spielhallen GmbH v Bonn a "laserdrome" business was banned by the Bonn council. It bought fake laser gun services from a UK firm called Pulsar Ltd, but residents had protested against "playing at killing" entertainment. The Court of Justice held that the German constitutional value of human dignity, which underpinned the ban, did count as a justified restriction on freedom to provide services. In Liga Portuguesa de Futebol v Santa Casa da Misericórdia de Lisboa the Court of Justice also held that the state monopoly on gambling, and a penalty for a Gibraltar firm that had sold internet gambling services, was justified to prevent fraud and gambling where people's views were highly divergent. The ban was proportionate as this was an appropriate and necessary way to tackle the serious problems of fraud that arise over the internet. In the Services Directive a group of justifications were codified in article 16 that the case law has developed.</t>
  </si>
  <si>
    <t>Paleoclimatologists</t>
  </si>
  <si>
    <t>Some elements of the Brotherhood directed what action against the government?</t>
  </si>
  <si>
    <t>1875</t>
  </si>
  <si>
    <t>What did Virgin Media ignore while offering linear channels?</t>
  </si>
  <si>
    <t>What plans of the British didn't this attach on Oneida Carry set back?</t>
  </si>
  <si>
    <t>300 m3/s (11,000 cu ft/s)</t>
  </si>
  <si>
    <t>atmospheric engine</t>
  </si>
  <si>
    <t>ships</t>
  </si>
  <si>
    <t>Polish and international artists a</t>
  </si>
  <si>
    <t>soft power</t>
  </si>
  <si>
    <t>What difficulties wasn't Shirly having?</t>
  </si>
  <si>
    <t xml:space="preserve"> Who did the geographic scholars not work for?</t>
  </si>
  <si>
    <t>Why might a physician diagnose a large number of conditions?</t>
  </si>
  <si>
    <t>What was the original name of California State University at Fresno?</t>
  </si>
  <si>
    <t>behind the foot of the mast</t>
  </si>
  <si>
    <t>collecting resources from colonies</t>
  </si>
  <si>
    <t>What rises during early slow-wave-sleep stage?</t>
  </si>
  <si>
    <t>Who is not responsible for ensuring Parliament runs smoothly?</t>
  </si>
  <si>
    <t>photosynthesis</t>
  </si>
  <si>
    <t>What is the name for the period when members address speakers for up to four minutes?</t>
  </si>
  <si>
    <t>Which direction did the Rhine flow during the last cold phase?</t>
  </si>
  <si>
    <t>What are the wave-particles called that mediate all electromagnetic phenomena?</t>
  </si>
  <si>
    <t>In the layered Earth model, what is the inner core separated by?</t>
  </si>
  <si>
    <t>How many spotted dairy cows are there in Australia?</t>
  </si>
  <si>
    <t>Who is the founder of Microsoft and the third richest man in America?</t>
  </si>
  <si>
    <t>What is the estimated death toll for the Red Army?</t>
  </si>
  <si>
    <t>Thomson</t>
  </si>
  <si>
    <t>What action by Christian Bay helps a society tolerate civil disobedience?</t>
  </si>
  <si>
    <t>Plotting the relationship between level of income and inequality, Kuznets saw middle-income developing economies level of inequality bulging out to form what is now known as the Kuznets curve. Kuznets demonstrated this relationship using cross-sectional data. However, more recent testing of this theory with superior panel data has shown it to be very weak. Kuznets' curve predicts that income inequality will eventually decrease given time. As an example, income inequality did fall in the United States during its High school movement from 1910 to 1940 and thereafter.[citation needed] However, recent data shows that the level of income inequality began to rise after the 1970s. This does not necessarily disprove Kuznets' theory.[citation needed] It may be possible that another Kuznets' cycle is occurring, specifically the move from the manufacturing sector to the service sector.[citation needed] This implies that it may be possible for multiple Kuznets' cycles to be in effect at any given time.</t>
  </si>
  <si>
    <t>belt animals</t>
  </si>
  <si>
    <t>Who wrote "Walking in Fresno?"</t>
  </si>
  <si>
    <t>How much retail activity does the neighborhood have?</t>
  </si>
  <si>
    <t>Does a packet of data have physical mass?</t>
  </si>
  <si>
    <t>natural science</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</si>
  <si>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</si>
  <si>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What can donate dichromates to a fire?</t>
  </si>
  <si>
    <t>building construction, heavy and civil engineering construction, and specialty trade contractors</t>
  </si>
  <si>
    <t>Economist</t>
  </si>
  <si>
    <t>In what country was a full-scale working railway steam locomotive first invented?</t>
  </si>
  <si>
    <t>22,392 km2 or 8,646 sq mi</t>
  </si>
  <si>
    <t>How far is it from Davenports Neck to New Rochelle?</t>
  </si>
  <si>
    <t>What does the smallest and northern main branch begins as?</t>
  </si>
  <si>
    <t>reciprocating steam engines</t>
  </si>
  <si>
    <t>How is the time needed to obtain the question to a problem calculated?</t>
  </si>
  <si>
    <t>substantial privilege</t>
  </si>
  <si>
    <t>pseudo</t>
  </si>
  <si>
    <t>September 1944</t>
  </si>
  <si>
    <t>The first European to travel the length of the Amazon River was Francisco de Orellana in 1542. The BBC's Unnatural Histories presents evidence that Orellana, rather than exaggerating his claims as previously thought, was correct in his observations that a complex civilization was flourishing along the Amazon in the 1540s. It is believed that the civilization was later devastated by the spread of diseases from Europe, such as smallpox. Since the 1970s, numerous geoglyphs have been discovered on deforested land dating between AD 0–1250, furthering claims about Pre-Columbian civilizations. Ondemar Dias is accredited with first discovering the geoglyphs in 1977 and Alceu Ranzi with furthering their discovery after flying over Acre. The BBC's Unnatural Histories presented evidence that the Amazon rainforest, rather than being a pristine wilderness, has been shaped by man for at least 11,000 years through practices such as forest gardening and terra preta.</t>
  </si>
  <si>
    <t>When many people are arrested, what is a common tactic negotiating?</t>
  </si>
  <si>
    <t>Routing a packet requires the node to look up the connection id in a table</t>
  </si>
  <si>
    <t>What did Mote think the Yuan class system really represented?</t>
  </si>
  <si>
    <t>Robert of Jumièges</t>
  </si>
  <si>
    <t>What are the five most populous counties in the United States?</t>
  </si>
  <si>
    <t>What kind of education does Victoria have?</t>
  </si>
  <si>
    <t>What kind of economy does Victoria have?</t>
  </si>
  <si>
    <t>Sociologist</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</si>
  <si>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</si>
  <si>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seizures</t>
  </si>
  <si>
    <t>What did articles 1 to 4 not generally require of workers?</t>
  </si>
  <si>
    <t>contemporary accounts were exaggerations</t>
  </si>
  <si>
    <t>Russia</t>
  </si>
  <si>
    <t>What is St. John's Cathedral an example of, stylistically?</t>
  </si>
  <si>
    <t>Which famous evolutionist was influenced by the book Principles of Geology?</t>
  </si>
  <si>
    <t>What president of the university transformed it into a modern research university?</t>
  </si>
  <si>
    <t>When did OPEC begin?</t>
  </si>
  <si>
    <t>In what sector are jobs beginning to increase?</t>
  </si>
  <si>
    <t>What were the two forms of environmental determinism?</t>
  </si>
  <si>
    <t xml:space="preserve">Who was one French pro-reform Roman Catholic of the 15th century? </t>
  </si>
  <si>
    <t>Who were exempt from the Ministry of Justice?</t>
  </si>
  <si>
    <t>23 years</t>
  </si>
  <si>
    <t>What does an increase in the income share of the bottom 20 percent of people of a society result in?</t>
  </si>
  <si>
    <t>the Taihō Code (701) and re-stated in the Yōrō Code (718)</t>
  </si>
  <si>
    <t>What is the crystal lattice made out of?</t>
  </si>
  <si>
    <t>kilogram-force (kgf)</t>
  </si>
  <si>
    <t>47°39′N 9°19′E﻿ / ﻿47.650°N 9.317°E﻿ / 47.650; 9.317.</t>
  </si>
  <si>
    <t xml:space="preserve">What path does a ball thrown up and down in a moving vehicle take when seen by an outside observer? </t>
  </si>
  <si>
    <t>The specific devolved matters are all subjects which are not explicitly stated in Schedule 5 to the Scotland Act as reserved matters. All matters that are not specifically reserved are automatically devolved to the Scottish Parliament. Most importantly, this includes agriculture, fisheries and forestry, economic development, education, environment, food standards, health, home affairs, Scots law – courts, police and fire services, local government, sport and the arts, transport, training, tourism, research and statistics and social work. The Scottish Parliament has the ability to alter income tax in Scotland by up to 3 pence in the pound. The 2012 Act conferred further fiscal devolution including borrowing powers and some other unconnected matters such as setting speed limits and control of air guns.</t>
  </si>
  <si>
    <t>What percentage of households had children over the age of 18?</t>
  </si>
  <si>
    <t>the races of highest 'social efficiency'"</t>
  </si>
  <si>
    <t>worker, capitalist/business owner, landlord</t>
  </si>
  <si>
    <t>about the disposition of prisoners' personal effects</t>
  </si>
  <si>
    <t>manufacturing</t>
  </si>
  <si>
    <t>Current party leader, David McLetchie lost what seat?</t>
  </si>
  <si>
    <t>What extinction event might have created some conditions allowing the expansion of the amazon rainforest?</t>
  </si>
  <si>
    <t>to constantly expand investment</t>
  </si>
  <si>
    <t>What does being a Conservative do to the seriousness of a protest?</t>
  </si>
  <si>
    <t>From whom did the Huguenots purchase the land where they settled?</t>
  </si>
  <si>
    <t>Who designed the Fogg Museum of Art?</t>
  </si>
  <si>
    <t>What was the goal of Braddock's expedition?</t>
  </si>
  <si>
    <t>When did Hitler order the annihilation of the German Ghetto?</t>
  </si>
  <si>
    <t>9.8 million</t>
  </si>
  <si>
    <t>90°</t>
  </si>
  <si>
    <t>steadily increased</t>
  </si>
  <si>
    <t>What do construction workers with 14 years of experience earn in the Middle East?</t>
  </si>
  <si>
    <t>Egypt</t>
  </si>
  <si>
    <t>about 300</t>
  </si>
  <si>
    <t>Protestant</t>
  </si>
  <si>
    <t>bilaterians</t>
  </si>
  <si>
    <t>Boycotting, refusing to pay taxes, sit ins, and draft dodging all make what harder?</t>
  </si>
  <si>
    <t>disturbed</t>
  </si>
  <si>
    <t>Dinwiddie</t>
  </si>
  <si>
    <t>What is the largest Mansion in the west coast?</t>
  </si>
  <si>
    <t>Sultan Galiev and Vasyl Shakhrai</t>
  </si>
  <si>
    <t>What did various countries request of Congress?</t>
  </si>
  <si>
    <t>What was not originally theorised about a free trade area?</t>
  </si>
  <si>
    <t>In what month was Drancourt and Raoult's research published in 1998?</t>
  </si>
  <si>
    <t>Ford, Chrysler, and GM</t>
  </si>
  <si>
    <t>How did Africa becoming independent change the laws about missionaries coming to Africa?</t>
  </si>
  <si>
    <t>What was constructed to supported NSF in 1985-1999?</t>
  </si>
  <si>
    <t>the Astra 2A</t>
  </si>
  <si>
    <t>What is a variant of the simple expansion pivot mounting?</t>
  </si>
  <si>
    <t>said, "As to the Summons you send me to retire, I do not think myself obliged to obey it."</t>
  </si>
  <si>
    <t>What type of engines became widespread around the end of the 19th century?</t>
  </si>
  <si>
    <t>What is the delta delimited in the North by?</t>
  </si>
  <si>
    <t>Who had issued the Edict of Nantes?</t>
  </si>
  <si>
    <t>Fresno,_California</t>
  </si>
  <si>
    <t>the Queen</t>
  </si>
  <si>
    <t>What is another term for the string of a problem instance?</t>
  </si>
  <si>
    <t>Who was one prominent Huguenot-descended arms manufacturer?</t>
  </si>
  <si>
    <t>How else can petrologists understand the pressures at which different mineral phases appear?</t>
  </si>
  <si>
    <t>How many Native Americans were there in 1970?</t>
  </si>
  <si>
    <t>rotational inertia of planet Earth</t>
  </si>
  <si>
    <t>8,000 years ago</t>
  </si>
  <si>
    <t>Of what does the covalent double bond result from ?</t>
  </si>
  <si>
    <t>What are more complex animals labeled when they have a jelly-like layer?</t>
  </si>
  <si>
    <t>North Carolina and New Mexico</t>
  </si>
  <si>
    <t>What is one supplementary source of European Union law?</t>
  </si>
  <si>
    <t>seismic waves</t>
  </si>
  <si>
    <t>Immigrants arrived from all over the world to search for gold, especially from Ireland and China. Many Chinese miners worked in Victoria, and their legacy is particularly strong in Bendigo and its environs. Although there was some racism directed at them, there was not the level of anti-Chinese violence that was seen at the Lambing Flat riots in New South Wales. However, there was a riot at Buckland Valley near Bright in 1857. Conditions on the gold fields were cramped and unsanitary; an outbreak of typhoid at Buckland Valley in 1854 killed over 1,000 miners.</t>
  </si>
  <si>
    <t>Where is Los Angeles a district of?</t>
  </si>
  <si>
    <t>Who made Robert of Jumieges earl of Hereford?</t>
  </si>
  <si>
    <t>What is the most critical resource in the analysis of computational problems associated with non-deterministic Turing machines?</t>
  </si>
  <si>
    <t>Where was Parliament temporarily relocated to in May of 2000?</t>
  </si>
  <si>
    <t>Which arts were often practiced together by the same artists?</t>
  </si>
  <si>
    <t>What protocol was popular in the 1970s and 80s for Apple?</t>
  </si>
  <si>
    <t>What do helper T cells absorb?</t>
  </si>
  <si>
    <t>What kind of amino acids are overrepresented in epitope regions?</t>
  </si>
  <si>
    <t>What does pluton emplacement give after a stratigraphic sequence is measured in minerals?</t>
  </si>
  <si>
    <t>What concept did Baran research for the US Air Force?</t>
  </si>
  <si>
    <t>When was Warsaw ranked as the 22nd most liveable city in the world?</t>
  </si>
  <si>
    <t>more than 28 days</t>
  </si>
  <si>
    <t>Consultant pharmacy practice focuses more on medication regimen review (i.e. "cognitive services") than on actual dispensing of drugs. Consultant pharmacists most typically work in nursing homes, but are increasingly branching into other institutions and non-institutional settings. Traditionally consultant pharmacists were usually independent business owners, though in the United States many now work for several large pharmacy management companies (primarily Omnicare, Kindred Healthcare and PharMerica). This trend may be gradually reversing as consultant pharmacists begin to work directly with patients, primarily because many elderly people are now taking numerous medications but continue to live outside of institutional settings. Some community pharmacies employ consultant pharmacists and/or provide consulting services.</t>
  </si>
  <si>
    <t>protest</t>
  </si>
  <si>
    <t>Where was France's Huguenot population largely centered?</t>
  </si>
  <si>
    <t>Other than San Bernardino, what is the name of the other city that maintains the districts including University Town?</t>
  </si>
  <si>
    <t>Peabody Museum of Archaeology and Ethnology</t>
  </si>
  <si>
    <t>Duncan</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</si>
  <si>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</si>
  <si>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T(n) = O(n2)</t>
  </si>
  <si>
    <t>What I lent to the team of northern University students discover pottery?</t>
  </si>
  <si>
    <t>What must be done to make non public lawbreaking acknowledged as civil disobedience?</t>
  </si>
  <si>
    <t>American Philosophical Society</t>
  </si>
  <si>
    <t>15 February 1763</t>
  </si>
  <si>
    <t>What cultures were not part of Kublai's administration?</t>
  </si>
  <si>
    <t>What is another notable university in Warsaw after the University of Warsaw?</t>
  </si>
  <si>
    <t>What kind of communication can be implemented?</t>
  </si>
  <si>
    <t>cytokine TGF-β</t>
  </si>
  <si>
    <t>rest</t>
  </si>
  <si>
    <t>What year did King Sigismund III Vasa move his court to Warsaw?</t>
  </si>
  <si>
    <t>The Islamic Republic has also maintained its hold on power in Iran in spite of US economic sanctions, and has created or assisted like-minded Shia terrorist groups in Iraq, Egypt, Syria, Jordan (SCIRI) and Lebanon (Hezbollah) (two Muslim countries that also have large Shiite populations). During the 2006 Israel-Lebanon conflict, the Iranian government enjoyed something of a resurgence in popularity amongst the predominantly Sunni "Arab street," due to its support for Hezbollah and to President Mahmoud Ahmadinejad's vehement opposition to the United States and his call that Israel shall vanish.</t>
  </si>
  <si>
    <t>What schools do preparatory schools prepare British children to attend?</t>
  </si>
  <si>
    <t>How many sources of European Union law are there?</t>
  </si>
  <si>
    <t>infidels</t>
  </si>
  <si>
    <t>In what year did Jani Beg become leader of the Mongol army?</t>
  </si>
  <si>
    <t>The right to create private schools in Germany is in Article 7, Paragraph 4 of the Grundgesetz and cannot be suspended even in a state of emergency. It is also 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6.1% to 7.8% (including rise from 0.5% to 6.1% in the former GDR). Percent of students in private high schools reached 11.1%.</t>
  </si>
  <si>
    <t>What army was pushing deep into Polish territory to pursue The Home Army fighters in 1944?</t>
  </si>
  <si>
    <t>The rotational inertia of planet Earth</t>
  </si>
  <si>
    <t>How many classes outside of their concentration did the Carnegie Foundation require in 2007?</t>
  </si>
  <si>
    <t>government agencies and large companies (mostly banks and airlines) to build their own dedicated networks</t>
  </si>
  <si>
    <t>Rudyard Kipling was an influential spokesman for what?</t>
  </si>
  <si>
    <t>Th1</t>
  </si>
  <si>
    <t>turbine casing</t>
  </si>
  <si>
    <t>What is not stated in Article 5 of the EC Treaty?</t>
  </si>
  <si>
    <t>Why did Warsaw become the capital of the Commonwealth?</t>
  </si>
  <si>
    <t>For what railroad did Murray build a locomotive in 1825?</t>
  </si>
  <si>
    <t>dendritic cells, keratinocytes and macrophages</t>
  </si>
  <si>
    <t>In what year was Henry Ware elected to chair?</t>
  </si>
  <si>
    <t>help preserve society's tolerance of civil disobedience</t>
  </si>
  <si>
    <t>What are considered less accurately to be "fundamental interactions"?</t>
  </si>
  <si>
    <t>What theory of immunity is no longer influential?</t>
  </si>
  <si>
    <t>For a long time, it was thought that the Amazon rainforest was only ever sparsely populated, as it was impossible to sustain a large population through agriculture given the poor soil. Archeologist Betty Meggers was a prominent proponent of this idea, as described in her book Amazonia: Man and Culture in a Counterfeit Paradise. She claimed that a population density of 0.2 inhabitants per square kilometre (0.52/sq mi) is the maximum that can be sustained in the rainforest through hunting, with agriculture needed to host a larger population. However, recent anthropological findings have suggested that the region was actually densely populated. Some 5 million people may have lived in the Amazon region in AD 1500, divided between dense coastal settlements, such as that at Marajó, and inland dwellers. By 1900 the population had fallen to 1 million and by the early 1980s it was less than 200,000.</t>
  </si>
  <si>
    <t>What Union is Antonis Samaras a part of?</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</si>
  <si>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</si>
  <si>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girls</t>
  </si>
  <si>
    <t>2012</t>
  </si>
  <si>
    <t>During what years was William Ellery Channing President of Harvard?</t>
  </si>
  <si>
    <t>The network was engineered and operated by MCI Telecommunications under a cooperative agreement with the NSF</t>
  </si>
  <si>
    <t>When did the Fresno Traction Company begin to provide streetcar connections?</t>
  </si>
  <si>
    <t>What procedures can lower the injury rate among construction workers in the EU?</t>
  </si>
  <si>
    <t>Christ Church Hall</t>
  </si>
  <si>
    <t>What must the integer m be less than or equal to when performing trial division?</t>
  </si>
  <si>
    <t>commercial</t>
  </si>
  <si>
    <t>What degree is now mandatory in the U.S. in order to be a licensed pharmacist?</t>
  </si>
  <si>
    <t>Where in Las Vegas did a famous protest take place?</t>
  </si>
  <si>
    <t>The corruption found by the Committee of Independent Experts resulted to the creation of what office?</t>
  </si>
  <si>
    <t>What side effect of these type of protests is unfortunate?</t>
  </si>
  <si>
    <t>the Convention</t>
  </si>
  <si>
    <t>Sophie Germain</t>
  </si>
  <si>
    <t>Rather than taxation, what are private schools largely funded by?</t>
  </si>
  <si>
    <t>What type of engines became popular for power generation after electric engines?</t>
  </si>
  <si>
    <t>poor application of well-established IPCC procedures</t>
  </si>
  <si>
    <t>The present Mediterranean Sea descends from what sea?</t>
  </si>
  <si>
    <t>What garden was formally only for running?</t>
  </si>
  <si>
    <t>What is colonialism's core meaning?</t>
  </si>
  <si>
    <t>When did Augustus find Rome?</t>
  </si>
  <si>
    <t>How many epochs are there?</t>
  </si>
  <si>
    <t>fill in blank spaces on contemporary maps</t>
  </si>
  <si>
    <t>When is the Ujazdow Gallery Weekend held?</t>
  </si>
  <si>
    <t>How many Englishmen won Battle of Carillon?</t>
  </si>
  <si>
    <t>able to fund travelers</t>
  </si>
  <si>
    <t>Who convenes at the American Council?</t>
  </si>
  <si>
    <t>Kent, particularly Sandwich, Faversham and Maidstone</t>
  </si>
  <si>
    <t>For how many years had temperatures been studied in the 2001 report?</t>
  </si>
  <si>
    <t>As a result of a compromise, about how many Chinese schools became National Type schools?</t>
  </si>
  <si>
    <t>What did the Edict of Nantes encourage in Catholic-controlled areas of France?</t>
  </si>
  <si>
    <t>Since when was the Rhine part of the areal of Hallstatt culture?</t>
  </si>
  <si>
    <t>the 7th century</t>
  </si>
  <si>
    <t>What did Biraben say about the plague in Europe?</t>
  </si>
  <si>
    <t>What is the name of the post-independence government school system in Malaysia?</t>
  </si>
  <si>
    <t>£4.2bn</t>
  </si>
  <si>
    <t>What aren't both Branko Milanovic and Joseph Stiglitz?</t>
  </si>
  <si>
    <t>What type of prime distribution does the Riemann hypothesis propose is also true for short intervals near X?</t>
  </si>
  <si>
    <t>What industry did the nobleman establish with this settlement?</t>
  </si>
  <si>
    <t>£304m</t>
  </si>
  <si>
    <t>hydrophilic</t>
  </si>
  <si>
    <t>Courts have distinguished between two types of civil disobedience: "Indirect civil disobedience involves violating a law which is not, itself, the object of protest, whereas direct civil disobedience involves protesting the existence of a particular law by breaking that law." During the Vietnam War, courts typically refused to excuse the perpetrators of illegal protests from punishment on the basis of their challenging the legality of the Vietnam War; the courts ruled it was a political question. The necessity defense has sometimes been used as a shadow defense by civil disobedients to deny guilt without denouncing their politically motivated acts, and to present their political beliefs in the courtroom. However, court cases such as U.S. v. Schoon have greatly curtailed the availability of the political necessity defense. Likewise, when Carter Wentworth was charged for his role in the Clamshell Alliance's 1977 illegal occupation of the Seabrook Station Nuclear Power Plant, the judge instructed the jury to disregard his competing harms defense, and he was found guilty. Fully Informed Jury Association activists have sometimes handed out educational leaflets inside courthouses despite admonitions not to; according to FIJA, many of them have escaped prosecution because "prosecutors have reasoned (correctly) that if they arrest fully informed jury leafleters, the leaflets will have to be given to the leafleter's own jury as evidence."</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</si>
  <si>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</si>
  <si>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 xml:space="preserve"> Colonialism never means a country doing what?</t>
  </si>
  <si>
    <t>What is the concrete choice typically assumed by most complexity-theoretic theorems?</t>
  </si>
  <si>
    <t>What had Edward Heath told Lord Cromer about taking action in the middle east?</t>
  </si>
  <si>
    <t>How can function problems typically be restated?</t>
  </si>
  <si>
    <t>What are the two largest cities in the United States?</t>
  </si>
  <si>
    <t>Saint Nicolas</t>
  </si>
  <si>
    <t>What did the public KPN service Telepad use?</t>
  </si>
  <si>
    <t>What company supported BSkyB the most?</t>
  </si>
  <si>
    <t>The French Protestant Church of London</t>
  </si>
  <si>
    <t>Brazilian National Institute of Amazonian Research</t>
  </si>
  <si>
    <t>What was the role of phagocytosis before it was used to acquire nutrients?</t>
  </si>
  <si>
    <t>Bayeux Tapestry</t>
  </si>
  <si>
    <t>greenhouse gas</t>
  </si>
  <si>
    <t>SoCal</t>
  </si>
  <si>
    <t>What events are often associated with volcanism and igneous activity?</t>
  </si>
  <si>
    <t>What is the principle that states that with sedimentary rocks, inclusions must be older than the formation that contains them?</t>
  </si>
  <si>
    <t>Where is Geoffrey Parker from?</t>
  </si>
  <si>
    <t>the tax rate</t>
  </si>
  <si>
    <t>What slows down immune functions during sleep?</t>
  </si>
  <si>
    <t>The father of which emperor was a concubine?</t>
  </si>
  <si>
    <t>By when did the Germanic tribes conquer the Celtic peoples?</t>
  </si>
  <si>
    <t>chemical oxygen</t>
  </si>
  <si>
    <t>What was the largest urban fire in the United States?</t>
  </si>
  <si>
    <t>What have been major industries since 1902?</t>
  </si>
  <si>
    <t>Who is usually hired for a design-bid-build contract?</t>
  </si>
  <si>
    <t>Where was Montcalm focusing the defense for New France?</t>
  </si>
  <si>
    <t>Orthodox Christians</t>
  </si>
  <si>
    <t>What do computers use coal to reconstruct?</t>
  </si>
  <si>
    <t xml:space="preserve">What is the largest city the Rhine runs through? </t>
  </si>
  <si>
    <t>What entity enforces the Charter of Fundamental Rights of the European Union?</t>
  </si>
  <si>
    <t>atra mors</t>
  </si>
  <si>
    <t>Who has the role of holding the Scottish Government to account?</t>
  </si>
  <si>
    <t>Daniel Diermeier</t>
  </si>
  <si>
    <t>Systemic acquired resistance (SAR)</t>
  </si>
  <si>
    <t>Where are international corporations headquartered?</t>
  </si>
  <si>
    <t>Euler's totient function</t>
  </si>
  <si>
    <t>They lost money from the beginning, and Sinback, a high-level marketing manager, was given the job of turning the business around</t>
  </si>
  <si>
    <t>State Route 180 comes from which direction via Mendota?</t>
  </si>
  <si>
    <t>Mike Nichols</t>
  </si>
  <si>
    <t>Both X.25 and Frame Relay provide connection-oriented operations. But X.25 does it at the network layer of the OSI Model. Frame Relay does it at level two, the data link layer. Another major difference between X.25 and Frame Relay is that X.25 requires a handshake between the communicating parties before any user packets are transmitted. Frame Relay does not define any such handshakes. X.25 does not define any operations inside the packet network. It only operates at the user-network-interface (UNI). Thus, the network provider is free to use any procedure it wishes inside the network. X.25 does specify some limited re-transmission procedures at the UNI, and its link layer protocol (LAPB) provides conventional HDLC-type link management procedures. Frame Relay is a modified version of ISDN's layer two protocol, LAPD and LAPB. As such, its integrity operations pertain only between nodes on a link, not end-to-end. Any retransmissions must be carried out by higher layer protocols. The X.25 UNI protocol is part of the X.25 protocol suite, which consists of the lower three layers of the OSI Model. It was widely used at the UNI for packet switching networks during the 1980s and early 1990s, to provide a standardized interface into and out of packet networks. Some implementations used X.25 within the network as well, but its connection-oriented features made this setup cumbersome and inefficient. Frame relay operates principally at layer two of the OSI Model. However, its address field (the Data Link Connection ID, or DLCI) can be used at the OSI network layer, with a minimum set of procedures. Thus, it rids itself of many X.25 layer 3 encumbrances, but still has the DLCI as an ID beyond a node-to-node layer two link protocol. The simplicity of Frame Relay makes it faster and more efficient than X.25. Because Frame relay is a data link layer protocol, like X.25 it does not define internal network routing operations. For X.25 its packet IDs---the virtual circuit and virtual channel numbers have to be correlated to network addresses. The same is true for Frame Relays DLCI. How this is done is up to the network provider. Frame Relay, by virtue of having no network layer procedures is connection-oriented at layer two, by using the HDLC/LAPD/LAPB Set Asynchronous Balanced Mode (SABM). X.25 connections are typically established for each communication session, but it does have a feature allowing a limited amount of traffic to be passed across the UNI without the connection-oriented handshake. For a while, Frame Relay was used to interconnect LANs across wide area networks. However, X.25 and well as Frame Relay have been supplanted by the Internet Protocol (IP) at the network layer, and the Asynchronous Transfer Mode (ATM) and or versions of Multi-Protocol Label Switching (MPLS) at layer two. A typical configuration is to run IP over ATM or a version of MPLS. &lt;Uyless Black, X.25 and Related Protocols, IEEE Computer Society, 1991&gt; &lt;Uyless Black, Frame Relay Networks, McGraw-Hill, 1998&gt; &lt;Uyless Black, MPLS and Label Switching Networks, Prentice Hall, 2001&gt; &lt; Uyless Black, ATM, Volume I, Prentice Hall, 1995&gt;</t>
  </si>
  <si>
    <t>in May 2013</t>
  </si>
  <si>
    <t>Aristotle believed that objects in motion on Earth would stay that way if what?</t>
  </si>
  <si>
    <t>What does the Sieve of Eratosthenes do?</t>
  </si>
  <si>
    <t>How many private school students were there in 1979?</t>
  </si>
  <si>
    <t>Seine</t>
  </si>
  <si>
    <t>external</t>
  </si>
  <si>
    <t>it has survived many wars, conflicts and invasions</t>
  </si>
  <si>
    <t>mathematical models</t>
  </si>
  <si>
    <t>What area is the Tower District similar to in architecture?</t>
  </si>
  <si>
    <t xml:space="preserve"> What Khitan leader rejected the Mongols?</t>
  </si>
  <si>
    <t xml:space="preserve"> What kinds of growth did Kublai discourage?</t>
  </si>
  <si>
    <t>host computers</t>
  </si>
  <si>
    <t>[256kn + 1, 256k(n + 1) − 1].</t>
  </si>
  <si>
    <t>When is the correlation occasionally negative?</t>
  </si>
  <si>
    <t>In what conditions were forces first measured historically?</t>
  </si>
  <si>
    <t>prescribe and dispense prescription-only medicines to their patients from within their practices</t>
  </si>
  <si>
    <t>Was the school officially associated with any denomination?</t>
  </si>
  <si>
    <t>The neighborhood features restaurants, live theater and nightclubs, as well as several independent shops and bookstores, currently operating on or near Olive Avenue, and all within a few hundred feet of each other. Since renewal, the Tower District has become an attractive area for restaurant and other local businesses. Today, the Tower District is also known as the center of Fresno's LGBT and hipster Communities.; Additionally, Tower District is also known as the center of Fresno's local punk/goth/deathrock and heavy metal community.[citation needed]</t>
  </si>
  <si>
    <t>599 m to 396 m</t>
  </si>
  <si>
    <t>the comprehensive institutions of the Great Yuan</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</si>
  <si>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</si>
  <si>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substantially increasing the atmospheric concentrations</t>
  </si>
  <si>
    <t>What is heralded by the sounding of the deciding bell?</t>
  </si>
  <si>
    <t>What did Priestley publish in 1774?</t>
  </si>
  <si>
    <t>"self" peptides</t>
  </si>
  <si>
    <t>publicly announced</t>
  </si>
  <si>
    <t>In 1872, the Central Pacific Railroad established a station near Easterby's—by now a hugely productive wheat farm—for its new Southern Pacific line. Soon there was a store around the station and the store grew the town of Fresno Station, later called Fresno. Many Millerton residents, drawn by the convenience of the railroad and worried about flooding, moved to the new community. Fresno became an incorporated city in 1885. By 1931 the Fresno Traction Company operated 47 streetcars over 49 miles of track.</t>
  </si>
  <si>
    <t>Who decides the fate of protesters most of the time?</t>
  </si>
  <si>
    <t>inform the jury and the public</t>
  </si>
  <si>
    <t>What order did British make of French?</t>
  </si>
  <si>
    <t>disappearance of a strong ally and counterweight to British expansion, leading to their ultimate dispossession</t>
  </si>
  <si>
    <t>Where do IPCC reports get their information?</t>
  </si>
  <si>
    <t>What level of economic mobility does the U.S. economy have compared to European countries?</t>
  </si>
  <si>
    <t>What kind of force does not exist under Newton's third law?</t>
  </si>
  <si>
    <t>Which two treaties provided more formal institutions of the European Union?</t>
  </si>
  <si>
    <t>Who attacked Dyrrachium in the 11th century?</t>
  </si>
  <si>
    <t>Which two courts apply European Union law?</t>
  </si>
  <si>
    <t>Who set up what became the Second Polish Republic?</t>
  </si>
  <si>
    <t>How many stories does the Bank of America tower have?</t>
  </si>
  <si>
    <t>There is some debate that there is a not correlation between capitalism, imperialism, and what?</t>
  </si>
  <si>
    <t>Who thought that applied force caused movement of an object regardless of non-zero velocity?</t>
  </si>
  <si>
    <t>What process do moderate and reformist Islamists work within the boundaries of?</t>
  </si>
  <si>
    <t>What company was Bedau a part of while breaking the law by bringing medicine to Iraq?</t>
  </si>
  <si>
    <t>it reflects "a larger challenge to the legal system that permits those decisions to be taken</t>
  </si>
  <si>
    <t>In 1979, what was the average mpg for American cars?</t>
  </si>
  <si>
    <t>When did Maududi leave the Jamaat-e-Islami party?</t>
  </si>
  <si>
    <t>420,000</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</si>
  <si>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</si>
  <si>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When American car companies rolled out with their domestic replacement cars, which policy ended?</t>
  </si>
  <si>
    <t>University of Chicago campus</t>
  </si>
  <si>
    <t>How is income inequality generally viewed by workers?</t>
  </si>
  <si>
    <t>Evolution of what part of the immune system occurred in the evolutionary ancestor of jawed vertebrates?</t>
  </si>
  <si>
    <t>Who wrote "The American War"?</t>
  </si>
  <si>
    <t>In many poor and developing countries much land and housing is held outside the formal or legal property ownership registration system. Much unregistered property is held in informal form through various associations and other arrangements. Reasons for extra-legal ownership include excessive bureaucratic red tape in buying property and building, In some countries it can take over 200 steps and up to 14 years to build on government land. Other causes of extra-legal property are failures to notarize transaction documents or having documents notarized but failing to have them recorded with the official agency.</t>
  </si>
  <si>
    <t>Boolean satisfiability problem</t>
  </si>
  <si>
    <t>How much Victorian farmland is farmed in grains?</t>
  </si>
  <si>
    <t>What is the name of the supposition that any number larger than 2 can be represented as the sum of two primes?</t>
  </si>
  <si>
    <t>10 million</t>
  </si>
  <si>
    <t>What can not solve the NP-complete knapsack problem over a wide range of sizes in less than quadratic time?</t>
  </si>
  <si>
    <t>What runs from the balancer in the statocyst to the comb rows?</t>
  </si>
  <si>
    <t>everything from bringing a test-case in the federal courts to taking aim at a federal official</t>
  </si>
  <si>
    <t>Whose needs will the growth in pharmacy informatics meet?</t>
  </si>
  <si>
    <t>What will be assured because of the political response to the linear model?</t>
  </si>
  <si>
    <t>The restriction modification system is used by bacteria for protection from what pathogens?</t>
  </si>
  <si>
    <t>inherent difficulty</t>
  </si>
  <si>
    <t>In a computational problem, what can be described as a string over an alphabet?</t>
  </si>
  <si>
    <t>In what country can most of the Amazon rainforest be found?</t>
  </si>
  <si>
    <t>How many Victorians have a Buddha statue?</t>
  </si>
  <si>
    <t>1565</t>
  </si>
  <si>
    <t>What are complexity classes generally not classified into?</t>
  </si>
  <si>
    <t>What does pushing and pulling perceptions provide for describing forces?</t>
  </si>
  <si>
    <t>one-fifth</t>
  </si>
  <si>
    <t>The basic unit of territorial division in Poland is a commune (gmina). A city is also a commune – but with the city charter. Both cities and communes are governed by a mayor – but in the communes the mayor is vogt (wójt in Polish), however in the cities – burmistrz. Some bigger cities obtain the entitlements, i.e. tasks and privileges, which are possessed by the units of the second level of the territorial division – counties or powiats. An example of such entitlement is a car registration: a gmina cannot register cars, this is a powiat's task (i.e. a registration number depends on what powiat a car had been registered, not gmina). In this case we say about city county or powiat grodzki. Such cities are for example Lublin, Kraków, Gdańsk, Poznań. In Warsaw, its districts additionally have some of powiat's entitlements – like already mentioned car registration. For example, the district Wola has its own evidence and the district Ursynów – its own (and the cars from Wola have another type of registration number than these from Ursynów). But for instance the districts in Kraków do not have entitlements of powiat, so the registration numbers in Kraków are of the same type for all districts.</t>
  </si>
  <si>
    <t>the Red Turban rebels</t>
  </si>
  <si>
    <t>quality of a country's institutions and high levels of education</t>
  </si>
  <si>
    <t>Where does the Rhine end?</t>
  </si>
  <si>
    <t>quite complex</t>
  </si>
  <si>
    <t>an international data communications network</t>
  </si>
  <si>
    <t>When did the Il-khanate experiment with paper money?</t>
  </si>
  <si>
    <t>Who projected the 1990 levels in the third assessment report?</t>
  </si>
  <si>
    <t>17 years</t>
  </si>
  <si>
    <t xml:space="preserve">What lab does the university have a joint stake in? </t>
  </si>
  <si>
    <t>What did the benefits agency think sports channels on a TV bill ignored?</t>
  </si>
  <si>
    <t>When was the British Nationality Act passed?</t>
  </si>
  <si>
    <t>was a disaster</t>
  </si>
  <si>
    <t xml:space="preserve"> What type of movement is the non-Muslim Brotherhood?</t>
  </si>
  <si>
    <t>What were two consequences of OPEC pushing down oil prices in 1981?</t>
  </si>
  <si>
    <t>Who benefited from CSNET?</t>
  </si>
  <si>
    <t>William Rainey Harper</t>
  </si>
  <si>
    <t>How many student dorms were there in use at Harvard in 2012?</t>
  </si>
  <si>
    <t>what was Fresno's population in 2010?</t>
  </si>
  <si>
    <t>What type of outlook do some of the Muslims in London have?</t>
  </si>
  <si>
    <t>this as well</t>
  </si>
  <si>
    <t>What nationality is Hoesung Lee?</t>
  </si>
  <si>
    <t>passing a stream of clean, dry air through one bed of a pair of identical zeolite molecular sieves</t>
  </si>
  <si>
    <t>religious freedom</t>
  </si>
  <si>
    <t>Since the Peace of Westphalia, the Upper Rhine formed a contentious border between France and Germany. Establishing "natural borders" on the Rhine was a long-term goal of French foreign policy, since the Middle Ages, though the language border was – and is – far more to the west. French leaders, such as Louis XIV and Napoleon Bonaparte, tried with varying degrees of success to annex lands west of the Rhine. The Confederation of the Rhine was established by Napoleon, as a French client state, in 1806 and lasted until 1814, during which time it served as a significant source of resources and military manpower for the First French Empire. In 1840, the Rhine crisis, prompted by French prime minister Adolphe Thiers's desire to reinstate the Rhine as a natural border, led to a diplomatic crisis and a wave of nationalism in Germany.</t>
  </si>
  <si>
    <t>an increase in the land available for cultivation</t>
  </si>
  <si>
    <t>452.8 ft</t>
  </si>
  <si>
    <t>When was the British East India Company established?</t>
  </si>
  <si>
    <t>a reconciliation of medication and patient education resulting in increased patient health outcomes and decreased costs to the health care system</t>
  </si>
  <si>
    <t>Fay</t>
  </si>
  <si>
    <t>Where in Warsaw are patriotic and political objects connected with Poland's struggles for Independence found?</t>
  </si>
  <si>
    <t>What characteristic in recent years has been weakly tied with health in developed countries?</t>
  </si>
  <si>
    <t>390</t>
  </si>
  <si>
    <t>similarity to the checks and balances system of the U.S. and many other governments</t>
  </si>
  <si>
    <t>What is most of the cleared land in the Amazon region used for?</t>
  </si>
  <si>
    <t>Who defeated Anglo-Norman forces during the third Crusade?</t>
  </si>
  <si>
    <t>How did Celeron handle business on trip?</t>
  </si>
  <si>
    <t>bad air</t>
  </si>
  <si>
    <t>In what year were the oldest additions in New Delhi opened?</t>
  </si>
  <si>
    <t>economic growth</t>
  </si>
  <si>
    <t xml:space="preserve">What is the name of the winter festival held in January that is based on fitness? </t>
  </si>
  <si>
    <t>Who specifically does HT target to change the opinion of?</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</si>
  <si>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</si>
  <si>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an interim facility for the relocation of Fresno area Japanese Americans to internment camps</t>
  </si>
  <si>
    <t>What is the former name of the Arthur M. Sackler Museum?</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</si>
  <si>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</si>
  <si>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a small number of MSPs</t>
  </si>
  <si>
    <t>What plea was entered in the case the US v. Dougherty?</t>
  </si>
  <si>
    <t>What happens as they build phase 1?</t>
  </si>
  <si>
    <t>Since all modern ctenophores except the beroids have cydippid-like larvae, it has widely been assumed that their last common ancestor also resembled cydippids, having an egg-shaped body and a pair of retractable tentacles. Richard Harbison's purely morphological analysis in 1985 concluded that the cydippids are not monophyletic, in other words do not contain all and only the descendants of a single common ancestor that was itself a cydippid. Instead he found that various cydippid families were more similar to members of other ctenophore orders than to other cydippids. He also suggested that the last common ancestor of modern ctenophores was either cydippid-like or beroid-like. A molecular phylogeny analysis in 2001, using 26 species, including 4 recently discovered ones, confirmed that the cydippids are not monophyletic and concluded that the last common ancestor of modern ctenophores was cydippid-like. It also found that the genetic differences between these species were very small – so small that the relationships between the Lobata, Cestida and Thalassocalycida remained uncertain. This suggests that the last common ancestor of modern ctenophores was relatively recent, and perhaps was lucky enough to survive the Cretaceous–Paleogene extinction event 65.5 million years ago while other lineages perished. When the analysis was broadened to include representatives of other phyla, it concluded that cnidarians are probably more closely related to bilaterians than either group is to ctenophores but that this diagnosis is uncertain.</t>
  </si>
  <si>
    <t>What type of geologists give information about strain within the crystalline structure of the rocks?</t>
  </si>
  <si>
    <t>(rise and fall according to market demand</t>
  </si>
  <si>
    <t>Kong Duancao</t>
  </si>
  <si>
    <t>What is underrepresented in epitope regions?</t>
  </si>
  <si>
    <t>the Last Glacial Maximum (LGM) and subsequent deglaciation</t>
  </si>
  <si>
    <t>co-NP</t>
  </si>
  <si>
    <t>homicides</t>
  </si>
  <si>
    <t>What did missionaries cause to become law in 1996?</t>
  </si>
  <si>
    <t>November 22,</t>
  </si>
  <si>
    <t>floor</t>
  </si>
  <si>
    <t>When is Sky going to introduce UHD broadcasts?</t>
  </si>
  <si>
    <t>Quantum theory was used to develop a new theory of what?</t>
  </si>
  <si>
    <t>In what year did Jerónimo de Ayanz y Beaumont patent a water pump for draining mines?</t>
  </si>
  <si>
    <t>French architect Enric Miralles helped design what building?</t>
  </si>
  <si>
    <t>Which projection overstated the rate at which temperatures would rise?</t>
  </si>
  <si>
    <t>Another major division within Islamism is between what Graham E. Fuller has described as the fundamentalist "guardians of the tradition" (Salafis, such as those in the Wahhabi movement) and the "vanguard of change and Islamic reform" centered around the Muslim Brotherhood. Olivier Roy argues that "Sunni pan-Islamism underwent a remarkable shift in the second half of the 20th century" when the Muslim Brotherhood movement and its focus on Islamisation of pan-Arabism was eclipsed by the Salafi movement with its emphasis on "sharia rather than the building of Islamic institutions," and rejection of Shia Islam. Following the Arab Spring, Roy has described Islamism as "increasingly interdependent" with democracy in much of the Arab Muslim world, such that "neither can now survive without the other." While Islamist political culture itself may not be democratic, Islamists need democratic elections to maintain their legitimacy. At the same time, their popularity is such that no government can call itself democratic that excludes mainstream Islamist groups.</t>
  </si>
  <si>
    <t>the poor application of well-established IPCC procedures</t>
  </si>
  <si>
    <t>lower lake</t>
  </si>
  <si>
    <t>in 2016</t>
  </si>
  <si>
    <t xml:space="preserve"> What did the conflict galvanize non-Muslims around the world to do?</t>
  </si>
  <si>
    <t>What group of scientists seek to measure the amounts of oxygen in marine animals?</t>
  </si>
  <si>
    <t>Turing machines</t>
  </si>
  <si>
    <t>What percentage of France's population is protestant today?</t>
  </si>
  <si>
    <t>biogeochemical</t>
  </si>
  <si>
    <t>Guo Shoujing applied mathematics to the construction of calendars. He was one of the first mathematicians in China to work on spherical trigonometry. Gou derived a cubic interpolation formula for his astronomical calculations. His calendar, the Shoushi Li (授時暦) or Calendar for Fixing the Seasons, was disseminated in 1281 as the official calendar of the Yuan dynasty. The calendar may have been influenced solely by the work of Song dynasty astronomer Shen Kuo or possibly by the work of Arab astronomers. There are no explicit signs of Muslim influences in the Shoushi calendar, but Mongol rulers were known to be interested in Muslim calendars. Mathematical knowledge from the Middle East was introduced to China under the Mongols, and Muslim astronomers brought Arabic numerals to China in the 13th century.</t>
  </si>
  <si>
    <t>What document formed the Parliament of Victoria?</t>
  </si>
  <si>
    <t>In what year was the charter granted for Harvard Corporation?</t>
  </si>
  <si>
    <t>In Newton's second law, what are the units of mass and force in relation to microscales?</t>
  </si>
  <si>
    <t>Within the EU, which court believes they have the final word deciding on EU's competence?</t>
  </si>
  <si>
    <t>his cultural contribution</t>
  </si>
  <si>
    <t>domestic social reforms</t>
  </si>
  <si>
    <t>The concept of inertia can explain the tendency of people to continue in what?</t>
  </si>
  <si>
    <t>steamboats and road vehicles</t>
  </si>
  <si>
    <t>In what year did El Gizouli resign from the IPCC?</t>
  </si>
  <si>
    <t>What German ruler invited Huguenot immigration?</t>
  </si>
  <si>
    <t>When the Committee for Non-Violent Action sponsored a protest in August 1957, at the Camp Mercury nuclear test site near Las Vegas, Nevada, 13 of the protesters attempted to enter the test site knowing that they faced arrest. At a pre-arranged announced time, one at a time they stepped across the "line" and were immediately arrested. They were put on a bus and taken to the Nye County seat of Tonopah, Nevada, and arraigned for trial before the local Justice of the Peace, that afternoon. A well known civil rights attorney, Francis Heisler, had volunteered to defend the arrested persons, advising them to plead "nolo contendere", as an alternative to pleading either guilty or not-guilty. The arrested persons were found "guilty," nevertheless, and given suspended sentences, conditional on their not reentering the test site grounds.[citation needed]</t>
  </si>
  <si>
    <t>When Iqbal promoted ideas of greater Islamic political unity, what did he encourage ending?</t>
  </si>
  <si>
    <t>The academic body of the university is made up of how many divisions of graduate?</t>
  </si>
  <si>
    <t>What individual is the school named after?</t>
  </si>
  <si>
    <t>streamlines the front of the animal</t>
  </si>
  <si>
    <t>magma or lava</t>
  </si>
  <si>
    <t>circuit switching</t>
  </si>
  <si>
    <t>What does the National Museum boast having from Adolf Hitler's private collection?</t>
  </si>
  <si>
    <t>upper sixth</t>
  </si>
  <si>
    <t>Why must DC electricity not be used?</t>
  </si>
  <si>
    <t>In which case did a German man claim the right to live in Netherlands where he was a volunteer plumber?</t>
  </si>
  <si>
    <t xml:space="preserve"> What was the Yuan dynasty called in Japanese?</t>
  </si>
  <si>
    <t>26,000 square kilometres</t>
  </si>
  <si>
    <t xml:space="preserve">Packets can be delivered via what route? </t>
  </si>
  <si>
    <t>What US war caused a high amount of civil disobedience?</t>
  </si>
  <si>
    <t>What happens when the double expansion crank is duplicated?</t>
  </si>
  <si>
    <t>The first geological map of the U.S. was produced in 1809 by William Maclure. In 1807, Maclure commenced the self-imposed task of making a geological survey of the United States. Almost every state in the Union was traversed and mapped by him, the Allegheny Mountains being crossed and recrossed some 50 times. The results of his unaided labours were submitted to the American Philosophical Society in a memoir entitled Observations on the Geology of the United States explanatory of a Geological Map, and published in the Society's Transactions, together with the nation's first geological map. This antedates William Smith's geological map of England by six years, although it was constructed using a different classification of rocks.</t>
  </si>
  <si>
    <t>Where did the pharmacist stand in relation to the Emperor?</t>
  </si>
  <si>
    <t>that civil disobedience is only justified against governmental entities</t>
  </si>
  <si>
    <t>previously separated specialties</t>
  </si>
  <si>
    <t>independently developed the same message routing methodology as developed by Baran</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</si>
  <si>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</si>
  <si>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Who makes up the Student Government?</t>
  </si>
  <si>
    <t>Pauli exclusion principle</t>
  </si>
  <si>
    <t>According to Sheldon Ungar's comparison with global warming, the actors in the ozone depletion case had a better understanding of scientific ignorance and uncertainties. The ozone case communicated to lay persons "with easy-to-understand bridging metaphors derived from the popular culture" and related to "immediate risks with everyday relevance", while the public opinion on climate change sees no imminent danger. The stepwise mitigation of the ozone layer challenge was based as well on successfully reducing regional burden sharing conflicts. In case of the IPCC conclusions and the failure of the Kyoto Protocol, varying regional cost-benefit analysis and burden-sharing conflicts with regard to the distribution of emission reductions remain an unsolved problem. In the UK, a report for a House of Lords committee asked to urge the IPCC to involve better assessments of costs and benefits of climate change but the Stern Review ordered by the UK government made a stronger argument in favor to combat human-made climate change.</t>
  </si>
  <si>
    <t>When was Warsaw's stock exchange brought back to life?</t>
  </si>
  <si>
    <t>poor soil</t>
  </si>
  <si>
    <t>What types of medications do specialty pharmacies stock?</t>
  </si>
  <si>
    <t>How long has Proportionality not been recognized as one of the general principles of Eu law?</t>
  </si>
  <si>
    <t>Oxygen is more soluble in water than nitrogen is. Water in equilibrium with air contains approximately 1 molecule of dissolved O
2 for every 2 molecules of N
2, compared to an atmospheric ratio of approximately 1:4. The solubility of oxygen in water is temperature-dependent, and about twice as much (14.6 mg·L−1) dissolves at 0 °C than at 20 °C (7.6 mg·L−1). At 25 °C and 1 standard atmosphere (101.3 kPa) of air, freshwater contains about 6.04 milliliters (mL) of oxygen per liter, whereas seawater contains about 4.95 mL per liter. At 5 °C the solubility increases to 9.0 mL (50% more than at 25 °C) per liter for water and 7.2 mL (45% more) per liter for sea water.</t>
  </si>
  <si>
    <t>Very few ministers are drawn from amongst whom?</t>
  </si>
  <si>
    <t>What are two basic primary resources used to guage complexity?</t>
  </si>
  <si>
    <t>at larger distances</t>
  </si>
  <si>
    <t>Westernizing Muslims</t>
  </si>
  <si>
    <t>How long has the imagery of the mermaid been used by Sigilium?</t>
  </si>
  <si>
    <t>Who wasn't given land by British goovernment for development of Ohio Country?</t>
  </si>
  <si>
    <t>How many people weren't in French North American Colonies?</t>
  </si>
  <si>
    <t>efforts to fortify Oswego were bogged down in logistical difficulties, exacerbated by Shirley's inexperience</t>
  </si>
  <si>
    <t>Indians fought on both sides of the conflict, and that this was part of the Seven Years' War</t>
  </si>
  <si>
    <t>The third assessment report (TAR) prominently featured a graph labeled "Millennial Northern Hemisphere temperature reconstruction" based on a 1999 paper by Michael E. Mann, Raymond S. Bradley and Malcolm K. Hughes (MBH99), which has been referred to as the "hockey stick graph". This graph extended the similar graph in Figure 3.20 from the IPCC Second Assessment Report of 1995, and differed from a schematic in the first assessment report that lacked temperature units, but appeared to depict larger global temperature variations over the past 1000 years, and higher temperatures during the Medieval Warm Period than the mid 20th century. The schematic was not an actual plot of data, and was based on a diagram of temperatures in central England, with temperatures increased on the basis of documentary evidence of Medieval vineyards in England. Even with this increase, the maximum it showed for the Medieval Warm Period did not reach temperatures recorded in central England in 2007. The MBH99 finding was supported by cited reconstructions by Jones et al. 1998, Pollack, Huang &amp; Shen 1998, Crowley &amp; Lowery 2000 and Briffa 2000, using differing data and methods. The Jones et al. and Briffa reconstructions were overlaid with the MBH99 reconstruction in Figure 2.21 of the IPCC report.</t>
  </si>
  <si>
    <t>7.8</t>
  </si>
  <si>
    <t>normal</t>
  </si>
  <si>
    <t>composite numbers (the Carmichael numbers)</t>
  </si>
  <si>
    <t xml:space="preserve">Survival needs such as income for food and shelter motivates what type of entrepreneurship? </t>
  </si>
  <si>
    <t>When did ISIL pledge allegiance to al-Qaeda?</t>
  </si>
  <si>
    <t>While studying law and philosophy in England and Germany, Iqbal became a member of the London branch of the All India Muslim League. He came back to Lahore in 1908. While dividing his time between law practice and philosophical poetry, Iqbal had remained active in the Muslim League. He did not support Indian involvement in World War I and remained in close touch with Muslim political leaders such as Muhammad Ali Johar and Muhammad Ali Jinnah. He was a critic of the mainstream Indian nationalist and secularist Indian National Congress. Iqbal's seven English lectures were published by Oxford University press in 1934 in a book titled The Reconstruction of Religious Thought in Islam. These lectures dwell on the role of Islam as a religion as well as a political and legal philosophy in the modern age.</t>
  </si>
  <si>
    <t>What can not be solved in linear time on multi-tape Turing machine?</t>
  </si>
  <si>
    <t>introductory</t>
  </si>
  <si>
    <t>What is the name of the supposition that any number larger than 1 can be represented as the sum of two primes?</t>
  </si>
  <si>
    <t>Rocks that are a depth where they are ductilely stretched are also often what?</t>
  </si>
  <si>
    <t>Magdalen Tower</t>
  </si>
  <si>
    <t>What is terra preta called?</t>
  </si>
  <si>
    <t>The only objective of the Kilbrandon Commission was what?</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</si>
  <si>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</si>
  <si>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What river was Petrela located by?</t>
  </si>
  <si>
    <t>What did the UK parliment decide that a subscription to BSkyB was?</t>
  </si>
  <si>
    <t>Benjamin Netanyahu</t>
  </si>
  <si>
    <t>the center of mass</t>
  </si>
  <si>
    <t>In 1993, Galor and Zeira showed that inequality in the presence of credit market imperfections has a long lasting detrimental effect on human capital formation and economic development. A 1996 study by Perotti examined the channels through which inequality may affect economic growth. He showed that, in accordance with the credit market imperfection approach, inequality is associated with lower level of human capital formation (education, experience, and apprenticeship) and higher level of fertility, and thereby lower levels of growth. He found that inequality is associated with higher levels of redistributive taxation, which is associated with lower levels of growth from reductions in private savings and investment. Perotti concluded that, "more equal societies have lower fertility rates and higher rates of investment in education. Both are reflected in higher rates of growth. Also, very unequal societies tend to be politically and socially unstable, which is reflected in lower rates of investment and therefore growth."</t>
  </si>
  <si>
    <t>radial (centripetal) force</t>
  </si>
  <si>
    <t>St. Lawrence and Mississippi</t>
  </si>
  <si>
    <t>When do treaties apply?</t>
  </si>
  <si>
    <t xml:space="preserve">By what main attribute are computational problems classified utilizing computational complexity theory? </t>
  </si>
  <si>
    <t>weight</t>
  </si>
  <si>
    <t xml:space="preserve"> What department did Kublai create to bother doctors?</t>
  </si>
  <si>
    <t>What causes strain in structures?</t>
  </si>
  <si>
    <t>What kind of mineral crystallizes from erosion?</t>
  </si>
  <si>
    <t>1985</t>
  </si>
  <si>
    <t>Building construction is usually further divided into what categories?</t>
  </si>
  <si>
    <t>founding of new Protestant churches in Catholic-controlled regions</t>
  </si>
  <si>
    <t>Colorado Desert</t>
  </si>
  <si>
    <t>a computational problem</t>
  </si>
  <si>
    <t>How many representatives does each state have?</t>
  </si>
  <si>
    <t>90.20 K</t>
  </si>
  <si>
    <t>Voters outside the city limits</t>
  </si>
  <si>
    <t>What is the full official city name of Miasto?</t>
  </si>
  <si>
    <t>How many people did Prussia lose due to war?</t>
  </si>
  <si>
    <t>David G. Booth</t>
  </si>
  <si>
    <t>What did William Smith do in the US?</t>
  </si>
  <si>
    <t>semantical problems and grammatical niceties</t>
  </si>
  <si>
    <t>electronic consoles on their desks</t>
  </si>
  <si>
    <t>employers</t>
  </si>
  <si>
    <t>What a scientific model of a general computing machine?</t>
  </si>
  <si>
    <t>illegal</t>
  </si>
  <si>
    <t>Any even number larger than what cannot be considered distinct?</t>
  </si>
  <si>
    <t>a body of treaties and legislation, such as Regulations and Directives, which have direct effect or indirect effect on the laws of European Union member states</t>
  </si>
  <si>
    <t>Apollo 1 crew</t>
  </si>
  <si>
    <t>What does the First Company Law Directive article 11 not require?</t>
  </si>
  <si>
    <t>How could human inequality be addressed without resulting in an increase of environmental damage?</t>
  </si>
  <si>
    <t>What kind of cell identifies pathogens when the antibodies on its surface complex with a specific foreign antigen?</t>
  </si>
  <si>
    <t>wars and "violent economic and political shocks"</t>
  </si>
  <si>
    <t>the mass of the attracting body</t>
  </si>
  <si>
    <t>In what year did the university first see a drop in applications?</t>
  </si>
  <si>
    <t>Who benefits from the research carried out by the IPCC?</t>
  </si>
  <si>
    <t>small</t>
  </si>
  <si>
    <t>What treaty was established in the 9th century?</t>
  </si>
  <si>
    <t>18 July 2000</t>
  </si>
  <si>
    <t>What political group begin to lose support following the corruption scandals?</t>
  </si>
  <si>
    <t>€25,000 per year</t>
  </si>
  <si>
    <t>dial-up connections or dedicated async connections</t>
  </si>
  <si>
    <t>What tribes hated British?</t>
  </si>
  <si>
    <t>A function problem</t>
  </si>
  <si>
    <t>In 2005, parts of the Amazon basin experienced the worst drought in one hundred years, and there were indications that 2006 could have been a second successive year of drought. A July 23, 2006 article in the UK newspaper The Independent reported Woods Hole Research Center results showing that the forest in its present form could survive only three years of drought. Scientists at the Brazilian National Institute of Amazonian Research argue in the article that this drought response, coupled with the effects of deforestation on regional climate, are pushing the rainforest towards a "tipping point" where it would irreversibly start to die. It concludes that the forest is on the brink of being turned into savanna or desert, with catastrophic consequences for the world's climate.</t>
  </si>
  <si>
    <t>When did The Harvard Crimson publish its first issue?</t>
  </si>
  <si>
    <t>United Nations Framework Convention on Climate Change</t>
  </si>
  <si>
    <t>Who was given the highlights of most of the matches?</t>
  </si>
  <si>
    <t>In January 2010</t>
  </si>
  <si>
    <t>until the 19th century</t>
  </si>
  <si>
    <t>"distributive efficiency"</t>
  </si>
  <si>
    <t>What is the natural dam that the Rhine flows through?</t>
  </si>
  <si>
    <t>State Route 41</t>
  </si>
  <si>
    <t>What was the name of the battle that marked the first Confederate win in Florida?</t>
  </si>
  <si>
    <t>Standard Model</t>
  </si>
  <si>
    <t>When did Herve serve as a Norman general?</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</si>
  <si>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</si>
  <si>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Gaussian integers Z[i],</t>
  </si>
  <si>
    <t>an ignition event, such as heat or a spark</t>
  </si>
  <si>
    <t>What country has low income inequality and low presence of unions?</t>
  </si>
  <si>
    <t>Setting speed limits was one of the further devolutions which was conferred by what act?</t>
  </si>
  <si>
    <t>The debating chamber of the Scottish Parliament has seating arranged in a hemicycle, which reflects the desire to encourage consensus amongst elected members. There are 131 seats in the debating chamber. Of the total 131 seats, 129 are occupied by the Parliament's elected MSPs and 2 are seats for the Scottish Law Officers – the Lord Advocate and the Solicitor General for Scotland, who are not elected members of the Parliament but are members of the Scottish Government. As such the Law Officers may attend and speak in the plenary meetings of the Parliament but, as they are not elected MSPs, cannot vote. Members are able to sit anywhere in the debating chamber, but typically sit in their party groupings. The First Minister, Scottish cabinet ministers and Law officers sit in the front row, in the middle section of the chamber. The largest party in the Parliament sits in the middle of the semicircle, with opposing parties on either side. The Presiding Officer, parliamentary clerks and officials sit opposite members at the front of the debating chamber.</t>
  </si>
  <si>
    <t>In what century did all of the dead branches dry up?</t>
  </si>
  <si>
    <t xml:space="preserve">When the three types of rock are re-melted what is formed? </t>
  </si>
  <si>
    <t xml:space="preserve">Abilene referred to what? </t>
  </si>
  <si>
    <t>Suleiman the Magnificent,</t>
  </si>
  <si>
    <t>increase in the land available for cultivation</t>
  </si>
  <si>
    <t>What do closed rivers serve as after they close?</t>
  </si>
  <si>
    <t>opportunity-based entrepreneurship</t>
  </si>
  <si>
    <t xml:space="preserve">How long is the section that turns north? </t>
  </si>
  <si>
    <t>the Australian Government</t>
  </si>
  <si>
    <t>Who does not have the ability to alter income tax in Scotland?</t>
  </si>
  <si>
    <t>What axis do the 2p orbitals overlap with?</t>
  </si>
  <si>
    <t>Nonconservative forces other than friction</t>
  </si>
  <si>
    <t>as soon as they enter into force, unless stated otherwise</t>
  </si>
  <si>
    <t>The plague disease, caused by Yersinia pestis, is enzootic (commonly present) in populations of fleas carried by ground rodents, including marmots, in various areas including Central Asia, Kurdistan, Western Asia, Northern India and Uganda. Nestorian graves dating to 1338–39 near Lake Issyk Kul in Kyrgyzstan have inscriptions referring to plague and are thought by many epidemiologists to mark the outbreak of the epidemic, from which it could easily have spread to China and India. In October 2010, medical geneticists suggested that all three of the great waves of the plague originated in China. In China, the 13th century Mongol conquest caused a decline in farming and trading. However, economic recovery had been observed at the beginning of the 14th century. In the 1330s a large number of natural disasters and plagues led to widespread famine, starting in 1331, with a deadly plague arriving soon after. Epidemics that may have included plague killed an estimated 25 million Chinese and other Asians during the 15 years before it reached Constantinople in 1347.</t>
  </si>
  <si>
    <t>democratic process</t>
  </si>
  <si>
    <t>David Suzuki</t>
  </si>
  <si>
    <t>How long was it clear how NK cells recognized tumors?</t>
  </si>
  <si>
    <t>the integer factorization problem</t>
  </si>
  <si>
    <t>generally unfounded and also marginal to the assessment</t>
  </si>
  <si>
    <t>What results in dioxygen's triplet bond character?</t>
  </si>
  <si>
    <t>defeat of Napoleon</t>
  </si>
  <si>
    <t>How much does the Rhine discharge at the Dutch border?</t>
  </si>
  <si>
    <t>functions</t>
  </si>
  <si>
    <t>What is the upper house of the Parliament of Victoria called?</t>
  </si>
  <si>
    <t>a board of trustees</t>
  </si>
  <si>
    <t xml:space="preserve"> Which leaders did the Islamic extremists not attack?</t>
  </si>
  <si>
    <t>What British mathematician took pride in doing work that he felt had no military benefit?</t>
  </si>
  <si>
    <t>When did the North American French and Indian War end?</t>
  </si>
  <si>
    <t>1977</t>
  </si>
  <si>
    <t>How do the fees at former Model C schools compare to those at other schools?</t>
  </si>
  <si>
    <t>Japanese imports</t>
  </si>
  <si>
    <t>What can and old, ill man do?</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</si>
  <si>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</si>
  <si>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1291</t>
  </si>
  <si>
    <t>What alumni was also Obama's campaign adviser?</t>
  </si>
  <si>
    <t>What work from around 3000BC has significant theorems about infinite numbers?</t>
  </si>
  <si>
    <t>What is the name of the bridge over the Longwood Medical and Academic area?</t>
  </si>
  <si>
    <t>President</t>
  </si>
  <si>
    <t>Who designed Sunnyside?</t>
  </si>
  <si>
    <t>10,000</t>
  </si>
  <si>
    <t>competing harms defense</t>
  </si>
  <si>
    <t>What did Carter Wentworth hand out in court to escape prosecution?</t>
  </si>
  <si>
    <t>William Pitt</t>
  </si>
  <si>
    <t>five or more seats</t>
  </si>
  <si>
    <t>yes or no</t>
  </si>
  <si>
    <t>What sort of motion did Newcomen's steam engine continuously produce?</t>
  </si>
  <si>
    <t>What was the Grand 1401 building renamed as?</t>
  </si>
  <si>
    <t>1832.</t>
  </si>
  <si>
    <t>What articles do not state that unless conferred, powers remain with the member states?</t>
  </si>
  <si>
    <t>tentacles</t>
  </si>
  <si>
    <t>establishing relationships with other necessary participants</t>
  </si>
  <si>
    <t>What is the abstract choice typically assumed by most complexity-theoretic theorems?</t>
  </si>
  <si>
    <t>Britain as well as Holland, Prussia, and South Africa</t>
  </si>
  <si>
    <t xml:space="preserve">What term corresponds to the maximum measurement of time across all functions of n? </t>
  </si>
  <si>
    <t>that increase was the same as the weight of the air that rushed back in</t>
  </si>
  <si>
    <t>Which park is the smallest?</t>
  </si>
  <si>
    <t>What became compulsory in Massachusetts in 1976?</t>
  </si>
  <si>
    <t>Kyoto Protocol dealt with which depletion?</t>
  </si>
  <si>
    <t>The idea that Islam can be apolitical isn't able to be embraced by whom?</t>
  </si>
  <si>
    <t>ITV</t>
  </si>
  <si>
    <t>How many people live in Carpathia?</t>
  </si>
  <si>
    <t>their belief in the validity of the social contract</t>
  </si>
  <si>
    <t>traditional Chinese autocratic-bureaucratic system</t>
  </si>
  <si>
    <t>Federica Mogherini</t>
  </si>
  <si>
    <t>What, along with admission, exhaust, and compression, is an event in the steam cycle?</t>
  </si>
  <si>
    <t>"generally unfounded and also marginal to the assessment"</t>
  </si>
  <si>
    <t>What caused the Rhine to extend its watershed northward?</t>
  </si>
  <si>
    <t>4 August 1915 until November 1918</t>
  </si>
  <si>
    <t>13</t>
  </si>
  <si>
    <t>San Andreas Fault</t>
  </si>
  <si>
    <t>How didn't Celeron handle business on trip?</t>
  </si>
  <si>
    <t>What is the immune system of the stomach known as?</t>
  </si>
  <si>
    <t>Before the bill has been passed, it becomes an Act of what?</t>
  </si>
  <si>
    <t>How wide of an area does the Charles River run through?</t>
  </si>
  <si>
    <t xml:space="preserve">What is the other country the Rhine separates Switzerland to? </t>
  </si>
  <si>
    <t xml:space="preserve">What are examples of organic proteins? </t>
  </si>
  <si>
    <t>Who wrote the study published in Nature in October 2011?</t>
  </si>
  <si>
    <t>The mermaid (syrenka) is Warsaw's symbol and can be found on statues throughout the city and on the city's coat of arms. This imagery has been in use since at least the mid-14th century. The oldest existing armed seal of Warsaw is from the year 1390, consisting of a round seal bordered with the Latin inscription Sigilium Civitatis Varsoviensis (Seal of the city of Warsaw). City records as far back as 1609 document the use of a crude form of a sea monster with a female upper body and holding a sword in its claws. In 1653 the poet Zygmunt Laukowski asks the question:</t>
  </si>
  <si>
    <t>coherent theory of quantum gravity</t>
  </si>
  <si>
    <t>published first</t>
  </si>
  <si>
    <t>What is the protocol suite?</t>
  </si>
  <si>
    <t>In World War II, Charles de Gaulle and the Free French used the overseas colonies as bases from which they fought to liberate France. However after 1945 anti-colonial movements began to challenge the Empire. France fought and lost a bitter war in Vietnam in the 1950s. Whereas they won the war in Algeria, the French leader at the time, Charles de Gaulle, decided to grant Algeria independence anyway in 1962. Its settlers and many local supporters relocated to France. Nearly all of France's colonies gained independence by 1960, but France retained great financial and diplomatic influence. It has repeatedly sent troops to assist its former colonies in Africa in suppressing insurrections and coups d’état.</t>
  </si>
  <si>
    <t>cattle were brought across the river there</t>
  </si>
  <si>
    <t xml:space="preserve"> What city did the Grand Canal never reach during the Yuan?</t>
  </si>
  <si>
    <t>Who is responsible for monitoring climate data?</t>
  </si>
  <si>
    <t>1960</t>
  </si>
  <si>
    <t>Early Gothic</t>
  </si>
  <si>
    <t>Tamara de Lempicka was a famous artist born in Warsaw. She was born Maria Górska in Warsaw to wealthy parents and in 1916 married a Polish lawyer Tadeusz Łempicki. Better than anyone else she represented the Art Deco style in painting and art. Nathan Alterman, the Israeli poet, was born in Warsaw, as was Moshe Vilenski, the Israeli composer, lyricist, and pianist, who studied music at the Warsaw Conservatory. Warsaw was the beloved city of Isaac Bashevis Singer, which he described in many of his novels: Warsaw has just now been destroyed. No one will ever see the Warsaw I knew. Let me just write about it. Let this Warsaw not disappear forever, he commented.</t>
  </si>
  <si>
    <t>What did objects in forced motion contain according to the late Medieval idea that influence Aristotle?</t>
  </si>
  <si>
    <t>1569</t>
  </si>
  <si>
    <t>What drained the southern flanks of the Alps?</t>
  </si>
  <si>
    <t>Which country dod Rewe-Zentrale AG not wish to import from?</t>
  </si>
  <si>
    <t>At what point does oxygen toxicity begin to happen?</t>
  </si>
  <si>
    <t>What was the period called that was 505 million years ago?</t>
  </si>
  <si>
    <t>Air</t>
  </si>
  <si>
    <t>much higher</t>
  </si>
  <si>
    <t>A non-deterministic Turing machine</t>
  </si>
  <si>
    <t>a strong Islamist outlook</t>
  </si>
  <si>
    <t>What is the basic principle of the Canadian Parliament?</t>
  </si>
  <si>
    <t>What delimits the delta of the Rhine in the East?</t>
  </si>
  <si>
    <t>earn as much as a healthy young man</t>
  </si>
  <si>
    <t>semi-private</t>
  </si>
  <si>
    <t>for fear of their lives</t>
  </si>
  <si>
    <t>What problem in C is harder than X?</t>
  </si>
  <si>
    <t>cloud storage service</t>
  </si>
  <si>
    <t>In what year was Louis XIII crowned?</t>
  </si>
  <si>
    <t>The Los Angeles Clippers are a team belonging to which sport?</t>
  </si>
  <si>
    <t>How much of the water flow does the Waal get from the Rhine?</t>
  </si>
  <si>
    <t xml:space="preserve"> When did Zhenjin have a son?</t>
  </si>
  <si>
    <t>What leads to lower income inequality?</t>
  </si>
  <si>
    <t>railway locomotives</t>
  </si>
  <si>
    <t>What political response was convening in June/July 1754?</t>
  </si>
  <si>
    <t>Which countries use the red Greek cross as a symbol of pharmacy?</t>
  </si>
  <si>
    <t>Approximately one million</t>
  </si>
  <si>
    <t>Who is the father of Sophocles?</t>
  </si>
  <si>
    <t>too cold in northern Europe for the survival of fleas</t>
  </si>
  <si>
    <t>the expendable nature of the worker in relation to his or her particular job</t>
  </si>
  <si>
    <t>the devolved competencies</t>
  </si>
  <si>
    <t>What doesn't private ownership create a situation of?</t>
  </si>
  <si>
    <t>What can and old, ill man not do?</t>
  </si>
  <si>
    <t>£26,719</t>
  </si>
  <si>
    <t>If the head of government refuses to enforce a decision of the highest court what terminology could be used?</t>
  </si>
  <si>
    <t>early twentieth century homes</t>
  </si>
  <si>
    <t>34 million years</t>
  </si>
  <si>
    <t>Is there a situation where the destination can't be discovered?</t>
  </si>
  <si>
    <t>According to economists David Castells-Quintana and Vicente Royuela, increasing inequality harms economic growth. High and persistent unemployment, in which inequality increases, has a negative effect on subsequent long-run economic growth. Unemployment can harm growth not only because it is a waste of resources, but also because it generates redistributive pressures and subsequent distortions, drives people to poverty, constrains liquidity limiting labor mobility, and erodes self-esteem promoting social dislocation, unrest and conflict. Policies aiming at controlling unemployment and in particular at reducing its inequality-associated effects support economic growth.</t>
  </si>
  <si>
    <t>What did the Vilnius formally establish in 1573?</t>
  </si>
  <si>
    <t>What court is able to interpret European Union law?</t>
  </si>
  <si>
    <t>What is the minimum amount of time before a bill can go into law?</t>
  </si>
  <si>
    <t>British researchers Richard G. Wilkinson and Kate Pickett have found higher rates of health and social problems (obesity, mental illness, homicides, teenage births, incarceration, child conflict, drug use), and lower rates of social goods (life expectancy by country, educational performance, trust among strangers, women's status, social mobility, even numbers of patents issued) in countries and states with higher inequality. Using statistics from 23 developed countries and the 50 states of the US, they found social/health problems lower in countries like Japan and Finland and states like Utah and New Hampshire with high levels of equality, than in countries (US and UK) and states (Mississippi and New York) with large differences in household income.</t>
  </si>
  <si>
    <t>Why is it easy to use an organism's absence to show the age of a formation?</t>
  </si>
  <si>
    <t>2p − 1,</t>
  </si>
  <si>
    <t>automobile radiator</t>
  </si>
  <si>
    <t>How many paid holiday days do most member states require?</t>
  </si>
  <si>
    <t>In the late 1950s what concept was developed?</t>
  </si>
  <si>
    <t>field candidates</t>
  </si>
  <si>
    <t>How many miles east of Berlin is Warsaw?</t>
  </si>
  <si>
    <t>What occurs when electron clouds overlap from different atoms?</t>
  </si>
  <si>
    <t>Whose digital receivers are only built by one manufacturer?</t>
  </si>
  <si>
    <t>What are the proteins that organisms use to identify molecules associated with pathogens?</t>
  </si>
  <si>
    <t>end of World War I</t>
  </si>
  <si>
    <t>the possession of already-wealthy individuals</t>
  </si>
  <si>
    <t>What happens when three types of minerals are re-deposited and change their characteristics?</t>
  </si>
  <si>
    <t>major method</t>
  </si>
  <si>
    <t>jet of expelled water drives them backwards very quickly.</t>
  </si>
  <si>
    <t>Islam</t>
  </si>
  <si>
    <t xml:space="preserve"> What type of musical instruments did the Yuan keep out of China?</t>
  </si>
  <si>
    <t>What is an autoimmune disease that mostly strikes men?</t>
  </si>
  <si>
    <t>What is the Bielany Forest the last remnant of?</t>
  </si>
  <si>
    <t>What are the over 118 clubs run by students at the U of C called collectively?</t>
  </si>
  <si>
    <t>Tension, compression, and drag are what kind of forces?</t>
  </si>
  <si>
    <t>In the US v. Burgos-Andujar, why was a member of the Navy's sentence increased?</t>
  </si>
  <si>
    <t>What type of numbers demonstrate a flaw with the Carmichael primality test?</t>
  </si>
  <si>
    <t>How is information charged for packet switching?</t>
  </si>
  <si>
    <t>Where is Pomona University located?</t>
  </si>
  <si>
    <t>What contributes the least amount of water to the area?</t>
  </si>
  <si>
    <t>What did did article 34 discriminate against in Procureur du Roi v Dassonville?</t>
  </si>
  <si>
    <t>the public</t>
  </si>
  <si>
    <t>What was one proposal to let the IPCC respond to new evidence faster?</t>
  </si>
  <si>
    <t>What time framd does the Seven Years War cover?</t>
  </si>
  <si>
    <t>Some modern scholars, such as Fielding H. Garrison, are of the opinion that the origin of the science of geology can be traced to Persia after the Muslim conquests had come to an end. Abu al-Rayhan al-Biruni (973–1048 CE) was one of the earliest Persian geologists, whose works included the earliest writings on the geology of India, hypothesizing that the Indian subcontinent was once a sea. Drawing from Greek and Indian scientific literature that were not destroyed by the Muslim conquests, the Persian scholar Ibn Sina (Avicenna, 981–1037) proposed detailed explanations for the formation of mountains, the origin of earthquakes, and other topics central to modern geology, which provided an essential foundation for the later development of the science. In China, the polymath Shen Kuo (1031–1095) formulated a hypothesis for the process of land formation: based on his observation of fossil animal shells in a geological stratum in a mountain hundreds of miles from the ocean, he inferred that the land was formed by erosion of the mountains and by deposition of silt.</t>
  </si>
  <si>
    <t>Who provided a philosophical discussion of force?</t>
  </si>
  <si>
    <t>515 million years ago</t>
  </si>
  <si>
    <t>1650</t>
  </si>
  <si>
    <t>What do Beriods use as teeth?</t>
  </si>
  <si>
    <t>What were the two main theories of immunity at the end of the 19th century?</t>
  </si>
  <si>
    <t>When will enhanced greenhouse effect reach alarming levels?</t>
  </si>
  <si>
    <t>What is the least abundant type of phagocyte?</t>
  </si>
  <si>
    <t>What American actor is also a university graduate?</t>
  </si>
  <si>
    <t>What term best describes southern California's collection of landscapes?</t>
  </si>
  <si>
    <t>What says that formations must be older than the inclusions inside them?</t>
  </si>
  <si>
    <t>What can happen when breathing 26% O2 at 62 m?</t>
  </si>
  <si>
    <t>Fort Presque Isle (near present-day Erie, Pennsylvania</t>
  </si>
  <si>
    <t>turbine type</t>
  </si>
  <si>
    <t>laws</t>
  </si>
  <si>
    <t>1809</t>
  </si>
  <si>
    <t>800 CE</t>
  </si>
  <si>
    <t>geological period of the Ice Ages</t>
  </si>
  <si>
    <t>trying to recover market share</t>
  </si>
  <si>
    <t xml:space="preserve">How high is Victoria's Mount Gippsland? </t>
  </si>
  <si>
    <t>rotifers and mollusc and crustacean larvae</t>
  </si>
  <si>
    <t>Who is the founder of modern community organizing?</t>
  </si>
  <si>
    <t>What kind of storms are common in the fall?</t>
  </si>
  <si>
    <t>How many branches does the Rhine branch into?</t>
  </si>
  <si>
    <t>Professional</t>
  </si>
  <si>
    <t>the Justinian plague that was prevalent in the Eastern Roman Empire from 541 to 700 CE.</t>
  </si>
  <si>
    <t>to stay, so long as there was at least an "indirect quid pro quo" for the work he did</t>
  </si>
  <si>
    <t>What are you surrounded with if trying to study about violence in society?</t>
  </si>
  <si>
    <t>Hypersensitivity</t>
  </si>
  <si>
    <t>How many subtypes of B cells exist?</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</si>
  <si>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</si>
  <si>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What is one work by Neumes?</t>
  </si>
  <si>
    <t>migration and urbanisation</t>
  </si>
  <si>
    <t>In what Irish city can few signs remain to be seen of the Huguenots?</t>
  </si>
  <si>
    <t>By what other name was the Gate known?</t>
  </si>
  <si>
    <t>the Travels of Marco Polo</t>
  </si>
  <si>
    <t>Who did the Mongols send to Bukhara as administrators?</t>
  </si>
  <si>
    <t>What food bacteria is an example of intracellular pathogenesis?</t>
  </si>
  <si>
    <t>What field is respiration used in?</t>
  </si>
  <si>
    <t>2,000 m</t>
  </si>
  <si>
    <t>Why was the Dutch lawyer who moved to Belgium while advising a client in a social society case told he couldn't continue?</t>
  </si>
  <si>
    <t xml:space="preserve"> Who governed the northern Region in the Yuan?</t>
  </si>
  <si>
    <t>most abundant</t>
  </si>
  <si>
    <t>1072</t>
  </si>
  <si>
    <t>politically and socially unstable</t>
  </si>
  <si>
    <t>Who was Kaidu's grandfather?</t>
  </si>
  <si>
    <t>Why was Tanaghrisson supporting British efforts?</t>
  </si>
  <si>
    <t>What was causing Old France to have issues with resupplying?</t>
  </si>
  <si>
    <t>Materials readily available in the area</t>
  </si>
  <si>
    <t>3 miles</t>
  </si>
  <si>
    <t>Who typically closes debates?</t>
  </si>
  <si>
    <t>After the introduction of X.25 in 1973, how many network technologies had been developed?</t>
  </si>
  <si>
    <t>What Mongolian system did Kublai's government compromise with?</t>
  </si>
  <si>
    <t>What type of reaction produces oxygen in plane cabins?</t>
  </si>
  <si>
    <t>Reports document that how many Parisien Protestants were killed by September 17?</t>
  </si>
  <si>
    <t>What did Marchall Cohen note about crime?</t>
  </si>
  <si>
    <t>What kind of analysis did Harbison conclude in 2001 about the Lobata?</t>
  </si>
  <si>
    <t>maze of semantical problems and grammatical niceties</t>
  </si>
  <si>
    <t>a method which pre-allocates dedicated network bandwidth</t>
  </si>
  <si>
    <t>When did the FCC decide Fresno could only have UHF stations?</t>
  </si>
  <si>
    <t>How much of normal is the oxygen breathed in space suits?</t>
  </si>
  <si>
    <t>Why did the Shah of Iran gave an interview?</t>
  </si>
  <si>
    <t>know both the magnitude and the direction of both forces to calculate the result</t>
  </si>
  <si>
    <t>What is the receptor that killer T cells use to bind to specific antigens that are complexed with the MHC Class 1 receptor of another cell?</t>
  </si>
  <si>
    <t xml:space="preserve"> What interfered with Kublai's third invasion of Japan?</t>
  </si>
  <si>
    <t>San Joaquin Light &amp; Power Building</t>
  </si>
  <si>
    <t>What garden was formally only for royalty?</t>
  </si>
  <si>
    <t>Along with road vehicles, locomotives and ships, on what vehicles were steam engines used during the Industrial Revolution?</t>
  </si>
  <si>
    <t>satellites</t>
  </si>
  <si>
    <t>what was invented in 1888 that revolutionized warfare?</t>
  </si>
  <si>
    <t>only pharmacists</t>
  </si>
  <si>
    <t>How many Swedish students were enrolled in public school in 2008?</t>
  </si>
  <si>
    <t>member state courts</t>
  </si>
  <si>
    <t>What is the application of prime numbers used in information technology which utilizes the fact that factoring very large prime numbers is expressed in the sum of two primes?</t>
  </si>
  <si>
    <t>cytokines</t>
  </si>
  <si>
    <t>What is an example of a rotary engine without pistons?</t>
  </si>
  <si>
    <t>What was Temur Khan's Chinese-style name?</t>
  </si>
  <si>
    <t>police and the armed forces</t>
  </si>
  <si>
    <t>demographics and economic</t>
  </si>
  <si>
    <t>Ubiorum</t>
  </si>
  <si>
    <t>400</t>
  </si>
  <si>
    <t>Survivial is at the heart of what concept for workers?</t>
  </si>
  <si>
    <t>In what year were there 366,233 people in Jacksonville?</t>
  </si>
  <si>
    <t>Other than Point Conception, what landmark is used in the other definition of southern California?</t>
  </si>
  <si>
    <t>potential drug interactions, adverse drug reactions</t>
  </si>
  <si>
    <t xml:space="preserve"> What was the second meaning of a Japanese word for 'barracks'?</t>
  </si>
  <si>
    <t>a setup phase in each involved node before any packet is transferred to establish the parameters of communication</t>
  </si>
  <si>
    <t>‘combs’ – groups of cilia</t>
  </si>
  <si>
    <t>Whose satellites were never broadcast as free-to-air?</t>
  </si>
  <si>
    <t>In 2010 the force absorbed 8 Gt of what</t>
  </si>
  <si>
    <t>Compared to other causes, the effect of trade on inequality in America is what?</t>
  </si>
  <si>
    <t>What molecules are parts of the body of an organism in immunology?</t>
  </si>
  <si>
    <t>Which mountain range influenced the split of the regions?</t>
  </si>
  <si>
    <t>thorough analysis of all medication (prescription, non-prescription, and herbals) currently being taken by an individual</t>
  </si>
  <si>
    <t>When did Dodge end production of their full size sedans?</t>
  </si>
  <si>
    <t>Who was in charge of the papal army in the War of Barbastro?</t>
  </si>
  <si>
    <t>What would Henry David Thoreau quote to audiences in India?</t>
  </si>
  <si>
    <t>What GTE director wanted to make ARPANET technology public?</t>
  </si>
  <si>
    <t>When was Victoria first settled?</t>
  </si>
  <si>
    <t>does not carry out research nor does it monitor climate related data</t>
  </si>
  <si>
    <t>How many types of sediment particles have gained the most attention recently?</t>
  </si>
  <si>
    <t>Y. pestis was the causative agent of the epidemic plague</t>
  </si>
  <si>
    <t>What are the points of quadratic objects?</t>
  </si>
  <si>
    <t>Who founded McKinsey &amp; Company?</t>
  </si>
  <si>
    <t>depopulation and permanent change in both economic and social structures</t>
  </si>
  <si>
    <t>What author is best known for his book The Metaphysical Club?</t>
  </si>
  <si>
    <t>President Grover Cleveland</t>
  </si>
  <si>
    <t>radial</t>
  </si>
  <si>
    <t>in the late 1980s</t>
  </si>
  <si>
    <t>What gets smaller when a number is prime?</t>
  </si>
  <si>
    <t>the key bed</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</si>
  <si>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</si>
  <si>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Astra's</t>
  </si>
  <si>
    <t>heavy/highway, heavy civil or heavy engineering</t>
  </si>
  <si>
    <t>cryptography</t>
  </si>
  <si>
    <t>Southern California, often abbreviated SoCal, is a geographic and cultural region that generally comprises California's southernmost 10 counties. The region is traditionally described as "eight counties", based on demographics and economic ties: Imperial, Los Angeles, Orange, Riverside, San Bernardino, San Diego, Santa Barbara, and Ventura. The more extensive 10-county definition, including Kern and San Luis Obispo counties, is also used based on historical political divisions. Southern California is a major economic center for the state of California and the United States.</t>
  </si>
  <si>
    <t>Muslim Iberia</t>
  </si>
  <si>
    <t>Mesozoic Era</t>
  </si>
  <si>
    <t>practical limitations of working in the rainforest</t>
  </si>
  <si>
    <t>As of the census of 2000, there were 427,652 people, 140,079 households, and 97,915 families residing in the city. The population density was 4,097.9 people per square mile (1,582.2/km²). There were 149,025 housing units at an average density of 1,427.9 square miles (3,698 km2). The racial makeup of the city was 50.2% White, 8.4% Black or African American, 1.6% Native American, 11.2% Asian (about a third of which is Hmong), 0.1% Pacific Islander, 23.4% from other races, and 5.2% from two or more races. Hispanic or Latino of any race were 39.9% of the population.</t>
  </si>
  <si>
    <t>What kind of field is necessary to produce a magnet effect in oxygen molecules?</t>
  </si>
  <si>
    <t>Which border does the Rhine flow from the north?</t>
  </si>
  <si>
    <t>There have been debates as to whether civil disobedience must necessarily be non-violent. Black's Law Dictionary includes non-violence in its definition of civil disobedience. Christian Bay's encyclopedia article states that civil disobedience requires "carefully chosen and legitimate means," but holds that they do not have to be non-violent. It has been argued that, while both civil disobedience and civil rebellion are justified by appeal to constitutional defects, rebellion is much more destructive; therefore, the defects justifying rebellion must be much more serious than those justifying disobedience, and if one cannot justify civil rebellion, then one cannot justify a civil disobedients' use of force and violence and refusal to submit to arrest. Civil disobedients' refraining from violence is also said to help preserve society's tolerance of civil disobedience.</t>
  </si>
  <si>
    <t>What did stratigraphic correlation replace?</t>
  </si>
  <si>
    <t>suspended</t>
  </si>
  <si>
    <t>What Shakespeare Scholar is a faculty member at Harvard?</t>
  </si>
  <si>
    <t>Rīnaz</t>
  </si>
  <si>
    <t>When was the Santer Commission censured by Parliament?</t>
  </si>
  <si>
    <t>compounds of oxygen</t>
  </si>
  <si>
    <t>oxygen-16</t>
  </si>
  <si>
    <t>What happens to some sheaths on cydippids to change their size?</t>
  </si>
  <si>
    <t>desert</t>
  </si>
  <si>
    <t>Who is the current President and the High Representative for Foreign and Security Policy?</t>
  </si>
  <si>
    <t>What did Hamas win in the January 2006 legislative election?</t>
  </si>
  <si>
    <t>What is inequality associated with higher levels of?</t>
  </si>
  <si>
    <t>ballistic trajectory</t>
  </si>
  <si>
    <t>10.0%</t>
  </si>
  <si>
    <t>Cost of construction</t>
  </si>
  <si>
    <t>What is the most distinctive feature of cnidarians?</t>
  </si>
  <si>
    <t>What is needed to pack electrons densely together?</t>
  </si>
  <si>
    <t>Denmark, Iceland and Norway</t>
  </si>
  <si>
    <t>Granting what status would allow private non-religious schools in the US to receive public funds?</t>
  </si>
  <si>
    <t>How many auricles do plankton have?</t>
  </si>
  <si>
    <t>leptin, pituitary growth hormone, and prolactin</t>
  </si>
  <si>
    <t>According to a 1955 review, what were savings by the wealthy thought to offset?</t>
  </si>
  <si>
    <t>weak labor movements</t>
  </si>
  <si>
    <t>What problems did the Yuan dynasty have near its end?</t>
  </si>
  <si>
    <t>What was the source of the mistake?</t>
  </si>
  <si>
    <t>conditions of static equilibrium</t>
  </si>
  <si>
    <t>In 1972, did Norway end up joining the European Union?</t>
  </si>
  <si>
    <t>What are two examples of different types of reduction?</t>
  </si>
  <si>
    <t>events</t>
  </si>
  <si>
    <t>How much turbine power is consumed by the pump while the work fluid is condensed?</t>
  </si>
  <si>
    <t>bones</t>
  </si>
  <si>
    <t>to counteract the constant flooding and strong sedimentation in the western Rhine Delta</t>
  </si>
  <si>
    <t>Instability troubled the early years of Kublai Khan's reign. Ogedei's grandson Kaidu refused to submit to Kublai and threatened the western frontier of Kublai's domain. The hostile but weakened Song dynasty remained an obstacle in the south. Kublai secured the northeast border in 1259 by installing the hostage prince Wonjong as the ruler of Korea, making it a Mongol tributary state. Kublai was also threatened by domestic unrest. Li Tan, the son-in-law of a powerful official, instigated a revolt against Mongol rule in 1262. After successfully suppressing the revolt, Kublai curbed the influence of the Han Chinese advisers in his court. He feared that his dependence on Chinese officials left him vulnerable to future revolts and defections to the Song.</t>
  </si>
  <si>
    <t>few</t>
  </si>
  <si>
    <t>What nationality was Arthur Woolf?</t>
  </si>
  <si>
    <t>Haeckelia prey mostly on what animal?</t>
  </si>
  <si>
    <t>When did tides and currents reach the highest sea-level rise?</t>
  </si>
  <si>
    <t>When was the ability to use fossils to date isotope formations developed?</t>
  </si>
  <si>
    <t>What did European empires rely on to supply them with resources?</t>
  </si>
  <si>
    <t>Which languages used the Phags-pa script?</t>
  </si>
  <si>
    <t>β-defensins</t>
  </si>
  <si>
    <t>17th</t>
  </si>
  <si>
    <t>Who developed the first commercial engine powered device?</t>
  </si>
  <si>
    <t>mid-2000s</t>
  </si>
  <si>
    <t>vaccination</t>
  </si>
  <si>
    <t>1953</t>
  </si>
  <si>
    <t>What style of sensing do scientist like to use to measure global radiance?</t>
  </si>
  <si>
    <t>How many courses must undergraduates maintain for full time status?</t>
  </si>
  <si>
    <t>Antigen specificity  allows responses that are specific to certain types of what?</t>
  </si>
  <si>
    <t>W. E. B. Du Bois</t>
  </si>
  <si>
    <t>What does the contractor produce to let everyone see the project's goals?</t>
  </si>
  <si>
    <t>Three</t>
  </si>
  <si>
    <t>What causes elevated vitamin D levels in the elderly?</t>
  </si>
  <si>
    <t>larger fortunes</t>
  </si>
  <si>
    <t>d'Hondt</t>
  </si>
  <si>
    <t>gradient of potentials</t>
  </si>
  <si>
    <t xml:space="preserve">What  things did the network concentrate on </t>
  </si>
  <si>
    <t>proposing that action be taken</t>
  </si>
  <si>
    <t>When was the FSO Tico Factory founded?</t>
  </si>
  <si>
    <t>What was the nationality of Jerónimo de Ayanz y Beaumont?</t>
  </si>
  <si>
    <t>What are auricles?</t>
  </si>
  <si>
    <t>1962</t>
  </si>
  <si>
    <t xml:space="preserve"> What types of work did the Han do in Eastern Asia?</t>
  </si>
  <si>
    <t>When people get rid of debt, it leads potentially to what?</t>
  </si>
  <si>
    <t>Which laws mentioned not not predate EU law?</t>
  </si>
  <si>
    <t>Decision tree is an example of what type of measure?</t>
  </si>
  <si>
    <t>What river does Berlin straddle?</t>
  </si>
  <si>
    <t>Where wasn't France concentraing efforts?</t>
  </si>
  <si>
    <t>one of the richest</t>
  </si>
  <si>
    <t>the letter from Dinwiddie</t>
  </si>
  <si>
    <t>through policies</t>
  </si>
  <si>
    <t>most distinctive buildings</t>
  </si>
  <si>
    <t>British Superintendent for Indian Affairs in the New York region and beyond</t>
  </si>
  <si>
    <t>What present-day area was this settlement near?</t>
  </si>
  <si>
    <t>However, attempting to reconcile electromagnetic theory with two observations, the photoelectric effect, and the nonexistence of the ultraviolet catastrophe, proved troublesome. Through the work of leading theoretical physicists, a new theory of electromagnetism was developed using quantum mechanics. This final modification to electromagnetic theory ultimately led to quantum electrodynamics (or QED), which fully describes all electromagnetic phenomena as being mediated by wave–particles known as photons. In QED, photons are the fundamental exchange particle, which described all interactions relating to electromagnetism including the electromagnetic force.[Note 4]</t>
  </si>
  <si>
    <t>the revocation of the Edict of Nantes</t>
  </si>
  <si>
    <t xml:space="preserve"> Who ended the Yuan dynasty?</t>
  </si>
  <si>
    <t>meeting in Albany in December 1755</t>
  </si>
  <si>
    <t>What is a secondary duty of the GPhC?</t>
  </si>
  <si>
    <t>Of what form are Mersenne primes?</t>
  </si>
  <si>
    <t>Which city was John Calvin born in?</t>
  </si>
  <si>
    <t>How long did the 5th president's tenure last?</t>
  </si>
  <si>
    <t>AKS primality test</t>
  </si>
  <si>
    <t>Oxygen gas</t>
  </si>
  <si>
    <t>Dutch architect Janjaap Ruijssenaars's performative architecture 3D-printed building is scheduled to be built when?</t>
  </si>
  <si>
    <t>passed</t>
  </si>
  <si>
    <t>ultraviolet (UV)</t>
  </si>
  <si>
    <t>Who first fully explained the origins of magnetic and electric fields?</t>
  </si>
  <si>
    <t>What does not require more than 28 days in national law?</t>
  </si>
  <si>
    <t>How many people did Hamas kill between 2000 to 2007?</t>
  </si>
  <si>
    <t>How is the time needed to obtain the solution to a problem calculated?</t>
  </si>
  <si>
    <t>Avogadro's law</t>
  </si>
  <si>
    <t>What is the lack of a  jelly-like layer also called when in a complex animal?</t>
  </si>
  <si>
    <t>Jacob Van Braam</t>
  </si>
  <si>
    <t>What doctrine did the doctrine of the Principles of Geology successfully promote?</t>
  </si>
  <si>
    <t>as feeder materials</t>
  </si>
  <si>
    <t>What type of engines became popular for power generation after piston steam engines?</t>
  </si>
  <si>
    <t>the areas in which it can make laws</t>
  </si>
  <si>
    <t xml:space="preserve">ableine was retired and the new platform is called </t>
  </si>
  <si>
    <t>The Solicitor Official of Scotland has a seat in which chamber?</t>
  </si>
  <si>
    <t>What applies to both collecting taxes and searching property?</t>
  </si>
  <si>
    <t>In what town did Bill Aiken grow up?</t>
  </si>
  <si>
    <t>What is the oldest exhibition site in Ujazdow?</t>
  </si>
  <si>
    <t>promote oil exploration</t>
  </si>
  <si>
    <t xml:space="preserve">what type of housing was erected in the Soviet Union as part of the Bricks for Warsaw process? </t>
  </si>
  <si>
    <t xml:space="preserve">AT&amp;T did not purchase the technology for what reason? </t>
  </si>
  <si>
    <t>one in five</t>
  </si>
  <si>
    <t>What are many types of Turing machines not used for?</t>
  </si>
  <si>
    <t>Other than Scotland's Chief Law Officer, from whence are most ministers drawn from amongst?</t>
  </si>
  <si>
    <t>What guarantees a solid cash flow is in place before a project to assure its completion?</t>
  </si>
  <si>
    <t>What was one of the Hanseatic cities?</t>
  </si>
  <si>
    <t>Who was removed from Dioscorides' book in the Islamic Golden Age?</t>
  </si>
  <si>
    <t>lack of understanding</t>
  </si>
  <si>
    <t>Of what form do Euler primes take?</t>
  </si>
  <si>
    <t>Which city does the Hollywood district belong to?</t>
  </si>
  <si>
    <t>What are the secretions commonly called?</t>
  </si>
  <si>
    <t>inferior</t>
  </si>
  <si>
    <t>Oligocene</t>
  </si>
  <si>
    <t>United Nations Framework Convention on Climate Change (UNFCCC)</t>
  </si>
  <si>
    <t>What is one straightforward case of a Carmichael test?</t>
  </si>
  <si>
    <t>What else does an agency have a relationship with under the civil disobedience definition?</t>
  </si>
  <si>
    <t>ENR used data on what to rank Top 400 firms as heavy contractors?</t>
  </si>
  <si>
    <t>expulsion of the Acadians</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</si>
  <si>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</si>
  <si>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What was the average duty of a concept engine?</t>
  </si>
  <si>
    <t>What is complex about the layering of the Hawaiian islands?</t>
  </si>
  <si>
    <t>Who did the NIF regime harbor prior to 9/11?</t>
  </si>
  <si>
    <t>What elements from the rift system in the Alpine orogeny in Southwest Germany?</t>
  </si>
  <si>
    <t>blooms in the Red Sea</t>
  </si>
  <si>
    <t>UNESCO World Heritage Site</t>
  </si>
  <si>
    <t>channels through which inequality may affect economic growth</t>
  </si>
  <si>
    <t>synforms</t>
  </si>
  <si>
    <t>Europe first colonized the Americas, then Asia, but what continent was third?</t>
  </si>
  <si>
    <t>Where did water to the west of the Amazon drainage basin flow towards?</t>
  </si>
  <si>
    <t>What was the result of the disobedience protesting the nuclear site?</t>
  </si>
  <si>
    <t>18,000 regulars, militia and Native American allies</t>
  </si>
  <si>
    <t>NSF grew to connect how many universities?</t>
  </si>
  <si>
    <t>Resign</t>
  </si>
  <si>
    <t>Filipino community</t>
  </si>
  <si>
    <t>the tin had increased in weight and that increase was the same as the weight of the air that rushed back in</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</si>
  <si>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</si>
  <si>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When was consumption inequality lower than it had been in 1968?</t>
  </si>
  <si>
    <t>Why was old oil sold at a higher price?</t>
  </si>
  <si>
    <t>less than 200,000</t>
  </si>
  <si>
    <t>Immediately after Decision Time a "Members Debate" is held, which lasts for 45 minutes. Members Business is a debate on a motion proposed by an MSP who is not a Scottish minister. Such motions are on issues which may be of interest to a particular area such as a member's own constituency, an upcoming or past event or any other item which would otherwise not be accorded official parliamentary time. As well as the proposer, other members normally contribute to the debate. The relevant minister, whose department the debate and motion relate to "winds up" the debate by speaking after all other participants.</t>
  </si>
  <si>
    <t>engaging in the forbidden speech</t>
  </si>
  <si>
    <t>Distributed Adaptive Message Block Switching</t>
  </si>
  <si>
    <t>Southern Chinese</t>
  </si>
  <si>
    <t>911</t>
  </si>
  <si>
    <t>Fresno has three large public parks, two in the city limits and one in county land to the southwest. Woodward Park, which features the Shinzen Japanese Gardens, numerous picnic areas and several miles of trails, is in North Fresno and is adjacent to the San Joaquin River Parkway. Roeding Park, near Downtown Fresno, is home to the Fresno Chaffee Zoo, and Rotary Storyland and Playland. Kearney Park is the largest of the Fresno region's park system and is home to historic Kearney Mansion and plays host to the annual Civil War Revisited, the largest reenactment of the Civil War in the west coast of the U.S.</t>
  </si>
  <si>
    <t>When was the Rhine fully within the Holy Roman Empire?</t>
  </si>
  <si>
    <t>David Graeber</t>
  </si>
  <si>
    <t>the Council</t>
  </si>
  <si>
    <t>What are those with higher incomes often unable to manage?</t>
  </si>
  <si>
    <t>What split the Amazon drainage basin along the northern part of the continent?</t>
  </si>
  <si>
    <t>the union government</t>
  </si>
  <si>
    <t>what way they could be brought back</t>
  </si>
  <si>
    <t>When was Warsaw ranked as the 32nd most liveable city in the world?</t>
  </si>
  <si>
    <t>the Court of Justice of the European Union (CJEU)</t>
  </si>
  <si>
    <t>What prohibits atoms from passing through each other?</t>
  </si>
  <si>
    <t>Egyptian Islamic Jihad organization</t>
  </si>
  <si>
    <t>about seven-eighths</t>
  </si>
  <si>
    <t>How was the Rhine Gorge formed?</t>
  </si>
  <si>
    <t>What types of scientists looks for signs of magnetic reversals in igneous rocks within the drill cores?</t>
  </si>
  <si>
    <t>Which Nobel Memorial Prize in British Sciences is an alumni?</t>
  </si>
  <si>
    <t>42</t>
  </si>
  <si>
    <t>as better</t>
  </si>
  <si>
    <t>industrialized nations increased their reserves</t>
  </si>
  <si>
    <t>tuition</t>
  </si>
  <si>
    <t>1851</t>
  </si>
  <si>
    <t>2002</t>
  </si>
  <si>
    <t>When did the Fresno Traction Company come to Fresno?</t>
  </si>
  <si>
    <t>What repels immune cells?</t>
  </si>
  <si>
    <t>What type of ballot is used to elect the Presiding Officer and deputies of the Parliament?</t>
  </si>
  <si>
    <t>to ensure that the prescription is valid</t>
  </si>
  <si>
    <t>What service is a VideoGuard UK equipped receiver never able to decrypt?</t>
  </si>
  <si>
    <t xml:space="preserve"> Who was obediant in the Ispah Rebellion?</t>
  </si>
  <si>
    <t>nearly two-thirds</t>
  </si>
  <si>
    <t>What kind of rhythm do the statocysts have?</t>
  </si>
  <si>
    <t>William Stranahan</t>
  </si>
  <si>
    <t>What type of steam engine doesn't need valves to direct steam?</t>
  </si>
  <si>
    <t>plead guilty to one misdemeanor count and receive no jail time</t>
  </si>
  <si>
    <t>What types of programs don't help to redistribute wealth?</t>
  </si>
  <si>
    <t>What Dutch document condemned the Spanish Inquisition?</t>
  </si>
  <si>
    <t>How many pages was the Kalven Report statement?</t>
  </si>
  <si>
    <t xml:space="preserve"> Who defended Kublai Khan's right to succeed Mongke Khan?</t>
  </si>
  <si>
    <t>Who proposed that innate intertial is the natural state of objects?</t>
  </si>
  <si>
    <t>What isn't a guaranteed quality of service?</t>
  </si>
  <si>
    <t>The IPCC Fourth Assessment Report (AR4) published in 2007 featured a graph showing 12 proxy based temperature reconstructions, including the three highlighted in the 2001 Third Assessment Report (TAR); Mann, Bradley &amp; Hughes 1999 as before, Jones et al. 1998 and Briffa 2000 had both been calibrated by newer studies. In addition, analysis of the Medieval Warm Period cited reconstructions by Crowley &amp; Lowery 2000 (as cited in the TAR) and Osborn &amp; Briffa 2006. Ten of these 14 reconstructions covered 1,000 years or longer. Most reconstructions shared some data series, particularly tree ring data, but newer reconstructions used additional data and covered a wider area, using a variety of statistical methods. The section discussed the divergence problem affecting certain tree ring data.</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</si>
  <si>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</si>
  <si>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Fort Niagara</t>
  </si>
  <si>
    <t>What began to accumulate 5.2 billion years ago?</t>
  </si>
  <si>
    <t>What two groups do trade unions think civil disobedience is justified against?</t>
  </si>
  <si>
    <t>rocks, algae, or the body surfaces of other invertebrates</t>
  </si>
  <si>
    <t>1,320 kilometres (820 miles)</t>
  </si>
  <si>
    <t>quarter square</t>
  </si>
  <si>
    <t>Pacific</t>
  </si>
  <si>
    <t>Lower Lorraine</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</si>
  <si>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</si>
  <si>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Newton's Fifth Law means that only some forces are interactions between whom?</t>
  </si>
  <si>
    <t>Who was victorious in the 2005 UK election?</t>
  </si>
  <si>
    <t>the Santer Commission</t>
  </si>
  <si>
    <t>As of 2010[update], there were 366,273 households out of which 11.8% were vacant. 23.9% of households had children under the age of 18 living with them, 43.8% were married couples, 15.2% had a female householder with no husband present, and 36.4% were non-families. 29.7% of all households were made up of individuals and 7.9% had someone living alone who was 65 years of age or older. The average household size was 2.55 and the average family size was 3.21. In the city, the population was spread out with 23.9% under the age of 18, 10.5% from 18 to 24, 28.5% from 25 to 44, 26.2% from 45 to 64, and 10.9% who were 65 years of age or older. The median age was 35.5 years. For every 100 females there were 94.1 males. For every 100 females age 18 and over, there were 91.3 males.</t>
  </si>
  <si>
    <t>When were the shortcomings of Aristotle's physics overcome?</t>
  </si>
  <si>
    <t>When were the Alps formed?</t>
  </si>
  <si>
    <t>Why did the 5th president of the university decide to get rid of the football program?</t>
  </si>
  <si>
    <t>DTIME(f(n)).</t>
  </si>
  <si>
    <t>universal Ku band</t>
  </si>
  <si>
    <t>What chemical did Priestley use in his experiments on oxygen?</t>
  </si>
  <si>
    <t>The owner typically awards a contract to who?</t>
  </si>
  <si>
    <t>A plea of no contest is a compromose between a creative plea and pleading what?</t>
  </si>
  <si>
    <t>Where do ctenophores be found in large numbers?</t>
  </si>
  <si>
    <t>Inflammation is one of the first responses of the immune system to infection. The symptoms of inflammation are redness, swelling, heat, and pain, which are caused by increased blood flow into tissue. Inflammation is produced by eicosanoids and cytokines, which are released by injured or infected cells. Eicosanoids include prostaglandins that produce fever and the dilation of blood vessels associated with inflammation, and leukotrienes that attract certain white blood cells (leukocytes). Common cytokines include interleukins that are responsible for communication between white blood cells; chemokines that promote chemotaxis; and interferons that have anti-viral effects, such as shutting down protein synthesis in the host cell. Growth factors and cytotoxic factors may also be released. These cytokines and other chemicals recruit immune cells to the site of infection and promote healing of any damaged tissue following the removal of pathogens.</t>
  </si>
  <si>
    <t>stronger in the Scottish Parliament than in other parliamentary systems</t>
  </si>
  <si>
    <t>Why has Cambridge purchased land in Allston?</t>
  </si>
  <si>
    <t>about a third.</t>
  </si>
  <si>
    <t>voluminous literature</t>
  </si>
  <si>
    <t>For what nation did Ribault initially claim what is now Jacksonville?</t>
  </si>
  <si>
    <t>the desert</t>
  </si>
  <si>
    <t>The war was fought primarily along the frontiers between New France and the British colonies, from Virginia in the South to Nova Scotia in the North. It began with a dispute over control of the confluence of the Allegheny and Monongahela rivers, called the Forks of the Ohio, and the site of the French Fort Duquesne and present-day Pittsburgh, Pennsylvania. The dispute erupted into violence in the Battle of Jumonville Glen in May 1754, during which Virginia militiamen under the command of 22-year-old George Washington ambushed a French patrol.</t>
  </si>
  <si>
    <t>What communities avoid Tower District?</t>
  </si>
  <si>
    <t>Vosges Mountains</t>
  </si>
  <si>
    <t>Confucian propriety and ancestor veneration</t>
  </si>
  <si>
    <t>What have politically correct policies about nuclear power promoted in America?</t>
  </si>
  <si>
    <t>citizen's</t>
  </si>
  <si>
    <t>What medical treatment is completely different from acquired immunity?</t>
  </si>
  <si>
    <t>What island does the cold water flow of the Rhine and Lake Constance flow to?</t>
  </si>
  <si>
    <t xml:space="preserve"> What ended French imperial Ambitions?</t>
  </si>
  <si>
    <t>recover the latent heat of vaporisation</t>
  </si>
  <si>
    <t>Ed Whitfield</t>
  </si>
  <si>
    <t>From what years did St. Elizabeth live in the Hollands Diep bay?</t>
  </si>
  <si>
    <t>Neutrophils and macrophages are phagocytes that travel throughout the body in pursuit of invading pathogens. Neutrophils are normally found in the bloodstream and are the most abundant type of phagocyte, normally representing 50% to 60% of the total circulating leukocytes. During the acute phase of inflammation, particularly as a result of bacterial infection, neutrophils migrate toward the site of inflammation in a process called chemotaxis, and are usually the first cells to arrive at the scene of infection. Macrophages are versatile cells that reside within tissues and produce a wide array of chemicals including enzymes, complement proteins, and regulatory factors such as interleukin 1. Macrophages also act as scavengers, ridding the body of worn-out cells and other debris, and as antigen-presenting cells that activate the adaptive immune system.</t>
  </si>
  <si>
    <t xml:space="preserve">How many bodies did Public Health England exhume? </t>
  </si>
  <si>
    <t>form business partnerships with physicians</t>
  </si>
  <si>
    <t>the mortgage banker</t>
  </si>
  <si>
    <t>What was Plato's approach considered?</t>
  </si>
  <si>
    <t>The earthquake forecast models what features of earthquakes in California?</t>
  </si>
  <si>
    <t>What made the student decide to occupy the president's office in protest?</t>
  </si>
  <si>
    <t>Who is able to legislate on issues that are reserved to Westminster?</t>
  </si>
  <si>
    <t>Thousands of madrasahs spawned what organization?</t>
  </si>
  <si>
    <t>At first he sent missionaries, backed by a fund to financially reward converts to Catholicism</t>
  </si>
  <si>
    <t>What did the NIF try to unify Islamist opposition against?</t>
  </si>
  <si>
    <t>What happens to plankton when they mature?</t>
  </si>
  <si>
    <t>What battle outside Quebec City did British lose in 1760?</t>
  </si>
  <si>
    <t>understates the uncertainty associated with climate models</t>
  </si>
  <si>
    <t>former captain of the Yale football team</t>
  </si>
  <si>
    <t>Why did France choose to give up no continental lands?</t>
  </si>
  <si>
    <t>22,000–14,000 yr BP</t>
  </si>
  <si>
    <t>What makes research in built-in plumbing possible?</t>
  </si>
  <si>
    <t>Astra 2A</t>
  </si>
  <si>
    <t>What is released by pores in the comb rows?</t>
  </si>
  <si>
    <t>In what year did Louis XIV start to bribe Protestants to convert to Catholicism?</t>
  </si>
  <si>
    <t>What mechanism moves coal from a bunker to the firebox?</t>
  </si>
  <si>
    <t>hat long term agenda was the acts of plundering Muslim lands by the East?</t>
  </si>
  <si>
    <t>1–3 cm (0.39–1.18 in) per century</t>
  </si>
  <si>
    <t>What is R-OC-R?</t>
  </si>
  <si>
    <t>In what English colony were Huguenot settlers promised land?</t>
  </si>
  <si>
    <t>What do the three richest people in the world posses more of than the lowest 48 nations together?</t>
  </si>
  <si>
    <t>acquiring nutrients</t>
  </si>
  <si>
    <t>How weren't leaders back in Europe feeling about news from Celeron expedition?</t>
  </si>
  <si>
    <t>planktonic prey</t>
  </si>
  <si>
    <t>low demand</t>
  </si>
  <si>
    <t>Under what condition is an element irreducible?</t>
  </si>
  <si>
    <t>What type of surveys show the location of stratigraphic units in the subsurface?</t>
  </si>
  <si>
    <t>A B cell</t>
  </si>
  <si>
    <t>pure speech</t>
  </si>
  <si>
    <t>What degree is no longer mandatory in the U.S. in order to be a licensed pharmacist?</t>
  </si>
  <si>
    <t>war</t>
  </si>
  <si>
    <t>socialist realism</t>
  </si>
  <si>
    <t>According to 1 million contractors  what was the annual revenue in 2014?</t>
  </si>
  <si>
    <t>Savannah areas expanded over the last how many years?</t>
  </si>
  <si>
    <t>What does political pressure push to extend to compensate for stagnating purchasing power?</t>
  </si>
  <si>
    <t>What nationality was Lavoisier?</t>
  </si>
  <si>
    <t>What criticism in NY times article that impacts the quality of Education at Harvard?</t>
  </si>
  <si>
    <t>$2 million</t>
  </si>
  <si>
    <t>When was the ability to use radioactive isotopes to date rock formations developed?</t>
  </si>
  <si>
    <t>What DNA astronaut is also a U of C alumni?</t>
  </si>
  <si>
    <t>What does ctenophore use to capture prey?</t>
  </si>
  <si>
    <t xml:space="preserve"> What discouraged cultural exchange under the Yuan?</t>
  </si>
  <si>
    <t>What was the name given to a section of Kearney Boulevard in efforts to change the areas image?</t>
  </si>
  <si>
    <t>quality of a country's institutions</t>
  </si>
  <si>
    <t>the General Assembly Hall of the Church of Scotland</t>
  </si>
  <si>
    <t>Who was Vrisovci?</t>
  </si>
  <si>
    <t>Tumors that are able to evade the body's immune response can become what?</t>
  </si>
  <si>
    <t>Nearby, in Ogród Saski (the Saxon Garden), the Summer Theatre was in operation from 1870 to 1939, and in the inter-war period, the theatre complex also included Momus, Warsaw's first literary cabaret, and Leon Schiller's musical theatre Melodram. The Wojciech Bogusławski Theatre (1922–26), was the best example of "Polish monumental theatre". From the mid-1930s, the Great Theatre building housed the Upati Institute of Dramatic Arts – the first state-run academy of dramatic art, with an acting department and a stage directing department.</t>
  </si>
  <si>
    <t>radioactivity</t>
  </si>
  <si>
    <t>the west</t>
  </si>
  <si>
    <t>In which case was it held that the provisions of the treaties are directly effective if they are clear, unconditional, and don't require further action by EU or national authorities?</t>
  </si>
  <si>
    <t>The unusually high concentration of oxygen gas on Earth is the result of the oxygen cycle. This biogeochemical cycle describes the movement of oxygen within and between its three main reservoirs on Earth: the atmosphere, the biosphere, and the lithosphere. The main driving factor of the oxygen cycle is photosynthesis, which is responsible for modern Earth's atmosphere. Photosynthesis releases oxygen into the atmosphere, while respiration and decay remove it from the atmosphere. In the present equilibrium, production and consumption occur at the same rate of roughly 1/2000th of the entire atmospheric oxygen per year.</t>
  </si>
  <si>
    <t>The Very high-speed Backbone Network Service</t>
  </si>
  <si>
    <t>Despite the high position given to Muslims, some policies of the Yuan Emperors severely discriminated against them, restricting Halal slaughter and other Islamic practices like circumcision, as well as Kosher butchering for Jews, forcing them to eat food the Mongol way. Toward the end, corruption and the persecution became so severe that Muslim generals joined Han Chinese in rebelling against the Mongols. The Ming founder Zhu Yuanzhang had Muslim generals like Lan Yu who rebelled against the Mongols and defeated them in combat. Some Muslim communities had a Chinese surname which meant "barracks" and could also mean "thanks". Many Hui Muslims claim this is because that they played an important role in overthrowing the Mongols and it was given in thanks by the Han Chinese for assisting them. During the war fighting the Mongols, among the Ming Emperor Zhu Yuanzhang's armies was the Hui Muslim Feng Sheng. The Muslims in the semu class also revolted against the Yuan dynasty in the Ispah Rebellion but the rebellion was crushed and the Muslims were massacred by the Yuan loyalist commander Chen Youding.</t>
  </si>
  <si>
    <t>What are those from Jacksonville sometimes called?</t>
  </si>
  <si>
    <t>What mechanisms do many species not utilize?</t>
  </si>
  <si>
    <t>greatest good</t>
  </si>
  <si>
    <t>Who offered Issac his daughter?</t>
  </si>
  <si>
    <t>continental European countries</t>
  </si>
  <si>
    <t>What can significantly contribute to the continuing inequality in a society over time?</t>
  </si>
  <si>
    <t>the world's oceans</t>
  </si>
  <si>
    <t>a thin film of oxide</t>
  </si>
  <si>
    <t>What cells are unable to remember specific pathogens?</t>
  </si>
  <si>
    <t>Swiss-Austrian</t>
  </si>
  <si>
    <t>£34m per year</t>
  </si>
  <si>
    <t>30 to 50 thousand inhabitants</t>
  </si>
  <si>
    <t>fort San Mateo</t>
  </si>
  <si>
    <t>6.7+</t>
  </si>
  <si>
    <t>Edict of Fontainebleau</t>
  </si>
  <si>
    <t>What was the name of the time the Upper Rhine form a border between France and Germany?</t>
  </si>
  <si>
    <t>Because of their soft, gelatinous bodies</t>
  </si>
  <si>
    <t>What is Southern California often abbreviated as?</t>
  </si>
  <si>
    <t>The connection between energy and what allows for a unified electromagnetic force that acts on a charge?</t>
  </si>
  <si>
    <t>the Southern Border Region</t>
  </si>
  <si>
    <t>There is growing interest in what indigenous group in the Amazon?</t>
  </si>
  <si>
    <t>When are copepod populations abundant?</t>
  </si>
  <si>
    <t>What type of experiment did Philo of Pneumatica preform?</t>
  </si>
  <si>
    <t xml:space="preserve"> When did Temur die?</t>
  </si>
  <si>
    <t>In what year is the oldest pharmacy said to have been established?</t>
  </si>
  <si>
    <t>Newton's Third Law</t>
  </si>
  <si>
    <t>When was Kublai's administration running out of money?</t>
  </si>
  <si>
    <t>Electorate of Brandenburg and Electorate of the Palatinate</t>
  </si>
  <si>
    <t>What makes detection by killer T cells more likely?</t>
  </si>
  <si>
    <t>Who was one of the scientists for Public Health England in 2014?</t>
  </si>
  <si>
    <t>The British</t>
  </si>
  <si>
    <t>neither zero nor a unit</t>
  </si>
  <si>
    <t>Wilson's geographer</t>
  </si>
  <si>
    <t>What is the qualitative answer to this particular problem instance?</t>
  </si>
  <si>
    <t>When was the current parliament of Scotland convened?</t>
  </si>
  <si>
    <t>When was Zhu Shijie born?</t>
  </si>
  <si>
    <t>When did the Meuse and Waal diverge further upstream at Gorinchem?</t>
  </si>
  <si>
    <t>On what date did John Lawrence Daly present the IPCC 1995 report?</t>
  </si>
  <si>
    <t>unification</t>
  </si>
  <si>
    <t>What district of Warsaw chose the President between 1990 and 1993?</t>
  </si>
  <si>
    <t>What type of theatre is the Katyn Fotoplastikon?</t>
  </si>
  <si>
    <t>majority of the seats,</t>
  </si>
  <si>
    <t>interconnection of national X.25 networks</t>
  </si>
  <si>
    <t>What did Egypt say that Iran increased the price of wheat they sell by?</t>
  </si>
  <si>
    <t>What can it sometimes take up to 14 years to get permission to build on?</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</si>
  <si>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Included in its provisions was the reservation of lands west of the Appalachian Mountains to its Indian population, a demarcation that was at best a temporary impediment to a rising tide of westward-bound settlers. The proclamation also contained provisions that prevented civic participation by the Roman Catholic Canadians. When accommodations were made in the Quebec Act in 1774 to address this and other issues, religious concerns were raised in the largely Protestant Thirteen Colonies over the advance of "popery"; the Act maintained French Civil law, including the seigneurial system, a medieval code soon to be removed from France within a generation by the French Revolution.</t>
  </si>
  <si>
    <t>1804</t>
  </si>
  <si>
    <t>1932</t>
  </si>
  <si>
    <t>Who are commonly associated with the algorithm typically considered the most effective with respect to finite polynomial hierarchy and graph isomorphism?</t>
  </si>
  <si>
    <t>How long after a banquet with Tugh Temur did Kusala die?</t>
  </si>
  <si>
    <t>What did NSFNET eventually provide</t>
  </si>
  <si>
    <t>non-violence</t>
  </si>
  <si>
    <t>What role was not respected during the Asuka period?</t>
  </si>
  <si>
    <t>There are infinitely many primes, as demonstrated by Euclid around 300 BC. There is no known simple formula that separates prime numbers from composite numbers. However, the distribution of primes, that is to say, the statistical behaviour of primes in the large, can be modelled. The first result in that direction is the prime number theorem, proven at the end of the 19th century, which says that the probability that a given, randomly chosen number n is prime is inversely proportional to its number of digits, or to the logarithm of n.</t>
  </si>
  <si>
    <t>1806</t>
  </si>
  <si>
    <t>The university experienced its share of student unrest during the 1960s, beginning in 1962, when students occupied President George Beadle's office in a protest over the university's off-campus rental policies. After continued turmoil, a university committee in 1967 issued what became known as the Kalven Report. The report, a two-page statement of the university's policy in "social and political action," declared that "To perform its mission in the society, a university must sustain an extraordinary environment of freedom of inquiry and maintain an independence from political fashions, passions, and pressures." The report has since been used to justify decisions such as the university's refusal to divest from South Africa in the 1980s and Darfur in the late 2000s.</t>
  </si>
  <si>
    <t>completed (or local) fields</t>
  </si>
  <si>
    <t>What isn't Thomas B. Edsall's profession?</t>
  </si>
  <si>
    <t>667,000 firms</t>
  </si>
  <si>
    <t>former King of Thebes</t>
  </si>
  <si>
    <t>In an adjustable spring-loaded valve, what needs to be broken to allow an operator to tamper with it?</t>
  </si>
  <si>
    <t xml:space="preserve"> What type of sanctions has Canada directed at Iran?</t>
  </si>
  <si>
    <t>Sainte-Foy</t>
  </si>
  <si>
    <t>The Black Death is thought to have originated in the arid plains of Central Asia, where it then travelled along the Silk Road, reaching Crimea by 1343. From there, it was most likely carried by Oriental rat fleas living on the black rats that were regular passengers on merchant ships. Spreading throughout the Mediterranean and Europe, the Black Death is estimated to have killed 30–60% of Europe's total population. In total, the plague reduced the world population from an estimated 450 million down to 350–375 million in the 14th century. The world population as a whole did not recover to pre-plague levels until the 17th century. The plague recurred occasionally in Europe until the 19th century.</t>
  </si>
  <si>
    <t>During the First Sino-Japanese War in 1894, Japan absorbed Taiwan. As a result of the Russo-Japanese War in 1905, Japan took part of Sakhalin Island from Russia. Korea was annexed in 1910. During World War I, Japan took German-leased territories in China’s Shandong Province, as well as the Mariana, Caroline, and Marshall Islands. In 1918, Japan occupied parts of far eastern Russia and parts of eastern Siberia as a participant in the Siberian Intervention. In 1931 Japan conquered Manchuria from China. During the Second Sino-Japanese War in 1937, Japan's military invaded central China and by the end of the Pacific War, Japan had conquered much of the Far East, including Hong Kong, Vietnam, Cambodia, Myanmar, the Philippines, Indonesia, part of New Guinea and some islands of the Pacific Ocean. Japan also invaded Thailand, pressuring the country into a Thai/Japanese alliance. Its colonial ambitions were ended by the victory of the United States in the Second World War and the following treaties which remanded those territories to American administration or their original owners.</t>
  </si>
  <si>
    <t>each side proposing that action be taken</t>
  </si>
  <si>
    <t>Up until 1990, Saudi Arabia played an unimportant role in restraining what groups?</t>
  </si>
  <si>
    <t>cylinder volume</t>
  </si>
  <si>
    <t>_____ Helps the biospher from UV.</t>
  </si>
  <si>
    <t>Storybook</t>
  </si>
  <si>
    <t>organic solvents</t>
  </si>
  <si>
    <t xml:space="preserve"> What was the name of the non-imperialistic policy in China?</t>
  </si>
  <si>
    <t>What was the name of the WWF report?</t>
  </si>
  <si>
    <t>What are well logs?</t>
  </si>
  <si>
    <t>Donald Davies</t>
  </si>
  <si>
    <t>When was Spanish takeover of Louisiana Territory complete?</t>
  </si>
  <si>
    <t>what is the fee range for accessing BSkyB's EPG?</t>
  </si>
  <si>
    <t>Conservative forces are often associated with the transfer of what?</t>
  </si>
  <si>
    <t xml:space="preserve"> What law did not justify British imperialism?</t>
  </si>
  <si>
    <t>828,000 women</t>
  </si>
  <si>
    <t>What do people with lower income have less access to?</t>
  </si>
  <si>
    <t>What decreased in number between 1948 and 1991?</t>
  </si>
  <si>
    <t>bacteriophages</t>
  </si>
  <si>
    <t>What does comprise 69 percent of?</t>
  </si>
  <si>
    <t>draining the surrounding land</t>
  </si>
  <si>
    <t>Two fundamental differences involved the division of functions and tasks between the hosts at the edge of the network and the network core</t>
  </si>
  <si>
    <t>What's the party's take on Muslim history?</t>
  </si>
  <si>
    <t>IgE</t>
  </si>
  <si>
    <t>four public charter schools</t>
  </si>
  <si>
    <t>What is the Victoria state color?</t>
  </si>
  <si>
    <t>a partnership with Level 3 Communications to launch a brand new nationwide network</t>
  </si>
  <si>
    <t>the whole Parliament</t>
  </si>
  <si>
    <t>Midsummer’s Night</t>
  </si>
  <si>
    <t>What civilization was the first known to clearly study infinite numbers?</t>
  </si>
  <si>
    <t>What percentage of students attended private schools in Grundgesetz in 1992?</t>
  </si>
  <si>
    <t>anaerobic</t>
  </si>
  <si>
    <t>7.5</t>
  </si>
  <si>
    <t>Downtown Santa Monica and Downtown Glendale are a part of which area?</t>
  </si>
  <si>
    <t>All of the forces in the universe are based on four fundamental interactions. The strong and weak forces are nuclear forces that act only at very short distances, and are responsible for the interactions between subatomic particles, including nucleons and compound nuclei. The electromagnetic force acts between electric charges, and the gravitational force acts between masses. All other forces in nature derive from these four fundamental interactions. For example, friction is a manifestation of the electromagnetic force acting between the atoms of two surfaces, and the Pauli exclusion principle, which does not permit atoms to pass through each other. Similarly, the forces in springs, modeled by Hooke's law, are the result of electromagnetic forces and the Exclusion Principle acting together to return an object to its equilibrium position. Centrifugal forces are acceleration forces that arise simply from the acceleration of rotating frames of reference.:12-11:359</t>
  </si>
  <si>
    <t xml:space="preserve">What was the goal of the system </t>
  </si>
  <si>
    <t>not restored by the communist authorities after the war</t>
  </si>
  <si>
    <t>What si the comparison to sea level with the oxygen level in space suits?</t>
  </si>
  <si>
    <t>What group is set up to scrutinize public bills submitted to the Scottish Parliament?</t>
  </si>
  <si>
    <t>the Gaussian integers Z[i]</t>
  </si>
  <si>
    <t>What do engineers offer themselves as for a project?</t>
  </si>
  <si>
    <t>What organizations are funded by the student government?</t>
  </si>
  <si>
    <t>the public.</t>
  </si>
  <si>
    <t>What is the force between nucleons?</t>
  </si>
  <si>
    <t>The integer factorization problem</t>
  </si>
  <si>
    <t>The Brotherhood was the only opposition group outside of Egypt able to do what during elections?</t>
  </si>
  <si>
    <t>What is the main point of being a Conservative and protesting?</t>
  </si>
  <si>
    <t>not a Scottish minister</t>
  </si>
  <si>
    <t>the checks and balances system of the U.S. and many other governments.</t>
  </si>
  <si>
    <t>the means to invest in new sources of creating wealth or to otherwise leverage the accumulation of wealth</t>
  </si>
  <si>
    <t>"informal" imperialism</t>
  </si>
  <si>
    <t>What is the name for the social science program used in urban primary and secondary schools?</t>
  </si>
  <si>
    <t>Each chapter has a number of authors who are responsible for writing and editing the material. A chapter typically has two "coordinating lead authors", ten to fifteen "lead authors", and a somewhat larger number of "contributing authors". The coordinating lead authors are responsible for assembling the contributions of the other authors, ensuring that they meet stylistic and formatting requirements, and reporting to the Working Group chairs. Lead authors are responsible for writing sections of chapters. Contributing authors prepare text, graphs or data for inclusion by the lead authors.</t>
  </si>
  <si>
    <t>What city in Victoria is called the cricket ground of Australia?</t>
  </si>
  <si>
    <t>Private_school</t>
  </si>
  <si>
    <t>German Nazi colonial administration</t>
  </si>
  <si>
    <t>What does sleep have no effect on?</t>
  </si>
  <si>
    <t>The Peruvian Amazon indigenous people and what other group continue to grow in the Amazon?</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</si>
  <si>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</si>
  <si>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poor and the middle class</t>
  </si>
  <si>
    <t>How often are elections held for the Victorian Parliament?</t>
  </si>
  <si>
    <t>How long does it take to know the outcome of a division?</t>
  </si>
  <si>
    <t>To what city in Sicily did the Genoese traders flee to?</t>
  </si>
  <si>
    <t>In what year did the Tudor era begin in England?</t>
  </si>
  <si>
    <t>social and political action</t>
  </si>
  <si>
    <t>Red Turban rebels</t>
  </si>
  <si>
    <t>What Senate committee did Singer speak to in July 2000?</t>
  </si>
  <si>
    <t>Who did the EEC support during the Six-Day War?</t>
  </si>
  <si>
    <t>Pliocene period</t>
  </si>
  <si>
    <t>What year did Robert J. Shiller win an Economics Nobel prize?</t>
  </si>
  <si>
    <t>How many armies were in each Tumen?</t>
  </si>
  <si>
    <t>The Court of Justice of the European Union</t>
  </si>
  <si>
    <t>What is the lower house of the Victorian parliament called?</t>
  </si>
  <si>
    <t>Brazil</t>
  </si>
  <si>
    <t>Where does the Amazon region rate among the entire earth for its amount of biodiversity?</t>
  </si>
  <si>
    <t>societies</t>
  </si>
  <si>
    <t>varying regional cost-benefit analysis and burden-sharing conflicts with regard to the distribution of emission reductions</t>
  </si>
  <si>
    <t>In what year did the Black Death reach the Mediterranean?</t>
  </si>
  <si>
    <t>Who added to Dioscorides' book in the Islamic Golden Age?</t>
  </si>
  <si>
    <t>How many rival princes were involved in assassinating Gegeen?</t>
  </si>
  <si>
    <t>connect two PDP-11 minicomputers</t>
  </si>
  <si>
    <t>In Antigone, who was the target of civil disobedience?</t>
  </si>
  <si>
    <t>hold a set speed</t>
  </si>
  <si>
    <t>"Isel"</t>
  </si>
  <si>
    <t>821,784</t>
  </si>
  <si>
    <t>sponges</t>
  </si>
  <si>
    <t>What did the Greek root pharmakos imply?</t>
  </si>
  <si>
    <t>What had the number of people living in Warsaw declined to by 1945?</t>
  </si>
  <si>
    <t>What type of homes is Fresno known for?</t>
  </si>
  <si>
    <t>What is the principle about relating spin and space variables?</t>
  </si>
  <si>
    <t>Since 7500 yr ago, a situation with tides and currents, very similar to present has existed. Rates of sea-level rise had dropped so far, that natural sedimentation by the Rhine and coastal processes together, could compensate the transgression by the sea; in the last 7000 years, the coast line was roughly at the same location. In the southern North Sea, due to ongoing tectonic subsidence, the sea level is still rising, at the rate of about 1–3 cm (0.39–1.18 in) per century (1 metre or 39 inches in last 3000 years).</t>
  </si>
  <si>
    <t>Where are No Fear and RCVA headquartered?</t>
  </si>
  <si>
    <t>How many companies were listed on the WSE on April 2009?</t>
  </si>
  <si>
    <t>Constitutional impasse is different from civil disobedience because does not include what type of person?</t>
  </si>
  <si>
    <t>the Singing Revolution</t>
  </si>
  <si>
    <t>What have studies on income inequality sometimes found evidence confirming?</t>
  </si>
  <si>
    <t>definitions</t>
  </si>
  <si>
    <t>What is usually not stated using the big O notation?</t>
  </si>
  <si>
    <t>What is the density of all wraps compatible with a modulo 9?</t>
  </si>
  <si>
    <t>the War of the Two Capitals</t>
  </si>
  <si>
    <t>an algorithm</t>
  </si>
  <si>
    <t>In the triplet form, O
2 molecules are paramagnetic. That is, they impart magnetic character to oxygen when it is in the presence of a magnetic field, because of the spin magnetic moments of the unpaired electrons in the molecule, and the negative exchange energy between neighboring O
2 molecules. Liquid oxygen is attracted to a magnet to a sufficient extent that, in laboratory demonstrations, a bridge of liquid oxygen may be supported against its own weight between the poles of a powerful magnet.[c]</t>
  </si>
  <si>
    <t>his arrest was not covered in any newspapers in the days, weeks and months after it happened</t>
  </si>
  <si>
    <t>Which bound of time is more difficult to establish?</t>
  </si>
  <si>
    <t>Aare</t>
  </si>
  <si>
    <t>Jules Ferry thought that the "higher races" don't have a duty to what?</t>
  </si>
  <si>
    <t>Normans</t>
  </si>
  <si>
    <t>What was Sadat seeking by releasing Islamists from prison?</t>
  </si>
  <si>
    <t>seafloor spreading</t>
  </si>
  <si>
    <t>Asia</t>
  </si>
  <si>
    <t>What is a notable application of jet engines today?</t>
  </si>
  <si>
    <t>Louis Agassiz</t>
  </si>
  <si>
    <t>What concept was developed by Baran while researching at RAND</t>
  </si>
  <si>
    <t>in the relevant committee or committees</t>
  </si>
  <si>
    <t>Who did King David I of Scotland Marry?</t>
  </si>
  <si>
    <t>In what compound is oxygen part of a ring arrangement?</t>
  </si>
  <si>
    <t>kinetic friction</t>
  </si>
  <si>
    <t>The availability of the Bible in vernacular languages</t>
  </si>
  <si>
    <t>This region includes territory belonging to nine nations.</t>
  </si>
  <si>
    <t>the CDC mainframe at Michigan State University in East Lansing</t>
  </si>
  <si>
    <t>TELENET and TRANSPAC were implemented with what?</t>
  </si>
  <si>
    <t>What techniques can be used to determine paleotopography?</t>
  </si>
  <si>
    <t>Where is the border of Bavaria?</t>
  </si>
  <si>
    <t>Why was no damage caused by breathing pure O in space applications?</t>
  </si>
  <si>
    <t>What needs to be avoided with civil disobedience?</t>
  </si>
  <si>
    <t>Dai Ön Ulus, also rendered as Ikh Yuan Üls or Yekhe Yuan Ulus</t>
  </si>
  <si>
    <t>How large can ctenophora grow?</t>
  </si>
  <si>
    <t>What channel lost advertising revenue due to their plans?</t>
  </si>
  <si>
    <t>Building activity occurred in numerous noble palaces and churches during the later decades of the 17th century. One of the best examples of this architecture are Krasiński Palace (1677–1683), Wilanów Palace (1677–1696) and St. Kazimierz Church (1688–1692). The most impressive examples of rococo architecture are Czapski Palace (1712–1721), Palace of the Four Winds (1730s) and Visitationist Church (façade 1728–1761). The neoclassical architecture in Warsaw can be described by the simplicity of the geometrical forms teamed with a great inspiration from the Roman period. Some of the best examples of the neoclassical style are the Palace on the Water (rebuilt 1775–1795), Królikarnia (1782–1786), Carmelite Church (façade 1761–1783) and Evangelical Holy Trinity Church (1777–1782). The economic growth during the first years of Congress Poland caused a rapid rise architecture. The Neoclassical revival affected all aspects of architecture, the most notable are the Great Theater (1825–1833) and buildings located at Bank Square (1825–1828).</t>
  </si>
  <si>
    <t>1300</t>
  </si>
  <si>
    <t>Lampea</t>
  </si>
  <si>
    <t>What appearance do dendritic cells and neuronal dendrites not share?</t>
  </si>
  <si>
    <t>What was Dover the main British center of at the time?</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</si>
  <si>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</si>
  <si>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What equation desribed the physics of force before the current Schrodinger equation?</t>
  </si>
  <si>
    <t>Bronze Age agriculture</t>
  </si>
  <si>
    <t>chronic and complex disease states such as cancer, hepatitis, and rheumatoid arthritis</t>
  </si>
  <si>
    <t>What does the name Fresno mean in Spanish?</t>
  </si>
  <si>
    <t>What is a term that means constant temperature?</t>
  </si>
  <si>
    <t xml:space="preserve"> Who was thought to have loved Tugh Temur?</t>
  </si>
  <si>
    <t>San Mateo</t>
  </si>
  <si>
    <t>South African Vice Consul Duke Kent-Brown.</t>
  </si>
  <si>
    <t>near their current locations</t>
  </si>
  <si>
    <t>complexity measures</t>
  </si>
  <si>
    <t>What is the only community of its kind in the US?</t>
  </si>
  <si>
    <t>The French population numbered about 75,000 and was heavily concentrated along the St. Lawrence River valley, with some also in Acadia (present-day New Brunswick and parts of Nova Scotia, including Île Royale (present-day Cape Breton Island)). Fewer lived in New Orleans, Biloxi, Mississippi, Mobile, Alabama and small settlements in the Illinois Country, hugging the east side of the Mississippi River and its tributaries. French fur traders and trappers traveled throughout the St. Lawrence and Mississippi watersheds, did business with local tribes, and often married Indian women. Traders married daughters of chiefs, creating high-ranking unions.</t>
  </si>
  <si>
    <t>What is a recent civil disobedience done in a group form?</t>
  </si>
  <si>
    <t>ciliary groove</t>
  </si>
  <si>
    <t>Apple Inc created what in 1985?</t>
  </si>
  <si>
    <t>1920s</t>
  </si>
  <si>
    <t>How many narrow gauge rail lines were previously government owned?</t>
  </si>
  <si>
    <t>Where are clinical pharmacists not allowed to work with patients?</t>
  </si>
  <si>
    <t>How much oxygen is found is a liter of fresh water under normal conditions?</t>
  </si>
  <si>
    <t>How are 'un-aided' schools different from 'aided' schools?</t>
  </si>
  <si>
    <t>Bold New City of the South</t>
  </si>
  <si>
    <t>more expensive</t>
  </si>
  <si>
    <t>Which religion did Kublai prefer?</t>
  </si>
  <si>
    <t>one ninth</t>
  </si>
  <si>
    <t>the Roman Catholic Church</t>
  </si>
  <si>
    <t>The rocks at the Grand Canyon have been in place since when?</t>
  </si>
  <si>
    <t>63%</t>
  </si>
  <si>
    <t>What computational problem is not commonly associated with prime factorization?</t>
  </si>
  <si>
    <t>David Bevington</t>
  </si>
  <si>
    <t>In what year did developers Billings &amp; Meyering acquire the Alta Vista Tract?</t>
  </si>
  <si>
    <t>temperatures and sea levels have been rising at or above the maximum rates</t>
  </si>
  <si>
    <t>What does the Board of Presidents oversee?</t>
  </si>
  <si>
    <t>energy crisis</t>
  </si>
  <si>
    <t>25m</t>
  </si>
  <si>
    <t>1,000 m3/s (35,000 cu ft/s)</t>
  </si>
  <si>
    <t>When was the Masovian Duchy reincorporated into the Polish Crown?</t>
  </si>
  <si>
    <t>Who won the battle of Lake George?</t>
  </si>
  <si>
    <t>How quickly can an algorithm solve an NP-complete knapsack problem?</t>
  </si>
  <si>
    <t>While acknowledging the central role economic growth can potentially play in human development, poverty reduction and the achievement of the Millennium Development Goals, it is becoming widely understood amongst the development community that special efforts must be made to ensure poorer sections of society are able to participate in economic growth. The effect of economic growth on poverty reduction – the growth elasticity of poverty – can depend on the existing level of inequality. For instance, with low inequality a country with a growth rate of 2% per head and 40% of its population living in poverty, can halve poverty in ten years, but a country with high inequality would take nearly 60 years to achieve the same reduction. In the words of the Secretary General of the United Nations Ban Ki-Moon: "While economic growth is necessary, it is not sufficient for progress on reducing poverty."</t>
  </si>
  <si>
    <t>What organization argued that drought, among other effects, could cause the Amazon forest to reach a "tipping point?"</t>
  </si>
  <si>
    <t>When did the Warsaw Uprising begin?</t>
  </si>
  <si>
    <t>What hurricane had less effect on Jacksonville than other cities along the coast?</t>
  </si>
  <si>
    <t>quick and decisive defeat</t>
  </si>
  <si>
    <t>Which court did not argue that the Treaty of Rome did not prevent energy nationalism?</t>
  </si>
  <si>
    <t>first major work to challenge the bubonic plague theory directly,</t>
  </si>
  <si>
    <t>What can not be made for space requirements?</t>
  </si>
  <si>
    <t>the heavens</t>
  </si>
  <si>
    <t>some debate that there is a correlation between capitalism, imperialism, and what?</t>
  </si>
  <si>
    <t>over $20 billion</t>
  </si>
  <si>
    <t>What is concentrated in the coldest months of the year?</t>
  </si>
  <si>
    <t>Who did the Mongols bring to China as administrators?</t>
  </si>
  <si>
    <t>What has become the secret to economic growth?</t>
  </si>
  <si>
    <t>The Commission's President (</t>
  </si>
  <si>
    <t>0.3 to 0.6 °C</t>
  </si>
  <si>
    <t>What are classified as "vintage quantities"?</t>
  </si>
  <si>
    <t>New York–based filmmakers</t>
  </si>
  <si>
    <t>integers of quadratic number fields</t>
  </si>
  <si>
    <t xml:space="preserve">Who did not have immunity from prosecution for doing official acts? </t>
  </si>
  <si>
    <t>Trypanosoma brucei</t>
  </si>
  <si>
    <t>Where were the narrow gauge rail lines built in Victoria?</t>
  </si>
  <si>
    <t>What is the median temperature in the winter?</t>
  </si>
  <si>
    <t>the Treaties establishing the European Union</t>
  </si>
  <si>
    <t>The Royal Geographical Society of London and other geographical societies in Europe had great influence and were able to fund travelers who would come back with tales of their discoveries. These societies also served as a space for travellers to share these stories.Political geographers such as Friedrich Ratzel of Germany and Halford Mackinder of Britain also supported imperialism. Ratzel believed expansion was necessary for a state’s survival while Mackinder supported Britain’s imperial expansion; these two arguments dominated the discipline for decades.</t>
  </si>
  <si>
    <t>How many types of movements do euplokamis tentilla have?</t>
  </si>
  <si>
    <t>The Prince of Płock</t>
  </si>
  <si>
    <t>Why aren't the examples of bouregois architecture visible today?</t>
  </si>
  <si>
    <t>European Parliament and the Council of the European Union</t>
  </si>
  <si>
    <t>What is the city centre of Berlin called in Polish?</t>
  </si>
  <si>
    <t>helper T cells, cytotoxic T cells and NK cells</t>
  </si>
  <si>
    <t>How long is the Netherlands?</t>
  </si>
  <si>
    <t>What states are pharmacist clinicians given no prescriptive and diagnostic authority?</t>
  </si>
  <si>
    <t>When was a study conducted of Swedish counties?</t>
  </si>
  <si>
    <t>What monastery did the Saint-Evroul monks establish in Italy?</t>
  </si>
  <si>
    <t>What did the non-Afghan veterans returning home have in addition to their prestige?</t>
  </si>
  <si>
    <t>the European Community</t>
  </si>
  <si>
    <t>the direction in which the mouth is pointing</t>
  </si>
  <si>
    <t>2p − 1</t>
  </si>
  <si>
    <t>wide variety of industries</t>
  </si>
  <si>
    <t xml:space="preserve">In cases of non shared physical medium how are packets delivered? </t>
  </si>
  <si>
    <t>Lots of tumor cells have fewer of what type of molecule on their surface?</t>
  </si>
  <si>
    <t>Who wrote of the Savery water pump in 1751's Philosophical Transactions?</t>
  </si>
  <si>
    <t>equality in the income distribution</t>
  </si>
  <si>
    <t>John Smeaton</t>
  </si>
  <si>
    <t>Which coastline does Southern California touch?</t>
  </si>
  <si>
    <t>substitution of capital equipment for labor</t>
  </si>
  <si>
    <t>What can't work to even the distribution of wealth?</t>
  </si>
  <si>
    <t>a citizen's relation to the state and its laws,</t>
  </si>
  <si>
    <t>What commonality do alternate machine models, such as random access machines, share with Turing machines?</t>
  </si>
  <si>
    <t>What does CDB stand for?</t>
  </si>
  <si>
    <t>What has replaced higher skilled workers in the United States?</t>
  </si>
  <si>
    <t>What did John Dalton think that all elements were in number present in compounds?</t>
  </si>
  <si>
    <t>What governing body appoints commissioners and the board of European Central Bank?</t>
  </si>
  <si>
    <t>Trotsky, and others, believed that the revolution could only succeed in Russia as part of a world revolution. Lenin wrote extensively on the matter and famously declared that Imperialism was the highest stage of capitalism. However, after Lenin's death, Joseph Stalin established 'socialism in one country' for the Soviet Union, creating the model for subsequent inward looking Stalinist states and purging the early Internationalist elements. The internationalist tendencies of the early revolution would be abandoned until they returned in the framework of a client state in competition with the Americans during the Cold War. With the beginning of the new era, the after Stalin period called the "thaw", in the late 1950s, the new political leader Nikita Khrushchev put even more pressure on the Soviet-American relations starting a new wave of anti-imperialist propaganda. In his speech on the UN conference in 1960, he announced the continuation of the war on imperialism, stating that soon the people of different countries will come together and overthrow their imperialist leaders. Although the Soviet Union declared itself anti-imperialist, critics argue that it exhibited tendencies common to historic empires. Some scholars hold that the Soviet Union was a hybrid entity containing elements common to both multinational empires and nation states. It has also been argued that the USSR practiced colonialism as did other imperial powers and was carrying on the old Russian tradition of expansion and control. Mao Zedong once argued that the Soviet Union had itself become an imperialist power while maintaining a socialist façade. Moreover, the ideas of imperialism were widely spread in action on the higher levels of government. Non Russian Marxists within the Russian Federation and later the USSR, like Sultan Galiev and Vasyl Shakhrai, considered the Soviet Regime a renewed version of the Russian imperialism and colonialism.</t>
  </si>
  <si>
    <t>The Scotland Act enabled the Spanish Parliament to pass what?</t>
  </si>
  <si>
    <t>1916</t>
  </si>
  <si>
    <t>What is the expression used to denote a worst case complexity as expressed by time taken?</t>
  </si>
  <si>
    <t>Where are the specialized cells that eliminate cells that recognize self-antigens located?</t>
  </si>
  <si>
    <t>Catholic Church</t>
  </si>
  <si>
    <t>Where did the Grand Canal start?</t>
  </si>
  <si>
    <t>When did Buyantu stop testing potential government employees?</t>
  </si>
  <si>
    <t xml:space="preserve">How is error checking involved in delivery? </t>
  </si>
  <si>
    <t>What is the intergovernmental body under the control of the United States?</t>
  </si>
  <si>
    <t>between the time of publication of the Domesday Book and the year 1377</t>
  </si>
  <si>
    <t>Commensal flora can change what specific conditions of their environment in the gastrointestinal tract?</t>
  </si>
  <si>
    <t>In the autumn of 1991, talks were held for the broadcast rights for Premier League for a five-year period, from the 1992 season. ITV were the current rights holders, and fought hard to retain the new rights. ITV had increased its offer from £18m to £34m per year to keep control of the rights. BSkyB joined forces with the BBC to make a counter bid. The BBC was given the highlights of most of the matches, while BSkyB paying £304m for the Premier League rights, would give them a monopoly of all live matches, up to 60 per year from the 1992 season.  Murdoch described sport as a "battering ram" for pay-television, providing a strong customer base. A few weeks after the deal, ITV went to the High Court to get an injunction as it believed their bid details had been leaked before the decision was taken. ITV also asked the Office of Fair Trading to investigate since it believed Rupert Murdoch's media empire via its newspapers had influenced the deal. A few days later neither action took effect, ITV believed BSkyB was telephoned and informed of its £262m bid, and Premier League advised BSkyB to increase its counter bid.</t>
  </si>
  <si>
    <t>In what year was the Old Rhine Bridge shortened?</t>
  </si>
  <si>
    <t>How were X.75, ASCII, and other interfaces used?</t>
  </si>
  <si>
    <t>when they would be married, and to whom</t>
  </si>
  <si>
    <t>hopes for campaigns on Lake Ontario</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</si>
  <si>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</si>
  <si>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What journal was the facts of climate change published in?</t>
  </si>
  <si>
    <t>Associating forces with vectors</t>
  </si>
  <si>
    <t>applications such as on-line betting, financial applications</t>
  </si>
  <si>
    <t>How many billionaires are now living in Cambridge?</t>
  </si>
  <si>
    <t>What was the stretched sequence in the Grand Canyon named?</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</si>
  <si>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Mokotów,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1865–1871 and designed by Jan Dobrowolski. In 1927 a zoological garden (Ogród Zoologiczny) was established on the park grounds, and in 1952 a bear run, still open today.</t>
  </si>
  <si>
    <t>the San Diego area</t>
  </si>
  <si>
    <t>Daewoo</t>
  </si>
  <si>
    <t>What astronomers is also a university alumni member?</t>
  </si>
  <si>
    <t>the worst-case time complexity</t>
  </si>
  <si>
    <t>Shiphrah and Puah</t>
  </si>
  <si>
    <t>What are often associated with the transfer of cold?</t>
  </si>
  <si>
    <t>What issue plagues the literature about civil disobedience?</t>
  </si>
  <si>
    <t>Different committees have what set out in different ways?</t>
  </si>
  <si>
    <t>regional burden sharing conflicts</t>
  </si>
  <si>
    <t>A computational problem can be viewed as an infinite collection of instances together with a solution for every instance. The input string for a computational problem is referred to as a problem instance, and should not be confused with the problem itself. In computational complexity theory, a problem refers to the abstract question to be solved. In contrast, an instance of this problem is a rather concrete utterance, which can serve as the input for a decision problem. For example, consider the problem of primality testing. The instance is a number (e.g. 15) and the solution is "yes" if the number is prime and "no" otherwise (in this case "no"). Stated another way, the instance is a particular input to the problem, and the solution is the output corresponding to the given input.</t>
  </si>
  <si>
    <t>The Amazon releases how much carbon dioxide each year?</t>
  </si>
  <si>
    <t>AAA Auto Clubs</t>
  </si>
  <si>
    <t>Holland, Prussia, and South Africa</t>
  </si>
  <si>
    <t xml:space="preserve"> What area was Kublai trying to capture by defending Xiangyang?</t>
  </si>
  <si>
    <t>Hormones can alter the sensitivity of the immune system, so they can be referred to as what?</t>
  </si>
  <si>
    <t>1672</t>
  </si>
  <si>
    <t>oxides</t>
  </si>
  <si>
    <t>What is the repulsive force of close range atom interaction?</t>
  </si>
  <si>
    <t>What is subtracted to its constituency seats?</t>
  </si>
  <si>
    <t>Tang, Song, as well as Khitan Liao and Jurchen Jin dynasties</t>
  </si>
  <si>
    <t>What effect does European Union law have on laws of member states?</t>
  </si>
  <si>
    <t>Streptococcus (protein G)</t>
  </si>
  <si>
    <t>Goldman Sachs</t>
  </si>
  <si>
    <t>when builders ask for too little money to complete the project</t>
  </si>
  <si>
    <t>eastern coast of the continent</t>
  </si>
  <si>
    <t xml:space="preserve">What happens to the GDP growth of a country if the income share of the top 20 percent decreases, according to IMF staff economists? </t>
  </si>
  <si>
    <t>British troops</t>
  </si>
  <si>
    <t>There re 231 seats in which chamber?</t>
  </si>
  <si>
    <t>Ctenophora (/tᵻˈnɒfərə/; singular ctenophore, /ˈtɛnəfɔːr/ or /ˈtiːnəfɔːr/; from the Greek κτείς kteis 'comb' and φέρω pherō 'carry'; commonly known as comb jellies) is a phylum of animals that live in marine waters worldwide. Their most distinctive feature is the ‘combs’ – groups of cilia which they use for swimming – they are the largest animals that swim by means of cilia. Adults of various species range from a few millimeters to 1.5 m (4 ft 11 in) in size. Like cnidarians, their bodies consist of a mass of jelly, with one layer of cells on the outside and another lining the internal cavity. In ctenophores, these layers are two cells deep, while those in cnidarians are only one cell deep. Some authors combined ctenophores and cnidarians in one phylum, Coelenterata, as both groups rely on water flow through the body cavity for both digestion and respiration. Increasing awareness of the differences persuaded more recent authors to classify them as separate phyla.</t>
  </si>
  <si>
    <t>the 1855 colonial constitution</t>
  </si>
  <si>
    <t>What principle states that rocks deeper in the layer tend to be younger?</t>
  </si>
  <si>
    <t>considerable impact</t>
  </si>
  <si>
    <t>What is the most common cause of injury on site?</t>
  </si>
  <si>
    <t>harvests of their Chinese tenants</t>
  </si>
  <si>
    <t>What is the central business district of downtown San Diego?</t>
  </si>
  <si>
    <t>What is considered as a potential disadvantage for wealth for some Americans?</t>
  </si>
  <si>
    <t>abuse of dominant position</t>
  </si>
  <si>
    <t xml:space="preserve"> When did the Jip dynasty end?</t>
  </si>
  <si>
    <t>Capitol Hill, Washington, D.C.</t>
  </si>
  <si>
    <t>What is the name of the satellite that measured the amount of dust?</t>
  </si>
  <si>
    <t>Charles Brenton Huggins and Janet Rowley</t>
  </si>
  <si>
    <t>Secular Arab nationalism was blamed for both the success of Arab troops as well as what type of stagnation?</t>
  </si>
  <si>
    <t>What is the secondary reason consulting pharmacists are increasingly working directly with patients?</t>
  </si>
  <si>
    <t>How much capital did the UK not require to start a company?</t>
  </si>
  <si>
    <t>What Swiss city was the center of the Calvinist movement?</t>
  </si>
  <si>
    <t>What happened as a result of hydrothermal vents and underwater volcanoes that are transform boundaries?</t>
  </si>
  <si>
    <t>When did Germany invade Poland and in doing so start World War I?</t>
  </si>
  <si>
    <t>What kingdom annexed Warsaw in 1796?</t>
  </si>
  <si>
    <t>How many crank rotations are there in a cylinder cycle?</t>
  </si>
  <si>
    <t>What does oxygen form bonds with all other types of?</t>
  </si>
  <si>
    <t>Whose ideas did not become increasingly radical during his imprisonment?</t>
  </si>
  <si>
    <t>What is the aim of the additional stroke?</t>
  </si>
  <si>
    <t>Mongol Empire</t>
  </si>
  <si>
    <t>What did some buyers not like about Acuras?</t>
  </si>
  <si>
    <t>What is CSNET</t>
  </si>
  <si>
    <t>the Treaty of Aix-la-Chapelle</t>
  </si>
  <si>
    <t>12th/13th-century nobleman</t>
  </si>
  <si>
    <t>What does the Lavietes Pavillion serve as a satellite location for?</t>
  </si>
  <si>
    <t>Why does unemployment harm growth?</t>
  </si>
  <si>
    <t>ocean liners</t>
  </si>
  <si>
    <t>What did Saudi Arabia not try to repress to compensate for its loss of stature?</t>
  </si>
  <si>
    <t>the number of social services that people can access wherever they move</t>
  </si>
  <si>
    <t>a different view</t>
  </si>
  <si>
    <t>in the late 1870s</t>
  </si>
  <si>
    <t>"belt animals"</t>
  </si>
  <si>
    <t>Which court is the highest court in the European Union?</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</si>
  <si>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</si>
  <si>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What river is located near Cornell University?</t>
  </si>
  <si>
    <t>innate immune system</t>
  </si>
  <si>
    <t>What type of numbers are always multiples of distinct divisors?</t>
  </si>
  <si>
    <t>What has a smaller impact on the United States' economy more than trade?</t>
  </si>
  <si>
    <t>What does autumn host many of?</t>
  </si>
  <si>
    <t>As of what year were 1700 horsepower engines available?</t>
  </si>
  <si>
    <t>Brocard's</t>
  </si>
  <si>
    <t>What is included along with gravitational acceration, and mass of the Earth in a formula about rotation about the Earth?</t>
  </si>
  <si>
    <t>NASA's CALIPSO satellite</t>
  </si>
  <si>
    <t xml:space="preserve">What was the price of oil after the raise? </t>
  </si>
  <si>
    <t>March 200</t>
  </si>
  <si>
    <t>How much more land does the school own in Allston than Cambridge?</t>
  </si>
  <si>
    <t>high risk preparations and some other compounding functions</t>
  </si>
  <si>
    <t>What other English towns were sites of Huguenot settlement?</t>
  </si>
  <si>
    <t>What does the Rhine merge with outside of Germany?</t>
  </si>
  <si>
    <t>The Taliban was so different from other moments that they could be more accurately described as being what?</t>
  </si>
  <si>
    <t>What is the general justificatin for not limiting free movement in TFEUrticles 45(3)?</t>
  </si>
  <si>
    <t>Imperialism and colonialism both assert a states dominance over what?</t>
  </si>
  <si>
    <t>When were Joseph Schumpeter and Norman Angell at their most prolific writing period?</t>
  </si>
  <si>
    <t>When did Khan disestablish the Great Yuan?</t>
  </si>
  <si>
    <t>Orange</t>
  </si>
  <si>
    <t>In the 1960s, a series of discoveries, the most important of which was seafloor spreading, showed that the Earth's lithosphere, which includes the crust and rigid uppermost portion of the upper mantle, is separated into a number of tectonic plates that move across the plastically deforming, solid, upper mantle, which is called the asthenosphere. There is an intimate coupling between the movement of the plates on the surface and the convection of the mantle: oceanic plate motions and mantle convection currents always move in the same direction, because the oceanic lithosphere is the rigid upper thermal boundary layer of the convecting mantle. This coupling between rigid plates moving on the surface of the Earth and the convecting mantle is called plate tectonics.</t>
  </si>
  <si>
    <t>It is a common misconception to ascribe the stiffness and rigidity of solid matter to the repulsion of like charges under the influence of the electromagnetic force. However, these characteristics actually result from the Pauli exclusion principle.[citation needed] Since electrons are fermions, they cannot occupy the same quantum mechanical state as other electrons. When the electrons in a material are densely packed together, there are not enough lower energy quantum mechanical states for them all, so some of them must be in higher energy states. This means that it takes energy to pack them together. While this effect is manifested macroscopically as a structural force, it is technically only the result of the existence of a finite set of electron states.</t>
  </si>
  <si>
    <t xml:space="preserve">European nations and which country disassociated themselves from the US for this reason? </t>
  </si>
  <si>
    <t>How many tons of Saharan dust falls on the Amazon Basin each year?</t>
  </si>
  <si>
    <t>The needs of soy farmers have been used to justify many of the controversial transportation projects that are currently developing in the Amazon. The first two highways successfully opened up the rainforest and led to increased settlement and deforestation. The mean annual deforestation rate from 2000 to 2005 (22,392 km2 or 8,646 sq mi per year) was 18% higher than in the previous five years (19,018 km2 or 7,343 sq mi per year). Although deforestation has declined significantly in the Brazilian Amazon between 2004 and 2014, there has been an increase to the present day.</t>
  </si>
  <si>
    <t>What was the Turning calculator a robust and flexible simplification of?</t>
  </si>
  <si>
    <t>The Saxon Garden, covering the area of 15.5 ha, was formally a royal garden. There are over 100 different species of trees and the avenues are a place to sit and relax. At the east end of the park, the Tomb of the Unknown Soldier is situated. In the 19th century the Krasiński Palace Garden was remodelled by Franciszek Szanior. Within the central area of the park one can still find old trees dating from that period: maidenhair tree, black walnut, Turkish hazel and Caucasian wingnut trees. With its benches, flower carpets, a pond with ducks on and a playground for kids, the Krasiński Palace Garden is a popular strolling destination for the Varsovians. The Monument of the Warsaw Ghetto Uprising is also situated here. The Łazienki Park covers the area of 76 ha. The unique character and history of the park is reflected in its landscape architecture (pavilions, sculptures, bridges, cascades, ponds) and vegetation (domestic and foreign species of trees and bushes). What makes this park different from other green spaces in Warsaw is the presence of peacocks and pheasants, which can be seen here walking around freely, and royal carps in the pond. The Wilanów Palace Park, dates back to the second half of the 17th century. It covers the area of 43 ha. Its central French-styled area corresponds to the ancient, baroque forms of the palace. The eastern section of the park, closest to the Palace, is the two-level garden with a terrace facing the pond. The park around the Królikarnia Palace is situated on the old escarpment of the Vistula. The park has lanes running on a few levels deep into the ravines on both sides of the palace.</t>
  </si>
  <si>
    <t>Mainau</t>
  </si>
  <si>
    <t>What was the name of the infamous German Gestapo prison?</t>
  </si>
  <si>
    <t>Against what does reactive oxygen play in plant defense?</t>
  </si>
  <si>
    <t>Who does the owner award  a bill of quantities to?</t>
  </si>
  <si>
    <t>What encouraged trade under the Yuan?</t>
  </si>
  <si>
    <t>How much did it cost to build Harvard Stadium?</t>
  </si>
  <si>
    <t>ultraviolet</t>
  </si>
  <si>
    <t>What can any number larger than 6 can be represented as?</t>
  </si>
  <si>
    <t>Irena Bajerska</t>
  </si>
  <si>
    <t>What country was very well known for offering a Protestant education?</t>
  </si>
  <si>
    <t xml:space="preserve">How are Air force messages delivered </t>
  </si>
  <si>
    <t>1950</t>
  </si>
  <si>
    <t>What is this kind of response activated by plants?</t>
  </si>
  <si>
    <t>government</t>
  </si>
  <si>
    <t>What right do private schools have that public schools don't?</t>
  </si>
  <si>
    <t>What do some community pharmacies do?</t>
  </si>
  <si>
    <t>In what year was the AltpreuBissche Infantry Regiment No. 13 established?</t>
  </si>
  <si>
    <t>Along with trusts, what other non-profits are allowed to run schools in India?</t>
  </si>
  <si>
    <t>sea</t>
  </si>
  <si>
    <t>What is a popular strolling destination for the Varsovians?</t>
  </si>
  <si>
    <t>plants and factories</t>
  </si>
  <si>
    <t>Approximately 1,000</t>
  </si>
  <si>
    <t>Gandhi's</t>
  </si>
  <si>
    <t>What was the premise of Woodrow Wilson's inquiry?</t>
  </si>
  <si>
    <t>What percentage of the population is Hmong?</t>
  </si>
  <si>
    <t>a second Gleichschaltung</t>
  </si>
  <si>
    <t>How did the crisis impact Arabs?</t>
  </si>
  <si>
    <t xml:space="preserve">Telenet was licensed under what founder? </t>
  </si>
  <si>
    <t>What is the power-to-weight ratio of a steam plant compared to that of a steam engine?</t>
  </si>
  <si>
    <t>What was dificult to reconcile the photoelectric effect and the missing ultraviolet catastrophe?</t>
  </si>
  <si>
    <t>luxurious parks and royal gardens</t>
  </si>
  <si>
    <t>General Sejm</t>
  </si>
  <si>
    <t>What proposed attacks didn't Shirley plan?</t>
  </si>
  <si>
    <t>How many farms are there west of Melbourne?</t>
  </si>
  <si>
    <t>West by the Alter Rhein</t>
  </si>
  <si>
    <t>Which theory states that Earth's features remained unchanged after forming in one single catastrophic event?</t>
  </si>
  <si>
    <t>How do competing businesses repel workers?</t>
  </si>
  <si>
    <t>to explore computer networking between three of Michigan's public universities</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</si>
  <si>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</si>
  <si>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Who appoints the board of the European Central Bank?</t>
  </si>
  <si>
    <t>What else can magma flows be used to understand?</t>
  </si>
  <si>
    <t>In what year did BankAmericard change its name?</t>
  </si>
  <si>
    <t>easterly</t>
  </si>
  <si>
    <t>What US war has a large amount of Civil Disobedients?</t>
  </si>
  <si>
    <t>The conceptual definition of pushes and pulls are offered by what?</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</si>
  <si>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</si>
  <si>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at the opposite end from the mouth</t>
  </si>
  <si>
    <t>What isn't economic growth insufficient for progress on?</t>
  </si>
  <si>
    <t>middle of the 20th century</t>
  </si>
  <si>
    <t>What type of machine is a computational model that is not allowed to branch out to check many different possibilities at once?</t>
  </si>
  <si>
    <t>scalar quantities</t>
  </si>
  <si>
    <t>What city is in the Greater Bay Region?</t>
  </si>
  <si>
    <t>How are most city officials elected after the 1960s</t>
  </si>
  <si>
    <t>Rankine</t>
  </si>
  <si>
    <t>Robert Guiscard</t>
  </si>
  <si>
    <t>Other than the desert city why do many locals and tourists frequent southern California?</t>
  </si>
  <si>
    <t>What was the theorized maximum population density per square kilometre for the Amazon rainforest?</t>
  </si>
  <si>
    <t>Astra</t>
  </si>
  <si>
    <t>not specifically reserved</t>
  </si>
  <si>
    <t>In 1979, the Soviet Union deployed its 40th Army into Afghanistan, attempting to suppress an Islamic rebellion against an allied Marxist regime in the Afghan Civil War. The conflict, pitting indigenous impoverished Muslims (mujahideen) against an anti-religious superpower, galvanized thousands of Muslims around the world to send aid and sometimes to go themselves to fight for their faith. Leading this pan-Islamic effort was Palestinian sheikh Abdullah Yusuf Azzam. While the military effectiveness of these "Afghan Arabs" was marginal, an estimated 16,000 to 35,000 Muslim volunteers came from around the world came to fight in Afghanistan.</t>
  </si>
  <si>
    <t>an Islamic rebellion</t>
  </si>
  <si>
    <t>What can increase the tension force on a load?</t>
  </si>
  <si>
    <t>Why was Ekstrakiasa relegated from the country's top flight in 2013?</t>
  </si>
  <si>
    <t>Who did the Normans fight in Italy?</t>
  </si>
  <si>
    <t>In the Rankine cycle, in what state is the working fluid received in the condenser?</t>
  </si>
  <si>
    <t>proteolysis</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</si>
  <si>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</si>
  <si>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There there are very few what remain to be discovered?</t>
  </si>
  <si>
    <t>What organization is John Schmitt and Ben Zipperer members of?</t>
  </si>
  <si>
    <t>How significant was the transfer of disease through fleas?</t>
  </si>
  <si>
    <t>Gandhi</t>
  </si>
  <si>
    <t>Rhine-kilometers</t>
  </si>
  <si>
    <t>13,000 BP</t>
  </si>
  <si>
    <t>What is another name for State Route 168?</t>
  </si>
  <si>
    <t>What South African law recognized two types of schools?</t>
  </si>
  <si>
    <t>What aspects of life does Islamism seek to integrate itself into?</t>
  </si>
  <si>
    <t>25 million</t>
  </si>
  <si>
    <t>There were two kinds of X.25 networks. Some such as DATAPAC and TRANSPAC</t>
  </si>
  <si>
    <t>What areas are dendritic cells not found in?</t>
  </si>
  <si>
    <t>What accelerates NK cells?</t>
  </si>
  <si>
    <t>Thoreau</t>
  </si>
  <si>
    <t>Has "independently developed" ever been substantiated?</t>
  </si>
  <si>
    <t>What does the EU accept about the Court Justice?</t>
  </si>
  <si>
    <t>novel medications that need to be properly stored, administered, carefully monitored, and clinically managed</t>
  </si>
  <si>
    <t>When didn't Washington reach Fort Le Boeuf?</t>
  </si>
  <si>
    <t>Why did Vilnius become the capital of the Commonwealth?</t>
  </si>
  <si>
    <t>Where did Kublai build his administration's strength?</t>
  </si>
  <si>
    <t>opportunity-based</t>
  </si>
  <si>
    <t>the industrialized nations increased their reserves</t>
  </si>
  <si>
    <t>late 1970s</t>
  </si>
  <si>
    <t>Linux</t>
  </si>
  <si>
    <t>Mechanical stoker</t>
  </si>
  <si>
    <t>difference</t>
  </si>
  <si>
    <t>Parliament elects two MSPs to serve as what officers?</t>
  </si>
  <si>
    <t>When was BSkyB's digital service launched?</t>
  </si>
  <si>
    <t>Where can lower rocks of the Grand Canyon be seen?</t>
  </si>
  <si>
    <t>What is the Latin name for Black Death?</t>
  </si>
  <si>
    <t>English, mathematics and natural science</t>
  </si>
  <si>
    <t>scoil phríobháideach</t>
  </si>
  <si>
    <t>What is one way an attorney tries to get a business district changed?</t>
  </si>
  <si>
    <t>3.55 inches</t>
  </si>
  <si>
    <t>a trade magazine for the construction industry</t>
  </si>
  <si>
    <t>What is the confusion of the French and Indian war?</t>
  </si>
  <si>
    <t>What did some of the Islamist groups supported by the West later become to be seen as?</t>
  </si>
  <si>
    <t>Along with Muslims, Jews and Protestant Christians, what religious group notably operates private schools?</t>
  </si>
  <si>
    <t>Zachęta National Gallery of Art</t>
  </si>
  <si>
    <t>Where was the ACM Symposium held?</t>
  </si>
  <si>
    <t xml:space="preserve"> What did England offer that was rare by imperial standards?</t>
  </si>
  <si>
    <t>regulatory</t>
  </si>
  <si>
    <t>The region is home to about 2.5 million insect species, tens of thousands of plants, and some 2,000 birds and mammals. To date, at least 40,000 plant species, 2,200 fishes, 1,294 birds, 427 mammals, 428 amphibians, and 378 reptiles have been scientifically classified in the region. One in five of all the bird species in the world live in the rainforests of the Amazon, and one in five of the fish species live in Amazonian rivers and streams. Scientists have described between 96,660 and 128,843 invertebrate species in Brazil alone.</t>
  </si>
  <si>
    <t>primes up to 10,006,721</t>
  </si>
  <si>
    <t>What service doesn't require a fee to use?</t>
  </si>
  <si>
    <t>According to Fermat's theorem, what period does 1/p always have assuming p is prime that is not 2 or 5?</t>
  </si>
  <si>
    <t>political poem</t>
  </si>
  <si>
    <t>On what date was oxygen liquefied in a stable form?</t>
  </si>
  <si>
    <t>Decompression sickness</t>
  </si>
  <si>
    <t>Who was the leader who established the colony at Florida?</t>
  </si>
  <si>
    <t>What is a regulatory factor produced by macrophages?</t>
  </si>
  <si>
    <t>What is the output corresponding to the given question?</t>
  </si>
  <si>
    <t xml:space="preserve"> When was the Office of Eastern Medicine founded?</t>
  </si>
  <si>
    <t>Three-Year Plan</t>
  </si>
  <si>
    <t>Where was the smallest settlement of Huguenots in Ireland among major cities?</t>
  </si>
  <si>
    <t xml:space="preserve">Who created ARPANET? </t>
  </si>
  <si>
    <t>because it has survived many wars, conflicts and invasions throughout its long history</t>
  </si>
  <si>
    <t>Chevrolet Bel Air</t>
  </si>
  <si>
    <t>oceanic species</t>
  </si>
  <si>
    <t>When rich countries trade with poor countries, whose wages increase?</t>
  </si>
  <si>
    <t>assisting in fabricating evidence or committing perjury</t>
  </si>
  <si>
    <t>rationing</t>
  </si>
  <si>
    <t>What public policy school found it's home in the building that Ludwig Mies van der Rohe designed?</t>
  </si>
  <si>
    <t>When was Montreal captured?</t>
  </si>
  <si>
    <t>What is the second-busiest single runway airport in the world?</t>
  </si>
  <si>
    <t>Are most ctenophores the same or a different color?</t>
  </si>
  <si>
    <t>What was an example of a type of warship that required high speed?</t>
  </si>
  <si>
    <t>recalled and replaced</t>
  </si>
  <si>
    <t>Who did Internet2 partner with to boost their capacity from 100 Gbit/s to 1000 Gbit/s?</t>
  </si>
  <si>
    <t>Who ruled the country of Normandy?</t>
  </si>
  <si>
    <t>What type of treatment do civil disobedients usually receive?</t>
  </si>
  <si>
    <t>How did the new king react to the Huguenots?</t>
  </si>
  <si>
    <t>Hero of Alexandria</t>
  </si>
  <si>
    <t>petrographic microscope</t>
  </si>
  <si>
    <t>Buddhism, especially the Tibetan variants</t>
  </si>
  <si>
    <t>Miocene</t>
  </si>
  <si>
    <t>returned to New York amid news that a massacre had occurred at Fort William Henry.</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</si>
  <si>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</si>
  <si>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stiffened cilia</t>
  </si>
  <si>
    <t>tallest building in Downtown Jacksonville</t>
  </si>
  <si>
    <t>What type of committees exist in the fifth Session?</t>
  </si>
  <si>
    <t>crowd out Muslim heritage</t>
  </si>
  <si>
    <t>What are the small tentacles on Cydippids called?</t>
  </si>
  <si>
    <t>the Treaty of Rome 1957 and the Maastricht Treaty 1992</t>
  </si>
  <si>
    <t>gelatinous projections edged with cilia</t>
  </si>
  <si>
    <t xml:space="preserve"> What organization was defeated by Hasan al-Hudaybi?</t>
  </si>
  <si>
    <t>conservation of mechanical energy</t>
  </si>
  <si>
    <t>In what decade did Louis XIV start his reign?</t>
  </si>
  <si>
    <t>How many divisions are required to verify the primality of the number 37?</t>
  </si>
  <si>
    <t>1854</t>
  </si>
  <si>
    <t>neuroimmune</t>
  </si>
  <si>
    <t>rotating discs</t>
  </si>
  <si>
    <t>When was the first Sino-Japanese War?</t>
  </si>
  <si>
    <t>the eighteenth century</t>
  </si>
  <si>
    <t>The black plague ravaged Europe for three years followed by what country?</t>
  </si>
  <si>
    <t>the gastrodermis</t>
  </si>
  <si>
    <t>Policies which reduce the inequality associated effects of unemployment support what type of growth?</t>
  </si>
  <si>
    <t xml:space="preserve">What is the bend of Rhine in Basel called? </t>
  </si>
  <si>
    <t>time</t>
  </si>
  <si>
    <t>What is one thing that copepods like to eat?</t>
  </si>
  <si>
    <t>silicates</t>
  </si>
  <si>
    <t>the state and its laws</t>
  </si>
  <si>
    <t>What function is used by algorithms to define measurements like time and numbers?</t>
  </si>
  <si>
    <t>Most power of what sort is generated by steam turbines today?</t>
  </si>
  <si>
    <t xml:space="preserve"> What government department did Buyantu approve?</t>
  </si>
  <si>
    <t>René-Robert Cavelier, Sieur de La Salle had explored the Ohio Country nearly a century earlier</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</si>
  <si>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</si>
  <si>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increasingly aggressively</t>
  </si>
  <si>
    <t>Western</t>
  </si>
  <si>
    <t>small islands</t>
  </si>
  <si>
    <t>Internet Protocol (IP)</t>
  </si>
  <si>
    <t>What does TFEU article not define?</t>
  </si>
  <si>
    <t>Nationals</t>
  </si>
  <si>
    <t>What goals do both science and government have in common?</t>
  </si>
  <si>
    <t>Victoria_(Australia)</t>
  </si>
  <si>
    <t>static discs</t>
  </si>
  <si>
    <t>What condition what must be satisfied in order for 1/p to be expressed in base q instead of base 10 and still have a period of p - 1?</t>
  </si>
  <si>
    <t>the floor function</t>
  </si>
  <si>
    <t>War of the Two Capitals</t>
  </si>
  <si>
    <t>On what date was the record low temperature in Fresno?</t>
  </si>
  <si>
    <t>pump</t>
  </si>
  <si>
    <t>a curving parabolic path</t>
  </si>
  <si>
    <t>Which name is also used to describe the Amazon rainforest in English?</t>
  </si>
  <si>
    <t>protective radiation shield</t>
  </si>
  <si>
    <t>In what year was the first geological map of the U.S. produced?</t>
  </si>
  <si>
    <t xml:space="preserve"> Where did Maududi exert the least impact?</t>
  </si>
  <si>
    <t>satisfaction and happiness</t>
  </si>
  <si>
    <t>the official declaration of war in 1756 to the signing of the peace treaty in 1763</t>
  </si>
  <si>
    <t>What did the Grand Chamber of the Court of Justice say the Commission had proven?</t>
  </si>
  <si>
    <t>How many men were in Robert's army?</t>
  </si>
  <si>
    <t>comb-bearing</t>
  </si>
  <si>
    <t>What was the white population in 1942 in Fresno?</t>
  </si>
  <si>
    <t>What type of groups divides California into only north and central regions?</t>
  </si>
  <si>
    <t>What is the name of the Bungie Inc. founder who is also a university graduate?</t>
  </si>
  <si>
    <t>requested by governments.</t>
  </si>
  <si>
    <t>William would eventually gain what throne?</t>
  </si>
  <si>
    <t>What vitamin do T-cells have a parasitic relationship with?</t>
  </si>
  <si>
    <t>How much did Silas B. Cobb pledge to the university?</t>
  </si>
  <si>
    <t>Apologie" of William the Silent</t>
  </si>
  <si>
    <t>outdated</t>
  </si>
  <si>
    <t>Stock</t>
  </si>
  <si>
    <t>In which journal did five lead IPCC authors call for support of the IPCC?</t>
  </si>
  <si>
    <t>When is the first reference in history to Warsaw?</t>
  </si>
  <si>
    <t>What was Pick TV later rebranded as?</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</si>
  <si>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</si>
  <si>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disrupting their plasma membrane</t>
  </si>
  <si>
    <t>the European Anti-fraud Office</t>
  </si>
  <si>
    <t>American Baptist Education Society</t>
  </si>
  <si>
    <t>A complete loss of rainforest cover may be caused by what type of emissions?</t>
  </si>
  <si>
    <t>What kind of university is the University of Chicago?</t>
  </si>
  <si>
    <t>In what year did the Amazon experience a drought that may have been more extreme than in 2005?</t>
  </si>
  <si>
    <t>Informal rule</t>
  </si>
  <si>
    <t>How unsuccessful was the French revised efforts?</t>
  </si>
  <si>
    <t>substitute capital equipment</t>
  </si>
  <si>
    <t>There are hints in the surviving records of the ancient Egyptians that they had some knowledge of prime numbers: the Egyptian fraction expansions in the Rhind papyrus, for instance, have quite different forms for primes and for composites. However, the earliest surviving records of the explicit study of prime numbers come from the Ancient Greeks. Euclid's Elements (circa 300 BC) contain important theorems about primes, including the infinitude of primes and the fundamental theorem of arithmetic. Euclid also showed how to construct a perfect number from a Mersenne prime. The Sieve of Eratosthenes, attributed to Eratosthenes, is a simple method to compute primes, although the large primes found today with computers are not generated this way.</t>
  </si>
  <si>
    <t>When does the Presiding Officer put motions on the questions?</t>
  </si>
  <si>
    <t>What type of behavior in chosens is it possible to determine?</t>
  </si>
  <si>
    <t>a million</t>
  </si>
  <si>
    <t>recent decades</t>
  </si>
  <si>
    <t>50% more</t>
  </si>
  <si>
    <t>Which country was the last to receive the disease?</t>
  </si>
  <si>
    <t>southern China withstood and fought to the last</t>
  </si>
  <si>
    <t>What part of the innate immune system identifies microbes and triggers immune response?</t>
  </si>
  <si>
    <t>How quickly to wave speeds inside the earth move?</t>
  </si>
  <si>
    <t>Who found that a culture had developed where few Commissioners had any sense of responsibility?</t>
  </si>
  <si>
    <t>color confinement</t>
  </si>
  <si>
    <t>Can the node ever acquire the wrong connection id?</t>
  </si>
  <si>
    <t>What can curtail the risk of occupational injuries in the construction industry?</t>
  </si>
  <si>
    <t>What is the name of another type of test where p+1 or p-1 takes a certain shape?</t>
  </si>
  <si>
    <t>Where did the Tran dynasty rule?</t>
  </si>
  <si>
    <t>Beginning in what year was Harvard on top of the World Reputation Rankings?</t>
  </si>
  <si>
    <t xml:space="preserve">How much did they say it was fair to raise the prices? </t>
  </si>
  <si>
    <t>What condenses at 54.36 K?</t>
  </si>
  <si>
    <t>Why should winning your case be avoided by the public?</t>
  </si>
  <si>
    <t>While packets are labeled correctly what can happen to them?</t>
  </si>
  <si>
    <t>What kind of territories are being destroyed by ecocide in the Amazon?</t>
  </si>
  <si>
    <t>What are ctenophora commonly known as?</t>
  </si>
  <si>
    <t>What campaign did the Communist regime initiate after WWI?</t>
  </si>
  <si>
    <t>In between Canadians and British, what groups controlled land?</t>
  </si>
  <si>
    <t>What do rapid concentrated sources of oxygen promote?</t>
  </si>
  <si>
    <t>What percentage of farmland grows wheat?</t>
  </si>
  <si>
    <t>What type of steam engine produces most electricity in the world today?</t>
  </si>
  <si>
    <t>Satya Nadella</t>
  </si>
  <si>
    <t xml:space="preserve">Who announced she would step down as leader of the Conservatives? </t>
  </si>
  <si>
    <t>When did the Germany army enter Rhineland?</t>
  </si>
  <si>
    <t>The House of Lords introduced qualifications for which position?</t>
  </si>
  <si>
    <t>power source</t>
  </si>
  <si>
    <t>some pre-planning and Christian burials</t>
  </si>
  <si>
    <t>What changes the mineral content of a rock?</t>
  </si>
  <si>
    <t>A conservative force that acts on a closed system has an associated mechanical work that allows energy to convert only between kinetic or potential forms. This means that for a closed system, the net mechanical energy is conserved whenever a conservative force acts on the system. The force, therefore, is related directly to the difference in potential energy between two different locations in space, and can be considered to be an artifact of the potential field in the same way that the direction and amount of a flow of water can be considered to be an artifact of the contour map of the elevation of an area.</t>
  </si>
  <si>
    <t>Zhongshu Sheng</t>
  </si>
  <si>
    <t>What does the IPCC rely on for research?</t>
  </si>
  <si>
    <t>What did the Taliban want to subject the entire country to?</t>
  </si>
  <si>
    <t>What celestial object eluded efforts to measure oxygen?</t>
  </si>
  <si>
    <t>What direction is the Colorado-Mexico border?</t>
  </si>
  <si>
    <t>What is the largest city directly linked to an interstate?</t>
  </si>
  <si>
    <t>Where did the Rhine occupy during the Holocene?</t>
  </si>
  <si>
    <t>Thursday</t>
  </si>
  <si>
    <t>How many people per square mile lived in Fresno in 2010?</t>
  </si>
  <si>
    <t>The CYCLADES packet switching network was a French research network designed and directed by Louis Pouzin. First demonstrated in 1973, it was developed to explore alternatives to the early ARPANET design and to support network research generally. It was the first network to make the hosts responsible for reliable delivery of data, rather than the network itself, using unreliable datagrams and associated end-to-end protocol mechanisms. Concepts of this network influenced later ARPANET architecture.</t>
  </si>
  <si>
    <t>Who were scientists intimidated by?</t>
  </si>
  <si>
    <t>How much did southern California grow in the year 2000?</t>
  </si>
  <si>
    <t>The outer surface bears usually eight comb rows, called swimming-plates, which are used for swimming. The rows are oriented to run from near the mouth (the "oral pole") to the opposite end (the "aboral pole"), and are spaced more or less evenly around the body, although spacing patterns vary by species and in most species the comb rows extend only part of the distance from the aboral pole towards the mouth. The "combs" (also called "ctenes" or "comb plates") run across each row, and each consists of thousands of unusually long cilia, up to 2 millimeters (0.079 in). Unlike conventional cilia and flagella, which has a filament structure arranged in a 9 + 2 pattern, these cilia are arranged in a 9 + 3 pattern, where the extra compact filament is suspected to have a supporting function. These normally beat so that the propulsion stroke is away from the mouth, although they can also reverse direction. Hence ctenophores usually swim in the direction in which the mouth is pointing, unlike jellyfish. When trying to escape predators, one species can accelerate to six times its normal speed; some other species reverse direction as part of their escape behavior, by reversing the power stroke of the comb plate cilia.</t>
  </si>
  <si>
    <t>via pores in the epidermis</t>
  </si>
  <si>
    <t>Lake Constance separates the German state Bavaria from what other one?</t>
  </si>
  <si>
    <t>the destruction of Israel</t>
  </si>
  <si>
    <t>What percentage of global assets does the richest 10% of people have?</t>
  </si>
  <si>
    <t>Did Paul Baran develop Distributed Adaptive Message Block Switching with the goal of monetizing it?</t>
  </si>
  <si>
    <t>What is the full name of the ASER?</t>
  </si>
  <si>
    <t>When there are many workers competing for a few jobs its considered as what?</t>
  </si>
  <si>
    <t>Stagg Field</t>
  </si>
  <si>
    <t>A simple case of dynamic equilibrium occurs in constant velocity motion across a surface with kinetic friction. In such a situation, a force is applied in the direction of motion while the kinetic friction force exactly opposes the applied force. This results in zero net force, but since the object started with a non-zero velocity, it continues to move with a non-zero velocity. Aristotle misinterpreted this motion as being caused by the applied force. However, when kinetic friction is taken into consideration it is clear that there is no net force causing constant velocity motion.</t>
  </si>
  <si>
    <t>What is the last major city in the stream of the Rhine called?</t>
  </si>
  <si>
    <t>What doctorate program has been offered since 1996?</t>
  </si>
  <si>
    <t>Oxygen toxicity to the lungs and central nervous system can also occur in deep scuba diving and surface supplied diving. Prolonged breathing of an air mixture with an O
2 partial pressure more than 60 kPa can eventually lead to permanent pulmonary fibrosis. Exposure to a O
2 partial pressures greater than 160 kPa (about 1.6 atm) may lead to convulsions (normally fatal for divers). Acute oxygen toxicity (causing seizures, its most feared effect for divers) can occur by breathing an air mixture with 21% O
2 at 66 m or more of depth; the same thing can occur by breathing 100% O
2 at only 6 m.</t>
  </si>
  <si>
    <t>Parliament of the United Kingdom at Westminster</t>
  </si>
  <si>
    <t>an unknown process</t>
  </si>
  <si>
    <t>What evidence between and among complexity classes would signify a theoretical watershed for complexity theory?</t>
  </si>
  <si>
    <t>1523</t>
  </si>
  <si>
    <t>Vampire bats do not actually spread what?</t>
  </si>
  <si>
    <t>the current King of Thebes, who is trying to stop her from giving her brother Polynices a proper burial</t>
  </si>
  <si>
    <t>around 50 years of age</t>
  </si>
  <si>
    <t>When did the University reach the Sweet Seventeen?</t>
  </si>
  <si>
    <t>When was the study on sequenced Y genomes published?</t>
  </si>
  <si>
    <t>In what process is the uptake from oxygen necessary?</t>
  </si>
  <si>
    <t>How many roles do the types of B cell have?</t>
  </si>
  <si>
    <t>Harvard has the largest university endowment in the world. As of September 2011[update], it had nearly regained the loss suffered during the 2008 recession. It was worth $32 billion in 2011, up from $28 billion in September 2010 and $26 billion in 2009. It suffered about 30% loss in 2008-09. In December 2008, Harvard announced that its endowment had lost 22% (approximately $8 billion) from July to October 2008, necessitating budget cuts. Later reports suggest the loss was actually more than double that figure, a reduction of nearly 50% of its endowment in the first four months alone. Forbes in March 2009 estimated the loss to be in the range of $12 billion. One of the most visible results of Harvard's attempt to re-balance its budget was their halting of construction of the $1.2 billion Allston Science Complex that had been scheduled to be completed by 2011, resulting in protests from local residents. As of 2012[update], Harvard University had a total financial aid reserve of $159 million for students, and a Pell Grant reserve of $4.093 million available for disbursement.</t>
  </si>
  <si>
    <t>Tanaghrisson</t>
  </si>
  <si>
    <t>What has a bond length of 498 kJ·mol−1?</t>
  </si>
  <si>
    <t>along the frontiers</t>
  </si>
  <si>
    <t>nonviolent civil disobedience</t>
  </si>
  <si>
    <t>What method is used for tallying votes in the second vote of the ballot?</t>
  </si>
  <si>
    <t>What is PPP?</t>
  </si>
  <si>
    <t>reaching the highest-post in the government</t>
  </si>
  <si>
    <t>What is another notable university in UNESCO after the University of Warsaw?</t>
  </si>
  <si>
    <t>Who attends Loreto Normanhurst?</t>
  </si>
  <si>
    <t>Queen Elizabeth I opened the new Scottish Parliament Building on what date?</t>
  </si>
  <si>
    <t>What happens to railways in the first type of Vauclain compound?</t>
  </si>
  <si>
    <t>the UK government</t>
  </si>
  <si>
    <t>a separate condenser</t>
  </si>
  <si>
    <t>What is an underbid?</t>
  </si>
  <si>
    <t>About how many cubic meters of make-up water is used by a 700-megawatt water-fired power plant for evaporative cooling hourly?</t>
  </si>
  <si>
    <t>In what cases can the EU not override German law?</t>
  </si>
  <si>
    <t>What profession was Nathan Alterman?</t>
  </si>
  <si>
    <t xml:space="preserve">Gandhi often referenced Shelley's poem in his efforts to do what? </t>
  </si>
  <si>
    <t>blank space</t>
  </si>
  <si>
    <t>Who ruled Cyprus in the 11th century?</t>
  </si>
  <si>
    <t>What was AUSTPAC</t>
  </si>
  <si>
    <t>an Islamic rebellion against an allied Marxist regime</t>
  </si>
  <si>
    <t>What astronomer is a Hamming Code alumni?</t>
  </si>
  <si>
    <t>on the West Side</t>
  </si>
  <si>
    <t xml:space="preserve">In what decade was seafloor spreading discovered? </t>
  </si>
  <si>
    <t>What were the first two destinations of Huguenot emigres?</t>
  </si>
  <si>
    <t>How did old oil affect motorists in many countries?</t>
  </si>
  <si>
    <t>ARPA IPTO director Larry Roberts</t>
  </si>
  <si>
    <t>What does the pleurobrachia have on opposite sides of its body?</t>
  </si>
  <si>
    <t>country taking physical control of another</t>
  </si>
  <si>
    <t>How many companies were listed on the WSE on August 2009?</t>
  </si>
  <si>
    <t>Why is majority rule avoided?</t>
  </si>
  <si>
    <t>store and forward switching</t>
  </si>
  <si>
    <t>21</t>
  </si>
  <si>
    <t>Fresno's far southeast side</t>
  </si>
  <si>
    <t>supplanted by the Internet Protocol (IP) at the network layer, and the Asynchronous Transfer Mode (ATM) and or versions of Multi-Protocol Label Switching</t>
  </si>
  <si>
    <t xml:space="preserve">Where does the Rhine encounter it's tributary the Neckar? </t>
  </si>
  <si>
    <t>What gauge of rail lines are used in small fright operators?</t>
  </si>
  <si>
    <t>In a 4-cylinder compound engine, what degree were the individual cranks balanced at</t>
  </si>
  <si>
    <t>When did oxygen begin to move from the oceans to the atmosphere?</t>
  </si>
  <si>
    <t>Generally speaking, what size are the earthquakes that hit southern California?</t>
  </si>
  <si>
    <t>She gives a stirring speech in which she tells him that she must obey her conscience rather than human law</t>
  </si>
  <si>
    <t>What lies at 35° 48′ 27″ north latitude?</t>
  </si>
  <si>
    <t>if its solution requires significant resources</t>
  </si>
  <si>
    <t>in recent decades</t>
  </si>
  <si>
    <t>What fields have increased in influence on pharmacy in the United States?</t>
  </si>
  <si>
    <t>igneous, sedimentary, and metamorphic</t>
  </si>
  <si>
    <t>What is the average construction salary in the Middle East?</t>
  </si>
  <si>
    <t>highly diversified</t>
  </si>
  <si>
    <t>What do ctenophores have that no other animals have?</t>
  </si>
  <si>
    <t>Other than many sunny days, what characteristic is typical for the climate in souther California?</t>
  </si>
  <si>
    <t xml:space="preserve">What 3 things does the Air Force work key on </t>
  </si>
  <si>
    <t>complex</t>
  </si>
  <si>
    <t>What theme does Ghandi begin The Mask of Anarchy with?</t>
  </si>
  <si>
    <t>What may a force on one part of an object affect?</t>
  </si>
  <si>
    <t>the northeast</t>
  </si>
  <si>
    <t>a residual of the force</t>
  </si>
  <si>
    <t>If q=9 and a=3, 6 or 9, how many wraps would be in the progression?</t>
  </si>
  <si>
    <t>Upon what chemical characteristic is oxygen's solubility dependent?</t>
  </si>
  <si>
    <t>How wide are the Jura Mountains?</t>
  </si>
  <si>
    <t>What is the name for the smaller streams along the region northern Germany?</t>
  </si>
  <si>
    <t>What type of space in Warsaw are the Botanic Garden and University Library garden?</t>
  </si>
  <si>
    <t>Norman</t>
  </si>
  <si>
    <t>Who has elected the President of Centrum since 1990?</t>
  </si>
  <si>
    <t>in October 2016</t>
  </si>
  <si>
    <t>What percent of California's 22 million people live in southern California?</t>
  </si>
  <si>
    <t>In what year was the Domesday Book written?</t>
  </si>
  <si>
    <t>Williamite war</t>
  </si>
  <si>
    <t>Fresno City College is located at what two avenues?</t>
  </si>
  <si>
    <t>the Port of Los Angeles</t>
  </si>
  <si>
    <t>People behaving with civil disobedience that is not-violent is said to make society have more of what?</t>
  </si>
  <si>
    <t>southwest</t>
  </si>
  <si>
    <t>What does the complexity of problems not often depend on?</t>
  </si>
  <si>
    <t>a Scottish Parliament</t>
  </si>
  <si>
    <t>What plans of the British did this attach on Oneida Carry set back?</t>
  </si>
  <si>
    <t>What was the average household size?</t>
  </si>
  <si>
    <t>By which year did Chrysler ended its full sized luxury model?</t>
  </si>
  <si>
    <t>Medical knowledge had stagnated during the Middle Ages. The most authoritative account at the time came from the medical faculty in Paris in a report to the king of France that blamed the heavens, in the form of a conjunction of three planets in 1345 that caused a "great pestilence in the air". This report became the first and most widely circulated of a series of plague tracts that sought to give advice to sufferers. That the plague was caused by bad air became the most widely accepted theory. Today, this is known as the Miasma theory. The word 'plague' had no special significance at this time, and only the recurrence of outbreaks during the Middle Ages gave it the name that has become the medical term.</t>
  </si>
  <si>
    <t>Class II MHC molecules</t>
  </si>
  <si>
    <t>summit of Finsteraarhorn</t>
  </si>
  <si>
    <t>182 million</t>
  </si>
  <si>
    <t>1018</t>
  </si>
  <si>
    <t>What alumni wrote "The Closing of the American Mind"?</t>
  </si>
  <si>
    <t>What is associated with abnormal forces?</t>
  </si>
  <si>
    <t>applied mathematics to the construction of calendars</t>
  </si>
  <si>
    <t>47 streetcars</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</si>
  <si>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1973–1974 largely returned their prices and corresponding incomes to Bretton Woods levels in terms of commodities such as gold.</t>
  </si>
  <si>
    <t>Who leads The Islamic State?</t>
  </si>
  <si>
    <t>Robert Koch and Emil von Behring</t>
  </si>
  <si>
    <t>Downtown</t>
  </si>
  <si>
    <t>Who was Jacksonville's mayor at the time of the consolidation?</t>
  </si>
  <si>
    <t>the environment in which they lived</t>
  </si>
  <si>
    <t>contractors</t>
  </si>
  <si>
    <t>In the arts and entertainment, minimalist composer Philip Glass, dancer, choreographer and leader in the field of dance anthropology Katherine Dunham, Bungie founder and developer of the Halo video game series Alex Seropian, Serial host Sarah Koenig, actor Ed Asner, Pulitzer Prize for Criticism winning film critic and the subject of the 2014 documentary film Life Itself Roger Ebert, director, writer, and comedian Mike Nichols, film director and screenwriter Philip Kaufman, and Carl Van Vechten, photographer and writer, are graduates.</t>
  </si>
  <si>
    <t>What type of soil is considered a product of soil management by indigenous peoples in the Amazon Forest?</t>
  </si>
  <si>
    <t>Citizenship of the EU has increasingly been seen as a "fundamental" status of member state nationals by the Court of Justice, and has accordingly increased the number of social services that people can access wherever they move. The Court has required that higher education, along with other forms of vocational training, should be more access, albeit with qualifying periods. In Commission v Austria the Court held that Austria was not entitled to restrict places in Austrian universities to Austrian students to avoid "structural, staffing and financial problems" if (mainly German) foreign students applied for places because there was little evidence of an actual problem.</t>
  </si>
  <si>
    <t>elected</t>
  </si>
  <si>
    <t>dangerous by-products of oxygen use in organisms</t>
  </si>
  <si>
    <t>What year did a toxic waste spill from an American ship prompt the Commission to look into legislation against waste?</t>
  </si>
  <si>
    <t>How are school fees in the rest of the world compared to Ireland?</t>
  </si>
  <si>
    <t>What was the taxman's political philosophy?</t>
  </si>
  <si>
    <t>Who calculated the speed of light?</t>
  </si>
  <si>
    <t>What was the name of the storm that hit Jacksonville in May of 2012?</t>
  </si>
  <si>
    <t>When do vaginal secretions become less acidic?</t>
  </si>
  <si>
    <t>When were the talks held for braodcast right to the Primier league for a five year period from the 1992 season?</t>
  </si>
  <si>
    <t>René-Robert Cavelier, Sieur de La Salle had explored the Ohio Country nearly a century earlier.</t>
  </si>
  <si>
    <t>1830</t>
  </si>
  <si>
    <t>the original message/data is reassembled in the correct order</t>
  </si>
  <si>
    <t>The male fossil known as Lucy was discovered by who?</t>
  </si>
  <si>
    <t>reduced rainfall and increased temperatures</t>
  </si>
  <si>
    <t>the Black Death was much faster than that of modern bubonic plague</t>
  </si>
  <si>
    <t>What reform was attempted following the Nice Treaty?</t>
  </si>
  <si>
    <t>Who did the government refuse to pay?</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</si>
  <si>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</si>
  <si>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 xml:space="preserve"> What type of regime ruled over Sudan for many decades?</t>
  </si>
  <si>
    <t>In what month and year was the revised Manual of Regulations for Private Schools released?</t>
  </si>
  <si>
    <t>Immunology is strongly experimental in everyday practice but is also characterized by an ongoing theoretical attitude. Many theories have been suggested in immunology from the end of the nineteenth century up to the present time. The end of the 19th century and the beginning of the 20th century saw a battle between "cellular" and "humoral" theories of immunity. According to the cellular theory of immunity, represented in particular by Elie Metchnikoff, it was cells – more precisely, phagocytes – that were responsible for immune responses. In contrast, the humoral theory of immunity, held, among others, by Robert Koch and Emil von Behring, stated that the active immune agents were soluble components (molecules) found in the organism’s “humors” rather than its cells.</t>
  </si>
  <si>
    <t>Pressures greater than what can lead to convulsions?</t>
  </si>
  <si>
    <t>Who was the only man to study medicinal properties of plants in Ancient Greece?</t>
  </si>
  <si>
    <t>board of trustees</t>
  </si>
  <si>
    <t>1332</t>
  </si>
  <si>
    <t>additional port</t>
  </si>
  <si>
    <t>symbiotic</t>
  </si>
  <si>
    <t>not taking jobs due to marriage or pregnancy</t>
  </si>
  <si>
    <t>What was the assumption behind Plato's writings?</t>
  </si>
  <si>
    <t>Anti-inflammatory drugs are often used to control the effects of inflammation. Glucocorticoids are the most powerful of these drugs; however, these drugs can have many undesirable side effects, such as central obesity, hyperglycemia, osteoporosis, and their use must be tightly controlled. Lower doses of anti-inflammatory drugs are often used in conjunction with cytotoxic or immunosuppressive drugs such as methotrexate or azathioprine. Cytotoxic drugs inhibit the immune response by killing dividing cells such as activated T cells. However, the killing is indiscriminate and other constantly dividing cells and their organs are affected, which causes toxic side effects. Immunosuppressive drugs such as cyclosporin prevent T cells from responding to signals correctly by inhibiting signal transduction pathways.</t>
  </si>
  <si>
    <t>What was the U.S. Information Agency charged with doing during the Cold War?</t>
  </si>
  <si>
    <t>a time-sharing system, based on Kemney's work at Dartmouth—which used a computer on loan from GE—could be profitable</t>
  </si>
  <si>
    <t>Complex devices such as weighing scales are used when measuring what?</t>
  </si>
  <si>
    <t>Tuition Fee Supplement</t>
  </si>
  <si>
    <t>Fermat</t>
  </si>
  <si>
    <t>Barro found there is much relation between income inequality and rates of what?</t>
  </si>
  <si>
    <t>What do Members of the genus Haeckelia usually capture the adult version of?</t>
  </si>
  <si>
    <t>How many people did the Islamic State control the territory of as of February 2015?</t>
  </si>
  <si>
    <t>pharmacy legislation</t>
  </si>
  <si>
    <t>What is the population of Los Angeles?</t>
  </si>
  <si>
    <t>What was the UK governments benefits agenchy checking in 2012?</t>
  </si>
  <si>
    <t>4 weeks paid</t>
  </si>
  <si>
    <t>Steam engines frequently possess two independent mechanisms for ensuring that the pressure in the boiler does not go too high; one may be adjusted by the user, the second is typically designed as an ultimate fail-safe. Such safety valves traditionally used a simple lever to restrain a plug valve in the top of a boiler. One end of the lever carried a weight or spring that restrained the valve against steam pressure. Early valves could be adjusted by engine drivers, leading to many accidents when a driver fastened the valve down to allow greater steam pressure and more power from the engine. The more recent type of safety valve uses an adjustable spring-loaded valve, which is locked such that operators may not tamper with its adjustment unless a seal illegally is broken. This arrangement is considerably safer.[citation needed]</t>
  </si>
  <si>
    <t>What measures the levels of fuel consumption?</t>
  </si>
  <si>
    <t>What culture did the Normans combine with in Ireland?</t>
  </si>
  <si>
    <t>The city is the seat of a Roman Catholic archdiocese (left bank of the Vistula) and diocese (right bank), and possesses various universities, most notably the Polish Academy of Sciences and the University of Warsaw, two opera houses, theatres, museums, libraries and monuments. The historic city-centre of Warsaw with its picturesque Old Town in 1980 was listed as a UNESCO World Heritage Site. Other main architectural attractions include the Castle Square with the Royal Castle and the iconic King Sigismund's Column, St. John's Cathedral, Market Square, palaces, churches and mansions all displaying a richness of colour and architectural detail. Buildings represent examples of nearly every European architectural style and historical period. Warsaw provides many examples of architecture from the gothic, renaissance, baroque and neoclassical periods, and around a quarter of the city is filled with luxurious parks and royal gardens.</t>
  </si>
  <si>
    <t>What declaration predicated the emigration of Huguenot refugees?</t>
  </si>
  <si>
    <t>overseas colonies</t>
  </si>
  <si>
    <t>What day of the week does the Time for Reflection take place?</t>
  </si>
  <si>
    <t>Who normally supervises inconvenience to the public?</t>
  </si>
  <si>
    <t>What is one issue that takes away the complexity of a pharmacist's job?</t>
  </si>
  <si>
    <t>Although the European Union does not have a codified constitution, like every political body it has laws which "constitute" its basic governance structure. The EU's primary constitutional sources are the Treaty on European Union (TEU) and the Treaty on the Functioning of the European Union (TFEU), which have been agreed or adhered to among the governments of all 28 member states. The Treaties establish the EU's institutions, list their powers and responsibilities, and explain the areas in which the EU can legislate with Directives or Regulations. The European Commission has the initiative to propose legislation. During the ordinary legislative procedure, the Council (which are ministers from member state governments) and the European Parliament (elected by citizens) can make amendments and must give their consent for laws to pass. The Commission oversees departments and various agencies that execute or enforce EU law. The "European Council" (rather than the Council, made up of different government Ministers) is composed of the Prime Ministers or executive Presidents of the member states. It appoints the Commissioners and the board of the European Central Bank. The European Court of Justice is the supreme judicial body which interprets EU law, and develops it through precedent. The Court can review the legality of the EU institutions' actions, in compliance with the Treaties. It can also decide upon claims for breach of EU laws from member states and citizens.</t>
  </si>
  <si>
    <t>Where was Dyrrachium located?</t>
  </si>
  <si>
    <t>What is the least well known algorithm associated with the the integer factorization problem?</t>
  </si>
  <si>
    <t>Warsaw remained the capital of the Polish–Lithuanian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</si>
  <si>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Classifying the stages of what is important to mapping aspects of the Amazon?</t>
  </si>
  <si>
    <t>types of reductions</t>
  </si>
  <si>
    <t>the Puente Hills Fault</t>
  </si>
  <si>
    <t>Chemical</t>
  </si>
  <si>
    <t>vitamin D receptor</t>
  </si>
  <si>
    <t>numerous</t>
  </si>
  <si>
    <t>What fields may pharmacy informatics not work in?</t>
  </si>
  <si>
    <t>X.25 had a simpler what?</t>
  </si>
  <si>
    <t>What kind of university is the California Institute of Technology?</t>
  </si>
  <si>
    <t>The university has bachelor programs in fine arts in visual arts and what other subject?</t>
  </si>
  <si>
    <t>the Florida East Coast Railway</t>
  </si>
  <si>
    <t>What paper is commonly considered the bellwether ushering in systematic studies computational complexity?</t>
  </si>
  <si>
    <t>Why did British operation succeed in 1755, 56, 57?</t>
  </si>
  <si>
    <t xml:space="preserve">What are the three major types of rock? </t>
  </si>
  <si>
    <t>a finite value</t>
  </si>
  <si>
    <t>European</t>
  </si>
  <si>
    <t>instantaneously in action-reaction pairs</t>
  </si>
  <si>
    <t>continental North American possessions east of the Mississippi or the Caribbean islands of Guadeloupe and Martinique</t>
  </si>
  <si>
    <t>Parliament of Victoria</t>
  </si>
  <si>
    <t>11,600 BP</t>
  </si>
  <si>
    <t>a historical fluke</t>
  </si>
  <si>
    <t>between New France and the British colonies</t>
  </si>
  <si>
    <t>Thermochemical techniques</t>
  </si>
  <si>
    <t>What is a no contest plea the same as?</t>
  </si>
  <si>
    <t>Who was New France's governor?</t>
  </si>
  <si>
    <t>What operator is in mainland Australia?</t>
  </si>
  <si>
    <t>the role of Yersinia pestis in the Black Death</t>
  </si>
  <si>
    <t>manually suppress the fire</t>
  </si>
  <si>
    <t>worked as weavers</t>
  </si>
  <si>
    <t>In what year did Fresno get its first pedestrian mall?</t>
  </si>
  <si>
    <t>French-Swiss bacteriologist Alexandre Yersin</t>
  </si>
  <si>
    <t>Harold Wilson published a report in what year?</t>
  </si>
  <si>
    <t>England</t>
  </si>
  <si>
    <t>Who did Shirley leave at Oswego?</t>
  </si>
  <si>
    <t>______ In both liquid and gas form can fastly result in an exlposion.</t>
  </si>
  <si>
    <t>How do studies give information about tectonic plate boundaries?</t>
  </si>
  <si>
    <t>$41 trillion</t>
  </si>
  <si>
    <t>How many French Catholics died during the Bartholomew's Day massacre?</t>
  </si>
  <si>
    <t>Who was the former host of Late Night with Conan O'Brien?</t>
  </si>
  <si>
    <t>In what year were the oldest additions in Hong Kong opened?</t>
  </si>
  <si>
    <t>extension of the Florida East Coast Railway further south</t>
  </si>
  <si>
    <t>During what century did Philo of Pneumatica preform his experiments involving combustion?</t>
  </si>
  <si>
    <t>What year was the Treaty of Amsterdam created?</t>
  </si>
  <si>
    <t>vote</t>
  </si>
  <si>
    <t>provide better absolute bounds on the timing and rates of deposition</t>
  </si>
  <si>
    <t>What name was given to the plot to usurp power from the French House of Guise?</t>
  </si>
  <si>
    <t>West Irvine</t>
  </si>
  <si>
    <t>What can orthogonal forces be when there are three components with two at right angles to each other?</t>
  </si>
  <si>
    <t>What is significant about the age of Downtown Fresno?</t>
  </si>
  <si>
    <t>What people are least vulnerable to infection?</t>
  </si>
  <si>
    <t>How many people never registered to receive the HD service prior to launch?</t>
  </si>
  <si>
    <t xml:space="preserve"> What policy did Stalin implement shortly after Lenin's birth?</t>
  </si>
  <si>
    <t>merchant ships.</t>
  </si>
  <si>
    <t>Who did not have to develop principles to resolve conflicts of laws between different systems?</t>
  </si>
  <si>
    <t xml:space="preserve"> What dynasty didn't share artistic inspiration with the Yuan?</t>
  </si>
  <si>
    <t>The Second Minister's Question Time takes place between what times on Thursdays?</t>
  </si>
  <si>
    <t>Who had Toghtogha tried to defeat?</t>
  </si>
  <si>
    <t>30 to 50 thousand</t>
  </si>
  <si>
    <t>What does the world's first Museum of Riding have one of the largest collections of in the world?</t>
  </si>
  <si>
    <t>What would someone who is civilly disobedient do in court?</t>
  </si>
  <si>
    <t>Where did Singer hold a press conference in May 2000?</t>
  </si>
  <si>
    <t>What device's use represented the last major evolution of the generator?</t>
  </si>
  <si>
    <t>likelihood of repeating</t>
  </si>
  <si>
    <t>On what lake did troops defend fort william henry in winter?</t>
  </si>
  <si>
    <t>Horizontal layers of what are pulled along a surface into a back stop in analog versions of orogenic wedge experiments?</t>
  </si>
  <si>
    <t>When was the Last Glacial Maximum?</t>
  </si>
  <si>
    <t>General relativity</t>
  </si>
  <si>
    <t>they design phase 2</t>
  </si>
  <si>
    <t>NP-complete knapsack problem</t>
  </si>
  <si>
    <t>What is petrology?</t>
  </si>
  <si>
    <t>Uighurs surrendered peacefully without violently resisting</t>
  </si>
  <si>
    <t>What mountainous region is Lake Constance by?</t>
  </si>
  <si>
    <t>What city did the Grand Canal reach during the Yuan?</t>
  </si>
  <si>
    <t>the crust and rigid uppermost portion of the upper mantle</t>
  </si>
  <si>
    <t>What is the Rhine Gorge known for?</t>
  </si>
  <si>
    <t>member states</t>
  </si>
  <si>
    <t>Where did Yesun Temur die?</t>
  </si>
  <si>
    <t>combs</t>
  </si>
  <si>
    <t>monthly subscription</t>
  </si>
  <si>
    <t>Clair Cameron Patterson</t>
  </si>
  <si>
    <t>Where according to net domestic product does Victoria rank in Australia?</t>
  </si>
  <si>
    <t>How long ago was the Ediacaran period?</t>
  </si>
  <si>
    <t>What did the price of oil fall to during the 1979 oil crisis?</t>
  </si>
  <si>
    <t>polynomial time</t>
  </si>
  <si>
    <t>What brought Warsaw's stock exchange to a new high?</t>
  </si>
  <si>
    <t>Innate cells can act as mediators in the activation of what branch of the immune system?</t>
  </si>
  <si>
    <t>gastric acid and proteases</t>
  </si>
  <si>
    <t xml:space="preserve">What is the major tributary for the Rhine? </t>
  </si>
  <si>
    <t>What is one thing measuring in crystal lattices shows in ash layers?</t>
  </si>
  <si>
    <t>When did Sky launch a TV advertising campaign target towards men?</t>
  </si>
  <si>
    <t>200 Troupes de la marine and 30 Indians</t>
  </si>
  <si>
    <t>Egyptian President Anwar Sadat – whose policies included opening Egypt to Western investment (infitah); transferring Egypt's allegiance from the Soviet Union to the United States; and making peace with Israel – released Islamists from prison and welcomed home exiles in tacit exchange for political support in his struggle against leftists. His "encouraging of the emergence of the Islamist movement" was said to have been "imitated by many other Muslim leaders in the years that followed."  This "gentlemen's agreement" between Sadat and Islamists broke down in 1975 but not before Islamists came to completely dominate university student unions. Sadat was later assassinated and a formidable insurgency was formed in Egypt in the 1990s. The French government has also been reported to have promoted Islamist preachers "in the hope of channeling Muslim energies into zones of piety and charity."</t>
  </si>
  <si>
    <t>governing body for pharmacy health care professionals</t>
  </si>
  <si>
    <t>14th century</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</si>
  <si>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d'oïl branch of Romance by a Norse-speaking ruling class, and it developed into the regional language that survives today.</t>
  </si>
  <si>
    <t>Subject Committees are established at the beginning of each parliamentary session, and again the members on each committee reflect the balance of parties across Parliament. Typically each committee corresponds with one (or more) of the departments (or ministries) of the Scottish Government. The current Subject Committees in the fourth Session are: Economy, Energy and Tourism; Education and Culture; Health and Sport; Justice; Local Government and Regeneration; Rural Affairs, Climate Change and Environment; Welfare Reform; and Infrastructure and Capital Investment.</t>
  </si>
  <si>
    <t>Storybook houses</t>
  </si>
  <si>
    <t>pupils are free to choose a private school</t>
  </si>
  <si>
    <t>The Presiding Officer tries the achieve a balance between similar viewpoints and whom?</t>
  </si>
  <si>
    <t>What did the Edict do for Huguenots in France?</t>
  </si>
  <si>
    <t>Who had the idea of a natural state for objects at rest?</t>
  </si>
  <si>
    <t>In what year was French Church Street built in Cork?</t>
  </si>
  <si>
    <t>Basel, leaving Switzerland</t>
  </si>
  <si>
    <t>80</t>
  </si>
  <si>
    <t>the police and the armed forces</t>
  </si>
  <si>
    <t>complicated</t>
  </si>
  <si>
    <t>If q=9 and a=1,2,4,5, 7, or 8, how many wraps would be in a progression?</t>
  </si>
  <si>
    <t>What type of amendments might members opposed to a bill put on the table?</t>
  </si>
  <si>
    <t>What is the largest city in all of California?</t>
  </si>
  <si>
    <t>Which University's College grants academic majors in 30 subject areas?</t>
  </si>
  <si>
    <t>What is  the time rate of change of electric charge?</t>
  </si>
  <si>
    <t>About how many cubic meters of make-up water is used by a 700-megawatt coal-fired power plant for evaporative cooling hourly?</t>
  </si>
  <si>
    <t xml:space="preserve"> When did Jamaa Islamiya accept violence?</t>
  </si>
  <si>
    <t>A member of what parliament can introduce a bill as a public member?</t>
  </si>
  <si>
    <t>What does digging a foundation prevent damage to?</t>
  </si>
  <si>
    <t>If NP is not equal to P, viewed through this lens, what type of problems can also be considered intractable?</t>
  </si>
  <si>
    <t>The Second Minister chooses whom?</t>
  </si>
  <si>
    <t>The third law</t>
  </si>
  <si>
    <t>Imperialism is confused with what other term?</t>
  </si>
  <si>
    <t>chemical</t>
  </si>
  <si>
    <t>This vibrant and culturally diverse area of retail businesses and residences experienced a renewal after a significant decline in the late 1960s and 1970s.[citation needed] After decades of neglect and suburban flight, the neighborhood revival followed the re-opening of the Tower Theatre in the late 1970s, which at that time showed second and third run movies, along with classic films. Roger Rocka's Dinner Theater &amp; Good Company Players also opened nearby in 1978,[citation needed] at Olive and Wishon Avenues. Fresno native Audra McDonald performed in the leading roles of Evita and The Wiz at the theater while she was a high school student. McDonald subsequently became a leading performer on Broadway in New York City and a Tony award winning actress. Also in the Tower District is Good Company Players' 2nd Space Theatre.</t>
  </si>
  <si>
    <t>ad valorem property tax policy</t>
  </si>
  <si>
    <t>tight closure streamlines the front of the animal</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</si>
  <si>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</si>
  <si>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1840</t>
  </si>
  <si>
    <t>What did people think about catastrophism during Charles Darwin's time?</t>
  </si>
  <si>
    <t>the least onerous must be adopted</t>
  </si>
  <si>
    <t>parallel</t>
  </si>
  <si>
    <t>What kind of winters does Jacksonville have along with hot and dry summers?</t>
  </si>
  <si>
    <t>avoiding the unnecessary use of medication that may have side-effects</t>
  </si>
  <si>
    <t>incorporations would only be nullified for a fixed list of reasons</t>
  </si>
  <si>
    <t>Residential construction can generate what is not carefully planned?</t>
  </si>
  <si>
    <t>What law justified British imperialism?</t>
  </si>
  <si>
    <t>The area is also known for its early twentieth century homes, many of which have been restored in recent decades. The area includes many California Bungalow and American Craftsman style homes, Spanish Colonial Revival Style architecture, Mediterranean Revival Style architecture, Mission Revival Style architecture, and many Storybook houses designed by Fresno architects, Hilliard, Taylor &amp; Wheeler. The residential architecture of the Tower District contrasts with the newer areas of tract homes urban sprawl in north and east areas of Fresno.</t>
  </si>
  <si>
    <t>What is the most important type of Norman art preserved in churches?</t>
  </si>
  <si>
    <t>What channel never had an HD version?</t>
  </si>
  <si>
    <t xml:space="preserve"> What provided an incentive to eastern empires to colonize Africa?</t>
  </si>
  <si>
    <t xml:space="preserve"> When was Qutb born?</t>
  </si>
  <si>
    <t xml:space="preserve"> Who did Gegeen appoint as grand senator?</t>
  </si>
  <si>
    <t>Infrastructure</t>
  </si>
  <si>
    <t>traditional private schools and schools which are privately governed</t>
  </si>
  <si>
    <t>New France</t>
  </si>
  <si>
    <t>Sophocles</t>
  </si>
  <si>
    <t>300 m3/s</t>
  </si>
  <si>
    <t>ONdigital</t>
  </si>
  <si>
    <t>divergence problem</t>
  </si>
  <si>
    <t>deportation of the French-speaking Acadian population from the area.</t>
  </si>
  <si>
    <t>What isn't the profession of Jake Rosenfield?</t>
  </si>
  <si>
    <t>construction of Delta Works</t>
  </si>
  <si>
    <t>What does Piketty feel was the biggest factors in reducing inequality between 1941 to 1945?</t>
  </si>
  <si>
    <t>By how much did Labour lead Lain Gray retain East Lothian?</t>
  </si>
  <si>
    <t>What was the name of the approved measure that helped cover the cost of major city projects?</t>
  </si>
  <si>
    <t>three main reservoirs</t>
  </si>
  <si>
    <t>The immune system protects organisms from infection with layered defenses of increasing specificity. In simple terms, physical barriers prevent pathogens such as bacteria and viruses from entering the organism. If a pathogen breaches these barriers, the innate immune system provides an immediate, but non-specific response. Innate immune systems are found in all plants and animals. If pathogens successfully evade the innate response, vertebrates possess a second layer of protection, the adaptive immune system, which is activated by the innate response. Here, the immune system adapts its response during an infection to improve its recognition of the pathogen. This improved response is then retained after the pathogen has been eliminated, in the form of an immunological memory, and allows the adaptive immune system to mount faster and stronger attacks each time this pathogen is encountered.</t>
  </si>
  <si>
    <t>Who defines what constitutes a patient-doctor relationship?</t>
  </si>
  <si>
    <t>What rank for most populous city in the European Union does Warsaw hold?</t>
  </si>
  <si>
    <t>a delay costs money</t>
  </si>
  <si>
    <t>their inherent difficulty</t>
  </si>
  <si>
    <t>What drew would-be Jacksonville tourists to other Florida destinations?</t>
  </si>
  <si>
    <t>What can BSkyB veto the presence of channels on?</t>
  </si>
  <si>
    <t>Carmichael numbers</t>
  </si>
  <si>
    <t>violent</t>
  </si>
  <si>
    <t>on the ground</t>
  </si>
  <si>
    <t>detailed</t>
  </si>
  <si>
    <t>What is the weakest main interaction?</t>
  </si>
  <si>
    <t>What town in upstate New York was settled by Huguenots?</t>
  </si>
  <si>
    <t>IPCC author Richard Lindzen has made a number of criticisms of the TAR. Among his criticisms, Lindzen has stated that the WGI Summary for Policymakers (SPM) does not faithfully summarize the full WGI report. For example, Lindzen states that the SPM understates the uncertainty associated with climate models. John Houghton, who was a co-chair of TAR WGI, has responded to Lindzen's criticisms of the SPM. Houghton has stressed that the SPM is agreed upon by delegates from many of the world's governments, and that any changes to the SPM must be supported by scientific evidence.</t>
  </si>
  <si>
    <t>In what year was the Great Internet Mersenne Prime Search project conducted?</t>
  </si>
  <si>
    <t>What is not a binary string?</t>
  </si>
  <si>
    <t>Aufbau</t>
  </si>
  <si>
    <t>What did a greedy merchant do to Triton?</t>
  </si>
  <si>
    <t>What does the water flow of the Rhine merge with after flowing through Merwede?</t>
  </si>
  <si>
    <t>What was Warner Sinback</t>
  </si>
  <si>
    <t>rapidly raising population and traffic in cities along SR 99, as well as the desirability of Federal funding</t>
  </si>
  <si>
    <t>Assuming p is a prime other than 2 or 5, then, according to Fermat's theorem, what type of decimal will 1/p always be?</t>
  </si>
  <si>
    <t>What is the most common cause of immunodeficiency in developing nations?</t>
  </si>
  <si>
    <t>Turtles and jellyfish can eat large quantities of what?</t>
  </si>
  <si>
    <t>Prime numbers give rise to two more general concepts that apply to elements of any commutative ring R, an algebraic structure where addition, subtraction and multiplication are defined: prime elements and irreducible elements. An element p of R is called prime element if it is neither zero nor a unit (i.e., does not have a multiplicative inverse) and satisfies the following requirement: given x and y in R such that p divides the product xy, then p divides x or y. An element is irreducible if it is not a unit and cannot be written as a product of two ring elements that are not units. In the ring Z of integers, the set of prime elements equals the set of irreducible elements, which is</t>
  </si>
  <si>
    <t>emphasize academics</t>
  </si>
  <si>
    <t>How do centripetal forces act in relation to vectors of velocity?</t>
  </si>
  <si>
    <t>When did the Roman empire fall?</t>
  </si>
  <si>
    <t>constitutional law</t>
  </si>
  <si>
    <t>Larry Ellison</t>
  </si>
  <si>
    <t>What does the Ujazdow National Gallery of Art organize exhibitions of art from?</t>
  </si>
  <si>
    <t>In what year was Henry of Navarre made Henry IV?</t>
  </si>
  <si>
    <t>Throughout its existence, Warsaw has been a multi-cultural city. According to the 1901 census, out of 711,988 inhabitants 56.2% were Catholics, 35.7% Jews, 5% Greek orthodox Christians and 2.8% Protestants. Eight years later, in 1909, there were 281,754 Jews (36.9%), 18,189 Protestants (2.4%) and 2,818 Mariavites (0.4%). This led to construction of hundreds of places of religious worship in all parts of the town. Most of them were destroyed in the aftermath of the Warsaw Uprising of 1944. After the war, the new communist authorities of Poland discouraged church construction and only a small number were rebuilt.</t>
  </si>
  <si>
    <t>countries with bigger income inequalities</t>
  </si>
  <si>
    <t>Though unkown, what are the most commonly ascribed attributes of L in relation to P</t>
  </si>
  <si>
    <t>What is the Dutch word for the Amazon rainforest?</t>
  </si>
  <si>
    <t>Stable and radioactive isotope studies provide insight into what?</t>
  </si>
  <si>
    <t>the perspective of the object</t>
  </si>
  <si>
    <t>Which border does the Rhine flow from the south?</t>
  </si>
  <si>
    <t>What was the original name of the BankAmericard?</t>
  </si>
  <si>
    <t>What non-Chinese empire did the Yuan dynasty succeed?</t>
  </si>
  <si>
    <t>Of what group in the periodic table is oxygen a member?</t>
  </si>
  <si>
    <t>most of the chemical energy</t>
  </si>
  <si>
    <t>the spin</t>
  </si>
  <si>
    <t>1939</t>
  </si>
  <si>
    <t>yellow fever outbreaks</t>
  </si>
  <si>
    <t>Since what year has the ARWU ranked academic performance?</t>
  </si>
  <si>
    <t>Silas B. Cobb</t>
  </si>
  <si>
    <t>Agassiz's approach to science combined observation and what?</t>
  </si>
  <si>
    <t>hot and dry</t>
  </si>
  <si>
    <t>Who argued that objects retain their velocity even when acted on by a force?</t>
  </si>
  <si>
    <t>telecommunications</t>
  </si>
  <si>
    <t>Downtown Burbank is an example of what kind of district?</t>
  </si>
  <si>
    <t>In what year was J.I. Pontanus born?</t>
  </si>
  <si>
    <t>12 May 1705</t>
  </si>
  <si>
    <t>What equipment is used to identify individual crystals?</t>
  </si>
  <si>
    <t>What is the eukaryotic parasite responsible for malaria known as?</t>
  </si>
  <si>
    <t>How many country villages can be found at the UNESCO World Heritage Site?</t>
  </si>
  <si>
    <t>Though Turabi proclaimed his support for the democratic process, he strictly applied what after coming into power?</t>
  </si>
  <si>
    <t>What happened to George Carlin after he sent the e-mail?</t>
  </si>
  <si>
    <t>filling of molecular orbitals</t>
  </si>
  <si>
    <t>Sky+HD Box</t>
  </si>
  <si>
    <t>Cologne, Germany</t>
  </si>
  <si>
    <t xml:space="preserve"> Who did not mastermind many terror attacks?</t>
  </si>
  <si>
    <t>When did the fighting stop in Prussia?</t>
  </si>
  <si>
    <t>63,519</t>
  </si>
  <si>
    <t>diverse</t>
  </si>
  <si>
    <t>Iroquois Six Nations, and also by the Cherokee</t>
  </si>
  <si>
    <t>Consolidated City of Jacksonville</t>
  </si>
  <si>
    <t>What phenomenon has led to criticism?</t>
  </si>
  <si>
    <t>1596</t>
  </si>
  <si>
    <t>Michael Heckenberger and colleagues of the University of Florida</t>
  </si>
  <si>
    <t>What kind of immune response do smaller drugs provoke?</t>
  </si>
  <si>
    <t>What does the sea monster with an inscription on its claws?</t>
  </si>
  <si>
    <t>comb-rows</t>
  </si>
  <si>
    <t>dispute over control of the confluence of the Allegheny and Monongahela rivers</t>
  </si>
  <si>
    <t>In April 1191 Richard the Lion-hearted left Messina with a large fleet in order to reach Acre. But a storm dispersed the fleet. After some searching, it was discovered that the boat carrying his sister and his fiancée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</si>
  <si>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Who wrote a pamphlet outlining the radical ideas of the extremists?</t>
  </si>
  <si>
    <t>How is X.25 connection-oriented at layer two?</t>
  </si>
  <si>
    <t>When was the Ottoman empire at its height?</t>
  </si>
  <si>
    <t>parts of Europe that had smaller trade relations with their neighbours</t>
  </si>
  <si>
    <t>What does the San Joaquin Valley Railroad cross with?</t>
  </si>
  <si>
    <t>The conquest of Cyprus by the Anglo-Norman forces of the Third Crusade opened a new chapter in the history of the island, which would be under Western European domination for the following 380 years. Although not part of a planned operation, the conquest had much more permanent results than initially expected.</t>
  </si>
  <si>
    <t>During what type of climate is oxygen 18 in seawater at higher levels?</t>
  </si>
  <si>
    <t xml:space="preserve"> What was the U.S. Information Agency charged with doing during the Warm War?</t>
  </si>
  <si>
    <t>99</t>
  </si>
  <si>
    <t>quantum</t>
  </si>
  <si>
    <t>What dictionary contains a non- violent definition?</t>
  </si>
  <si>
    <t>When was Dali conquered by the Yuan?</t>
  </si>
  <si>
    <t>the doctrine of transubstantiation</t>
  </si>
  <si>
    <t>What was the Warsaw Pact war plan?</t>
  </si>
  <si>
    <t>Reducibility Among Combinatorial Problems</t>
  </si>
  <si>
    <t>Gothic architecture is represented in the majestic churches but also at the burgher houses and fortifications. The most significant buildings are St. John's Cathedral (14th century), the temple is a typical example of the so-called Masovian gothic style, St. Mary's Church (1411), a town house of Burbach family (14th century), Gunpowder Tower (after 1379) and the Royal Castle Curia Maior (1407–1410). The most notable examples of Renaissance architecture in the city are the house of Baryczko merchant family (1562), building called "The Negro" (early 17th century) and Salwator tenement (1632). The most interesting examples of mannerist architecture are the Royal Castle (1596–1619) and the Jesuit Church (1609–1626) at Old Town. Among the first structures of the early baroque the most important are St. Hyacinth's Church (1603–1639) and Sigismund's Column (1644).</t>
  </si>
  <si>
    <t>How much greater were 1990 sea levels than those anticipated in the year 2100?</t>
  </si>
  <si>
    <t>the owner of the property</t>
  </si>
  <si>
    <t>the prime number intervals between emergences make it very difficult for predators to evolve</t>
  </si>
  <si>
    <t>What was Fulton Mall renamed as?</t>
  </si>
  <si>
    <t>Diatomic oxygen gas</t>
  </si>
  <si>
    <t>Conservatives</t>
  </si>
  <si>
    <t>tax system</t>
  </si>
  <si>
    <t>1000 and 1900</t>
  </si>
  <si>
    <t>1920</t>
  </si>
  <si>
    <t xml:space="preserve">Finding what helps to determine if a fault is a normal fault or a thrust fault? </t>
  </si>
  <si>
    <t>What has caused Oxfam's findings to not be questioned?</t>
  </si>
  <si>
    <t>1573</t>
  </si>
  <si>
    <t>linear</t>
  </si>
  <si>
    <t>What is one of the two assessment reports published in 2011?</t>
  </si>
  <si>
    <t>can interpret the Treaties, but it cannot rule on their validity</t>
  </si>
  <si>
    <t>Which newspaper's parent company could not evade tax by shifting its residence to the Netherlands?</t>
  </si>
  <si>
    <t>Normandy</t>
  </si>
  <si>
    <t>How high are Victoria's alpine regions?</t>
  </si>
  <si>
    <t>Euclid's Elements</t>
  </si>
  <si>
    <t>A dollar spent by a rich person is likely to provide what for them?</t>
  </si>
  <si>
    <t>John Paul II</t>
  </si>
  <si>
    <t>How are the statocysts spaced?</t>
  </si>
  <si>
    <t>Communication complexity is an example of what type of measure?</t>
  </si>
  <si>
    <t xml:space="preserve"> Where did France focus its efforts to not rebuild its empire?</t>
  </si>
  <si>
    <t>herbal</t>
  </si>
  <si>
    <t>What does the node read?</t>
  </si>
  <si>
    <t>What does it mean for a disease to be enzootic?</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</si>
  <si>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</si>
  <si>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second most commonly</t>
  </si>
  <si>
    <t>competition between employers for employees</t>
  </si>
  <si>
    <t>According to a 1954 review, what were savings by the wealthy thought to offset?</t>
  </si>
  <si>
    <t>Chicago Theological Seminary</t>
  </si>
  <si>
    <t>Pakistan movement</t>
  </si>
  <si>
    <t>deforestation has declined</t>
  </si>
  <si>
    <t>What force changes an objects speed?</t>
  </si>
  <si>
    <t>RNA silencing mechanisms</t>
  </si>
  <si>
    <t>Other than warships, what ships typically required high speeds?</t>
  </si>
  <si>
    <t>several private and public railway operators</t>
  </si>
  <si>
    <t>What was the worlds first commercial online service?</t>
  </si>
  <si>
    <t>Isiah Bowman</t>
  </si>
  <si>
    <t>How much funding did the RAND Corporation receive?</t>
  </si>
  <si>
    <t>During the 1970s</t>
  </si>
  <si>
    <t>What does the Nederrikn's name change into?</t>
  </si>
  <si>
    <t>Scandinavia</t>
  </si>
  <si>
    <t>sthène</t>
  </si>
  <si>
    <t>Muslims</t>
  </si>
  <si>
    <t>A user or host could call a host on a foreign network by including the DNIC of the remote network as part of the destination address</t>
  </si>
  <si>
    <t>1740s</t>
  </si>
  <si>
    <t>the American attack on Iraq</t>
  </si>
  <si>
    <t>27.7 million tons</t>
  </si>
  <si>
    <t>high inequality</t>
  </si>
  <si>
    <t>What led to Newcastle's rise to power as military advisor?</t>
  </si>
  <si>
    <t>in the kingdom</t>
  </si>
  <si>
    <t>By justification certain racial and geographical theories, Europe thought of itself as what?</t>
  </si>
  <si>
    <t>Who was Ralph in charge of being at war with?</t>
  </si>
  <si>
    <t xml:space="preserve">What type of hazard is oxygen considered? </t>
  </si>
  <si>
    <t>Where does Khomeini's beliefs fall as compared to Mawdudi and Qutb?</t>
  </si>
  <si>
    <t>local militia companies</t>
  </si>
  <si>
    <t>Soon after gaining Florida, what did the English do?</t>
  </si>
  <si>
    <t>the Court of Justice of the European Union</t>
  </si>
  <si>
    <t>A rich cultural diversity developed during the Yuan dynasty. The major cultural achievements were the development of drama and the novel and the increased use of the written vernacular. The political unity of China and much of central Asia promoted trade between East and West. The Mongols' extensive West Asian and European contacts produced a fair amount of cultural exchange. The other cultures and peoples in the Mongol World Empire also very much influenced China. It had significantly eased trade and commerce across Asia until its decline; the communications between Yuan dynasty and its ally and subordinate in Persia, the Ilkhanate, encouraged this development. Buddhism had a great influence in the Yuan government, and the Tibetan-rite Tantric Buddhism had significantly influenced China during this period. The Muslims of the Yuan dynasty introduced Middle Eastern cartography, astronomy, medicine, clothing, and diet in East Asia. Eastern crops such as carrots, turnips, new varieties of lemons, eggplants, and melons, high-quality granulated sugar, and cotton were all either introduced or successfully popularized during the Yuan dynasty.</t>
  </si>
  <si>
    <t>What is the largest suspension bridge in Germany?</t>
  </si>
  <si>
    <t>live theater</t>
  </si>
  <si>
    <t>Rep. Joe Barton</t>
  </si>
  <si>
    <t>Japan took part of Sakhalin Island</t>
  </si>
  <si>
    <t>decrease in wages</t>
  </si>
  <si>
    <t>What is expected with the continuous input of sediment into the Dornbirner Ach?</t>
  </si>
  <si>
    <t>Brest, France</t>
  </si>
  <si>
    <t>Some theories argue that civil disobedience is justified in regard to?</t>
  </si>
  <si>
    <t xml:space="preserve">In computational complexity theory, what is the term given to describe the baseline abstract question needing to be solved? </t>
  </si>
  <si>
    <t>What is the Port of San Diego adjacent to?</t>
  </si>
  <si>
    <t>1.4 times normal</t>
  </si>
  <si>
    <t>What must Sophocles do instead of following the king's will?</t>
  </si>
  <si>
    <t xml:space="preserve">What is the oldest example of financial fault lines? </t>
  </si>
  <si>
    <t>How much do researchers now think sea levels will rise from 1990 to 2100?</t>
  </si>
  <si>
    <t>Who was responsible for the ancient interpretation of organizational decision making?</t>
  </si>
  <si>
    <t>New techniques of building construction are being researched, made possible by advances in 3D printing technology. In a form of additive building construction, similar to the additive manufacturing techniques for manufactured parts, building printing is making it possible to flexibly construct small commercial buildings and private habitations in around 20 hours, with built-in plumbing and electrical facilities, in one continuous build, using large 3D printers. Working versions of 3D-printing building technology are already printing 2 metres (6 ft 7 in) of building material per hour as of January 2013[update], with the next-generation printers capable of 3.5 metres (11 ft) per hour, sufficient to complete a building in a week. Dutch architect Janjaap Ruijssenaars's performative architecture 3D-printed building is scheduled to be built in 2014.</t>
  </si>
  <si>
    <t>What is the city centre of Warsaw called in Polish?</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</si>
  <si>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</si>
  <si>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Policies which reduce the inequality associated effects of unemployment hurt what type of growth?</t>
  </si>
  <si>
    <t>How many natural reserves are in Czerniakow?</t>
  </si>
  <si>
    <t>Singlet oxygen is a name given to several higher-energy species of molecular O
2 in which all the electron spins are paired. It is much more reactive towards common organic molecules than is molecular oxygen per se. In nature, singlet oxygen is commonly formed from water during photosynthesis, using the energy of sunlight. It is also produced in the troposphere by the photolysis of ozone by light of short wavelength, and by the immune system as a source of active oxygen. Carotenoids in photosynthetic organisms (and possibly also in animals) play a major role in absorbing energy from singlet oxygen and converting it to the unexcited ground state before it can cause harm to tissues.</t>
  </si>
  <si>
    <t>In what year did King Hugo die?</t>
  </si>
  <si>
    <t>In what year did Clay Bartlett donate land by Marshall Field?</t>
  </si>
  <si>
    <t>Is it easier or harder to change EU law than stay the same?</t>
  </si>
  <si>
    <t>Stage 3</t>
  </si>
  <si>
    <t xml:space="preserve">What did Telecom Australia start? </t>
  </si>
  <si>
    <t>higher</t>
  </si>
  <si>
    <t>It is likely that a multicomponent, adaptive immune system arose with the first vertebrates, as invertebrates do not generate lymphocytes or an antibody-based humoral response. Many species, however, utilize mechanisms that appear to be precursors of these aspects of vertebrate immunity. Immune systems appear even in the structurally most simple forms of life, with bacteria using a unique defense mechanism, called the restriction modification system to protect themselves from viral pathogens, called bacteriophages. Prokaryotes also possess acquired immunity, through a system that uses CRISPR sequences to retain fragments of the genomes of phage that they have come into contact with in the past, which allows them to block virus replication through a form of RNA interference. Offensive elements of the immune systems are also present in unicellular eukaryotes, but studies of their roles in defense are few.</t>
  </si>
  <si>
    <t>the Red Army was nearing the city</t>
  </si>
  <si>
    <t>contemporary Orient</t>
  </si>
  <si>
    <t xml:space="preserve">What supplanted Frame Relay and X.25 </t>
  </si>
  <si>
    <t>What councils assign tasks to the IPCC?</t>
  </si>
  <si>
    <t>an official school sport</t>
  </si>
  <si>
    <t>What was the Plymouth Gran Fury a prelude to in vehicle categories?</t>
  </si>
  <si>
    <t>What ruined Richard's plans to reach Acre?</t>
  </si>
  <si>
    <t>three major offensive actions</t>
  </si>
  <si>
    <t>How unsuccessful was initial effort by Braddock?</t>
  </si>
  <si>
    <t>When will an object move because the applied force is opposed by static friction?</t>
  </si>
  <si>
    <t>Who was Margaret's brother?</t>
  </si>
  <si>
    <t>What group was trained at Cambridge in 1643?</t>
  </si>
  <si>
    <t>interventionism</t>
  </si>
  <si>
    <t>phlogiston theory of combustion and corrosion</t>
  </si>
  <si>
    <t>What is oxygen respiration therapy used to treat?</t>
  </si>
  <si>
    <t>What are epithelial cells able do do if prey is too large to swallow?</t>
  </si>
  <si>
    <t>in the 1050s</t>
  </si>
  <si>
    <t>1923</t>
  </si>
  <si>
    <t>the Society of St Pius X</t>
  </si>
  <si>
    <t>Oxygen gas can also be produced through electrolysis of water into molecular oxygen and hydrogen. DC electricity must be used: if AC is used, the gases in each limb consist of hydrogen and oxygen in the explosive ratio 2:1. Contrary to popular belief, the 2:1 ratio observed in the DC electrolysis of acidified water does not prove that the empirical formula of water is H2O unless certain assumptions are made about the molecular formulae of hydrogen and oxygen themselves. A similar method is the electrocatalytic O
2 evolution from oxides and oxoacids. Chemical catalysts can be used as well, such as in chemical oxygen generators or oxygen candles that are used as part of the life-support equipment on submarines, and are still part of standard equipment on commercial airliners in case of depressurization emergencies. Another air separation technology involves forcing air to dissolve through ceramic membranes based on zirconium dioxide by either high pressure or an electric current, to produce nearly pure O
2 gas.</t>
  </si>
  <si>
    <t>voters approved the plan</t>
  </si>
  <si>
    <t>What was the ship of John of London called?</t>
  </si>
  <si>
    <t>orthogonal components</t>
  </si>
  <si>
    <t>alcohol</t>
  </si>
  <si>
    <t>statocyst</t>
  </si>
  <si>
    <t>viewed as not being a civil disobedient</t>
  </si>
  <si>
    <t>a few drops</t>
  </si>
  <si>
    <t>What element is found in most organic organisms?</t>
  </si>
  <si>
    <t>MPEG-4</t>
  </si>
  <si>
    <t>The Second Minister can deliver what?</t>
  </si>
  <si>
    <t>One country's authority over a number of others would constitute the original country as what?</t>
  </si>
  <si>
    <t>How far from state house in downtown Boston is Harvard Yard?</t>
  </si>
  <si>
    <t>the superior and the norm</t>
  </si>
  <si>
    <t>civil, military, and censorial</t>
  </si>
  <si>
    <t>Iran has assisted what type of groups in China?</t>
  </si>
  <si>
    <t>Church of Santa Maria Novella in Florence, Italy</t>
  </si>
  <si>
    <t>An igneous rock is a rock that crystallizes from what?</t>
  </si>
  <si>
    <t>What did the Rhine help to expand?</t>
  </si>
  <si>
    <t>A term used originally in derision, Huguenot has unclear origins. Various hypotheses have been promoted. The nickname may have been a combined reference to the Swiss politician Besançon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</si>
  <si>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What are peptides that help microbes flourish called?</t>
  </si>
  <si>
    <t>What is not present in breast milk?</t>
  </si>
  <si>
    <t>What is the smallest geographical region discussed?</t>
  </si>
  <si>
    <t>What effect does trade with poorer countries have on the workers in poorer countries?</t>
  </si>
  <si>
    <t>What freezes at 90.20 K?</t>
  </si>
  <si>
    <t>How much bandwidth is dedicated for each communication session?</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</si>
  <si>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</si>
  <si>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Acute oxygen toxicity</t>
  </si>
  <si>
    <t>1269</t>
  </si>
  <si>
    <t>How does the level of tuition in German private schools compare to private schools in other Western European countries?</t>
  </si>
  <si>
    <t>new and enlarged bridges, a shuttle service and/or a tram.</t>
  </si>
  <si>
    <t>multi-member proportional representation system</t>
  </si>
  <si>
    <t>What is Baryczko's Cathedral an example of stylistically?</t>
  </si>
  <si>
    <t>upper Danube</t>
  </si>
  <si>
    <t>surrendering either its continental North American possessions east of the Mississippi or the Caribbean islands of Guadeloupe and Martinique</t>
  </si>
  <si>
    <t>7,200</t>
  </si>
  <si>
    <t>Konwiktorska Street</t>
  </si>
  <si>
    <t xml:space="preserve">When did OPEC  issue a joint communique? </t>
  </si>
  <si>
    <t>Who did the Irish culture have a profound effect on?</t>
  </si>
  <si>
    <t>BSkyB utilises the VideoGuard pay-TV scrambling system owned by NDS, a Cisco Systems company. There are tight controls over use of VideoGuard decoders; they are not available as stand-alone DVB CAMs (conditional-access modules). BSkyB has design authority over all digital satellite receivers capable of receiving their service. The receivers, though designed and built by different manufacturers, must conform to the same user interface look-and-feel as all the others. This extends to the Personal video recorder (PVR) offering (branded Sky+).</t>
  </si>
  <si>
    <t>What was Zia-ul-Haq's official state ideology?</t>
  </si>
  <si>
    <t>What South Korean car manufacturer purchased the factory in 2005?</t>
  </si>
  <si>
    <t>five most populous in the state</t>
  </si>
  <si>
    <t>While competition between workers drives down wages for jobs with a high supply of worker, whose competition drives wages up for the inverse?</t>
  </si>
  <si>
    <t>What increases or decreases in response to static friction?</t>
  </si>
  <si>
    <t>incorporate their prey's nematocysts (stinging cells) into their own tentacles instead of colloblasts</t>
  </si>
  <si>
    <t>What theory did Niels Jerne formulate?</t>
  </si>
  <si>
    <t>11th</t>
  </si>
  <si>
    <t>Vietnam War</t>
  </si>
  <si>
    <t>aided</t>
  </si>
  <si>
    <t>How many years have imperialistic practices existed?</t>
  </si>
  <si>
    <t>Who was thought to have killed Tugh Temur?</t>
  </si>
  <si>
    <t>0.5</t>
  </si>
  <si>
    <t>What do only white children have to pay when they go to school?</t>
  </si>
  <si>
    <t>Who ultimatly drove the Byzantines out of Europe?</t>
  </si>
  <si>
    <t>Newcastle replaced him in January 1756 with Lord Loudoun, with Major General James Abercrombie as his second in command. Neither of these men had as much campaign experience as the trio of officers France sent to North America. French regular army reinforcements arrived in New France in May 1756, led by Major General Louis-Joseph de Montcalm and seconded by the Chevalier de Lévis and Colonel François-Charles de Bourlamaque, all experienced veterans from the War of the Austrian Succession. During that time in Europe, on May 18, 1756, England formally declared war on France, which expanded the war into Europe, which was later to be known as the Seven Years' War.</t>
  </si>
  <si>
    <t>writing</t>
  </si>
  <si>
    <t>Who did a pressurized oxygen cabin fire kill?</t>
  </si>
  <si>
    <t>inequality first increases</t>
  </si>
  <si>
    <t>to formalize a unified front in trade and negotiations with various Indians</t>
  </si>
  <si>
    <t>How isn't income inequality generally viewed by workers?</t>
  </si>
  <si>
    <t>IP and AM are most commonly defined by what type of proof system?</t>
  </si>
  <si>
    <t>When is the amphitheatre open?</t>
  </si>
  <si>
    <t>On what type of exponentiation does the Diffie–Hellman key exchange depend on?</t>
  </si>
  <si>
    <t>As a person gets older, what does the skin produce less of?</t>
  </si>
  <si>
    <t>steeper tax progressivity applied to social spending</t>
  </si>
  <si>
    <t>What is the definition of Germany adopting a Communist government?</t>
  </si>
  <si>
    <t>follows the same procedures as for IPCC Assessment Reports</t>
  </si>
  <si>
    <t>Federal safety standards, such as NHTSA Federal Motor Vehicle Safety Standard 215 (pertaining to safety bumpers), and compacts like the 1974 Mustang I were a prelude to the DOT "downsize" revision of vehicle categories. By 1977, GM's full-sized cars reflected the crisis. By 1979, virtually all "full-size" American cars had shrunk, featuring smaller engines and smaller outside dimensions. Chrysler ended production of their full-sized luxury sedans at the end of the 1981 model year, moving instead to a full front-wheel drive lineup for 1982 (except for the M-body Dodge Diplomat/Plymouth Gran Fury and Chrysler New Yorker Fifth Avenue sedans).</t>
  </si>
  <si>
    <t>What was Hollywood known as?</t>
  </si>
  <si>
    <t>Where did Charles de Gaulle and the Free French run operations during World War 2?</t>
  </si>
  <si>
    <t>Of what mountain system are the Victorian Alps a part?</t>
  </si>
  <si>
    <t>British Gas plc</t>
  </si>
  <si>
    <t>Of what form are Sophie Germain tests?</t>
  </si>
  <si>
    <t>For how long did the plague stick around?</t>
  </si>
  <si>
    <t>In 1929, the university's fifth president, Robert Maynard Hutchins, took office; the university underwent many changes during his 24-year tenure. Hutchins eliminated varsity football from the university in an attempt to emphasize academics over athletics, instituted the undergraduate college's liberal-arts curriculum known as the Common Core, and organized the university's graduate work into its current[when?] four divisions. In 1933, Hutchins proposed an unsuccessful plan to merge the University of Chicago and Northwestern University into a single university. During his term, the University of Chicago Hospitals (now called the University of Chicago Medical Center) finished construction and enrolled its first medical students. Also, the Committee on Social Thought, an institution distinctive of the university, was created.</t>
  </si>
  <si>
    <t>Who protested against Parliament taxes?</t>
  </si>
  <si>
    <t>What forest is by Kampinos's southern border?</t>
  </si>
  <si>
    <t>What lands were reserved for natives?</t>
  </si>
  <si>
    <t>autumn of 1991</t>
  </si>
  <si>
    <t>Most species are hermaphrodites—a single animal can produce both eggs and sperm, meaning it can fertilize its own egg, not needing a mate. Some are simultaneous hermaphrodites, which can produce both eggs and sperm at the same time. Others are sequential hermaphrodites, in which the eggs and sperm mature at different times. Fertilization is generally external, although platyctenids' eggs are fertilized inside their parents' bodies and kept there until they hatch. The young are generally planktonic and in most species look like miniature cydippids, gradually changing into their adult shapes as they grow. The exceptions are the beroids, whose young are miniature beroids with large mouths and no tentacles, and the platyctenids, whose young live as cydippid-like plankton until they reach near-adult size, but then sink to the bottom and rapidly metamorphose into the adult form. In at least some species, juveniles are capable of reproduction before reaching the adult size and shape. The combination of hermaphroditism and early reproduction enables small populations to grow at an explosive rate.</t>
  </si>
  <si>
    <t>method of locomotion</t>
  </si>
  <si>
    <t>Where did support from governmental and religious groups come from?</t>
  </si>
  <si>
    <t>social spending</t>
  </si>
  <si>
    <t>What is a function solution an example of?</t>
  </si>
  <si>
    <t>deselected as official party candidates</t>
  </si>
  <si>
    <t>When imperialism does not impact social norms of a state, what is it called?</t>
  </si>
  <si>
    <t>The poor and the middle class</t>
  </si>
  <si>
    <t>continuous rotary motion</t>
  </si>
  <si>
    <t>Full size working engines on what vehicles sometimes use oscillating cylinder steam engines?</t>
  </si>
  <si>
    <t>What force describes Lorenzo's Law?</t>
  </si>
  <si>
    <t>What percentage does the Amazon represents in rainforests on the planet?</t>
  </si>
  <si>
    <t>What is the Chinese name for the Yuan dynasty?</t>
  </si>
  <si>
    <t>The first historical reference to Warsaw dates back to the year 1313, at a time when Kraków served as the Polish capital city. Due to its central location between the Polish–Lithuanian Commonwealth's capitals of Kraków and Vilnius, Warsaw became the capital of the Commonwealth and of the Crown of the Kingdom of Poland when King Sigismund III Vasa moved his court from Kraków to Warsaw in 1596. After the Third Partition of Poland in 1795, Warsaw was incorporated into the Kingdom of Prussia. In 1806 during the Napoleonic Wars, the city became the official capital of the Grand Duchy of Warsaw, a puppet state of the First French Empire established by Napoleon Bonaparte. In accordance with the decisions of the Congress of Vienna, the Russian Empire annexed Warsaw in 1815 and it became part of the "Congress Kingdom". Only in 1918 did it regain independence from the foreign rule and emerge as a new capital of the independent Republic of Poland. The German invasion in 1939, the massacre of the Jewish population and deportations to concentration camps led to the uprising in the Warsaw ghetto in 1943 and to the major and devastating Warsaw Uprising between August and October 1944. Warsaw gained the title of the "Phoenix City" because it has survived many wars, conflicts and invasions throughout its long history. Most notably, the city required painstaking rebuilding after the extensive damage it suffered in World War II, which destroyed 85% of its buildings. On 9 November 1940, the city was awarded Poland's highest military decoration for heroism, the Virtuti Militari, during the Siege of Warsaw (1939).</t>
  </si>
  <si>
    <t>The adaptive immune system recognizes non-self antigens during a process called what?</t>
  </si>
  <si>
    <t>jet of expelled water drives them backwards very quickly</t>
  </si>
  <si>
    <t>Eero Saarinen</t>
  </si>
  <si>
    <t>Education Service Contracting</t>
  </si>
  <si>
    <t>"cellular" and "humoral" theories of immunity</t>
  </si>
  <si>
    <t>What disorder causes the immune system to distinguish between self and non-self?</t>
  </si>
  <si>
    <t xml:space="preserve">Private networks were connected via gateways for what reason? </t>
  </si>
  <si>
    <t>a certain number of teacher's salaries are paid by the State</t>
  </si>
  <si>
    <t>What do phosphates do to the growth of nitrates?</t>
  </si>
  <si>
    <t>wine</t>
  </si>
  <si>
    <t>sell prescription drugs</t>
  </si>
  <si>
    <t>Passenger rail service is provided by Amtrak San Joaquins. The main passenger rail station is the recently renovated historic Santa Fe Railroad Depot in Downtown Fresno. The Bakersfield-Stockton mainlines of the Burlington Northern Santa Fe Railway and Union Pacific Railroad railroads cross in Fresno, and both railroads maintain railyards within the city; the San Joaquin Valley Railroad also operates former Southern Pacific branchlines heading west and south out of the city. The city of Fresno is planned to serve the future California High Speed Rail.</t>
  </si>
  <si>
    <t>in order to reduce consumer costs</t>
  </si>
  <si>
    <t>$20 billion</t>
  </si>
  <si>
    <t>The principal Treaties that form the European Union began with common rules for coal and steel, and then atomic energy, but more complete and formal institutions were established through the Treaty of Rome 1957 and the Maastricht Treaty 1992 (now: TFEU). Minor amendments were made during the 1960s and 1970s. Major amending treaties were signed to complete the development of a single, internal market in the Single European Act 1986, to further the development of a more social Europe in the Treaty of Amsterdam 1997, and to make minor amendments to the relative power of member states in the EU institutions in the Treaty of Nice 2001 and the Treaty of Lisbon 2007. Since its establishment, more member states have joined through a series of accession treaties, from the UK, Ireland, Denmark and Norway in 1972 (though Norway did not end up joining), Greece in 1979, Spain and Portugal 1985, Austria, Finland, Norway and Sweden in 1994 (though again Norway failed to join, because of lack of support in the referendum), the Czech Republic, Cyprus, Estonia, Hungary, Latvia, Lithuania, Malta, Poland, Slovakia and Slovenia in 2004, Romania and Bulgaria in 2007 and Croatia in 2013. Greenland signed a Treaty in 1985 giving it a special status.</t>
  </si>
  <si>
    <t>When did Captain Daniel Woodriff visit New South Wales?</t>
  </si>
  <si>
    <t>When did the Cretaceous-Paleogene extinction happen?</t>
  </si>
  <si>
    <t>object's weight</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</si>
  <si>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</si>
  <si>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with money from foreign Islamist banking systems</t>
  </si>
  <si>
    <t xml:space="preserve"> Who didn't use imperialism during their rule of the Mongol Empire?</t>
  </si>
  <si>
    <t>at least 11,000 years</t>
  </si>
  <si>
    <t>What formation has an asymmetrical pattern of different terraces?</t>
  </si>
  <si>
    <t>What three things are recommended before construction begins?</t>
  </si>
  <si>
    <t>travel literature, cartography, geography, and scientific education</t>
  </si>
  <si>
    <t>Wilson's theorem</t>
  </si>
  <si>
    <t>income from the harvests of their Chinese tenants</t>
  </si>
  <si>
    <t>internal combustion engines or electric motors</t>
  </si>
  <si>
    <t>What is the typical working fluid in a vapor turbine?</t>
  </si>
  <si>
    <t>What tactic did companies employ to offset the former deficit of work surrounding the complexity of algorithmic problems?</t>
  </si>
  <si>
    <t>more than 1,100</t>
  </si>
  <si>
    <t>workforce consultation in businesses</t>
  </si>
  <si>
    <t>What measure of a computational problem broadly defines the inherent difficulty of the solution?</t>
  </si>
  <si>
    <t>D&amp;B contractors</t>
  </si>
  <si>
    <t>Cambrian period.</t>
  </si>
  <si>
    <t>How many beds does the Maria Memorial Health Institute have?</t>
  </si>
  <si>
    <t>What exists between fundamentalist Islamism and non-reformist Islamism?</t>
  </si>
  <si>
    <t>Great and General Court of the Massachusetts Bay Colony</t>
  </si>
  <si>
    <t>125p</t>
  </si>
  <si>
    <t>Why the narrow part of St. John's River called Cowford?</t>
  </si>
  <si>
    <t>because many elderly people are now taking numerous medications but continue to live outside of institutional settings</t>
  </si>
  <si>
    <t>Who had no influence in promoting the use of chemical compounds as medicines?</t>
  </si>
  <si>
    <t>What portion of households in Jacksonville have only one person?</t>
  </si>
  <si>
    <t>Not a maritime power, and not a nation-state, as it would eventually become, Germany’s participation in Western imperialism was negligible until the late 19th century. The participation of Austria was primarily as a result of Habsburg control of the First Empire, the Spanish throne, and other royal houses.[further explanation needed] After the defeat of Napoleon, who caused the dissolution of that Holy Roman Empire, Prussia and the German states continued to stand aloof from imperialism, preferring to manipulate the European system through the Concert of Europe. After Prussia unified the other states into the second German Empire after the Franco-German War, its long-time Chancellor, Otto von Bismarck (1862–90), long opposed colonial acquisitions, arguing that the burden of obtaining, maintaining, and defending such possessions would outweigh any potential benefits. He felt that colonies did not pay for themselves, that the German bureaucratic system would not work well in the tropics and the diplomatic disputes over colonies would distract Germany from its central interest, Europe itself.</t>
  </si>
  <si>
    <t>Maududi also believed that Muslim society could not be Islamic without Sharia, and Islam required the establishment of an Islamic state. This state should be a "theo-democracy," based on the principles of: tawhid (unity of God), risala (prophethood) and khilafa (caliphate). Although Maududi talked about Islamic revolution, by "revolution" he meant not the violence or populist policies of the Iranian Revolution, but the gradual changing the hearts and minds of individuals from the top of society downward through an educational process or da'wah.</t>
  </si>
  <si>
    <t>largest Filipino American community</t>
  </si>
  <si>
    <t>What branches off away from Dordrecht?</t>
  </si>
  <si>
    <t>What do tumor cells release that strengthens the immune response?</t>
  </si>
  <si>
    <t>VideoGuard pay-TV</t>
  </si>
  <si>
    <t>What is a ctenophora?</t>
  </si>
  <si>
    <t>Who wrote that its difficult to formulate a definition of grammatical niceties?</t>
  </si>
  <si>
    <t>What group of people performed revolutionary civil disobedience toward the Austrian government?</t>
  </si>
  <si>
    <t>Trio Tribe</t>
  </si>
  <si>
    <t>unbalanced torque</t>
  </si>
  <si>
    <t>prime elements</t>
  </si>
  <si>
    <t>As northwest Europe slowly began to warm up from 22,000 years ago onward, frozen subsoil and expanded alpine glaciers began to thaw and fall-winter snow covers melted in spring. Much of the discharge was routed to the Rhine and its downstream extension. Rapid warming and changes of vegetation, to open forest, began about 13,000 BP. By 9000 BP, Europe was fully forested. With globally shrinking ice-cover, ocean water levels rose and the English Channel and North Sea re-inundated. Meltwater, adding to the ocean and land subsidence, drowned the former coasts of Europe transgressionally.</t>
  </si>
  <si>
    <t>Climate fluctuations</t>
  </si>
  <si>
    <t>What eponymous variation of arithmetic presents a decision problem not evidenced in P?</t>
  </si>
  <si>
    <t>Transcendentalist Unitarian</t>
  </si>
  <si>
    <t>What is the delta delimited in the South by?</t>
  </si>
  <si>
    <t>What fields have lost influence over pharmacy in the United States?</t>
  </si>
  <si>
    <t>Who developed a successful steam engine indicator for Charles Porter?</t>
  </si>
  <si>
    <t>Hangzhou</t>
  </si>
  <si>
    <t>What type of number do modern mathematicians consider 1 to be?</t>
  </si>
  <si>
    <t>The filling pharmacy has a corresponding responsibility to ensure that the prescription is valid</t>
  </si>
  <si>
    <t>west</t>
  </si>
  <si>
    <t>How is information charged differently for Circuit Switching?</t>
  </si>
  <si>
    <t>Board Certified Ambulatory Care Pharmacist</t>
  </si>
  <si>
    <t xml:space="preserve">How long is the Rhine? </t>
  </si>
  <si>
    <t>Where is paired oxygen produced?</t>
  </si>
  <si>
    <t>What city has the biggest port in Germany?</t>
  </si>
  <si>
    <t>driving Israel out of the Gaza Strip</t>
  </si>
  <si>
    <t>world's first commercial online service</t>
  </si>
  <si>
    <t>Lothian Regional Council</t>
  </si>
  <si>
    <t>the oil shock</t>
  </si>
  <si>
    <t>the Channel Islands</t>
  </si>
  <si>
    <t>This projection was not included in the final summary for policymakers. The IPCC has since acknowledged that the date is incorrect, while reaffirming that the conclusion in the final summary was robust. They expressed regret for "the poor application of well-established IPCC procedures in this instance". The date of 2035 has been correctly quoted by the IPCC from the WWF report, which has misquoted its own source, an ICSI report "Variations of Snow and Ice in the past and at present on a Global and Regional Scale".</t>
  </si>
  <si>
    <t>Other than UChicago or simply Chicago, what is another term for the University of Graham Business?</t>
  </si>
  <si>
    <t>Warraghiggey</t>
  </si>
  <si>
    <t>Has there ever been anyone charged with importing drugs from Canada for personal medicinal use?</t>
  </si>
  <si>
    <t>In what years did Spain and Portugal join the European Union?</t>
  </si>
  <si>
    <t>Geographically speaking, where is California's north - south midway point in terms of latitude?</t>
  </si>
  <si>
    <t>What is Pedanius Dioscorides not known for?</t>
  </si>
  <si>
    <t>service firms</t>
  </si>
  <si>
    <t xml:space="preserve"> By justification certain racial and geographical theories, Asia thought of itself as what?</t>
  </si>
  <si>
    <t>straight lines</t>
  </si>
  <si>
    <t>if the EU does not comply with its basic constitutional rights and principles</t>
  </si>
  <si>
    <t>What is the name of the team from USC?</t>
  </si>
  <si>
    <t>5-cylinder</t>
  </si>
  <si>
    <t>The first buildings of the University of Chicago campus, which make up what is now known as the Main Quadrangles, were part of a "master plan" conceived by two University of Chicago trustees and plotted by Chicago architect Henry Ives Cobb. The Main Quadrangles consist of six quadrangles, each surrounded by buildings, bordering one larger quadrangle. The buildings of the Main Quadrangles were designed by Cobb, Shepley, Rutan and Coolidge, Holabird &amp; Roche, and other architectural firms in a mixture of the Victorian Gothic and Collegiate Gothic styles, patterned on the colleges of the University of Oxford. (Mitchell Tower, for example, is modeled after Oxford's Magdalen Tower, and the university Commons, Hutchinson Hall, replicates Christ Church Hall.)</t>
  </si>
  <si>
    <t>When did the Meuse and Waal merge?</t>
  </si>
  <si>
    <t>What have government regulations given public schools recently?</t>
  </si>
  <si>
    <t>When electrons are loosely packed, there is not enough what?</t>
  </si>
  <si>
    <t>The university's center in Beijing is located next to what school's campus?</t>
  </si>
  <si>
    <t>What are two examples of measurements are bound within algorithms to establish complexity classes?</t>
  </si>
  <si>
    <t>What types of pharmacy functions have begun to be outsourced?</t>
  </si>
  <si>
    <t>Where is the aboral organ located?</t>
  </si>
  <si>
    <t>prime number</t>
  </si>
  <si>
    <t>the Department of State Affairs</t>
  </si>
  <si>
    <t>How much of Poland's national income does Srodmiescie produce?</t>
  </si>
  <si>
    <t>Riverside</t>
  </si>
  <si>
    <t>In what compound is oxygen found in small amounts in the atmosphere?</t>
  </si>
  <si>
    <t>Trial division involves dividing n by every integer m less than what?</t>
  </si>
  <si>
    <t>What has sizes depending on how weak the push or pull is?</t>
  </si>
  <si>
    <t>How tall is the Bank of America Tower?</t>
  </si>
  <si>
    <t>What event did Cornell win in 2003?</t>
  </si>
  <si>
    <t>The first recorded travels by Europeans to China and back date from this time. The most famous traveler of the period was the Venetian Marco Polo, whose account of his trip to "Cambaluc," the capital of the Great Khan, and of life there astounded the people of Europe. The account of his travels, Il milione (or, The Million, known in English as the Travels of Marco Polo), appeared about the year 1299. Some argue over the accuracy of Marco Polo's accounts due to the lack of mentioning the Great Wall of China, tea houses, which would have been a prominent sight since Europeans had yet to adopt a tea culture, as well the practice of foot binding by the women in capital of the Great Khan. Some suggest that Marco Polo acquired much of his knowledge through contact with Persian traders since many of the places he named were in Persian.</t>
  </si>
  <si>
    <t>During what time period did income inequality decrease in the United States?</t>
  </si>
  <si>
    <t>What term is shorthand for antibody generators?</t>
  </si>
  <si>
    <t>the Big Ten Conference</t>
  </si>
  <si>
    <t>How much did the gross agricultural product increase from 2003-04?</t>
  </si>
  <si>
    <t>TCP/IP</t>
  </si>
  <si>
    <t>a single animal can produce both eggs and sperm</t>
  </si>
  <si>
    <t>What happens before the foundation is dug and when a final inspection is passed?</t>
  </si>
  <si>
    <t>Doc Films</t>
  </si>
  <si>
    <t>roughly 80%</t>
  </si>
  <si>
    <t>What sector includes large public works but not utility distribution?</t>
  </si>
  <si>
    <t>Who figured out that his law of gravity had to be universal?</t>
  </si>
  <si>
    <t>High Rhine</t>
  </si>
  <si>
    <t>What is another way of referring to stators?</t>
  </si>
  <si>
    <t>fell significantly</t>
  </si>
  <si>
    <t>What nationality was Pierre L'Oyseleur?</t>
  </si>
  <si>
    <t>parallelogram</t>
  </si>
  <si>
    <t>What was a first clue that the phlogiston theory was correct?</t>
  </si>
  <si>
    <t>a citizen may rely on the Directive in such an action</t>
  </si>
  <si>
    <t>£42,090</t>
  </si>
  <si>
    <t>the ability to pursue valued goals</t>
  </si>
  <si>
    <t>Along with managing student laboratories, what else does the Board of Trustees do?</t>
  </si>
  <si>
    <t xml:space="preserve"> Besides Africa, where did Ireland have imperial interests?</t>
  </si>
  <si>
    <t>Olympic</t>
  </si>
  <si>
    <t>What is the general term used to describe the output to any given input in a problem instance?</t>
  </si>
  <si>
    <t>fabricating evidence or committing perjury</t>
  </si>
  <si>
    <t>How quickly is the sea level dropping?</t>
  </si>
  <si>
    <t>Where was the burial site used for testing located?</t>
  </si>
  <si>
    <t>a combination of anthrax and other pandemics</t>
  </si>
  <si>
    <t>Educators support educational choice as long as what happens?</t>
  </si>
  <si>
    <t>The loss of Edinburgh Pentlands really disappointed whom the most?</t>
  </si>
  <si>
    <t>What do helper T cells recognize killer T cells as?</t>
  </si>
  <si>
    <t>How long were the fighters of the German Ghetto Uprising able to hold out?</t>
  </si>
  <si>
    <t>Bethencourt took the title of King of the Canary Islands, as vassal to Henry III of Castile. In 1418, Jean's nephew Maciot de Bethencourt sold the rights to the islands to Enrique Pérez de Guzmán, 2nd Count de Niebla.</t>
  </si>
  <si>
    <t>about 3.5 billion years ago</t>
  </si>
  <si>
    <t>William the Conqueror</t>
  </si>
  <si>
    <t>The variant forms of the name of the Rhine in modern languages are all derived from the Gaulish name Rēnos, which was adapted in Roman-era geography (1st century BC) as Greek Ῥῆνος (Rhēnos), Latin Rhenus.[note 3] The spelling with Rh- in English Rhine as well as in German Rhein and French Rhin is due to the influence of Greek orthography, while the vocalisation -i- is due to the Proto-Germanic adoption of the Gaulish name as *Rīnaz, via Old Frankish giving Old English Rín, Old High German Rīn, Dutch Rijn (formerly also spelled Rhijn)). The diphthong in modern German Rhein (also adopted in Romansh Rein, Rain) is a Central German development of the early modern period, the Alemannic name Rī(n) retaining the older vocalism,[note 4] as does Ripuarian Rhing, while Palatine has diphthongized Rhei, Rhoi. Spanish is with French in adopting the Germanic vocalism Rin-, while Italian, Occitan and Portuguese retain the Latin Ren-.</t>
  </si>
  <si>
    <t>Duval</t>
  </si>
  <si>
    <t>Australian Government</t>
  </si>
  <si>
    <t>Möngke Khan</t>
  </si>
  <si>
    <t>fundamental error</t>
  </si>
  <si>
    <t>periods of lower global temperatures</t>
  </si>
  <si>
    <t>solution</t>
  </si>
  <si>
    <t>the laws of physics are the same in every inertial frame of reference</t>
  </si>
  <si>
    <t>When did Ribault first establish a settlement in South Carolina?</t>
  </si>
  <si>
    <t>What prominent South African family had a vineyard in France?</t>
  </si>
  <si>
    <t>What is an example of illegal disobedience?</t>
  </si>
  <si>
    <t>833,500</t>
  </si>
  <si>
    <t>What business districts does the San Bernardino area maintain?</t>
  </si>
  <si>
    <t>a UNESCO World Heritage Site</t>
  </si>
  <si>
    <t>The Central Pacific Railroad established a station for its new line in what year?</t>
  </si>
  <si>
    <t>articles 1 to 7</t>
  </si>
  <si>
    <t>Bounding of time and space or similar measurements is often used by algorithms to define what?</t>
  </si>
  <si>
    <t>the plague may have entered Europe in two waves</t>
  </si>
  <si>
    <t>To what is singlet oxygen more reactive?</t>
  </si>
  <si>
    <t>What is the mineral wustite?</t>
  </si>
  <si>
    <t>"internal colonialism"</t>
  </si>
  <si>
    <t>it must be issued for a legitimate medical purpose by a licensed practitioner acting in the course of legitimate doctor-patient relationship</t>
  </si>
  <si>
    <t>In what century was the Huguenot Memorial Bridge built?</t>
  </si>
  <si>
    <t>Who was the hostage?</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</si>
  <si>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</si>
  <si>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1329</t>
  </si>
  <si>
    <t>What impact did the high school education movement have on the wages of unskilled workers?</t>
  </si>
  <si>
    <t>Where are the upper Rhine and upper Danube crossed?</t>
  </si>
  <si>
    <t>What haven't studies on income inequality sometimes found evidence confirming?</t>
  </si>
  <si>
    <t>What is the name of one type of prime where p+1 or p-1 takes a certain shape?</t>
  </si>
  <si>
    <t>What can sympathetic Jurors in cases with civil disobedients?</t>
  </si>
  <si>
    <t>free radical production</t>
  </si>
  <si>
    <t>destroy invading microbes</t>
  </si>
  <si>
    <t>What complex measurements were defined by "On the Computational Complexity of Algorithms"?</t>
  </si>
  <si>
    <t>What are clades?</t>
  </si>
  <si>
    <t>Central Asia</t>
  </si>
  <si>
    <t>How do socialists think the means of production shouldn't be owned?</t>
  </si>
  <si>
    <t>What are other alternative names for French and Indian War?</t>
  </si>
  <si>
    <t>Who confirmed Watt's discovery of latent heat?</t>
  </si>
  <si>
    <t>deforestation on regional climate</t>
  </si>
  <si>
    <t>What did the Islamic State proclaim itself in 2014?</t>
  </si>
  <si>
    <t>How many types of flagella are there?</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</si>
  <si>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</si>
  <si>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Roughly how many clubs are ran at the university?</t>
  </si>
  <si>
    <t>What US Prime Minister is an alumni?</t>
  </si>
  <si>
    <t>What prominent South African family distilled brandy and were Huguenots?</t>
  </si>
  <si>
    <t xml:space="preserve"> Where did China border Kublai's territory?</t>
  </si>
  <si>
    <t>Kissinger</t>
  </si>
  <si>
    <t>the University Athletic Association</t>
  </si>
  <si>
    <t>What is the active form of vitamin D known as?</t>
  </si>
  <si>
    <t>What is a trade magazine for design industry?</t>
  </si>
  <si>
    <t>How many Huguenots were killed in Bordeaux?</t>
  </si>
  <si>
    <t>Three additional putative species</t>
  </si>
  <si>
    <t>However, in 1883–84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</si>
  <si>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What the the EU not manage from non-member states?</t>
  </si>
  <si>
    <t>Subjects that are inside the legislative competence of the Scotland Parliament are called what?</t>
  </si>
  <si>
    <t>What has the European Union not undertaken following the adoption of the Social Charter?</t>
  </si>
  <si>
    <t>compressing and cooling</t>
  </si>
  <si>
    <t>Herodotus traveled between what boundary?</t>
  </si>
  <si>
    <t>How much imported oil came from the Middle East?</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</si>
  <si>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</si>
  <si>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The last plague outbreak ravaged Oslo in 1654.</t>
  </si>
  <si>
    <t>until the second quarter of the 19th century.</t>
  </si>
  <si>
    <t>cortisol and catecholamines</t>
  </si>
  <si>
    <t>From the Eocene onwards, the ongoing Alpine orogeny caused a N–S rift system to develop in this zone. The main elements of this rift are the Upper Rhine Graben, in southwest Germany and eastern France and the Lower Rhine Embayment, in northwest Germany and the southeastern Netherlands. By the time of the Miocene, a river system had developed in the Upper Rhine Graben, that continued northward and is considered the first Rhine river. At that time, it did not yet carry discharge from the Alps; instead, the watersheds of the Rhone and Danube drained the northern flanks of the Alps.</t>
  </si>
  <si>
    <t>What monument is in memory of the largest insurrection of WWI?</t>
  </si>
  <si>
    <t>hiding a Jew</t>
  </si>
  <si>
    <t>MLB</t>
  </si>
  <si>
    <t>What song did Bob Gallion write?</t>
  </si>
  <si>
    <t>cancers</t>
  </si>
  <si>
    <t>petrographic</t>
  </si>
  <si>
    <t>in 1846 who's natural history lectures were acclaimed in New York and Harvard?</t>
  </si>
  <si>
    <t>What is another country that permits physicians to give out drugs from within their practice?</t>
  </si>
  <si>
    <t>Which theory suggested people in the tropics were civilized?</t>
  </si>
  <si>
    <t>five million</t>
  </si>
  <si>
    <t>1264</t>
  </si>
  <si>
    <t>"Formal imperialism</t>
  </si>
  <si>
    <t>Why might rats not be responsible for the plague?</t>
  </si>
  <si>
    <t>What are the specific divisors of all even numbers larger than 2?</t>
  </si>
  <si>
    <t>What are free-to-air encrypted broadcasts known as?</t>
  </si>
  <si>
    <t>Melatonin during sleep can actively counteract the production of what?</t>
  </si>
  <si>
    <t>The Rankine cycle</t>
  </si>
  <si>
    <t>What does not have a metric counterpart?</t>
  </si>
  <si>
    <t>132 million tons</t>
  </si>
  <si>
    <t>When did the American Philosophical Society enlist Maclure to make the geological survey?</t>
  </si>
  <si>
    <t>What did Watt add to the steam engine in 1788?</t>
  </si>
  <si>
    <t>What is the name of the supposition that there are infinite pairs of primes whose difference is prime?</t>
  </si>
  <si>
    <t>What is one method of achieving aspirational consumption?</t>
  </si>
  <si>
    <t>What does not lie between L and P that allows a definitive determination of the relationship between L and P?</t>
  </si>
  <si>
    <t>in March</t>
  </si>
  <si>
    <t>What new product did Bank of America introduce in 1958?</t>
  </si>
  <si>
    <t>22</t>
  </si>
  <si>
    <t>How much of a developed countries GDP does manufacturing comprise?</t>
  </si>
  <si>
    <t>What describes objects not moving freely?</t>
  </si>
  <si>
    <t>Where was the Gate of King Hugo?</t>
  </si>
  <si>
    <t>What relationship do finance initiatives involve?</t>
  </si>
  <si>
    <t>Trevithick continued his own experiments using a trio of locomotives, concluding with the Catch Me Who Can in 1808. Only four years later, the successful twin-cylinder locomotive Salamanca by Matthew Murray was used by the edge railed rack and pinion Middleton Railway. In 1825 George Stephenson built the Locomotion for the Stockton and Darlington Railway. This was the first public steam railway in the world and then in 1829, he built The Rocket which was entered in and won the Rainhill Trials. The Liverpool and Manchester Railway opened in 1830 making exclusive use of steam power for both passenger and freight trains.</t>
  </si>
  <si>
    <t>What is the name of the satellite that measured the amount of vegetation from the so hard to the Amazon?</t>
  </si>
  <si>
    <t>unclear</t>
  </si>
  <si>
    <t>What has to accounted for that causes no net force being the cause of constant velocity motion?</t>
  </si>
  <si>
    <t>How many academic minors does the university grant in total?</t>
  </si>
  <si>
    <t xml:space="preserve"> What did Iqbal's Allahabad address not inspire?</t>
  </si>
  <si>
    <t>over 60 percent</t>
  </si>
  <si>
    <t>Cilia can g ow up too what length?</t>
  </si>
  <si>
    <t>Who has limited productive potential when faced with less access to education?</t>
  </si>
  <si>
    <t>What was common in states without population increases?</t>
  </si>
  <si>
    <t>defensins</t>
  </si>
  <si>
    <t>governments merged to create the Consolidated City of Jacksonville</t>
  </si>
  <si>
    <t>constant factors and smaller terms</t>
  </si>
  <si>
    <t>What Huguenot area is designated as a historical landmark?</t>
  </si>
  <si>
    <t>Why are normal body cells attacked by NK cells?</t>
  </si>
  <si>
    <t>colonialism</t>
  </si>
  <si>
    <t>What is a turbine's theoretical Carnot efficiency?</t>
  </si>
  <si>
    <t>None of the original treaties establishing the European Union mention protection for fundamental rights. It was not envisaged for European Union measures, that is legislative and administrative actions by European Union institutions, to be subject to human rights. At the time the only concern was that member states should be prevented from violating human rights, hence the establishment of the European Convention on Human Rights in 1950 and the establishment of the European Court of Human Rights. The European Court of Justice recognised fundamental rights as general principle of European Union law as the need to ensure that European Union measures are compatible with the human rights enshrined in member states' constitution became ever more apparent. In 1999 the European Council set up a body tasked with drafting a European Charter of Human Rights, which could form the constitutional basis for the European Union and as such tailored specifically to apply to the European Union and its institutions. The Charter of Fundamental Rights of the European Union draws a list of fundamental rights from the European Convention on Human Rights and Fundamental Freedoms, the Declaration on Fundamental Rights produced by the European Parliament in 1989 and European Union Treaties.</t>
  </si>
  <si>
    <t>don't believe in the legitimacy of any government</t>
  </si>
  <si>
    <t>A fine tribute to the fall of Warsaw and history of Poland can be found in the Warsaw Uprising Museum and in the Katyń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</si>
  <si>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proprietary suite of networking protocols</t>
  </si>
  <si>
    <t>Of what length are engine cycle events when the simplest valve gears are used?</t>
  </si>
  <si>
    <t>Trotsky thought what was not needed for a true Russian revolution.</t>
  </si>
  <si>
    <t>Who is responsible for the so-called, speed-up theorem n 1974?</t>
  </si>
  <si>
    <t>Who does Sophocles defy?</t>
  </si>
  <si>
    <t>How many Americans are richer than less than half of all citizens?</t>
  </si>
  <si>
    <t>the 16th and 17th centuries</t>
  </si>
  <si>
    <t>"Donkey")</t>
  </si>
  <si>
    <t>When was the authoritative Brockhaus Enzyklopädie written?</t>
  </si>
  <si>
    <t>simple majority vote</t>
  </si>
  <si>
    <t>Lavietes Pavilion</t>
  </si>
  <si>
    <t xml:space="preserve">What type of gears, along with poppet valve gears, utilized separate admission and leakage cutoffs to give ideal events? </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</si>
  <si>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</si>
  <si>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channels were always available on the network?</t>
  </si>
  <si>
    <t>What did Jerne develop on the basis of CST?</t>
  </si>
  <si>
    <t>Who did Robert lead agains Dyrrachium in 1107?</t>
  </si>
  <si>
    <t>Who were formerly housed at Sever Hall?</t>
  </si>
  <si>
    <t>Migration period</t>
  </si>
  <si>
    <t>peace</t>
  </si>
  <si>
    <t>Harvard has been highly ranked by many university rankings. In particular, it has consistently topped the Academic Ranking of World Universities (ARWU) since 2003, and the THE World Reputation Rankings since 2011, when the first time such league tables were published. When the QS and Times were published in partnership as the THE-QS World University Rankings during 2004-2009, Harvard had also been regarded the first in every year. The University's undergraduate program has been continuously among the top two in the U.S. News &amp; World Report. In 2014, Harvard topped the University Ranking by Academic Performance (URAP). It was ranked 8th on the 2013-2014 PayScale College Salary Report and 14th on the 2013 PayScale College Education Value Rankings. From a poll done by The Princeton Review, Harvard is the second most commonly named "dream college", both for students and parents in 2013, and was the first nominated by parents in 2009. In 2011, the Mines ParisTech : Professional Ranking World Universities ranked Harvard 1st university in the world in terms of number of alumni holding CEO position in Fortune Global 500 companies.</t>
  </si>
  <si>
    <t>a ciliary groove</t>
  </si>
  <si>
    <t>How many residential dorms house upper class, sophomore, Jr, and Sr students?</t>
  </si>
  <si>
    <t>Where did British kill many Acadians?</t>
  </si>
  <si>
    <t>When was OPEC production of oil being surpassed?</t>
  </si>
  <si>
    <t>Who designed the golf course located at the Sunnyside Country Club?</t>
  </si>
  <si>
    <t>Sky lost how many packages?</t>
  </si>
  <si>
    <t>What certificates must private schools worldwide work towards?</t>
  </si>
  <si>
    <t>After what year was compounding frequently used in marine engines?</t>
  </si>
  <si>
    <t>Iran has assisted what type of groups in Iraq?</t>
  </si>
  <si>
    <t>Several public-key cryptography algorithms, such as RSA and the Diffie–Hellman key exchange, are based on large prime numbers (for example, 512-bit primes are frequently used for RSA and 1024-bit primes are typical for Diffie–Hellman.). RSA relies on the assumption that it is much easier (i.e., more efficient) to perform the multiplication of two (large) numbers x and y than to calculate x and y (assumed coprime) if only the product xy is known. The Diffie–Hellman key exchange relies on the fact that there are efficient algorithms for modular exponentiation, while the reverse operation the discrete logarithm is thought to be a hard problem.</t>
  </si>
  <si>
    <t>When did the Plos Pathogens paper come out?</t>
  </si>
  <si>
    <t>What forces can be modeled using ideal mass strings?</t>
  </si>
  <si>
    <t>about one-eighth the number</t>
  </si>
  <si>
    <t>higher education</t>
  </si>
  <si>
    <t>counties</t>
  </si>
  <si>
    <t>supported Zhu Xi's Neo-Confucianism and also devoted himself in Buddhism</t>
  </si>
  <si>
    <t>algebraic number theory</t>
  </si>
  <si>
    <t>Seven Years' War</t>
  </si>
  <si>
    <t>What are most species of the genus Ocryopsis thought to be?</t>
  </si>
  <si>
    <t>3,000 miles</t>
  </si>
  <si>
    <t>1, 2, and n</t>
  </si>
  <si>
    <t>Cost engineers and estimators</t>
  </si>
  <si>
    <t>What is the center library in the Harvard library system?</t>
  </si>
  <si>
    <t>October 16, 1973</t>
  </si>
  <si>
    <t>availability of the Bible in vernacular languages</t>
  </si>
  <si>
    <t>What was developed in 1980?</t>
  </si>
  <si>
    <t>steam turbine plant</t>
  </si>
  <si>
    <t>Which year did the price of oil drop to $10 per barrel?</t>
  </si>
  <si>
    <t>In what part of the city did residents suffer from a lack of city services?</t>
  </si>
  <si>
    <t>to reduce costs and maximize profits</t>
  </si>
  <si>
    <t>Warsaw's name in the Polish language is Warszawa, approximately /vɑːrˈʃɑːvə/ (also formerly spelled Warszewa and Warszowa), meaning "belonging to Warsz", Warsz being a shortened form of the masculine name of Slavic origin Warcisław; see also etymology of Wrocław. Folk etymology attributes the city name to a fisherman, Wars, and his wife, Sawa. According to legend, Sawa was a mermaid living in the Vistula River with whom Wars fell in love. In actuality, Warsz was a 12th/13th-century nobleman who owned a village located at the modern-day site of Mariensztat neighbourhood. See also the Vršovci family which had escaped to Poland. The official city name in full is miasto stołeczne Warszawa (English: "The Capital City of Warsaw"). A native or resident of Warsaw is known as a Varsovian – in Polish warszawiak (male), warszawianka (female), warszawiacy (plural).</t>
  </si>
  <si>
    <t>What is one of the minor functions of the IPCC?</t>
  </si>
  <si>
    <t>Trial division involves dividing n by every integer m greater than what?</t>
  </si>
  <si>
    <t>What percentage of Australia's dairy farms are found in Victoria?</t>
  </si>
  <si>
    <t>What does not define a bigger set of problems?</t>
  </si>
  <si>
    <t>The Saxon Garden</t>
  </si>
  <si>
    <t>MPEG-2</t>
  </si>
  <si>
    <t>Who had influenced ARPANET?</t>
  </si>
  <si>
    <t>Who were two of Kublai's Chinese advisers?</t>
  </si>
  <si>
    <t>east end</t>
  </si>
  <si>
    <t>mainly in southwestern France</t>
  </si>
  <si>
    <t>Non-revolutionary civil disobedience</t>
  </si>
  <si>
    <t>scientific papers and independently documented results</t>
  </si>
  <si>
    <t>What parts of a conventional reciprocating steam engine could be replaced by a pistonless rotary engine?</t>
  </si>
  <si>
    <t>Cambrian time</t>
  </si>
  <si>
    <t>What type of sentences were the protesters given?</t>
  </si>
  <si>
    <t>1986</t>
  </si>
  <si>
    <t xml:space="preserve"> What was the Yuan's Persian enemy?</t>
  </si>
  <si>
    <t>48.8 °C (119.8 °F)</t>
  </si>
  <si>
    <t>In the fall quarter of 2014, how many students signed up for the university's professional schools?</t>
  </si>
  <si>
    <t>2004</t>
  </si>
  <si>
    <t>Motion pictures, petroleum and aircraft manufacturing have been major industries since which decade?</t>
  </si>
  <si>
    <t>Timucua</t>
  </si>
  <si>
    <t>When Channing eliminated Christianity from its former position in the curriculum what was allowed instead?</t>
  </si>
  <si>
    <t>push</t>
  </si>
  <si>
    <t>some complexity classes</t>
  </si>
  <si>
    <t>Upper Rhine</t>
  </si>
  <si>
    <t>In what treatment are nonconservative and conservative forces described?</t>
  </si>
  <si>
    <t>pharmaceutical care or clinical pharmacy</t>
  </si>
  <si>
    <t>What was Henry IV known as before taking the throne?</t>
  </si>
  <si>
    <t>Who said that climate change has been overstated?</t>
  </si>
  <si>
    <t>What speed did the National Highway Designation Act prevent you from going beyond?</t>
  </si>
  <si>
    <t>Since the IPCC does not carry out its own research, it operates on the basis of scientific papers and independently documented results from other scientific bodies, and its schedule for producing reports requires a deadline for submissions prior to the report's final release. In principle, this means that any significant new evidence or events that change our understanding of climate science between this deadline and publication of an IPCC report cannot be included. In an area of science where our scientific understanding is rapidly changing, this has been raised as a serious shortcoming in a body which is widely regarded as the ultimate authority on the science. However, there has generally been a steady evolution of key findings and levels of scientific confidence from one assessment report to the next.[citation needed]</t>
  </si>
  <si>
    <t>For what size natural number does Bertrand's postulate hold?</t>
  </si>
  <si>
    <t>What area was the Delta Works constructed between?</t>
  </si>
  <si>
    <t>North and West Africa, as well as South-East Asia,</t>
  </si>
  <si>
    <t>In what article does it give Gleichschaltung the right to create private schools?</t>
  </si>
  <si>
    <t>successfully cut off the French frontier forts</t>
  </si>
  <si>
    <t>What is a ligand on the cell surface that is upregulated after helper T cell activation?</t>
  </si>
  <si>
    <t>What would not be a major breakthrough in complexity theory?</t>
  </si>
  <si>
    <t>combustion chamber</t>
  </si>
  <si>
    <t>Unreserved matters are subjects who are where?</t>
  </si>
  <si>
    <t>private citizen</t>
  </si>
  <si>
    <t>What is Jacksonville's highest recorded monthly temperature?</t>
  </si>
  <si>
    <t>renewal of hostilities in the Arab–Israeli conflict</t>
  </si>
  <si>
    <t>general disobedience</t>
  </si>
  <si>
    <t>Where do predators spend the majority of their lives?</t>
  </si>
  <si>
    <t>Kingdom of Prussia</t>
  </si>
  <si>
    <t xml:space="preserve"> When did the Egyptian Islamic Jihad support Anwar Sadat?</t>
  </si>
  <si>
    <t>How old was Chopin when he moved to Warsaw with his family?</t>
  </si>
  <si>
    <t>Sweden</t>
  </si>
  <si>
    <t>The words Wisdom, Compassion, Justice, and Integration are inscribed on what?</t>
  </si>
  <si>
    <t>What entity is sponsored by V/Line in the Olympics?</t>
  </si>
  <si>
    <t>What naval battles did France lose in 1759?</t>
  </si>
  <si>
    <t>the 20th century</t>
  </si>
  <si>
    <t>Who is the President of Egypt?</t>
  </si>
  <si>
    <t>the Doctor of Pharmacy (Pharm. D.) degree</t>
  </si>
  <si>
    <t>a great deal of utility</t>
  </si>
  <si>
    <t>Old Rhine</t>
  </si>
  <si>
    <t>black caiman</t>
  </si>
  <si>
    <t>216 + 1</t>
  </si>
  <si>
    <t>What health condition can deep sea diving cause?</t>
  </si>
  <si>
    <t>Optional Committees are committees which are set down under what?</t>
  </si>
  <si>
    <t>What percentage of seats did political parties identifying as Islamist win in the Egyptian parliamentary election of 2011-2012?</t>
  </si>
  <si>
    <t>higher aggregate utility</t>
  </si>
  <si>
    <t>What party is strongest in Melbourne's affluent areas?</t>
  </si>
  <si>
    <t>international law and public law</t>
  </si>
  <si>
    <t>isotope ratios of radioactive elements</t>
  </si>
  <si>
    <t>the first FCC-licensed public data network in the United States</t>
  </si>
  <si>
    <t>Extension causes the rock units as a whole to become longer and thinner. This is primarily accomplished through normal faulting and through the ductile stretching and thinning. Normal faults drop rock units that are higher below those that are lower. This typically results in younger units being placed below older units. Stretching of units can result in their thinning; in fact, there is a location within the Maria Fold and Thrust Belt in which the entire sedimentary sequence of the Grand Canyon can be seen over a length of less than a meter. Rocks at the depth to be ductilely stretched are often also metamorphosed. These stretched rocks can also pinch into lenses, known as boudins, after the French word for "sausage", because of their visual similarity.</t>
  </si>
  <si>
    <t>made a grade of A for all four years, and on any other graduate who took twelve weeks additional study at the University of Chicago</t>
  </si>
  <si>
    <t>What damage was caused by breathing pure O in space applications?</t>
  </si>
  <si>
    <t>easier credit</t>
  </si>
  <si>
    <t>Many of the same decisions and principles that apply in other criminal investigations</t>
  </si>
  <si>
    <t xml:space="preserve"> What dynasty did Zhang Rhou help defend?</t>
  </si>
  <si>
    <t>the plague was present somewhere in Europe in every year between 1346 and 1671</t>
  </si>
  <si>
    <t>Who did Abercrombie replace as commander in chief?</t>
  </si>
  <si>
    <t>What country are all the counties in?</t>
  </si>
  <si>
    <t>What do mortgage bankers study regarding the project?</t>
  </si>
  <si>
    <t>Sweden v. Russia and allies</t>
  </si>
  <si>
    <t>How did the Black Death travel down the Silk Road?</t>
  </si>
  <si>
    <t>From where had the Norman Huguenots sailed in order to arrive at Fort Caroline?</t>
  </si>
  <si>
    <t>What churches were the graduates of Cambridge affiliated with after 1643?</t>
  </si>
  <si>
    <t>What action did the US begin that started the second oil shock?</t>
  </si>
  <si>
    <t>Jacksonville is the most populous city in Florida, and the twelfth most populous city in the United States. As of 2010[update], there were 821,784 people and 366,273 households in the city. Jacksonville has the country's tenth-largest Arab population, with a total population of 5,751 according to the 2000 United States Census. Jacksonville has Florida's largest Filipino American community, with 25,033 in the metropolitan area as of the 2010 Census. Much of Jacksonville's Filipino community served in or has ties to the United States Navy.</t>
  </si>
  <si>
    <t>What German general and fighter pilot was of Huguenot ancestry?</t>
  </si>
  <si>
    <t>How many projects does the Centre currently realize a month?</t>
  </si>
  <si>
    <t>the difference in potential energy between two different locations in space</t>
  </si>
  <si>
    <t>Where are some physicians permitted to prescribe and give out medications within their practices?</t>
  </si>
  <si>
    <t>melts</t>
  </si>
  <si>
    <t>How many weight rooms are in the Malkin Athletic Center</t>
  </si>
  <si>
    <t>imperialism often divides countries by using which technique?</t>
  </si>
  <si>
    <t>What behaviour causes rocks deeper in the earth to fault instead of folding?</t>
  </si>
  <si>
    <t>The executive summary of the WG I Summary for Policymakers report says they are certain that emissions resulting from human activities are substantially increasing the atmospheric concentrations of the greenhouse gases, resulting on average in an additional warming of the Earth's surface. They calculate with confidence that CO2 has been responsible for over half the enhanced greenhouse effect. They predict that under a "business as usual" (BAU) scenario, global mean temperature will increase by about 0.3 °C per decade during the [21st] century. They judge that global mean surface air temperature has increased by 0.3 to 0.6 °C over the last 100 years, broadly consistent with prediction of climate models, but also of the same magnitude as natural climate variability. The unequivocal detection of the enhanced greenhouse effect is not likely for a decade or more.</t>
  </si>
  <si>
    <t>What did the Los Angeles Times add to the definition of southern California in 1990?</t>
  </si>
  <si>
    <t>What sticky cells used to capture prey are missing from a few sponge species?</t>
  </si>
  <si>
    <t>What was the steam engine an important component of?</t>
  </si>
  <si>
    <t>instance</t>
  </si>
  <si>
    <t>What are rotors attaches to?</t>
  </si>
  <si>
    <t>violent civil disobedience</t>
  </si>
  <si>
    <t>When did the Operation Market Garden of September end?</t>
  </si>
  <si>
    <t>Why do anarchists want to accept punishment?</t>
  </si>
  <si>
    <t>How many years later was Maclure's memoir published after the map?</t>
  </si>
  <si>
    <t>Where might committees meet outside of Parliament?</t>
  </si>
  <si>
    <t xml:space="preserve">What are among the most well known experiments in structural geology? </t>
  </si>
  <si>
    <t>Imperialism extends a country's power and what?</t>
  </si>
  <si>
    <t>Kings Canyon Avenue and Clovis Avenue</t>
  </si>
  <si>
    <t>These studies were widely presented as demonstrating that the current warming period is exceptional in comparison to temperatures between 1000 and 1900, and the MBH99 based graph featured in publicity. Even at the draft stage, this finding was disputed by contrarians: in May 2000 Fred Singer's Science and Environmental Policy Project held a press event on Capitol Hill, Washington, D.C., featuring comments on the graph Wibjörn Karlén and Singer argued against the graph at a United States Senate Committee on Commerce, Science and Transportation hearing on 18 July 2000. Contrarian John Lawrence Daly featured a modified version of the IPCC 1990 schematic, which he mis-identified as appearing in the IPCC 1995 report, and argued that "Overturning its own previous view in the 1995 report, the IPCC presented the 'Hockey Stick' as the new orthodoxy with hardly an apology or explanation for the abrupt U-turn since its 1995 report". Criticism of the MBH99 reconstruction in a review paper, which was quickly discredited in the Soon and Baliunas controversy, was picked up by the Bush administration, and a Senate speech by US Republican senator James Inhofe alleged that "manmade global warming is the greatest hoax ever perpetrated on the American people". The data and methodology used to produce the "hockey stick graph" was criticized in papers by Stephen McIntyre and Ross McKitrick, and in turn the criticisms in these papers were examined by other studies and comprehensively refuted by Wahl &amp; Ammann 2007, which showed errors in the methods used by McIntyre and McKitrick.</t>
  </si>
  <si>
    <t>What style were the mass constructed Palace blocks designed in?</t>
  </si>
  <si>
    <t>preserving Mongol interests in China and satisfying the demands of his Chinese subjects</t>
  </si>
  <si>
    <t>Sir Isaac Newton</t>
  </si>
  <si>
    <t>48 million tons of dust are blown onto what C every year?</t>
  </si>
  <si>
    <t>Jellyfish and sea anemones belong to which group/</t>
  </si>
  <si>
    <t>Which organic compounds contain the greatest amount of oxygen by mass?</t>
  </si>
  <si>
    <t>seizing power</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</si>
  <si>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</si>
  <si>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After reopening, where will the art pieces be located after restoration?</t>
  </si>
  <si>
    <t>little</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</si>
  <si>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</si>
  <si>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In what year did the Amazon basin experience is worst drought in 1000 years?</t>
  </si>
  <si>
    <t>What are biogeochemical pathways used to decipher?</t>
  </si>
  <si>
    <t>alternative T cell receptor (TCR)</t>
  </si>
  <si>
    <t>punish the Miami people of Pickawillany for not following Céloron's orders</t>
  </si>
  <si>
    <t>issues under their jurisdiction</t>
  </si>
  <si>
    <t>Battle of Olustee</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</si>
  <si>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</si>
  <si>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Since ~3000 yr BP (= years Before Present), human impact is seen in the delta. As a result of increasing land clearance (Bronze Age agriculture), in the upland areas (central Germany), the sediment load of the Rhine has strongly increased and delta growth has sped up. This caused increased flooding and sedimentation, ending peat formation in the delta. The shifting of river channels to new locations, on the floodplain (termed avulsion), was the main process distributing sediment across the subrecent delta. Over the past 6000 years, approximately 80 avulsions have occurred. Direct human impact in the delta started with peat mining, for salt and fuel, from Roman times onward. This was followed by embankment, of the major distributaries and damming of minor distributaries, which took place in the 11–13th century AD. Thereafter, canals were dug, bends were short cut and groynes were built, to prevent the river's channels from migrating or silting up.</t>
  </si>
  <si>
    <t>Ossachite</t>
  </si>
  <si>
    <t>When did Holden announce that it will close its Victoria plant?</t>
  </si>
  <si>
    <t>The system of bureaucracy created by Kublai Khan reflected various cultures in the empire, including that of the Han Chinese, Khitans, Jurchens, Mongols, and Tibetan Buddhists. While the official terminology of the institutions may indicate the government structure was almost purely that of native Chinese dynasties, the Yuan bureaucracy actually consisted of a mix of elements from different cultures. The Chinese-style elements of the bureaucracy mainly came from the native Tang, Song, as well as Khitan Liao and Jurchen Jin dynasties. Chinese advisers such as Liu Bingzhong and Yao Shu gave strong influence to Kublai's early court, and the central government administration was established within the first decade of Kublai's reign. This government adopted the traditional Chinese tripartite division of authority among civil, military, and censorial offices, including the Central Secretariat (Zhongshu Sheng) to manage civil affairs, the Privy Council (Chinese: 樞密院) to manage military affairs, and the Censorate to conduct internal surveillance and inspection. The actual functions of both central and local government institutions, however, showed a major overlap between the civil and military jurisdictions, due to the Mongol traditional reliance on military institutions and offices as the core of governance. Nevertheless, such a civilian bureaucracy, with the Central Secretariat as the top institution that was (directly or indirectly) responsible for most other governmental agencies (such as the traditional Chinese-style Six Ministries), was created in China. At various times another central government institution called the Department of State Affairs (Shangshu Sheng) that mainly dealt with finance was established (such as during the reign of Külüg Khan or Emperor Wuzong), but was usually abandoned shortly afterwards.</t>
  </si>
  <si>
    <t>The Hochrhein more than doubles the Rhine's water discharge to what amount?</t>
  </si>
  <si>
    <t>Where is the best Italian in Victoria?</t>
  </si>
  <si>
    <t>Taking evidence from witnesses is one of committees' what?</t>
  </si>
  <si>
    <t>Southern California's economy can be described as one of the largest in the United States and what other characteristic?</t>
  </si>
  <si>
    <t>How many Huguenots were slaughtered in Orleans?</t>
  </si>
  <si>
    <t>Along with electric motors, what power sources overtook steam engines in the 20th century?</t>
  </si>
  <si>
    <t>never</t>
  </si>
  <si>
    <t>What does oxygen the basis for in combustion?</t>
  </si>
  <si>
    <t xml:space="preserve"> When did the five rightly guided Caliphs die?</t>
  </si>
  <si>
    <t>Innate immune systems</t>
  </si>
  <si>
    <t xml:space="preserve">What type of vote must the Council pass in order to approve of any changes recommended by Parliament? </t>
  </si>
  <si>
    <t>In what year did Pierre de Fermat declare Fermat's little theorem?</t>
  </si>
  <si>
    <t>How does The Tuition Fee Suppliment help high school students?</t>
  </si>
  <si>
    <t>What do conservative researchers feel shouldn't be a measure of inequality?</t>
  </si>
  <si>
    <t>What is  another term used for science lab?</t>
  </si>
  <si>
    <t>Festival of the Arts</t>
  </si>
  <si>
    <t>Inflammation</t>
  </si>
  <si>
    <t>somewhere between</t>
  </si>
  <si>
    <t>with the help of the military</t>
  </si>
  <si>
    <t>Bert Bolin</t>
  </si>
  <si>
    <t>At 5 am, each sitting day, the MSPs decide on what?</t>
  </si>
  <si>
    <t>1050s</t>
  </si>
  <si>
    <t>Phagocytes can be called to a specific location by what?</t>
  </si>
  <si>
    <t>organic</t>
  </si>
  <si>
    <t>Warsaw University of Technology building</t>
  </si>
  <si>
    <t>time and space</t>
  </si>
  <si>
    <t>Vinogradov's theorem</t>
  </si>
  <si>
    <t>The region is home to 25 million what?</t>
  </si>
  <si>
    <t>What building was demolished in 2014?</t>
  </si>
  <si>
    <t>When did the Huguenots secure the right to own land in the Baronies?</t>
  </si>
  <si>
    <t>remove government oversight</t>
  </si>
  <si>
    <t>Vicodin</t>
  </si>
  <si>
    <t>What did Roger Rocka's Dinner Theater &amp; Good Company Players show?</t>
  </si>
  <si>
    <t>What is another piece created by Olivier Messiaen?</t>
  </si>
  <si>
    <t>cholecalciferol</t>
  </si>
  <si>
    <t>What happens to sediment layers that are also thinning?</t>
  </si>
  <si>
    <t>What device is used to test the magnetic attractions involved in liquid oxygen?</t>
  </si>
  <si>
    <t>What is the name of Sky Q's dial-up router?</t>
  </si>
  <si>
    <t>data on transportation, sewer, hazardous waste and water</t>
  </si>
  <si>
    <t>In what country did the Protestant Reformation get its start?</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</si>
  <si>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</si>
  <si>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convecting</t>
  </si>
  <si>
    <t>Where did the pharmacist stand in relation to the Emperor's personal physicians?</t>
  </si>
  <si>
    <t>Besides public key cryptography, what is another application for prime numbers?</t>
  </si>
  <si>
    <t>Austria to the East.</t>
  </si>
  <si>
    <t>In the United Kingdom and several other Commonwealth countries including Australia and Canada, the use of the term is generally restricted to primary and secondary educational levels; it is almost never used of universities and other tertiary institutions. Private education in North America covers the whole gamut of educational activity, ranging from pre-school to tertiary level institutions. Annual tuition fees at K-12 schools range from nothing at so called 'tuition-free' schools to more than $45,000 at several New England preparatory schools.</t>
  </si>
  <si>
    <t>Along with drought, what is one other factor that is pushing the Amazon rainforest towards a tipping point?</t>
  </si>
  <si>
    <t>Turkish forces</t>
  </si>
  <si>
    <t>Where was French withdrawal to?</t>
  </si>
  <si>
    <t>What is the legislative body not composed of?</t>
  </si>
  <si>
    <t>What does Piketty feel was the biggest factors in reducing inequality between 1914 to 1945?</t>
  </si>
  <si>
    <t>The long tentacles on the pleurbrachia are protected by what?</t>
  </si>
  <si>
    <t>between 150,000 and 200,000</t>
  </si>
  <si>
    <t>political unity of China and much of central Asia</t>
  </si>
  <si>
    <t>What made Ohio Country safe?</t>
  </si>
  <si>
    <t>first increases</t>
  </si>
  <si>
    <t>coughing and sneezing</t>
  </si>
  <si>
    <t>can produce both eggs and sperm at the same time.</t>
  </si>
  <si>
    <t xml:space="preserve">What form do complex Gaussian integers have? </t>
  </si>
  <si>
    <t>political activity caused exploitation</t>
  </si>
  <si>
    <t>What continues until the building is well established and recognized?</t>
  </si>
  <si>
    <t>How many atoms combine to form dioxygen?</t>
  </si>
  <si>
    <t>Who thought the world could be split into climatic zones?</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</si>
  <si>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</si>
  <si>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Gamma delta T cells share the characteristics of what other types of T cells?</t>
  </si>
  <si>
    <t>Daidu in the north</t>
  </si>
  <si>
    <t>What is Samuel K. Cohn Jr.'s career?</t>
  </si>
  <si>
    <t>to other parts of the empire</t>
  </si>
  <si>
    <t>The origin of electric and magnetic fields would not be fully explained until 1864 when James Clerk Maxwell unified a number of earlier theories into a set of 20 scalar equations, which were later reformulated into 4 vector equations by Oliver Heaviside and Josiah Willard Gibbs. These "Maxwell Equations" fully described the sources of the fields as being stationary and moving charges, and the interactions of the fields themselves. This led Maxwell to discover that electric and magnetic fields could be "self-generating" through a wave that traveled at a speed that he calculated to be the speed of light. This insight united the nascent fields of electromagnetic theory with optics and led directly to a complete description of the electromagnetic spectrum.</t>
  </si>
  <si>
    <t>at rest</t>
  </si>
  <si>
    <t>the historical era</t>
  </si>
  <si>
    <t>When did they raise the price of oil to $5.11?</t>
  </si>
  <si>
    <t>"the poor application of well-established IPCC procedures in this instance"</t>
  </si>
  <si>
    <t>The British spirit of imperialism</t>
  </si>
  <si>
    <t>What is the name of the student improvisational theater troupe?</t>
  </si>
  <si>
    <t>First</t>
  </si>
  <si>
    <t>Primitive jawless vertebrates possess an array of receptors referred to as what?</t>
  </si>
  <si>
    <t>400 m</t>
  </si>
  <si>
    <t>How much British military was in North America at end of War?</t>
  </si>
  <si>
    <t>What is the understanding of neural and muscle cell types important to our understanding of?</t>
  </si>
  <si>
    <t>NASA</t>
  </si>
  <si>
    <t>What was Isiah Bowman nick name, as known by the public.</t>
  </si>
  <si>
    <t>What county are Los Angeles, Orange, San Diego, San Bernardino, and Riverside located in?</t>
  </si>
  <si>
    <t>three major offensive actions involving large numbers of regular troops</t>
  </si>
  <si>
    <t>Between 1978 an d2008 four year full time undergraduate students were required to complete how many classes outside of their concentration?</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</si>
  <si>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</si>
  <si>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What evolved in modern jawed vertebrates?</t>
  </si>
  <si>
    <t>eight</t>
  </si>
  <si>
    <t>During what period were women not banned from being admitted to Radcliffe?</t>
  </si>
  <si>
    <t>Which Irish cities had large Huguenot enclaves?</t>
  </si>
  <si>
    <t>Scholars and observers</t>
  </si>
  <si>
    <t>inane</t>
  </si>
  <si>
    <t>What effect would happen if P is ultimately proven to not equal NP ?</t>
  </si>
  <si>
    <t>In 2005 the force absorbed how much carbon dioxide?</t>
  </si>
  <si>
    <t>How many professional schools does the University of Chicago have?</t>
  </si>
  <si>
    <t>the University of Aberdeen</t>
  </si>
  <si>
    <t>temperatures</t>
  </si>
  <si>
    <t>minor</t>
  </si>
  <si>
    <t>Who had no real military power during the Yuan?</t>
  </si>
  <si>
    <t>carbon contained within the vegetation</t>
  </si>
  <si>
    <t>γδ T cells</t>
  </si>
  <si>
    <t>to reduce consumer costs</t>
  </si>
  <si>
    <t>ordinary Eastern or bubonic plague</t>
  </si>
  <si>
    <t>Amazon basin</t>
  </si>
  <si>
    <t>less willing to travel or relocate</t>
  </si>
  <si>
    <t xml:space="preserve">What does the Beroe eat? </t>
  </si>
  <si>
    <t xml:space="preserve">How are the packets routed </t>
  </si>
  <si>
    <t>What Catholic Church liturgical belief did Lortie criticize openly?</t>
  </si>
  <si>
    <t>What captures the formal notion of a problem being at lease as difficult as another problem?</t>
  </si>
  <si>
    <t>15,000</t>
  </si>
  <si>
    <t>a person or group of people</t>
  </si>
  <si>
    <t>calcitriol</t>
  </si>
  <si>
    <t>In what state was the Cuckoo Tavern?</t>
  </si>
  <si>
    <t>immunoinformatics</t>
  </si>
  <si>
    <t>What was the number of customers that the BBC  reported had yet to receive the service due to failed deliveries?</t>
  </si>
  <si>
    <t>many important problems can be shown to have more efficient solutions</t>
  </si>
  <si>
    <t>avoiding attribution</t>
  </si>
  <si>
    <t>US Library of Congress</t>
  </si>
  <si>
    <t>Jin dynasty</t>
  </si>
  <si>
    <t>stock a larger range of medications, including more specialized medications</t>
  </si>
  <si>
    <t>direct civil disobedience</t>
  </si>
  <si>
    <t>In what year was an early admission program reintroduced?</t>
  </si>
  <si>
    <t>Rumford medal</t>
  </si>
  <si>
    <t>Harvard's athletic rivalry with Yale is intense in every sport in which they meet, coming to a climax each fall in the annual football meeting, which dates back to 1875 and is usually called simply "The Game". While Harvard's football team is no longer one of the country's best as it often was a century ago during football's early days (it won the Rose Bowl in 1920), both it and Yale have influenced the way the game is played. In 1903, Harvard Stadium introduced a new era into football with the first-ever permanent reinforced concrete stadium of its kind in the country. The stadium's structure actually played a role in the evolution of the college game. Seeking to reduce the alarming number of deaths and serious injuries in the sport, Walter Camp (former captain of the Yale football team), suggested widening the field to open up the game. But the stadium was too narrow to accommodate a wider playing surface. So, other steps had to be taken. Camp would instead support revolutionary new rules for the 1906 season. These included legalizing the forward pass, perhaps the most significant rule change in the sport's history.</t>
  </si>
  <si>
    <t>What legion did the Romans enter from the other side of the empire?</t>
  </si>
  <si>
    <t>In what nation did the Gallicans get their start?</t>
  </si>
  <si>
    <t>policies such as the Monroe Doctrine</t>
  </si>
  <si>
    <t>feeder materials</t>
  </si>
  <si>
    <t>stabilize greenhouse gas concentrations in the atmosphere</t>
  </si>
  <si>
    <t>What wasn't the ratio of British settlers to French?</t>
  </si>
  <si>
    <t>Shi Tianze, Liu Heima</t>
  </si>
  <si>
    <t>Who was on Celeron's expedition?</t>
  </si>
  <si>
    <t>nonviolent resistance movements</t>
  </si>
  <si>
    <t>lack of reliable statistics</t>
  </si>
  <si>
    <t>enzymes</t>
  </si>
  <si>
    <t>role of nineteenth-century maps</t>
  </si>
  <si>
    <t>I feel I did the right thing by violating this particular law</t>
  </si>
  <si>
    <t>128,843</t>
  </si>
  <si>
    <t>Who created an index of health and social problems?</t>
  </si>
  <si>
    <t>When were theories developed suggesting inequality may have some negative effect on economic development?</t>
  </si>
  <si>
    <t>self molecules</t>
  </si>
  <si>
    <t>The Yuan dynasty is considered both a successor to the Mongol Empire and an imperial Chinese dynasty. It was the khanate ruled by the successors of Möngke Khan after the division of the Mongol Empire. In official Chinese histories, the Yuan dynasty bore the Mandate of Heaven, following the Song dynasty and preceding the Ming dynasty. The dynasty was established by Kublai Khan, yet he placed his grandfather Genghis Khan on the imperial records as the official founder of the dynasty as Taizu.[b] In the Proclamation of the Dynastic Name (《建國號詔》), Kublai announced the name of the new dynasty as Great Yuan and claimed the succession of former Chinese dynasties from the Three Sovereigns and Five Emperors to the Tang dynasty.</t>
  </si>
  <si>
    <t>Breast milk or colostrum</t>
  </si>
  <si>
    <t>a general architecture for a large-scale, distributed, survivable communications network</t>
  </si>
  <si>
    <t>In the 19th century, the development of quantum mechanics led to what?</t>
  </si>
  <si>
    <t>What is the largest feature in the mouth?</t>
  </si>
  <si>
    <t>a vital part of marine food chains</t>
  </si>
  <si>
    <t>Ideal strings transmit what delayed forces?</t>
  </si>
  <si>
    <t>6th century</t>
  </si>
  <si>
    <t>case law by the Court of Justice, international law and general principles of European Union law</t>
  </si>
  <si>
    <t>isolated areas</t>
  </si>
  <si>
    <t>isotope</t>
  </si>
  <si>
    <t>A static equilibrium between two forces is the most usual way of measuring forces, using simple devices such as weighing scales and spring balances. For example, an object suspended on a vertical spring scale experiences the force of gravity acting on the object balanced by a force applied by the "spring reaction force", which equals the object's weight. Using such tools, some quantitative force laws were discovered: that the force of gravity is proportional to volume for objects of constant density (widely exploited for millennia to define standard weights); Archimedes' principle for buoyancy; Archimedes' analysis of the lever; Boyle's law for gas pressure; and Hooke's law for springs. These were all formulated and experimentally verified before Isaac Newton expounded his Three Laws of Motion.</t>
  </si>
  <si>
    <t>Singapore, London, and the downtown Streeterville neighborhood of Chicago</t>
  </si>
  <si>
    <t>What stage usually takes place in the irrelevant committees?</t>
  </si>
  <si>
    <t>leptin</t>
  </si>
  <si>
    <t>OPEC raised the posted price of oil</t>
  </si>
  <si>
    <t>Class I MHC molecules</t>
  </si>
  <si>
    <t>How many Muslims came from around the world to fight in Afghanistan?</t>
  </si>
  <si>
    <t>rapid combustion</t>
  </si>
  <si>
    <t>The perceived British policy of being hands off of its Muslim population has resulted in what derogatory term for London?</t>
  </si>
  <si>
    <t>Warsaw Stock Exchange</t>
  </si>
  <si>
    <t>an individual</t>
  </si>
  <si>
    <t>MHC I</t>
  </si>
  <si>
    <t>What is understood to be a task that is in principle not amendable to being solved by a computer?</t>
  </si>
  <si>
    <t>Arabs</t>
  </si>
  <si>
    <t>How much success did this expedition with Braddock find?</t>
  </si>
  <si>
    <t>What was suggested at the Symposium in 1967</t>
  </si>
  <si>
    <t>How many nations control this region in total?</t>
  </si>
  <si>
    <t>water</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</si>
  <si>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</si>
  <si>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What do no community pharmacies do?</t>
  </si>
  <si>
    <t>What kind of populations can be wiped out temporarily by shrimp?</t>
  </si>
  <si>
    <t>Fundamental rights, as in human rights, were first recognised by the European Court of Justice in the late 60s and fundamental rights are now regarded as integral part of the general principles of European Union law. As such the European Court of Justice is bound to draw inspiration from the constitutional traditions common to the member states. Therefore, the European Court of Justice cannot uphold measures which are incompatible with fundamental rights recognised and protected in the constitutions of member states. The European Court of Justice also found that "international treaties for the protection of human rights on which the member states have collaborated or of which they are signatories, can supply guidelines which should be followed within the framework of Community law."</t>
  </si>
  <si>
    <t>internal colonialism</t>
  </si>
  <si>
    <t>Where is the European Court of justice likely to get inspiration from?</t>
  </si>
  <si>
    <t>When a consolidation referendum was held in 1967, voters approved the plan. On October 1, 1968, the governments merged to create the Consolidated City of Jacksonville. Fire, police, health &amp; welfare, recreation, public works, and housing &amp; urban development were all combined under the new government. In honor of the occasion, then-Mayor Hans Tanzler posed with actress Lee Meredith behind a sign marking the new border of the "Bold New City of the South" at Florida 13 and Julington Creek. The Better Jacksonville Plan, promoted as a blueprint for Jacksonville's future and approved by Jacksonville voters in 2000, authorized a half-penny sales tax. This would generate most of the revenue required for the $2.25 billion package of major projects that included road &amp; infrastructure improvements, environmental preservation, targeted economic development and new or improved public facilities.</t>
  </si>
  <si>
    <t>multiple access scheme</t>
  </si>
  <si>
    <t>non-governmental agencies</t>
  </si>
  <si>
    <t>Carl Sagan</t>
  </si>
  <si>
    <t>'empty land'</t>
  </si>
  <si>
    <t>What did the Court of Justice justify about a low content of vegetable fat?</t>
  </si>
  <si>
    <t>The aim of the French competition law was to do what?</t>
  </si>
  <si>
    <t xml:space="preserve"> Who had military control during the Yuan?</t>
  </si>
  <si>
    <t>significantly altered the existing treaties</t>
  </si>
  <si>
    <t>What isn't the gender income inequality in Bahrain?</t>
  </si>
  <si>
    <t>What is the second busiest airport in the United States?</t>
  </si>
  <si>
    <t>What report excluded a graph showing temperature reconstruction?</t>
  </si>
  <si>
    <t>battles at Lagos and Quiberon Bay</t>
  </si>
  <si>
    <t>1066</t>
  </si>
  <si>
    <t>Which country is most involved in nonviolent policy?</t>
  </si>
  <si>
    <t>When did the Carnegie Foundation start managing statistics for university admissions?</t>
  </si>
  <si>
    <t>What was focused on by the European Community in the 1980's?</t>
  </si>
  <si>
    <t xml:space="preserve">What sort of protocols were developed? </t>
  </si>
  <si>
    <t>Acts of Spanish Parliament begin with what phrase?</t>
  </si>
  <si>
    <t>What do geologists use to investigate the surface?</t>
  </si>
  <si>
    <t>What title did Henry II take in the Canary Island?</t>
  </si>
  <si>
    <t>What city has a population of 1,307,204?</t>
  </si>
  <si>
    <t>In Marxian analysis, capitalist firms increasingly substitute capital equipment for labor inputs (workers) under competitive pressure to reduce costs and maximize profits. Over the long-term, this trend increases the organic composition of capital, meaning that less workers are required in proportion to capital inputs, increasing unemployment (the "reserve army of labour"). This process exerts a downward pressure on wages. The substitution of capital equipment for labor (mechanization and automation) raises the productivity of each worker, resulting in a situation of relatively stagnant wages for the working class amidst rising levels of property income for the capitalist class.</t>
  </si>
  <si>
    <t>Conservative researchers have argued that income inequality is not significant because consumption, rather than income should be the measure of inequality, and inequality of consumption is less extreme than inequality of income in the US. Will Wilkinson of the libertarian Cato Institute states that "the weight of the evidence shows that the run-up in consumption inequality has been considerably less dramatic than the rise in income inequality," and consumption is more important than income. According to Johnson, Smeeding, and Tory, consumption inequality was actually lower in 2001 than it was in 1986. The debate is summarized in "The Hidden Prosperity of the Poor" by journalist Thomas B. Edsall. Other studies have not found consumption inequality less dramatic than household income inequality, and the CBO's study found consumption data not "adequately" capturing "consumption by high-income households" as it does their income, though it did agree that household consumption numbers show more equal distribution than household income.</t>
  </si>
  <si>
    <t>What gave Priestley the claim to being the first discovered of oxygen?</t>
  </si>
  <si>
    <t>typhus, smallpox and respiratory infections</t>
  </si>
  <si>
    <t>How many French colonists were lost by British?</t>
  </si>
  <si>
    <t>Politically, Victoria has 37 seats in the Australian House of Representatives and 12 seats in the Australian Senate. At state level, the Parliament of Victoria consists of the Legislative Assembly (the lower house) and the Legislative Council (the upper house). Victoria is currently governed by the Labor Party, with Daniel Andrews the current Premier. The personal representative of the Queen of Australia in the state is the Governor of Victoria, currently Linda Dessau. Local government is concentrated in 79 municipal districts, including 33 cities, although a number of unincorporated areas still exist, which are administered directly by the state.</t>
  </si>
  <si>
    <t>What are cancerous tumors of the skin known as?</t>
  </si>
  <si>
    <t>What is used by certain unwealthy groups to obtain policies financially beneficial for them?</t>
  </si>
  <si>
    <t>What did Mongols worship?</t>
  </si>
  <si>
    <t>What is a twin positive?</t>
  </si>
  <si>
    <t>What is expected where a computational problems offers multiple outputs are expected for every input?</t>
  </si>
  <si>
    <t>What did European chemists make that could be used in warfare?</t>
  </si>
  <si>
    <t>Ozone</t>
  </si>
  <si>
    <t>seven months old</t>
  </si>
  <si>
    <t>What is a quarter of UNESCO filled with?</t>
  </si>
  <si>
    <t>What is the foundation for separation results within complexity classes?</t>
  </si>
  <si>
    <t>What was the nationality of Thomas Newcomen?</t>
  </si>
  <si>
    <t>What did the use of steam engines in farming lead to?</t>
  </si>
  <si>
    <t>What negotiations did Nixon Administrations begin?</t>
  </si>
  <si>
    <t>How far is New Paltz from New York?</t>
  </si>
  <si>
    <t>~11,700 years ago</t>
  </si>
  <si>
    <t>Roughly how much is the Student Government's budget?</t>
  </si>
  <si>
    <t>In what year was Swiss politician Besancon Hugues born?</t>
  </si>
  <si>
    <t>Y. pestis was the causative agent of the epidemic plague that devastated Europe during the Middle Ages</t>
  </si>
  <si>
    <t>Several D&amp;B contractors</t>
  </si>
  <si>
    <t>Milton Friedman Institute</t>
  </si>
  <si>
    <t>According to the AAA, what is the percentage of the gas stations that ran out of gasoline?</t>
  </si>
  <si>
    <t>What are there no longer limitations on since 1945?</t>
  </si>
  <si>
    <t>through Kingdom of Qocho and Tibetan intermediaries</t>
  </si>
  <si>
    <t>(a type of "blood poisoning"</t>
  </si>
  <si>
    <t>citizenship</t>
  </si>
  <si>
    <t>What issues can't prevent women from working outside the home or receiving education?</t>
  </si>
  <si>
    <t>glacier</t>
  </si>
  <si>
    <t>The average contractor hired how many employees?</t>
  </si>
  <si>
    <t>How can decision problem B be solved in time x(f)?</t>
  </si>
  <si>
    <t>What is west of the West Side?</t>
  </si>
  <si>
    <t>What is a description of an associated company contract?</t>
  </si>
  <si>
    <t>What do geochronologists analyze fossils from drill cores for?</t>
  </si>
  <si>
    <t xml:space="preserve">What did Baran develop during research at RAND </t>
  </si>
  <si>
    <t>430 BC.</t>
  </si>
  <si>
    <t>When was the Russian Policy "Indigenization" defunded?</t>
  </si>
  <si>
    <t>What do a number of researchers think a shortage of isn't caused in part by income inequality?</t>
  </si>
  <si>
    <t>When do members vote of the beginning form of the bill?</t>
  </si>
  <si>
    <t>Y. pestis</t>
  </si>
  <si>
    <t>What substance is used to make high quality liquid O2?</t>
  </si>
  <si>
    <t>What year was the Maastricht treaty signed?</t>
  </si>
  <si>
    <t>In what group of compounds is oxygen a necessary part?</t>
  </si>
  <si>
    <t>matrices</t>
  </si>
  <si>
    <t>Treaty of Logstown</t>
  </si>
  <si>
    <t>If 1 were to be considered as prime what would the sieve of Eratosthenes yield for all other numbers?</t>
  </si>
  <si>
    <t xml:space="preserve">When was the measurement of the Rhine introduced? </t>
  </si>
  <si>
    <t>Laszlo Babai and Eugene Luks</t>
  </si>
  <si>
    <t>can produce both eggs and sperm, meaning it can fertilize its own egg</t>
  </si>
  <si>
    <t>ownership of private industries</t>
  </si>
  <si>
    <t>In what year did the residents of Baghdad first become affected by the plague?</t>
  </si>
  <si>
    <t>What did the new railroad in Victoria trigger?</t>
  </si>
  <si>
    <t>oxygen supplementation</t>
  </si>
  <si>
    <t xml:space="preserve">What types of access did Telstra provide? </t>
  </si>
  <si>
    <t>p is not a prime factor of q.</t>
  </si>
  <si>
    <t>How far does one pharmacy in Croatia date back to?</t>
  </si>
  <si>
    <t>Is fertilization  internal or exeternal in most species?</t>
  </si>
  <si>
    <t>Galileo</t>
  </si>
  <si>
    <t>Middle Rhine</t>
  </si>
  <si>
    <t>In what year did Edmund Bohun of the Humphrey de Bohun line of French royalty move to North America?</t>
  </si>
  <si>
    <t>lower global temperatures</t>
  </si>
  <si>
    <t>Who said Barton's investigation was "misguided and illegitimate"?</t>
  </si>
  <si>
    <t>talking to criminal investigators</t>
  </si>
  <si>
    <t>What is the most well-known algorithm associated with the integer factorization problem?</t>
  </si>
  <si>
    <t xml:space="preserve">What is the definition of agency as it relates to capabilities? </t>
  </si>
  <si>
    <t>Who allied in the French and Indian war?</t>
  </si>
  <si>
    <t>Nuda</t>
  </si>
  <si>
    <t>burning combustible materials</t>
  </si>
  <si>
    <t>wood</t>
  </si>
  <si>
    <t xml:space="preserve"> Who did not charter the British East India Company?</t>
  </si>
  <si>
    <t>The formal language associated with this decision problem</t>
  </si>
  <si>
    <t>Where is it unlikely that the first multicomponent, adaptive immune system arose?</t>
  </si>
  <si>
    <t>What type of forces act at very long distances?</t>
  </si>
  <si>
    <t>What is the smallest nation that the Rhine runs through?</t>
  </si>
  <si>
    <t>What instrument is used to examine steam engine performance?</t>
  </si>
  <si>
    <t>When was the FIS founded?</t>
  </si>
  <si>
    <t>coordinating lead authors</t>
  </si>
  <si>
    <t>How many times did southern California attempt to achieve a separate statehood?</t>
  </si>
  <si>
    <t>Southern California contains a Mediterranean climate, with infrequent rain and many sunny days. Summers are hot and dry, while winters are a bit warm or mild and wet. Serious rain can occur unusually. In the summers, temperature ranges are 90-60's while as winters are 70-50's, usually all of Southern California have Mediterranean climate. But snow is very rare in the Southwest of the state, it occurs on the Southeast of the state.</t>
  </si>
  <si>
    <t>What happens to rock units under vertical pressure?</t>
  </si>
  <si>
    <t>incorrectly</t>
  </si>
  <si>
    <t>"Jacksonvillians" or "Jaxsons"</t>
  </si>
  <si>
    <t>What kind of sediment particles are there?</t>
  </si>
  <si>
    <t>Where was the first horse racetrack located?</t>
  </si>
  <si>
    <t>When was there an attempt to reform the law of the EU?</t>
  </si>
  <si>
    <t>What is the fastest growing area in the pharmaceutical industry?</t>
  </si>
  <si>
    <t>all within a few hundred feet of each other</t>
  </si>
  <si>
    <t>as a connected sum of prime knots</t>
  </si>
  <si>
    <t>What term don't Islamists think should be applied to them?</t>
  </si>
  <si>
    <t>devolved competencies</t>
  </si>
  <si>
    <t>What was invented in a storage reservoir?</t>
  </si>
  <si>
    <t>1957</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</si>
  <si>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</si>
  <si>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Meuse estuary</t>
  </si>
  <si>
    <t>1/(1-p)n</t>
  </si>
  <si>
    <t>self and non-self</t>
  </si>
  <si>
    <t>What nationality was Paul-Louis Simond?</t>
  </si>
  <si>
    <t>What status has the Brotherhood obtained in the Islamic world?</t>
  </si>
  <si>
    <t>What was the prize for finding a solution to P=NP at the the Alpha Prize Problems?</t>
  </si>
  <si>
    <t xml:space="preserve"> Who did the NIF regime not harbor prior to 9/11?</t>
  </si>
  <si>
    <t>When was virgin media rebranded from NTL Telewest?</t>
  </si>
  <si>
    <t>What provides chemical protection to pathogens?</t>
  </si>
  <si>
    <t>the courts of member states and the Court of Justice of the European Union</t>
  </si>
  <si>
    <t>the member state cannot enforce conflicting laws</t>
  </si>
  <si>
    <t>neoclassical architecture</t>
  </si>
  <si>
    <t>The Social Charter was subsequently adopted in 1989 by 11 of the then 12 member states. The UK refused to sign the Social Charter and was exempt from the legislation covering Social Charter issues unless it agreed to be bound by the legislation. The UK subsequently was the only member state to veto the Social Charter being included as the "Social Chapter" of the 1992 Maastricht Treaty - instead, an Agreement on Social Policy was added as a protocol. Again, the UK was exempt from legislation arising from the protocol, unless it agreed to be bound by it. The protocol was to become known as "Social Chapter", despite not actually being a chapter of the Maastricht Treaty. To achieve aims of the Agreement on Social Policy the European Union was to "support and complement" the policies of member states. The aims of the Agreement on Social Policy are:</t>
  </si>
  <si>
    <t>What is the typical annual cost for an Irish private school?</t>
  </si>
  <si>
    <t>What victory at thwarted efforts of French relief ships.</t>
  </si>
  <si>
    <t>What is the observable effect of W and Z boson exchange?</t>
  </si>
  <si>
    <t>How many seats does Victoria have in the Australian House of Representatives?</t>
  </si>
  <si>
    <t>What was not the aim of the TFEU article 34 law?</t>
  </si>
  <si>
    <t>What is the bend called where the overall direction of the Rhine changes from East to North?</t>
  </si>
  <si>
    <t>What is the average width of the Rhine?</t>
  </si>
  <si>
    <t>What was passed in 1805?</t>
  </si>
  <si>
    <t>effect</t>
  </si>
  <si>
    <t>University of Chicago College Bowl Team</t>
  </si>
  <si>
    <t>What is the university's winter carnival and concert called?</t>
  </si>
  <si>
    <t>diseases from Europe</t>
  </si>
  <si>
    <t>contained in P or equal to P.</t>
  </si>
  <si>
    <t>by the accidental introduction of the Mnemiopsis-eating North American ctenophore Beroe ovata,</t>
  </si>
  <si>
    <t xml:space="preserve">Rock units become thicker and shorten when placed under this type of compression. </t>
  </si>
  <si>
    <t>The mother of which emperor was a concubine?</t>
  </si>
  <si>
    <t xml:space="preserve"> Who was Genghis's 4th son?</t>
  </si>
  <si>
    <t>Vaccination exploits what feature of the human immune system in order to be successful?</t>
  </si>
  <si>
    <t>The SNP gave how many seats to Labour?</t>
  </si>
  <si>
    <t>Sky Digital</t>
  </si>
  <si>
    <t>540,800</t>
  </si>
  <si>
    <t>Water higher in oxygen-16 experienced higher what?</t>
  </si>
  <si>
    <t>east-west</t>
  </si>
  <si>
    <t>What is a main advantage of the Rankine cycle?</t>
  </si>
  <si>
    <t>What is the process of constructing a building or infrastructure?</t>
  </si>
  <si>
    <t>wages</t>
  </si>
  <si>
    <t>Following a referendum in 1997, in which the Scottish electorate voted for devolution, the current Parliament was convened by the Scotland Act 1998, which sets out its powers as a devolved legislature. The Act delineates the legislative competence of the Parliament – the areas in which it can make laws –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</si>
  <si>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Where did Harold II die?</t>
  </si>
  <si>
    <t>thunderstorms</t>
  </si>
  <si>
    <t>16,000 to 35,000</t>
  </si>
  <si>
    <t>In July 2013</t>
  </si>
  <si>
    <t>Who founded Woodward Park?</t>
  </si>
  <si>
    <t>Which articles state that the member states' rights to deliver public services may not be obstructed?</t>
  </si>
  <si>
    <t>little Hugos</t>
  </si>
  <si>
    <t>Merwede-Oude Maas</t>
  </si>
  <si>
    <t>Where did Montcalm move his heaquarter to show strategic advancement?</t>
  </si>
  <si>
    <t>the Timucua people</t>
  </si>
  <si>
    <t>pattern recognition receptors</t>
  </si>
  <si>
    <t>when they would be married</t>
  </si>
  <si>
    <t>separately from physicians</t>
  </si>
  <si>
    <t>The most useful instrument for analyzing the performance of steam engines is the steam engine indicator. Early versions were in use by 1851, but the most successful indicator was developed for the high speed engine inventor and manufacturer Charles Porter by Charles Richard and exhibited at London Exhibition in 1862. The steam engine indicator traces on paper the pressure in the cylinder throughout the cycle, which can be used to spot various problems and calculate developed horsepower. It was routinely used by engineers, mechanics and insurance inspectors. The engine indicator can also be used on internal combustion engines. See image of indicator diagram below (in Types of motor units section).</t>
  </si>
  <si>
    <t>How many ships with Hugeunot's aboard had sailed to Cape of Good Hope in 1671?</t>
  </si>
  <si>
    <t>What is set up to scrutinize private bills submitted by party outsiders?</t>
  </si>
  <si>
    <t>purple skin patches</t>
  </si>
  <si>
    <t>Lead fusible plugs may be present in the crown of the boiler's firebox. If the water level drops, such that the temperature of the firebox crown increases significantly, the lead melts and the steam escapes, warning the operators, who may then manually suppress the fire. Except in the smallest of boilers the steam escape has little effect on dampening the fire. The plugs are also too small in area to lower steam pressure significantly, depressurizing the boiler. If they were any larger, the volume of escaping steam would itself endanger the crew.[citation needed]</t>
  </si>
  <si>
    <t>primes that is unique up to ordering</t>
  </si>
  <si>
    <t>The Sand Bernardino - Riverside area maintains what kind of district?</t>
  </si>
  <si>
    <t>What does the EU's legitimacy rest on?</t>
  </si>
  <si>
    <t>What counties to most people commute to?</t>
  </si>
  <si>
    <t>the spread of diseases from Europe</t>
  </si>
  <si>
    <t>Who mapped the Alta Vista Tract?</t>
  </si>
  <si>
    <t>modern canalized section</t>
  </si>
  <si>
    <t>Which khanates had not converted to Islam?</t>
  </si>
  <si>
    <t>The word imperialism has it's origins in which modern language?</t>
  </si>
  <si>
    <t>What has a stronger association with the MHC:antigen complex than killer T cells?</t>
  </si>
  <si>
    <t>Why did oil start getting priced in terms of gold?</t>
  </si>
  <si>
    <t>What are two reasons Conservatives went to jail?</t>
  </si>
  <si>
    <t>If two integers are multiplied and output a value, what is this expression set called?</t>
  </si>
  <si>
    <t>What happens when the immune system loses tolerance for tumor antigens?</t>
  </si>
  <si>
    <t>Who introduced plague to Europe?</t>
  </si>
  <si>
    <t>Who may change the date by up to a month, on the proposal of the PO?</t>
  </si>
  <si>
    <t>How many households had someone alone under the age of 18?</t>
  </si>
  <si>
    <t>How did the Islamic Group's campaign to support the government turn out?</t>
  </si>
  <si>
    <t>What did some of the Islamist groups supported by the East later become to be seen as?</t>
  </si>
  <si>
    <t>What type of heating element is often used in toy steam engines?</t>
  </si>
  <si>
    <t>fighting horsemen</t>
  </si>
  <si>
    <t>Since its foundation</t>
  </si>
  <si>
    <t>Where was Shirey going to be when Fort Oswego was to be attacked?</t>
  </si>
  <si>
    <t>When did the Yuan begin using gold printing plates for its money?</t>
  </si>
  <si>
    <t>British victories continued in all theaters in the Annus Mirabilis of 1759, when they finally captured Ticonderoga, James Wolfe defeated Montcalm at Quebec (in a battle that claimed the lives of both commanders), and victory at Fort Niagara successfully cut off the French frontier forts further to the west and south. The victory was made complete in 1760 when, despite losing outside Quebec City in the Battle of Sainte-Foy, the British were able to prevent the arrival of French relief ships in the naval Battle of the Restigouche while armies marched on Montreal from three sides.</t>
  </si>
  <si>
    <t>The modern trend in design is toward integration of previously separated specialties, especially among large firms. In the past, architects, interior designers, engineers, developers, construction managers, and general contractors were more likely to be entirely separate companies, even in the larger firms. Presently, a firm that is nominally an "architecture" or "construction management" firm may have experts from all related fields as employees, or to have an associated company that provides each necessary skill. Thus, each such firm may offer itself as "one-stop shopping" for a construction project, from beginning to end. This is designated as a "design build" contract where the contractor is given a performance specification and must undertake the project from design to construction, while adhering to the performance specifications.</t>
  </si>
  <si>
    <t>upper and lower bounds</t>
  </si>
  <si>
    <t>What percentage of private school students go to Lutheran schools?</t>
  </si>
  <si>
    <t>What does the matching helper T cell release when it binds with the MHC:antigen complex of the B cell?</t>
  </si>
  <si>
    <t>giving her brother Polynices a proper burial.</t>
  </si>
  <si>
    <t>several years</t>
  </si>
  <si>
    <t>What variable is associated with all problems solved within logarithmic space?</t>
  </si>
  <si>
    <t>access to education</t>
  </si>
  <si>
    <t>The Rhine is the longest river in what country?</t>
  </si>
  <si>
    <t>738 days</t>
  </si>
  <si>
    <t>Adriatic</t>
  </si>
  <si>
    <t>Which country was thinking about going to war to forcibly take Middle Eastern oil fields?</t>
  </si>
  <si>
    <t>What is the name of an algebraic structure in which addition, subtraction and multiplication are defined?</t>
  </si>
  <si>
    <t>improved markedly</t>
  </si>
  <si>
    <t>produce better academic results</t>
  </si>
  <si>
    <t>three years</t>
  </si>
  <si>
    <t>Where did Montcalm move his heaquarter to show strategic retreat?</t>
  </si>
  <si>
    <t>How many types of cnidarians have been discovered  worldwide?</t>
  </si>
  <si>
    <t>What is the name associated with the eight areas that make up a part of southern California?</t>
  </si>
  <si>
    <t>Who called for an agency to be created to be solely focused at undermining the Islamism ideology?</t>
  </si>
  <si>
    <t>cultural traditions, social customs, religious beliefs</t>
  </si>
  <si>
    <t>Which neighborhood lies west of the 41 freeway?</t>
  </si>
  <si>
    <t>When did Carl Priestly discover oxygen?</t>
  </si>
  <si>
    <t>When was King George's war?</t>
  </si>
  <si>
    <t>balance of microbial populations</t>
  </si>
  <si>
    <t>What is the name of another type of modern algorithm test?</t>
  </si>
  <si>
    <t>premises of the hospital</t>
  </si>
  <si>
    <t>In what century did the history of the steam digester begin?</t>
  </si>
  <si>
    <t>What can the growth elasticity of poverty not depend on?</t>
  </si>
  <si>
    <t>Governor Robert Dinwiddie of Virginia was an investor in the Ohio Company, which stood to lose money if the French held their claim. To counter the French military presence in Ohio, in October 1753 Dinwiddie ordered the 21-year-old Major George Washington (whose brother was another Ohio Company investor) of the Virginia Regiment to warn the French to leave Virginia territory. Washington left with a small party, picking up along the way Jacob Van Braam as an interpreter; Christopher Gist, a company surveyor working in the area; and a few Mingo led by Tanaghrisson. On December 12, Washington and his men reached Fort Le Boeuf.</t>
  </si>
  <si>
    <t>Who proclaimed the oil embargo?</t>
  </si>
  <si>
    <t>Who did not adopt the Social Charter?</t>
  </si>
  <si>
    <t>In UDP, the network guarantees what?</t>
  </si>
  <si>
    <t>In 1890, who did the university decide to team up with?</t>
  </si>
  <si>
    <t>1314</t>
  </si>
  <si>
    <t>In what year was other countries oil production surpassed by Saudi Arabia?</t>
  </si>
  <si>
    <t>What helps the owner in design and construction?</t>
  </si>
  <si>
    <t>What is a growing sport in southern California?</t>
  </si>
  <si>
    <t>fourth</t>
  </si>
  <si>
    <t>rent-seeking</t>
  </si>
  <si>
    <t>infrastructure</t>
  </si>
  <si>
    <t>What was the reason the Italian Constitutional court gave that resulted in Mr. Costa losing his his claim against ENEL?</t>
  </si>
  <si>
    <t>What members typically open debates?</t>
  </si>
  <si>
    <t>Who donated property to the University of Chicago?</t>
  </si>
  <si>
    <t>What area in South Africa accepted Huguenot colonists?</t>
  </si>
  <si>
    <t>Other than requiring 17 classes, what else is required under Core as of 2013-2014?</t>
  </si>
  <si>
    <t>workers wages</t>
  </si>
  <si>
    <t>The University enrolled 5,984 students in the College  and how many in its professional schools?</t>
  </si>
  <si>
    <t>What did the English root pharmakos imply?</t>
  </si>
  <si>
    <t>What is the English translation of Het Scheur?</t>
  </si>
  <si>
    <t>What does a 2013 report on Nigeria suggest it's growth has done?</t>
  </si>
  <si>
    <t>What increases entrepreneurship rates at the individual level?</t>
  </si>
  <si>
    <t>Where were the narrow gauge rail lines demolished in Victoria?</t>
  </si>
  <si>
    <t>1 September 1939</t>
  </si>
  <si>
    <t>What magnitude of earthquake can many faults produce?</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</si>
  <si>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</si>
  <si>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What is an expression that caan be used to illustrate the suspected in equality of complexity classes?</t>
  </si>
  <si>
    <t>What is flexible construction similar to?</t>
  </si>
  <si>
    <t>What type of algorithm is trial division?</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</si>
  <si>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</si>
  <si>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When were the Vosges Mountains captured by the Rhine?</t>
  </si>
  <si>
    <t>Where did most of the Huguenots decide to live?</t>
  </si>
  <si>
    <t>When was the University Library closed?</t>
  </si>
  <si>
    <t>children who served as messengers and frontline troops in the Warsaw Uprising</t>
  </si>
  <si>
    <t>a few millimeters to 1.5 m</t>
  </si>
  <si>
    <t xml:space="preserve"> What was the Spanish title of Polo's book?</t>
  </si>
  <si>
    <t>Does packet switching charge a fee when no data is transferred?</t>
  </si>
  <si>
    <t>Who proposes the date of the poll not be varied?</t>
  </si>
  <si>
    <t>clear substances with a light sky-blue color</t>
  </si>
  <si>
    <t>When was there a reduction in the number of Scottish MPs?</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</si>
  <si>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</si>
  <si>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in King George's reign</t>
  </si>
  <si>
    <t>after their second year</t>
  </si>
  <si>
    <t>What has the tendency to increase wages in a field or job position?</t>
  </si>
  <si>
    <t>What Chinese era name did Kublai adopt?</t>
  </si>
  <si>
    <t>Who were the main detractors of the humoral theory of immunity?</t>
  </si>
  <si>
    <t>the carbon cycle</t>
  </si>
  <si>
    <t>In what year did the clergy enter England?</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</si>
  <si>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</si>
  <si>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Sky UK Limited is formerly known by what name?</t>
  </si>
  <si>
    <t>What are the points of algebro-geometric objects?</t>
  </si>
  <si>
    <t>banded iron formations</t>
  </si>
  <si>
    <t>What is lower in countries with more inequality for the top 21 industrialized countries?</t>
  </si>
  <si>
    <t>Where does the Nederrijn change it's name?</t>
  </si>
  <si>
    <t>a + bi</t>
  </si>
  <si>
    <t>1024-bit</t>
  </si>
  <si>
    <t>North America</t>
  </si>
  <si>
    <t>colonial rule would be considered what type of imperialism?</t>
  </si>
  <si>
    <t>Wisdom, Compassion, Justice and Integrity</t>
  </si>
  <si>
    <t>What did Iqbal fear would weaken the spiritual foundations of Islam and Muslim society?</t>
  </si>
  <si>
    <t>What formed in the Coachella Valley north of Orange County?</t>
  </si>
  <si>
    <t>United Nations</t>
  </si>
  <si>
    <t>What is the unproven assumption generally ascribed to the value of complexity classes?</t>
  </si>
  <si>
    <t>steam engine indicator</t>
  </si>
  <si>
    <t>pharmacists are increasingly expected to be compensated for their patient care skills</t>
  </si>
  <si>
    <t>Los Angeles Kings</t>
  </si>
  <si>
    <t>the arid plains of Central Asia</t>
  </si>
  <si>
    <t>When was State Route 99 built?</t>
  </si>
  <si>
    <t>first</t>
  </si>
  <si>
    <t>To what length can flagella grow to?</t>
  </si>
  <si>
    <t>What happens when bathocyroe and ocyropsis clap their lobes together?</t>
  </si>
  <si>
    <t>What was the first Internet2 Network created with NLR?</t>
  </si>
  <si>
    <t>Which areas of Northern Europe practiced those religions?</t>
  </si>
  <si>
    <t>During the 1970s and sometimes later, Western and pro-Western governments often supported sometimes fledgling Islamists and Islamist groups that later came to be seen as dangerous enemies. Islamists were considered by Western governments bulwarks against—what were thought to be at the time—more dangerous leftist/communist/nationalist insurgents/opposition, which Islamists were correctly seen as opposing. The US spent billions of dollars to aid the mujahideen Muslim Afghanistan enemies of the Soviet Union, and non-Afghan veterans of the war returned home with their prestige, "experience, ideology, and weapons", and had considerable impact.</t>
  </si>
  <si>
    <t>competition between workers</t>
  </si>
  <si>
    <t>2012 Act</t>
  </si>
  <si>
    <t>Who owns more wealth than the bottom 90 percent of people in the U.S.?</t>
  </si>
  <si>
    <t>What groups were previously considered to be integrated?</t>
  </si>
  <si>
    <t>What is the name of one type of modern primality test?</t>
  </si>
  <si>
    <t>Labour</t>
  </si>
  <si>
    <t>help direct microscopic prey toward the mouth</t>
  </si>
  <si>
    <t>How quickly do shrimp digest ctenophores as compared to other prey?</t>
  </si>
  <si>
    <t>What class of T cells recognizes intact antigens that are not associated with MHC receptors?</t>
  </si>
  <si>
    <t>An important decision for civil disobedients is whether or not to plead guilty. There is much debate on this point, as some believe that it is a civil disobedient's duty to submit to the punishment prescribed by law, while others believe that defending oneself in court will increase the possibility of changing the unjust law. It has also been argued that either choice is compatible with the spirit of civil disobedience. ACT-UP's Civil Disobedience Training handbook states that a civil disobedient who pleads guilty is essentially stating, "Yes, I committed the act of which you accuse me. I don't deny it; in fact, I am proud of it. I feel I did the right thing by violating this particular law; I am guilty as charged," but that pleading not guilty sends a message of, "Guilt implies wrong-doing. I feel I have done no wrong. I may have violated some specific laws, but I am guilty of doing no wrong. I therefore plead not guilty." A plea of no contest is sometimes regarded as a compromise between the two. One defendant accused of illegally protesting nuclear power, when asked to enter his plea, stated, "I plead for the beauty that surrounds us"; this is known as a "creative plea," and will usually be interpreted as a plea of not guilty.</t>
  </si>
  <si>
    <t>In which months does Fresno experience increased wind coming from the southeastern direction?</t>
  </si>
  <si>
    <t>plant health status</t>
  </si>
  <si>
    <t>74 per cent, or 260 of the 352 votes</t>
  </si>
  <si>
    <t>Who proved that air is necessary for combustion?</t>
  </si>
  <si>
    <t>straight line</t>
  </si>
  <si>
    <t>On what lake did troops attack fort willima henry in winter?</t>
  </si>
  <si>
    <t>What is the paper written by Richard Karp in 1972 that ushered in a new era of understanding between intractability and NP-complete problems?</t>
  </si>
  <si>
    <t>brick-and-mortar community pharmacies</t>
  </si>
  <si>
    <t>belonging to Warsz</t>
  </si>
  <si>
    <t>Where can Aeolian sand with a number of terraces be found?</t>
  </si>
  <si>
    <t>What was the goal of Haddock's expedition?</t>
  </si>
  <si>
    <t xml:space="preserve">What alternative to ARPANET was developed? </t>
  </si>
  <si>
    <t>south Wales</t>
  </si>
  <si>
    <t>not to talk</t>
  </si>
  <si>
    <t>the resultant (also called the net force)</t>
  </si>
  <si>
    <t>What percentage of electrical power in the United States is made by generators?</t>
  </si>
  <si>
    <t>In the spring of 1753, Paul Marin de la Malgue was given command of a 2,000-man force of Troupes de la Marine and Indians. His orders were to protect the King's land in the Ohio Valley from the British. Marin followed the route that Céloron had mapped out four years earlier, but where Céloron had limited the record of French claims to the burial of lead plates, Marin constructed and garrisoned forts. He first constructed Fort Presque Isle (near present-day Erie, Pennsylvania) on Lake Erie's south shore. He had a road built to the headwaters of LeBoeuf Creek. Marin constructed a second fort at Fort Le Boeuf (present-day Waterford, Pennsylvania), designed to guard the headwaters of LeBoeuf Creek. As he moved south, he drove off or captured British traders, alarming both the British and the Iroquois. Tanaghrisson, a chief of the Mingo, who were remnants of Iroquois and other tribes who had been driven west by colonial expansion. He intensely disliked the French (whom he accused of killing and eating his father). Traveling to Fort Le Boeuf, he threatened the French with military action, which Marin contemptuously dismissed.</t>
  </si>
  <si>
    <t>(high supply) competing for a job that few require (low demand)</t>
  </si>
  <si>
    <t>19th Century</t>
  </si>
  <si>
    <t>Who is on the IPCC Panel?</t>
  </si>
  <si>
    <t>Where did he begin teaching?</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</si>
  <si>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</si>
  <si>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How many of Jacksonville's city residents are younger than 18?</t>
  </si>
  <si>
    <t>a satellite platform</t>
  </si>
  <si>
    <t xml:space="preserve">How many invertebrate species are known in Brazil alone? </t>
  </si>
  <si>
    <t>What did Lavoisier perceive the air had lost as much as the tin had gained</t>
  </si>
  <si>
    <t>62 acres</t>
  </si>
  <si>
    <t>What is an example of a controlled substance?</t>
  </si>
  <si>
    <t>Kublai's government after 1262 was a compromise between preserving Mongol interests in China and satisfying the demands of his Chinese subjects. He instituted the reforms proposed by his Chinese advisers by centralizing the bureaucracy, expanding the circulation of paper money, and maintaining the traditional monopolies on salt and iron. He restored the Imperial Secretariat and left the local administrative structure of past Chinese dynasties unchanged. However, Kublai rejected plans to revive the Confucian imperial examinations and divided Yuan society into three, later four, classes with the Han Chinese occupying the lowest rank. Kublai's Chinese advisers still wielded significant power in the government, but their official rank was nebulous.</t>
  </si>
  <si>
    <t>What was one of the problems solved by the Kyoto Protocol?</t>
  </si>
  <si>
    <t>What has the USSR been held responsible for regarding oil?</t>
  </si>
  <si>
    <t>What is the name of the organization in charge of running the clubs at the university?</t>
  </si>
  <si>
    <t>Donkey</t>
  </si>
  <si>
    <t>What does it mean for a knot to be considered a p element?</t>
  </si>
  <si>
    <t>frontiers between New France and the British colonies</t>
  </si>
  <si>
    <t>What did oil price increases force GM, Ford and Chrysler to do?</t>
  </si>
  <si>
    <t>How do rotifers act as when looking for a meal?</t>
  </si>
  <si>
    <t>What provided much of the basis for the structure of the Parliament in 1995?</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</si>
  <si>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</si>
  <si>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Defense Secretary</t>
  </si>
  <si>
    <t>Southern California is also home to a large home grown surf and skateboard culture. Companies such as Volcom, Quiksilver, No Fear, RVCA, and Body Glove are all headquartered here. Professional skateboarder Tony Hawk, professional surfers Rob Machado, Tim Curran, Bobby Martinez, Pat O'Connell, Dane Reynolds, and Chris Ward, and professional snowboarder Shaun White live in southern California. Some of the world's legendary surf spots are in southern California as well, including Trestles, Rincon, The Wedge, Huntington Beach, and Malibu, and it is second only to the island of Oahu in terms of famous surf breaks. Some of the world's biggest extreme sports events, including the X Games, Boost Mobile Pro, and the U.S. Open of Surfing are all in southern California. Southern California is also important to the world of yachting. The annual Transpacific Yacht Race, or Transpac, from Los Angeles to Hawaii, is one of yachting's premier events. The San Diego Yacht Club held the America's Cup, the most prestigious prize in yachting, from 1988 to 1995 and hosted three America's Cup races during that time.</t>
  </si>
  <si>
    <t>lysozyme</t>
  </si>
  <si>
    <t>Net mechanical energy is what in an open system?</t>
  </si>
  <si>
    <t>2007</t>
  </si>
  <si>
    <t>22 miles</t>
  </si>
  <si>
    <t>when did Nors encampments ivolve into destructive incursions?</t>
  </si>
  <si>
    <t>Who calibrated newer studies?</t>
  </si>
  <si>
    <t xml:space="preserve"> What modern formations do geologists study?</t>
  </si>
  <si>
    <t>pressure physical experiments</t>
  </si>
  <si>
    <t>Besides drugs, what else do specialty pharmacies provide?</t>
  </si>
  <si>
    <t>Wianki</t>
  </si>
  <si>
    <t>a protest</t>
  </si>
  <si>
    <t>What change in conditions may make the Amazon rainforest unsustainable?</t>
  </si>
  <si>
    <t>What is Raghuram Rajan's career?</t>
  </si>
  <si>
    <t>Colonialism as a policy is caused by financial and what other reasons?</t>
  </si>
  <si>
    <t>a Galilean transformation</t>
  </si>
  <si>
    <t>Because of its unpaired electrons</t>
  </si>
  <si>
    <t>What government agency supervised Buddhist monks?</t>
  </si>
  <si>
    <t>the Earth</t>
  </si>
  <si>
    <t>center of mass</t>
  </si>
  <si>
    <t>489</t>
  </si>
  <si>
    <t>the port of Marseille around November 1347</t>
  </si>
  <si>
    <t>What service did BSkyB chare additional subscription fees for?</t>
  </si>
  <si>
    <t>Though the name was correct, all these services were managed by who?</t>
  </si>
  <si>
    <t>Notable faculty in physics have included the speed of light calculator A. A. Michelson, elementary charge calculator Robert A. Millikan, discoverer of the Compton Effect Arthur H. Compton, the creator of the first nuclear reactor Enrico Fermi, "the father of the hydrogen bomb" Edward Teller, "one of the most brilliant and productive experimental physicists of the twentieth century" Luis Walter Alvarez, Murray Gell-Mann who introduced the quark, second female Nobel laureate Maria Goeppert-Mayer, the youngest American winner of the Nobel Prize Tsung-Dao Lee, and astrophysicist Subrahmanyan Chandrasekhar.</t>
  </si>
  <si>
    <t>How much did the Milton Friedman Institute roughly cost?</t>
  </si>
  <si>
    <t>the Red Sea</t>
  </si>
  <si>
    <t>not being a civil disobedient</t>
  </si>
  <si>
    <t>What is typically used to broadly define complexity measures?</t>
  </si>
  <si>
    <t>What did the win mean to France?</t>
  </si>
  <si>
    <t>lived in poverty and were ill treated</t>
  </si>
  <si>
    <t>What happens to the packet at the destination</t>
  </si>
  <si>
    <t>When is the latest known reference to immunity?</t>
  </si>
  <si>
    <t>What rules does the IPCC have to follow?</t>
  </si>
  <si>
    <t>Who was Emma's brother?</t>
  </si>
  <si>
    <t>Systemic acquired resistance</t>
  </si>
  <si>
    <t>What method is not used to intuitively assess or quantify the amount of resources required to solve a computational problem??</t>
  </si>
  <si>
    <t>What is an example of an article of uniform clothing typically present in Australian private schools?</t>
  </si>
  <si>
    <t>What are examples of economic actors?</t>
  </si>
  <si>
    <t>reduce growth</t>
  </si>
  <si>
    <t>When violence is used, what is civil disobedience sometimes called?</t>
  </si>
  <si>
    <t>What conditions must be met to prescribe a controlled substance?</t>
  </si>
  <si>
    <t>double or triple non-French linguistic origins</t>
  </si>
  <si>
    <t>What seminal paper is commonly considered the beginning of sociology studies?</t>
  </si>
  <si>
    <t>Who runs the UNEP Council?</t>
  </si>
  <si>
    <t>Much of the work of the Scottish Parliament is done in committee. The role of committees is stronger in the Scottish Parliament than in other parliamentary systems, partly as a means of strengthening the role of backbenchers in their scrutiny of the government and partly to compensate for the fact that there is no revising chamber. The principal role of committees in the Scottish Parliament is to take evidence from witnesses, conduct inquiries and scrutinise legislation. Committee meetings take place on Tuesday, Wednesday and Thursday morning when Parliament is sitting. Committees can also meet at other locations throughout Scotland.</t>
  </si>
  <si>
    <t>How weren't British able to cut supplies to Louisbourg?</t>
  </si>
  <si>
    <t>Jacques Legardeur de Saint-Pierre, who succeeded Marin as commander of the French forces after the latter died on October 29, invited Washington to dine with him. Over dinner, Washington presented Saint-Pierre with the letter from Dinwiddie demanding an immediate French withdrawal from the Ohio Country. Saint-Pierre said, "As to the Summons you send me to retire, I do not think myself obliged to obey it." He told Washington that France's claim to the region was superior to that of the British, since René-Robert Cavelier, Sieur de La Salle had explored the Ohio Country nearly a century earlier.</t>
  </si>
  <si>
    <t>a period of foreign domination</t>
  </si>
  <si>
    <t>Because oil was priced in dollars, oil producers' real income decreased</t>
  </si>
  <si>
    <t>26.7%</t>
  </si>
  <si>
    <t>nineteenth</t>
  </si>
  <si>
    <t>a typographical error</t>
  </si>
  <si>
    <t>St. Elizabeth's flood</t>
  </si>
  <si>
    <t>What is not example of an NP-intermediate problem not known to exist in P or NP-complete?</t>
  </si>
  <si>
    <t>Parliament</t>
  </si>
  <si>
    <t>When was the Palace on the Water rebuilt?</t>
  </si>
  <si>
    <t>In a condenser engine, what does air pressure push against?</t>
  </si>
  <si>
    <t>What gearing was used on steam turbine engines until the 1990s?</t>
  </si>
  <si>
    <t xml:space="preserve">What element is found in all biomolecules? </t>
  </si>
  <si>
    <t>What is the animal that the Rhine's islands are named after?</t>
  </si>
  <si>
    <t>A study by the World Institute for Development Economics Research at United Nations University reports that the richest 1% of adults alone owned 40% of global assets in the year 2000. The three richest people in the world possess more financial assets than the lowest 48 nations combined. The combined wealth of the "10 million dollar millionaires" grew to nearly $41 trillion in 2008. A January 2014 report by Oxfam claims that the 85 wealthiest individuals in the world have a combined wealth equal to that of the bottom 50% of the world's population, or about 3.5 billion people. According to a Los Angeles Times analysis of the report, the wealthiest 1% owns 46% of the world's wealth; the 85 richest people, a small part of the wealthiest 1%, own about 0.7% of the human population's wealth, which is the same as the bottom half of the population. More recently, in January 2015, Oxfam reported that the wealthiest 1 percent will own more than half of the global wealth by 2016. An October 2014 study by Credit Suisse also claims that the top 1% now own nearly half of the world's wealth and that the accelerating disparity could trigger a recession. In October 2015, Credit Suisse published a study which shows global inequality continues to increase, and that half of the world's wealth is now in the hands of those in the top percentile, whose assets each exceed $759,900. A 2016 report by Oxfam claims that the 62 wealthiest individuals own as much wealth as the poorer half of the global population combined. 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debts).[unreliable source?][unreliable source?] Anthony Shorrocks, the lead author of the Credit Suisse report which is one of the sources of Oxfam's data, considers the criticism about debt to be a "silly argument" and "a non-issue . . . a diversion."</t>
  </si>
  <si>
    <t>How much of the European population did the black death kill?</t>
  </si>
  <si>
    <t>external combustion engines</t>
  </si>
  <si>
    <t>Jesus the Interpreter</t>
  </si>
  <si>
    <t>When did the last glacial end?</t>
  </si>
  <si>
    <t>What, aside from firebox, is another name for the space in which combustible material is burned in the electric heating element?</t>
  </si>
  <si>
    <t>Welfare Cash Card</t>
  </si>
  <si>
    <t>Several procedures</t>
  </si>
  <si>
    <t xml:space="preserve"> Imperialism is responsible for the slow spread of what?</t>
  </si>
  <si>
    <t>What antibody is transported from the mother to baby across the placenta?</t>
  </si>
  <si>
    <t>When did Ralph Woodward come to Fresno?</t>
  </si>
  <si>
    <t>British Prime Minister Edward Heath</t>
  </si>
  <si>
    <t xml:space="preserve">Stretched rocks that pinch into lenses are known by what word? </t>
  </si>
  <si>
    <t>Variable lymphocyte receptors (VLRs)</t>
  </si>
  <si>
    <t>4 kilometers</t>
  </si>
  <si>
    <t>How much of Helsinki's population spoke French as of 1700?</t>
  </si>
  <si>
    <t>What is an example of work that a centrifugal governor-equipped steam engine was suitable for?</t>
  </si>
  <si>
    <t>The Lucas–Lehmer test</t>
  </si>
  <si>
    <t>What is the main defense mechanism of bacteria known as?</t>
  </si>
  <si>
    <t>How many sports are played at the athletics facilites?</t>
  </si>
  <si>
    <t>How is winter weather in Jacksonville described as?</t>
  </si>
  <si>
    <t>When did the university start having a bachelor's degree program in theater &amp; performance studies?</t>
  </si>
  <si>
    <t>Who is a descendant of General Hermann von Francois?</t>
  </si>
  <si>
    <t>What is the Royal Castle the most interesting example of?</t>
  </si>
  <si>
    <t>What is a one class of self molecule?</t>
  </si>
  <si>
    <t>What provided an incentive to western empires to colonize Africa?</t>
  </si>
  <si>
    <t>The conflict is known by multiple names. In British America, wars were often named after the sitting British monarch, such as King William's War or Queen Anne's War. As there had already been a King George's War in the 1740s, British colonists named the second war in King George's reign after their opponents, and it became known as the French and Indian War. This traditional name continues as the standard in the United States, but it obscures the fact that Indians fought on both sides of the conflict, and that this was part of the Seven Years' War, a much larger conflict between France and Great Britain. American historians generally use the traditional name or sometimes the Seven Years' War. Other, less frequently used names for the war include the Fourth Intercolonial War and the Great War for the Empire.</t>
  </si>
  <si>
    <t>What is the purpose of the ASER?</t>
  </si>
  <si>
    <t>Wahhabi/Salafi jihadist extremist militant group</t>
  </si>
  <si>
    <t>biostratigraphers</t>
  </si>
  <si>
    <t>was recalled and replaced by Jeffery Amherst</t>
  </si>
  <si>
    <t>in 1972 (though Norway did not end up joining)</t>
  </si>
  <si>
    <t>How are the packets forwarded synchronously?</t>
  </si>
  <si>
    <t>Where are dissenting opinions published?</t>
  </si>
  <si>
    <t>In the fall quarter of 2014, how many students signed up for the university's  in total?</t>
  </si>
  <si>
    <t>What is an additional meaning intended when the word component is used?</t>
  </si>
  <si>
    <t>ranges from 53% in Botswana to -40% in Bahrain</t>
  </si>
  <si>
    <t>In what year did Frederick William of Prussia become the Great Elector?</t>
  </si>
  <si>
    <t>What genus is considered the aunt of Vendobionta?</t>
  </si>
  <si>
    <t>What type of algorithm is probability division?</t>
  </si>
  <si>
    <t>What memoir did William Smith write that was published in the Society's Transactions?</t>
  </si>
  <si>
    <t>normal force</t>
  </si>
  <si>
    <t>one million</t>
  </si>
  <si>
    <t>tangential force</t>
  </si>
  <si>
    <t>By how many kilometers does the traveling salesman problem seek to classify a route between the 15 largest cities in Germany?</t>
  </si>
  <si>
    <t>Kings Canyon Avenue is on the southeast side of what?</t>
  </si>
  <si>
    <t>Wealth concentration is a theoretical[according to whom?] process by which, under certain conditions, newly created wealth concentrates in the possession of already-wealthy individuals or entities. According to this theory, those who already hold wealth have the means to invest in new sources of creating wealth or to otherwise leverage the accumulation of wealth, thus are the beneficiaries of the new wealth. Over time, wealth condensation can significantly contribute to the persistence of inequality within society. Thomas Piketty in his book Capital in the Twenty-First Century argues that the fundamental force for divergence is the usually greater return of capital (r) than economic growth (g), and that larger fortunes generate higher returns [pp. 384 Table 12.2, U.S. university endowment size vs. real annual rate of return]</t>
  </si>
  <si>
    <t>Kraków</t>
  </si>
  <si>
    <t>What is the relationship between the architect and the subcontractor?</t>
  </si>
  <si>
    <t>Sky service</t>
  </si>
  <si>
    <t xml:space="preserve">Previous to isotopic dating sections of rocks had to be dated using fossils and stratigraphic correlation relative to what? </t>
  </si>
  <si>
    <t>CRISPR</t>
  </si>
  <si>
    <t>the Korean King</t>
  </si>
  <si>
    <t>How many customers did Sky UK Limited lose as a pay-TV broadcaster as of 2015?</t>
  </si>
  <si>
    <t>Why are cut rocks on top of a fault younger than the fault?</t>
  </si>
  <si>
    <t>Zhenjin</t>
  </si>
  <si>
    <t>Thames River</t>
  </si>
  <si>
    <t>Development of the fertilized eggs is direct, in other words there is no distinctive larval form, and juveniles of all groups generally resemble miniature cydippid adults. In the genus Beroe the juveniles, like the adults, lack tentacles and tentacle sheaths. In most species the juveniles gradually develop the body forms of their parents. In some groups, such as the flat, bottom-dwelling platyctenids, the juveniles behave more like true larvae, as they live among the plankton and thus occupy a different ecological niche from their parents and attain the adult form by a more radical metamorphosis, after dropping to the sea-floor.</t>
  </si>
  <si>
    <t>300 km long</t>
  </si>
  <si>
    <t>6.1</t>
  </si>
  <si>
    <t>When was consumption inequality lower than it had been in 1986?</t>
  </si>
  <si>
    <t>sea level</t>
  </si>
  <si>
    <t>What architecture type came after Early Gothic?</t>
  </si>
  <si>
    <t>What does a receiver have to be equipped with to view unencrypted content?</t>
  </si>
  <si>
    <t>Newton's Second Law</t>
  </si>
  <si>
    <t xml:space="preserve"> How did Chinese medicine stay in one place?</t>
  </si>
  <si>
    <t>What does the marginal value added by an economic actor determine?</t>
  </si>
  <si>
    <t>When did the formation of the Holocene Rhine-Meuse delta begin?</t>
  </si>
  <si>
    <t>1973_oil_crisis</t>
  </si>
  <si>
    <t>What is the immune system of the brained known as?</t>
  </si>
  <si>
    <t>steam escapes,</t>
  </si>
  <si>
    <t>180°</t>
  </si>
  <si>
    <t>Helper T cells express T cell receptors (TCR) that recognize antigen bound to Class II MHC molecules. The MHC:antigen complex is also recognized by the helper cell's CD4 co-receptor, which recruits molecules inside the T cell (e.g., Lck) that are responsible for the T cell's activation. Helper T cells have a weaker association with the MHC:antigen complex than observed for killer T cells, meaning many receptors (around 200–300) on the helper T cell must be bound by an MHC:antigen in order to activate the helper cell, while killer T cells can be activated by engagement of a single MHC:antigen molecule. Helper T cell activation also requires longer duration of engagement with an antigen-presenting cell. The activation of a resting helper T cell causes it to release cytokines that influence the activity of many cell types. Cytokine signals produced by helper T cells enhance the microbicidal function of macrophages and the activity of killer T cells. In addition, helper T cell activation causes an upregulation of molecules expressed on the T cell's surface, such as CD40 ligand (also called CD154), which provide extra stimulatory signals typically required to activate antibody-producing B cells.</t>
  </si>
  <si>
    <t>a statocyst</t>
  </si>
  <si>
    <t>North American provinces</t>
  </si>
  <si>
    <t>oxide</t>
  </si>
  <si>
    <t>What does Article 102 of the Treaty of Lisbon prohibit?</t>
  </si>
  <si>
    <t>the British Empire</t>
  </si>
  <si>
    <t>In which year did the newspaper change its previous definition?</t>
  </si>
  <si>
    <t>What chemical keeps immune cells away from the site of infection?</t>
  </si>
  <si>
    <t>the main contractor</t>
  </si>
  <si>
    <t>What is the name of another compelling continuation of the Carmichael primality test?</t>
  </si>
  <si>
    <t>What is the height of the Swiss canton?</t>
  </si>
  <si>
    <t>How else might a physician take advantage of self-interest?</t>
  </si>
  <si>
    <t>What did Frank Burnet formulate before the 1950s?</t>
  </si>
  <si>
    <t>administrative law</t>
  </si>
  <si>
    <t>kitchen fire</t>
  </si>
  <si>
    <t xml:space="preserve"> What was the least notable publication of Tugh's academy?</t>
  </si>
  <si>
    <t>What is X in Fe1 - oX?</t>
  </si>
  <si>
    <t>the construction of military roads to the area</t>
  </si>
  <si>
    <t>What did Iqbal's Allahabad address inspire?</t>
  </si>
  <si>
    <t>process of colonizing, influencing, and annexing other parts of the world</t>
  </si>
  <si>
    <t>What is the name of the supposition that there are infinite pairs of primes whose difference is 2?</t>
  </si>
  <si>
    <t>at most one prime number</t>
  </si>
  <si>
    <t>John Schmitt and Ben Zipperer (2006) of the CEPR point to economic liberalism and the reduction of business regulation along with the decline of union membership as one of the causes of economic inequality. In an analysis of the effects of intensive Anglo-American liberal policies in comparison to continental European liberalism, where unions have remained strong, they concluded "The U.S.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U.S.-style labor-market flexibility dramatically improves labor-market outcomes. Despite popular prejudices to the contrary, the U.S. economy consistently affords a lower level of economic mobility than all the continental European countries for which data is available."</t>
  </si>
  <si>
    <t>What ethnicity was Shi Tianze?</t>
  </si>
  <si>
    <t>Which rail line operates Around the island?</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</si>
  <si>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</si>
  <si>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6.7</t>
  </si>
  <si>
    <t>bark of mulberry trees</t>
  </si>
  <si>
    <t>What is one example of what a clinical pharmacist's duties entail?</t>
  </si>
  <si>
    <t>What percentage of a high pressure engine's efficiency has the Energiprojekt AB engine achieved?</t>
  </si>
  <si>
    <t>What is income inequality attributed to?</t>
  </si>
  <si>
    <t>Schrödinger equation</t>
  </si>
  <si>
    <t>egg-shaped</t>
  </si>
  <si>
    <t>interleukin 1</t>
  </si>
  <si>
    <t>Sedimentary rock can be turned into which of the three types of rock?</t>
  </si>
  <si>
    <t>First, if a Directive's deadline for implementation is not met, the member state cannot enforce conflicting laws, and a citizen may rely on the Directive in such an action (so called "vertical"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"not rely, as against individuals, on its own failure to perform the obligations which the Directive entails."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"general principle" of EU law, it can be invoked between private non-state parties before its deadline for implementation. This follows from Kücükdeveci v Swedex GmbH &amp; Co KG where the German Civil Code §622 stated that the years people worked under the age of 25 would not count towards the increasing statutory notice before dismissal. Ms Kücükdeveci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t>
  </si>
  <si>
    <t>eastern coast</t>
  </si>
  <si>
    <t>What we now call gravity was not identified as a universal force until the work of Isaac Newton. Before Newton, the tendency for objects to fall towards the Earth was not understood to be related to the motions of celestial objects. Galileo was instrumental in describing the characteristics of falling objects by determining that the acceleration of every object in free-fall was constant and independent of the mass of the object. Today, this acceleration due to gravity towards the surface of the Earth is usually designated as  and has a magnitude of about 9.81 meters per second squared (this measurement is taken from sea level and may vary depending on location), and points toward the center of the Earth. This observation means that the force of gravity on an object at the Earth's surface is directly proportional to the object's mass. Thus an object that has a mass of  will experience a force:</t>
  </si>
  <si>
    <t>What is an example of a road vehicle?</t>
  </si>
  <si>
    <t>What causes triplet oxygen to react slowly?</t>
  </si>
  <si>
    <t>steam escapes</t>
  </si>
  <si>
    <t>What is the Domesday Book about?</t>
  </si>
  <si>
    <t>whether it would do more harm than good</t>
  </si>
  <si>
    <t>Oxygen is the oxidant</t>
  </si>
  <si>
    <t>The Second World War caused what to be shelved?</t>
  </si>
  <si>
    <t>How much are CO2 levels expected to increase over the next 100 years?</t>
  </si>
  <si>
    <t>Where is the so-called Rhine Knee?</t>
  </si>
  <si>
    <t>Sky UK Limited</t>
  </si>
  <si>
    <t>Cestum veneris</t>
  </si>
  <si>
    <t>What is the name of the alphabet is most commonly used in a problem instance?</t>
  </si>
  <si>
    <t>What is Jacksonville's hottest month on average?</t>
  </si>
  <si>
    <t>The party awarded a seat is the one with the highest what?</t>
  </si>
  <si>
    <t>When was Queen George's war?</t>
  </si>
  <si>
    <t>a supporting function</t>
  </si>
  <si>
    <t>The Melbourne Cricket Ground</t>
  </si>
  <si>
    <t>What was the Yuan's unofficial state religion?</t>
  </si>
  <si>
    <t>Missing self desribes cells that only have small amounts of what cell-surface marker?</t>
  </si>
  <si>
    <t xml:space="preserve"> Who wrote that imperialism is the lowest stage of capitalism?</t>
  </si>
  <si>
    <t>University of Aberdeen</t>
  </si>
  <si>
    <t>elude host immune responses</t>
  </si>
  <si>
    <t>establishing relationships with other necessary participants through the design-build process</t>
  </si>
  <si>
    <t>What is the resultant force called when two forces act on a particle?</t>
  </si>
  <si>
    <t>What platform caused BSkyB to end their analogue service?</t>
  </si>
  <si>
    <t>gelatinous projections edged with cilia that produce water currents</t>
  </si>
  <si>
    <t>symmetric</t>
  </si>
  <si>
    <t>Who made Edward the Confessor Earl?</t>
  </si>
  <si>
    <t>When was the Treaty of Versailles written?</t>
  </si>
  <si>
    <t>What limits the Rankine cycle's efficiency?</t>
  </si>
  <si>
    <t>increased by 0.3 to 0.6 °C</t>
  </si>
  <si>
    <t>Pierre-Auguste Renoir</t>
  </si>
  <si>
    <t>What style of lace is erroneously believed by some to have Huguenot influence?</t>
  </si>
  <si>
    <t>What are O molecules in triplet form?</t>
  </si>
  <si>
    <t>tourism</t>
  </si>
  <si>
    <t>young and the elderly</t>
  </si>
  <si>
    <t>What pushed up the Pyrenees?</t>
  </si>
  <si>
    <t>Which full-sized model cars were not popular?</t>
  </si>
  <si>
    <t>What type of scientist is David Herlihy?</t>
  </si>
  <si>
    <t>How many students did Charles William Eliot teach throughout his tenure at Harvard?</t>
  </si>
  <si>
    <t>Messiaen says that composition with prime numbers was inspired by what?</t>
  </si>
  <si>
    <t xml:space="preserve">Why was the Rhine regulated? </t>
  </si>
  <si>
    <t>In general, there are three sectors of construction: buildings, infrastructure and industrial. Building construction is usually further divided into residential and non-residential (commercial/institutional). Infrastructure is often called heavy/highway, heavy civil or heavy engineering. It includes large public works, dams, bridges, highways, water/wastewater and utility distribution. Industrial includes refineries, process chemical, power generation, mills and manufacturing plants. There are other ways to break the industry into sectors or markets.</t>
  </si>
  <si>
    <t>When did geologists stop using isotopes?</t>
  </si>
  <si>
    <t>Whose role is to design the works, prepare the specifications and produce construction drawings, administer the contract, tender the works, and manage the works from inception to completion</t>
  </si>
  <si>
    <t>When was Israel declared a nonfriendly country?</t>
  </si>
  <si>
    <t>When was the European portion of the Seven Years War complete?</t>
  </si>
  <si>
    <t>What is the mouth of a pleuobrachia kept in?</t>
  </si>
  <si>
    <t>Who besides the Russians are often included in the colonialism debat?</t>
  </si>
  <si>
    <t xml:space="preserve">What did AUSTPAC support </t>
  </si>
  <si>
    <t>In Afghanistan, the mujahideen's victory against the Soviet Union in the 1980s did not lead to justice and prosperity, due to a vicious and destructive civil war between political and tribal warlords, making Afghanistan one of the poorest countries on earth. In 1992, the Democratic Republic of Afghanistan ruled by communist forces collapsed, and democratic Islamist elements of mujahdeen founded the Islamic State of Afghanistan. In 1996, a more conservative and anti-democratic Islamist movement known as the Taliban rose to power, defeated most of the warlords and took over roughly 80% of Afghanistan.</t>
  </si>
  <si>
    <t>When did Victoria enact its constitution?</t>
  </si>
  <si>
    <t>Yale University</t>
  </si>
  <si>
    <t>mass graves in northern, central and southern Europe</t>
  </si>
  <si>
    <t>photolysis</t>
  </si>
  <si>
    <t>Which one of Fresno's hotels burned down?</t>
  </si>
  <si>
    <t>What is the Almannic dialect to describe the islands outside in Austria?</t>
  </si>
  <si>
    <t>In which case were French vigilantes sabotaging shipments of Spanish Strawberries?</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</si>
  <si>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</si>
  <si>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1992</t>
  </si>
  <si>
    <t>How do viruses overcome physical barriers?</t>
  </si>
  <si>
    <t>OneDrive for Business</t>
  </si>
  <si>
    <t>local building authority regulations and codes of practice</t>
  </si>
  <si>
    <t>Who wasn't Al-Banna's assassination a retaliation for the prior assassination of?</t>
  </si>
  <si>
    <t>St. Lawrence</t>
  </si>
  <si>
    <t>1862</t>
  </si>
  <si>
    <t>autoimmunity</t>
  </si>
  <si>
    <t>Was development of this concept originally considered "classified" or a secret?</t>
  </si>
  <si>
    <t>Who restored the Bungalows?</t>
  </si>
  <si>
    <t>the Portuguese</t>
  </si>
  <si>
    <t>monthly fee</t>
  </si>
  <si>
    <t>What applications did AUSTPAC not support?</t>
  </si>
  <si>
    <t>How did the United States plan to subdue non-imperialistic tendencies?</t>
  </si>
  <si>
    <t>Which country is a traditional ally of Israel?</t>
  </si>
  <si>
    <t>Who was Frédéric Chopin?</t>
  </si>
  <si>
    <t>What type of fossils were found in China?</t>
  </si>
  <si>
    <t>Los Angeles International Airport</t>
  </si>
  <si>
    <t>It's Scotland's oil</t>
  </si>
  <si>
    <t>What is the name of another compelling continuation of the Fermat primality test?</t>
  </si>
  <si>
    <t>Harvard has purchased tracts of land in Allston, a walk across the Charles River from Cambridge, with the intent of major expansion southward. The university now owns approximately fifty percent more land in Allston than in Cambridge. Proposals to connect the Cambridge campus with the new Allston campus include new and enlarged bridges, a shuttle service and/or a tram. Plans also call for sinking part of Storrow Drive (at Harvard's expense) for replacement with park land and pedestrian access to the Charles River, as well as the construction of bike paths, and buildings throughout the Allston campus. The institution asserts that such expansion will benefit not only the school, but surrounding community, pointing to such features as the enhanced transit infrastructure, possible shuttles open to the public, and park space which will also be publicly accessible.</t>
  </si>
  <si>
    <t>How many academic units make up Radcliffe?</t>
  </si>
  <si>
    <t>the Conservatives</t>
  </si>
  <si>
    <t>Jean Cauvin</t>
  </si>
  <si>
    <t>The BankAmericard could be used across many merchants but could not do what?</t>
  </si>
  <si>
    <t>official school sport</t>
  </si>
  <si>
    <t>no</t>
  </si>
  <si>
    <t>Mersenne</t>
  </si>
  <si>
    <t>August 15, 1971</t>
  </si>
  <si>
    <t>What year was the typographical error first corrected?</t>
  </si>
  <si>
    <t>In what meeting did Shirley lay out plans for 1756?</t>
  </si>
  <si>
    <t>What is the goal of individual civil disobedience?</t>
  </si>
  <si>
    <t>The acts of what government begin with a conventional enacting formula?</t>
  </si>
  <si>
    <t>587,000</t>
  </si>
  <si>
    <t>Lek</t>
  </si>
  <si>
    <t>Whose theory was the theory of continental drift?</t>
  </si>
  <si>
    <t>biogeochemical cycle</t>
  </si>
  <si>
    <t xml:space="preserve">What artificial method of spreading immunity causes disease? </t>
  </si>
  <si>
    <t>at Wijk bij Duurstede</t>
  </si>
  <si>
    <t>What experiment can be performed on large settings that cannot be on small settings?</t>
  </si>
  <si>
    <t>When is the Midsummer's festival held?</t>
  </si>
  <si>
    <t>At what wavelength do the spectrophotometric bands peak?</t>
  </si>
  <si>
    <t>tyrosinase</t>
  </si>
  <si>
    <t>What tool do stratigraphers use to see their data in three dimensions?</t>
  </si>
  <si>
    <t>3.5 billion years ago</t>
  </si>
  <si>
    <t>What was the US population in 2010?</t>
  </si>
  <si>
    <t>When was the Duchy of Normandy founded?</t>
  </si>
  <si>
    <t>Harvard has several athletic facilities, such as the Lavietes Pavilion, a multi-purpose arena and home to the Harvard basketball teams. The Malkin Athletic Center, known as the "MAC", serves both as the university's primary recreation facility and as a satellite location for several varsity sports. The five-story building includes two cardio rooms, an Olympic-size swimming pool, a smaller pool for aquaerobics and other activities, a mezzanine, where all types of classes are held, an indoor cycling studio, three weight rooms, and a three-court gym floor to play basketball. The MAC offers personal trainers and specialty classes. It is home to Harvard volleyball, fencing and wrestling. The offices of several of the school's varsity coaches are also in the MAC.</t>
  </si>
  <si>
    <t>Where are a bulk of factories concentrated along the Rhine?</t>
  </si>
  <si>
    <t>May</t>
  </si>
  <si>
    <t>Afrikaans</t>
  </si>
  <si>
    <t>Imperialism</t>
  </si>
  <si>
    <t>Who ruined Alexius Komnenos plans for an independent state?</t>
  </si>
  <si>
    <t>What famous Indian's actions were considered civil disobedience?</t>
  </si>
  <si>
    <t>What is a spark or heat to the progress of a fire?</t>
  </si>
  <si>
    <t>greater than $2 million</t>
  </si>
  <si>
    <t>Conservative Islam classifies non-Muslims who follow Shia interpretation as what?</t>
  </si>
  <si>
    <t>patients' prescriptions and patient safety issues</t>
  </si>
  <si>
    <t>roads, bridges and large plazas</t>
  </si>
  <si>
    <t>rare and desired</t>
  </si>
  <si>
    <t xml:space="preserve">In what year was Hatmanis and Stearn's seminal work in computational complexity received? </t>
  </si>
  <si>
    <t>Harvard_University</t>
  </si>
  <si>
    <t>What is the group called that does not agree with government at all?</t>
  </si>
  <si>
    <t>Islamism, also known as Political Islam (Arabic: إسلام سياسي‎ islām siyāsī), is an Islamic revival movement often characterized by moral conservatism, literalism, and the attempt "to implement Islamic values in all spheres of life." Islamism favors the reordering of government and society in accordance with the Shari'a. The different Islamist movements have been described as "oscillating between two poles": at one end is a strategy of Islamization of society through state power seized by revolution or invasion; at the other "reformist" pole Islamists work to Islamize society gradually "from the bottom up". The movements have "arguably altered the Middle East more than any trend since the modern states gained independence", redefining "politics and even borders" according to one journalist (Robin Wright).</t>
  </si>
  <si>
    <t>an Italo-Norman named Raoul</t>
  </si>
  <si>
    <t>What is inlaid with gold panned from French rivers?</t>
  </si>
  <si>
    <t>What is the temperature in the valley of the mountain range in winter?</t>
  </si>
  <si>
    <t>the fourth Session</t>
  </si>
  <si>
    <t>Hormones released during sleep support the interaction of T-cells and what species?</t>
  </si>
  <si>
    <t>By how much did Kent-Brown reduce his investment in Harvard?</t>
  </si>
  <si>
    <t>Where was the average household size was 3.21</t>
  </si>
  <si>
    <t>need for capitalist economies to constantly expand investment, material resources and manpower in such a way that necessitated colonial expansion.</t>
  </si>
  <si>
    <t>What is the sea level of the English Channel?</t>
  </si>
  <si>
    <t xml:space="preserve"> Who didn't cause the dissolution of the Holy Roman Empire?</t>
  </si>
  <si>
    <t>Töregene Khatun</t>
  </si>
  <si>
    <t>the mujahideen Muslim Afghanistan</t>
  </si>
  <si>
    <t>How many residents were recorded in the 2010 census of Jacksonville?</t>
  </si>
  <si>
    <t>How many different network technologies where there before 1973?</t>
  </si>
  <si>
    <t>cogeneration processes</t>
  </si>
  <si>
    <t xml:space="preserve"> What doesn't Yeke Mongghul Ulus mean?</t>
  </si>
  <si>
    <t>What does 'Pal Monqolica' mean?</t>
  </si>
  <si>
    <t>What does most of the HD material use as a standard?</t>
  </si>
  <si>
    <t>In the coming decades, pharmacists are expected to become more integral within the health care system. Rather than simply dispensing medication, pharmacists are increasingly expected to be compensated for their patient care skills. In particular, Medication Therapy Management (MTM) includes the clinical services that pharmacists can provide for their patients. Such services include the thorough analysis of all medication (prescription, non-prescription, and herbals) currently being taken by an individual. The result is a reconciliation of medication and patient education resulting in increased patient health outcomes and decreased costs to the health care system.</t>
  </si>
  <si>
    <t>What is the enrollment of undergraduates at Harvard?</t>
  </si>
  <si>
    <t>What is the record high in January?</t>
  </si>
  <si>
    <t>health care professional</t>
  </si>
  <si>
    <t>a proper hierarchy</t>
  </si>
  <si>
    <t>The European Commission</t>
  </si>
  <si>
    <t>How large was the audience BSkyB said they could reach?</t>
  </si>
  <si>
    <t>What is an obvious source for cost engineers?</t>
  </si>
  <si>
    <t>early 1950s</t>
  </si>
  <si>
    <t>Battle of Hastings</t>
  </si>
  <si>
    <t>because Dutch law said only people established in the Netherlands could give legal advice</t>
  </si>
  <si>
    <t>What is an example of what is analyzed by computers in the lab?</t>
  </si>
  <si>
    <t>In case of cabin pressurization, what is available to passengers?</t>
  </si>
  <si>
    <t>Treaties apply as soon as they enter into force, unless stated otherwise, and are generally concluded for an unlimited period</t>
  </si>
  <si>
    <t>explosives</t>
  </si>
  <si>
    <t>Decision problems capable of being solved by a deterministic Turing machine while maintaining adherence to polynomial time belong to what class?</t>
  </si>
  <si>
    <t>During what ages were the Limes Germanicus built?</t>
  </si>
  <si>
    <t>Land-based steam engines could exhaust much of their steam, as feed water was usually readily available. Prior to and during World War I, the expansion engine dominated marine applications where high vessel speed was not essential. It was however superseded by the British invention steam turbine where speed was required, for instance in warships, such as the dreadnought battleships, and ocean liners. HMS Dreadnought of 1905 was the first major warship to replace the proven technology of the reciprocating engine with the then-novel steam turbine.[citation needed]</t>
  </si>
  <si>
    <t>What international data communications network was headquartered in San Juan, CA?</t>
  </si>
  <si>
    <t>private member</t>
  </si>
  <si>
    <t>What side of the street will the art pieces be on?</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</si>
  <si>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</si>
  <si>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Cévennes mountain region</t>
  </si>
  <si>
    <t>What is a major factor even with aerospace cutbacks?</t>
  </si>
  <si>
    <t>antigenic variation</t>
  </si>
  <si>
    <t>When was the St. Bartholomew's Day Massacre?</t>
  </si>
  <si>
    <t>In which article does the Treaty of Lisbon prohibit anti-competitive agreements?</t>
  </si>
  <si>
    <t>Portuguese</t>
  </si>
  <si>
    <t>the electrostatic force (due to the electric field) and the magnetic force</t>
  </si>
  <si>
    <t>What is the problem attributed to defining if two finite graphs are isomorphic?</t>
  </si>
  <si>
    <t>The Presiding Officer (or Deputy Presiding Officer) decides who speaks in chamber debates and the amount of time for which they are allowed to speak. Normally, the Presiding Officer tries to achieve a balance between different viewpoints and political parties when selecting members to speak. Typically, ministers or party leaders open debates, with opening speakers given between 5 and 20 minutes, and succeeding speakers allocated less time. The Presiding Officer can reduce speaking time if a large number of members wish to participate in the debate. Debate is more informal than in some parliamentary systems. Members may call each other directly by name, rather than by constituency or cabinet position, and hand clapping is allowed. Speeches to the chamber are normally delivered in English, but members may use Scots, Gaelic, or any other language with the agreement of the Presiding Officer. The Scottish Parliament has conducted debates in the Gaelic language.</t>
  </si>
  <si>
    <t>What early Huguenot Church was established in England?</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</si>
  <si>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</si>
  <si>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What is another type of private key cryptography algorithm?</t>
  </si>
  <si>
    <t>Hoesung Lee</t>
  </si>
  <si>
    <t>How did Huguenots hold onto some of their religious beliefs over the years?</t>
  </si>
  <si>
    <t>magma</t>
  </si>
  <si>
    <t>the Adriatic</t>
  </si>
  <si>
    <t>In what year did Rene Goulaine de Laudonniere leave his position as a lieutenant for Jean Ribault?</t>
  </si>
  <si>
    <t>Where did Francis Heisler plan to have her protest?</t>
  </si>
  <si>
    <t>What political response was convening in June/July 1745?</t>
  </si>
  <si>
    <t>by everyone</t>
  </si>
  <si>
    <t>1041</t>
  </si>
  <si>
    <t>Citizenship of the EU</t>
  </si>
  <si>
    <t>What is the English translation of tawhid?</t>
  </si>
  <si>
    <t>Frederick W. Mote</t>
  </si>
  <si>
    <t>What does the Nederrijn change it's name to?</t>
  </si>
  <si>
    <t>What city was Jan van Riebeeck from?</t>
  </si>
  <si>
    <t>In the Philippines, what percentage of secondary school students attend private schools?</t>
  </si>
  <si>
    <t>In the 1980s what was the population of the amazon region?</t>
  </si>
  <si>
    <t>Why is the current sea level rising?</t>
  </si>
  <si>
    <t>with common rules for coal and steel, and then atomic energy</t>
  </si>
  <si>
    <t>a postal company</t>
  </si>
  <si>
    <t>May 1754</t>
  </si>
  <si>
    <t>the radius () of the Earth</t>
  </si>
  <si>
    <t>3.55 inches (90.2 mm)</t>
  </si>
  <si>
    <t>BankAmericard</t>
  </si>
  <si>
    <t>Who started the Yuan dynasty?</t>
  </si>
  <si>
    <t>What type of space in Warsaw are the Culture Garden and University Library garden?</t>
  </si>
  <si>
    <t>In what geographical portion of England is Abercynon located?</t>
  </si>
  <si>
    <t>What are the three primary expressions used to represent case complexity?</t>
  </si>
  <si>
    <t>What area has become attractive for restaurants?</t>
  </si>
  <si>
    <t>Approximately one million Protestants in modern France represent some 2% of its population. Most are concentrated in Alsace in northeast France and the Cévennes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</si>
  <si>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What wasn't the goal of congress?</t>
  </si>
  <si>
    <t>direct effect or indirect effect</t>
  </si>
  <si>
    <t>What did a greedy merchant do to the mermaid?</t>
  </si>
  <si>
    <t>What river is located in the vicinity of the school?</t>
  </si>
  <si>
    <t>What 2011 report was requested by the IPCC?</t>
  </si>
  <si>
    <t>What is another term for the upper atmosphere?</t>
  </si>
  <si>
    <t>Whose occupation of Kuwait did the US military personal seek to put an end to?</t>
  </si>
  <si>
    <t>What was the principle shown in The Mark of Anarchy?</t>
  </si>
  <si>
    <t>reciprocating</t>
  </si>
  <si>
    <t>8,646</t>
  </si>
  <si>
    <t>Norman architecture typically stands out as a new stage in the architectural history of the regions they subdued. They spread a unique Romanesque idiom to England and Italy, and the encastellation of these regions with keeps in their north French style fundamentally altered the military landscape. Their style was characterised by rounded arches, particularly over windows and doorways, and massive proportions.</t>
  </si>
  <si>
    <t>along the coast</t>
  </si>
  <si>
    <t>West Lothian question</t>
  </si>
  <si>
    <t>The Skirmish of the Brick Church</t>
  </si>
  <si>
    <t>How many years did it take for the Black Death to spread throughout Europe?</t>
  </si>
  <si>
    <t>In what decade did the Rankine cycle create 90% of engine components?</t>
  </si>
  <si>
    <t>Along with mills and mines, in what industrial locations did steam drive machines?</t>
  </si>
  <si>
    <t>Who uninvited Washington to dine with him?</t>
  </si>
  <si>
    <t>geomorphologic</t>
  </si>
  <si>
    <t>What is the virus in humans that causes cervical cancer?</t>
  </si>
  <si>
    <t>Who was the director of the American Geographical Society in 1914?</t>
  </si>
  <si>
    <t>What are two factors that directly effect how powerful a Turing machine may or may not be?</t>
  </si>
  <si>
    <t>Ohio Company of Virginia</t>
  </si>
  <si>
    <t>What is the scenario called in which we don't change our greenhouse gas creation practices?</t>
  </si>
  <si>
    <t>When did the Holocene end?</t>
  </si>
  <si>
    <t>expected to become more integral within the health care system</t>
  </si>
  <si>
    <t>What does ARPANET in simple terms?</t>
  </si>
  <si>
    <t>new converts</t>
  </si>
  <si>
    <t>How many seats does Victoria have in the Senate?</t>
  </si>
  <si>
    <t>During the mass high school education movement from 1910–1940, there was an increase in skilled workers, which led to a decrease in the price of skilled labor. High school education during the period was designed to equip students with necessary skill sets to be able to perform at work. In fact, it differs from the present high school education, which is regarded as a stepping-stone to acquire college and advanced degrees. This decrease in wages caused a period of compression and decreased inequality between skilled and unskilled workers. Education is very important for the growth of the economy, however educational inequality in gender also influence towards the economy. Lagerlof and Galor stated that gender inequality in education can result to low economic growth, and continued gender inequality in education, thus creating a poverty trap. It is suggested that a large gap in male and female education may indicate backwardness and so may be associated with lower economic growth, which can explain why there is economic inequality between countries.</t>
  </si>
  <si>
    <t>One in seven of the worlds bird species live where?</t>
  </si>
  <si>
    <t>Who rejected an index of health and social problems?</t>
  </si>
  <si>
    <t>In what year was the Eastern Roman Empire established?</t>
  </si>
  <si>
    <t>What are two factors that made it difficult for colonists to the Amazon forest to survive?</t>
  </si>
  <si>
    <t>What type of climate does Jacksonville have?</t>
  </si>
  <si>
    <t>How were some modern economic inequalities created?</t>
  </si>
  <si>
    <t xml:space="preserve">How far from Warsaw does the Vistula river's environment change noticeably? </t>
  </si>
  <si>
    <t>equality</t>
  </si>
  <si>
    <t>In autoimmune disorders, the immune system doesn't distinguish between what types of cells?</t>
  </si>
  <si>
    <t>speech</t>
  </si>
  <si>
    <t>In particular, this norm gets smaller when a number is multiplied by p, in sharp contrast to the usual absolute value (also referred to as the infinite prime). While completing Q (roughly, filling the gaps) with respect to the absolute value yields the field of real numbers, completing with respect to the p-adic norm |−|p yields the field of p-adic numbers. These are essentially all possible ways to complete Q, by Ostrowski's theorem. Certain arithmetic questions related to Q or more general global fields may be transferred back and forth to the completed (or local) fields. This local-global principle again underlines the importance of primes to number theory.</t>
  </si>
  <si>
    <t>How was US News and World Report ranked in terms of CEO positions in 2011?</t>
  </si>
  <si>
    <t>the 1978 Supreme Court case of FCC v. Pacifica Foundation</t>
  </si>
  <si>
    <t>Who is the parent company of NDS?</t>
  </si>
  <si>
    <t>In what year did William III become King of England?</t>
  </si>
  <si>
    <t>Sankt Goarshausen</t>
  </si>
  <si>
    <t>What political leaning does the Cato Institute not have?</t>
  </si>
  <si>
    <t>Why did Hutton believe the earth needed to be much younger than previously believed?</t>
  </si>
  <si>
    <t>eighteenth century</t>
  </si>
  <si>
    <t>What theorems are responsible for determining questions of time and space requirements?</t>
  </si>
  <si>
    <t>What did Joseph Priestley's August 4, 1774 experiment focus on?</t>
  </si>
  <si>
    <t>In Europe there are old pharmacies still operating in Dubrovnik, Croatia, located inside the Franciscan monastery, opened in 1317; and in the Town Hall Square of Tallinn, Estonia, dating from at least 1422. The oldest is claimed to have been set up in 1221 in the Church of Santa Maria Novella in Florence, Italy, which now houses a perfume museum. The medieval Esteve Pharmacy, located in Llívia, a Catalan enclave close to Puigcerdà, also now a museum, dates back to the 15th century, keeping albarellos from the 16th and 17th centuries, old prescription books and antique drugs.</t>
  </si>
  <si>
    <t>What does Black's Law Dictionary say that rebellion doesn't have to be?</t>
  </si>
  <si>
    <t>more than 50 kilopascals</t>
  </si>
  <si>
    <t>How long doesn't it take for the effects to manifest as changes to economic growth?</t>
  </si>
  <si>
    <t>How does inequality prevent growth?</t>
  </si>
  <si>
    <t>U.S authorship of a 'new world'</t>
  </si>
  <si>
    <t>Where did the water in the Amazon Basin flow towards when moving west?</t>
  </si>
  <si>
    <t>random access machines</t>
  </si>
  <si>
    <t>Huguenots in Killeshandra and County Cavan expanded what agricultural industry?</t>
  </si>
  <si>
    <t>when they improve society as a whole</t>
  </si>
  <si>
    <t>July</t>
  </si>
  <si>
    <t>What did Israel and Syria do to avoid being targeted by the boycott?</t>
  </si>
  <si>
    <t>What British General negotiated at Montreal?</t>
  </si>
  <si>
    <t>higher GDP growth</t>
  </si>
  <si>
    <t>because of the greater density of cold water</t>
  </si>
  <si>
    <t xml:space="preserve"> What may have caused rainforests to grow across South America?</t>
  </si>
  <si>
    <t>What is the steam engine's thermodynamic basis?</t>
  </si>
  <si>
    <t>plug-n-play</t>
  </si>
  <si>
    <t>When did this leader publish a French language Bible?</t>
  </si>
  <si>
    <t>Who adopted the fuedel doctrines of the Normans?</t>
  </si>
  <si>
    <t>What charter has not become an improtant aspect of Eu law?</t>
  </si>
  <si>
    <t>32 °C</t>
  </si>
  <si>
    <t>The physicians of the Yuan court came from diverse cultures. Healers were divided into non-Mongol physicians called otachi and traditional Mongol shamans. The Mongols characterized otachi doctors by their use of herbal remedies, which was distinguished from the spiritual cures of Mongol shamanism. Physicians received official support from the Yuan government and were given special legal privileges. Kublai created the Imperial Academy of Medicine to manage medical treatises and the education of new doctors. Confucian scholars were attracted to the medical profession because it ensured a high income and medical ethics were compatible with Confucian virtues.</t>
  </si>
  <si>
    <t>superheaters</t>
  </si>
  <si>
    <t>What are the two processing facilities in the neighborhood?</t>
  </si>
  <si>
    <t>civil</t>
  </si>
  <si>
    <t>What do epithelial cells have at the oral end?</t>
  </si>
  <si>
    <t>the Treaty of Rome 1957 and the Maastricht Treaty 1992 (now: TFEU)</t>
  </si>
  <si>
    <t xml:space="preserve"> What illegitimate dynasty came after the Yuan?</t>
  </si>
  <si>
    <t>How many California University campuses are there?</t>
  </si>
  <si>
    <t>How much was the emergency aid to Israel?</t>
  </si>
  <si>
    <t>carbon monoxide</t>
  </si>
  <si>
    <t>What came under Williams dominace before the conquest?</t>
  </si>
  <si>
    <t>stagnant</t>
  </si>
  <si>
    <t>The Rhine-Meuse Delta, the most important natural region of the Netherlands begins near Millingen aan de Rijn, close to the Dutch-German border with the division of the Rhine into Waal and Nederrijn. Since the Rhine contributes most of the water, the shorter term Rhine Delta is commonly used. However, this name is also used for the river delta where the Rhine flows into Lake Constance, so it is clearer to call the larger one Rhine-Meuse delta, or even Rhine–Meuse–Scheldt delta, as the Scheldt ends in the same delta.</t>
  </si>
  <si>
    <t>How long can the cillia grow on ctenophores?</t>
  </si>
  <si>
    <t>The term "southern" California usually refers to how many of the southern-most counties of the state?</t>
  </si>
  <si>
    <t>What is another term for university-preparatory schools?</t>
  </si>
  <si>
    <t>What is 63 degrees celsius the creep limit of?</t>
  </si>
  <si>
    <t>Which outbreak was associated with troops in the thirty years war?</t>
  </si>
  <si>
    <t>exothermic</t>
  </si>
  <si>
    <t>other herbs</t>
  </si>
  <si>
    <t>What could the Supplemental Nutrition Assistance Program never sell?</t>
  </si>
  <si>
    <t>Construction of what led residents to move from the suburbs?</t>
  </si>
  <si>
    <t>key bed</t>
  </si>
  <si>
    <t>What is an example of a parasite that used the antigenic variation strategy to evade destruction?</t>
  </si>
  <si>
    <t>What do most online pharmacies do?</t>
  </si>
  <si>
    <t>What field of computer science is primarily concerned with determining the likelihood of whether or not a problem can ultimately be solved using algorithms?</t>
  </si>
  <si>
    <t>50–140 cm</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</si>
  <si>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</si>
  <si>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In what part of the 19th century were steam turbines introduced?</t>
  </si>
  <si>
    <t>What is Cultural Imperialism often referred to as?</t>
  </si>
  <si>
    <t>45,000 pounds</t>
  </si>
  <si>
    <t>A Turing machine</t>
  </si>
  <si>
    <t>What was Sky Travel later rebranded as?</t>
  </si>
  <si>
    <t>Who's arristocracy eventually served as avid Crusaders?</t>
  </si>
  <si>
    <t>Other than for its resort feel, what is Palm Springs popular for?</t>
  </si>
  <si>
    <t>How much heavier is oxygen 18 than oxygen 16?</t>
  </si>
  <si>
    <t>What job was Kemney given at GE?</t>
  </si>
  <si>
    <t>What responsibilities are pharmacists believed to be taking on more in the future?</t>
  </si>
  <si>
    <t>The advances made in the Middle East in botany and chemistry led medicine in medieval Islam substantially to develop pharmacology. Muhammad ibn Zakarīya Rāzi (Rhazes) (865–915), for instance, acted to promote the medical uses of chemical compounds. Abu al-Qasim al-Zahrawi (Abulcasis) (936–1013) pioneered the preparation of medicines by sublimation and distillation. His Liber servitoris is of particular interest, as it provides the reader with recipes and explains how to prepare the `simples’ from which were compounded the complex drugs then generally used. Sabur Ibn Sahl (d 869), was, however, the first physician to initiate pharmacopoedia, describing a large variety of drugs and remedies for ailments. Al-Biruni (973–1050) wrote one of the most valuable Islamic works on pharmacology, entitled Kitab al-Saydalah (The Book of Drugs), in which he detailed the properties of drugs and outlined the role of pharmacy and the functions and duties of the pharmacist. Avicenna, too, described no less than 700 preparations, their properties, modes of action, and their indications. He devoted in fact a whole volume to simple drugs in The Canon of Medicine. Of great impact were also the works by al-Maridini of Baghdad and Cairo, and Ibn al-Wafid (1008–1074), both of which were printed in Latin more than fifty times, appearing as De Medicinis universalibus et particularibus by 'Mesue' the younger, and the Medicamentis simplicibus by 'Abenguefit'. Peter of Abano (1250–1316) translated and added a supplement to the work of al-Maridini under the title De Veneris. Al-Muwaffaq’s contributions in the field are also pioneering. Living in the 10th century, he wrote The foundations of the true properties of Remedies, amongst others describing arsenious oxide, and being acquainted with silicic acid. He made clear distinction between sodium carbonate and potassium carbonate, and drew attention to the poisonous nature of copper compounds, especially copper vitriol, and also lead compounds. He also describes the distillation of sea-water for drinking.[verification needed]</t>
  </si>
  <si>
    <t>What did Lewis S. Eaton donate?</t>
  </si>
  <si>
    <t>Which direction does two thirds of the Rhine flow outside of Germany?</t>
  </si>
  <si>
    <t>The Beneden Merwede branches off from the northern branch into what?</t>
  </si>
  <si>
    <t>Lupe Mayorga</t>
  </si>
  <si>
    <t>In the capabilities approach, grow and income are considered a means to an end rather than what?</t>
  </si>
  <si>
    <t>increased patient health outcomes and decreased costs</t>
  </si>
  <si>
    <t>metamorphosed</t>
  </si>
  <si>
    <t>At what level are 13% of children in Scottish independent schools?</t>
  </si>
  <si>
    <t>BSkyB</t>
  </si>
  <si>
    <t>When did O2 begin to acculturate in the atmosphere?</t>
  </si>
  <si>
    <t>in the parts of the internal canal network under the comb rows</t>
  </si>
  <si>
    <t>Albert Einstein formulated what law?</t>
  </si>
  <si>
    <t>human capital is neglected</t>
  </si>
  <si>
    <t>"Rhine-kilometers"</t>
  </si>
  <si>
    <t>What city, along with Hamilton, Wellington and Christchurch, is one of the largest in New Zealand?</t>
  </si>
  <si>
    <t>When did Warsaw become the capital of the Kingdom of Poland?</t>
  </si>
  <si>
    <t>When will Ford's manufacturing plants close?</t>
  </si>
  <si>
    <t>Monroe Doctrine</t>
  </si>
  <si>
    <t>Who can propose the date of the poll be varied by up to three months?</t>
  </si>
  <si>
    <t>What standards did American cars create in the auto industry?</t>
  </si>
  <si>
    <t>What neighborhood is Edward Harkness formerly from?</t>
  </si>
  <si>
    <t>1.1 × 1011</t>
  </si>
  <si>
    <t>Roman</t>
  </si>
  <si>
    <t>mermaid</t>
  </si>
  <si>
    <t>Where does professional surfer Tony Hawk live?</t>
  </si>
  <si>
    <t>technological superiority</t>
  </si>
  <si>
    <t>During Reconstruction and the Gilded Age, Jacksonville and nearby St. Augustine became popular winter resorts for the rich and famous. Visitors arrived by steamboat and later by railroad. President Grover Cleveland attended the Sub-Tropical Exposition in the city on February 22, 1888 during his trip to Florida. This highlighted the visibility of the state as a worthy place for tourism. The city's tourism, however, was dealt major blows in the late 19th century by yellow fever outbreaks. In addition, extension of the Florida East Coast Railway further south drew visitors to other areas. From 1893 to 1938 Jacksonville was the site of the Florida Old Confederate Soldiers and Sailors Home with a nearby cemetery.</t>
  </si>
  <si>
    <t>What is the increased rates of self-employment based on?</t>
  </si>
  <si>
    <t>What commission was censured in 1999, and paved the way for Commissioners to abuse their power?</t>
  </si>
  <si>
    <t>criminalized behavior</t>
  </si>
  <si>
    <t>1,435 mm (4 ft 8 1⁄2 in) standard gauge</t>
  </si>
  <si>
    <t>transparent dome made of long, immobile cilia</t>
  </si>
  <si>
    <t>high schools lost their accreditation</t>
  </si>
  <si>
    <t>parallel to the canalized Rhine into the lake.</t>
  </si>
  <si>
    <t>Edict of Alès</t>
  </si>
  <si>
    <t>When was the Third Assessment Report published?</t>
  </si>
  <si>
    <t>allow for U.S authorship of a 'new world'</t>
  </si>
  <si>
    <t>What did Shrewsbury note about the plague?</t>
  </si>
  <si>
    <t>were immediately arrested</t>
  </si>
  <si>
    <t>What theory is the Cobham-Edward thesis?</t>
  </si>
  <si>
    <t>The concept of inertia can be further generalized to explain the tendency of objects to continue in many different forms of constant motion, even those that are not strictly constant velocity. The rotational inertia of planet Earth is what fixes the constancy of the length of a day and the length of a year. Albert Einstein extended the principle of inertia further when he explained that reference frames subject to constant acceleration, such as those free-falling toward a gravitating object, were physically equivalent to inertial reference frames. This is why, for example, astronauts experience weightlessness when in free-fall orbit around the Earth, and why Newton's Laws of Motion are more easily discernible in such environments. If an astronaut places an object with mass in mid-air next to himself, it will remain stationary with respect to the astronaut due to its inertia. This is the same thing that would occur if the astronaut and the object were in intergalactic space with no net force of gravity acting on their shared reference frame. This principle of equivalence was one of the foundational underpinnings for the development of the general theory of relativity.</t>
  </si>
  <si>
    <t>peer-reviewed sources</t>
  </si>
  <si>
    <t>Which pharmacists are likely to seek additional education following pharmacy school?</t>
  </si>
  <si>
    <t>known client</t>
  </si>
  <si>
    <t>When did Fulton Street become the main financial district?</t>
  </si>
  <si>
    <t>How are the explanations supported?</t>
  </si>
  <si>
    <t>Which date was affirmed by the IPCC?</t>
  </si>
  <si>
    <t>Why should disobedience by the general public be avoided?</t>
  </si>
  <si>
    <t>The notion "force"</t>
  </si>
  <si>
    <t>Near where in the continent is it believed that the Amazon basin split?</t>
  </si>
  <si>
    <t>What body shape does the Aboral have?</t>
  </si>
  <si>
    <t>the oxidant</t>
  </si>
  <si>
    <t>Sonia Shankman Orthogenic School</t>
  </si>
  <si>
    <t>Mandatory Committees</t>
  </si>
  <si>
    <t>modern soils</t>
  </si>
  <si>
    <t>What are the main threats facing the Amazon rainforest in the current century?</t>
  </si>
  <si>
    <t>n &lt; p &lt; 2n − 2</t>
  </si>
  <si>
    <t>Who led the North American Huguenot colonial expedition?</t>
  </si>
  <si>
    <t>How often do plankton need to feed?</t>
  </si>
  <si>
    <t>a storm</t>
  </si>
  <si>
    <t>economically</t>
  </si>
  <si>
    <t>136,000 square kilometres</t>
  </si>
  <si>
    <t>What don't capitalist firms substitute equipment for in a Marxian analysis?</t>
  </si>
  <si>
    <t xml:space="preserve"> Who led a Mongol defense on the Song dynasty?</t>
  </si>
  <si>
    <t>What were states not responsible for in Article 34?</t>
  </si>
  <si>
    <t>rapid apoptosis</t>
  </si>
  <si>
    <t xml:space="preserve"> colonial rule would not be considered what type of imperialism?</t>
  </si>
  <si>
    <t>In what year did Savery's engine pump in a mine?</t>
  </si>
  <si>
    <t>Mocama</t>
  </si>
  <si>
    <t>On which Woods Hole campus is the National Opinion Research Center located?</t>
  </si>
  <si>
    <t>A 1999 study found that 100 km² of rain forest contain how many living plants?</t>
  </si>
  <si>
    <t>Proper safety equipment such as harnesses and guardrails and procedures such as securing ladders and inspecting scaffolding</t>
  </si>
  <si>
    <t>~8,000 years ago</t>
  </si>
  <si>
    <t>water tower</t>
  </si>
  <si>
    <t>Who published William Smith's geological map?</t>
  </si>
  <si>
    <t>15 °C (59 °F)</t>
  </si>
  <si>
    <t>What type of architecture is the Palace of Four Windows an impressive example of?</t>
  </si>
  <si>
    <t>4</t>
  </si>
  <si>
    <t>How didn't war start?</t>
  </si>
  <si>
    <t>Long-lived memory cells can remember previous encounters with what?</t>
  </si>
  <si>
    <t>achievement-oriented motivations</t>
  </si>
  <si>
    <t>How many geomorphologic formations is Warsaw on?</t>
  </si>
  <si>
    <t>What did the Royal Society of Edinburgh present in 1785?</t>
  </si>
  <si>
    <t>Students at the University of Chicago run over 400 clubs and organizations known as Recognized Student Organizations (RSOs). These include cultural and religious groups, academic clubs and teams, and common-interest organizations. Notable extracurricular groups include the University of Chicago College Bowl Team, which has won 118 tournaments and 15 national championships, leading both categories internationally. The university's competitive Model United Nations team was the top ranked team in North America in 2013-14 and 2014-2015. Among notable RSOs are the nation's longest continuously running student film society Doc Films, organizing committee for the University of Chicago Scavenger Hunt, the twice-weekly student newspaper The Chicago Maroon, the alternative weekly student newspaper South Side Weekly, the nation's second oldest continuously running student improvisational theater troupe Off-Off Campus, and the university-owned radio station WHPK.</t>
  </si>
  <si>
    <t>period of compression</t>
  </si>
  <si>
    <t>Other predecessors of the Reformed church included the pro-reform and Gallican Roman Catholics, such as Jacques Lefevre (c. 1455–1536). The Gallicans briefly achieved independence for the French church, on the principle that the religion of France could not be controlled by the Bishop of Rome, a foreign power. During the Protestant Reformation, Lefevre, a professor at the University of Paris, published his French translation of the New Testament in 1523, followed by the whole Bible in the French language in 1530. William Farel was a student of Lefevre who went on to become a leader of the Swiss Reformation, establishing a Protestant government in Geneva. Jean Cauvin (John Calvin), another student at the University of Paris, also converted to Protestantism. Long after the sect was suppressed by Francis I, the remaining French Waldensians, then mostly in the Luberon region, sought to join William Farel, Calvin and the Reformation, and Olivetan published a French Bible for them. The French Confession of 1559 shows a decidedly Calvinistic influence. Sometime between 1550 and 1580, members of the Reformed church in France came to be commonly known as Huguenots.[citation needed]</t>
  </si>
  <si>
    <t>one-stop shopping</t>
  </si>
  <si>
    <t>parallel importers</t>
  </si>
  <si>
    <t>Female sex hormones are immunostimulators of which immune responses?</t>
  </si>
  <si>
    <t>What did Kublai's government not balance between?</t>
  </si>
  <si>
    <t>radicalize the Islamist movement</t>
  </si>
  <si>
    <t>How long is the Germany?</t>
  </si>
  <si>
    <t>drinking water</t>
  </si>
  <si>
    <t>Most of the forces in the universe are based on how many fundamental interactions?</t>
  </si>
  <si>
    <t>What is an example of a problem that rests within the NP simplicity class?</t>
  </si>
  <si>
    <t>article 30</t>
  </si>
  <si>
    <t>What project structures assist the owner in integration?</t>
  </si>
  <si>
    <t>When year was the Maastrich Treaty signed?</t>
  </si>
  <si>
    <t>fifteen</t>
  </si>
  <si>
    <t>computational complexity theory</t>
  </si>
  <si>
    <t>France laid siege to Montpellier in what year?</t>
  </si>
  <si>
    <t>Earth's crustal rock</t>
  </si>
  <si>
    <t>What party had a victory in the 2015 UK election?</t>
  </si>
  <si>
    <t>residency registration</t>
  </si>
  <si>
    <t>What number did early Greeks not regard as a true number?</t>
  </si>
  <si>
    <t>Paul Revere</t>
  </si>
  <si>
    <t>unified electromagnetic force</t>
  </si>
  <si>
    <t>Non-revolutionary</t>
  </si>
  <si>
    <t>How did the Nixon administration negotiate with the uncooperative countries?</t>
  </si>
  <si>
    <t>What did Polo call the Yuan capital?</t>
  </si>
  <si>
    <t>What kind of unit tends to change its volume?</t>
  </si>
  <si>
    <t>Civil disobedients have chosen many different kinds of what type of behaviors?</t>
  </si>
  <si>
    <t>1720 in Marseille.</t>
  </si>
  <si>
    <t>The lithosphere moves over which mantle n the theory of plate tectonics?</t>
  </si>
  <si>
    <t>What did the Court of Justice say Steymann was entitled to?</t>
  </si>
  <si>
    <t>State Route 168 head west of what?</t>
  </si>
  <si>
    <t>When did Tamera marry a composer?</t>
  </si>
  <si>
    <t>setup phase</t>
  </si>
  <si>
    <t>Auckland</t>
  </si>
  <si>
    <t>What is one thing cilia don't have?</t>
  </si>
  <si>
    <t>August 1992</t>
  </si>
  <si>
    <t>little support</t>
  </si>
  <si>
    <t>What style were the mass constructed residential blocks designed in?</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</si>
  <si>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</si>
  <si>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South African Schools Act</t>
  </si>
  <si>
    <t>Battle of Bạch Đằng</t>
  </si>
  <si>
    <t>Hans Tanzler</t>
  </si>
  <si>
    <t>What type of conservation effort is gaining attention in the Amazon?</t>
  </si>
  <si>
    <t>How many television and radio channels did the digital service get rid of?</t>
  </si>
  <si>
    <t>1993</t>
  </si>
  <si>
    <t>guidance</t>
  </si>
  <si>
    <t>acupuncture, moxibustion, pulse diagnosis, and various herbal drugs and elixirs</t>
  </si>
  <si>
    <t>What did the conflict galvanize Muslims around the world to do?</t>
  </si>
  <si>
    <t>Harvard - Yale Regatta predates "The Game" by how many years?</t>
  </si>
  <si>
    <t>superior</t>
  </si>
  <si>
    <t>Members of which organizations are disqualified from sitting in the SP as elected MSPs?</t>
  </si>
  <si>
    <t>What type of interpretation of Islam does Salafism promote?</t>
  </si>
  <si>
    <t>Which country had trading posts in India after Britain?</t>
  </si>
  <si>
    <t>"The word ‘empire’ comes from the Latin word imperium; for which the closest modern English equivalent would perhaps be ‘sovereignty’, or simply ‘rule’". The greatest distinction of an empire is through the amount of land that a nation has conquered and expanded. Political power grew from conquering land, however cultural and economic aspects flourished through sea and trade routes. A distinction about empires is "that although political empires were built mostly by expansion overland, economic and cultural influences spread at least as much by sea". Some of the main aspects of trade that went overseas consisted of animals and plant products. European empires in Asia and Africa "have come to be seen as the classic forms of imperialism: and indeed most books on the subject confine themselves to the European seaborne empires". European expansion caused the world to be divided by how developed and developing nation are portrayed through the world systems theory. The two main regions are the core and the periphery. The core consists of high areas of income and profit; the periphery is on the opposing side of the spectrum consisting of areas of low income and profit. These critical theories of Geo-politics have led to increased discussion of the meaning and impact of imperialism on the modern post-colonial world. The Russian leader Lenin suggested that "imperialism was the highest form of capitalism, claiming that imperialism developed after colonialism, and was distinguished from colonialism by monopoly capitalism". This idea from Lenin stresses how important new political world order has become in our modern era. Geopolitics now focuses on states becoming major economic players in the market; some states today are viewed as empires due to their political and economic authority over other nations.</t>
  </si>
  <si>
    <t>What form do complex rational primes have?</t>
  </si>
  <si>
    <t>What was the name of the stadium that the teams played in?</t>
  </si>
  <si>
    <t>The San Bernardino-Riverside area maintains the business districts of Downtown San Bernardino, Hospitality Business/Financial Centre, University Town which are in San Bernardino and Downtown Riverside.</t>
  </si>
  <si>
    <t>What does Article 102 not prohibit?</t>
  </si>
  <si>
    <t>What did most people in the League of Augsburg speak as their first language?</t>
  </si>
  <si>
    <t>about 90,790</t>
  </si>
  <si>
    <t>First Amendment</t>
  </si>
  <si>
    <t xml:space="preserve">What network was designed by the french </t>
  </si>
  <si>
    <t>plan the physical proceedings, and to integrate those proceedings with the other parts</t>
  </si>
  <si>
    <t>the Official Report</t>
  </si>
  <si>
    <t>What is the Irish term for private schools?</t>
  </si>
  <si>
    <t>North and West Africa</t>
  </si>
  <si>
    <t>What are leukocytes the first arm of?</t>
  </si>
  <si>
    <t>Petitcodiac in 1755 and at Bloody Creek near Annapolis Royal in 1757</t>
  </si>
  <si>
    <t>What year did Dick Sullivan publish a study on rudimentary sets?</t>
  </si>
  <si>
    <t>What is the second busiest container port in the United States?</t>
  </si>
  <si>
    <t>When did it retract to a inland formation?</t>
  </si>
  <si>
    <t>What is the process by which the adaptive immune system is evaded by the chainging of non-essential epitopes called?</t>
  </si>
  <si>
    <t>public-key cryptography</t>
  </si>
  <si>
    <t>theory of races</t>
  </si>
  <si>
    <t>What stature did pharmacists have in the pre-Heian Imperial court?</t>
  </si>
  <si>
    <t>What was the name of Watt's boss?</t>
  </si>
  <si>
    <t>combination of hermaphroditism and early reproduction</t>
  </si>
  <si>
    <t>Who can't operates internet pharmacies?</t>
  </si>
  <si>
    <t>What Islands are of the coast of Asia?</t>
  </si>
  <si>
    <t>the clinical pharmacy movement initially began inside hospitals and clinics</t>
  </si>
  <si>
    <t>For the Liberals, the main disappointment was what?</t>
  </si>
  <si>
    <t>What are two anti-inflammatory molecules that peak during awake hours?</t>
  </si>
  <si>
    <t>What disagreement did Montcalm and Indians have?</t>
  </si>
  <si>
    <t>What did John Paul II's visits in 1973 and 1989 encourage?</t>
  </si>
  <si>
    <t>7,000,000 square kilometres</t>
  </si>
  <si>
    <t xml:space="preserve">What encoding decision needs to be made in order to determine an inaccurate definition of the formal language? </t>
  </si>
  <si>
    <t>Gaussian integers</t>
  </si>
  <si>
    <t>Who wrote "The closing of the Good War"?</t>
  </si>
  <si>
    <t>24%</t>
  </si>
  <si>
    <t>Who accepted the German government's arguments that the measure proportional protected public health?</t>
  </si>
  <si>
    <t>What do bad time elements lead to?</t>
  </si>
  <si>
    <t>In what year was the Edict of Nantes revoked?</t>
  </si>
  <si>
    <t>Pattern recognition receptors recognize components present in broad groups of what?</t>
  </si>
  <si>
    <t>Upon learning of a French scounting party in the area, what didn't Washington do?</t>
  </si>
  <si>
    <t>What is the usual source of heat for boiling water in the industrial process?</t>
  </si>
  <si>
    <t>88</t>
  </si>
  <si>
    <t>what was invented in 1880 that revolutionized warfare?</t>
  </si>
  <si>
    <t>In what year did Protestant rule in Montpellier effectively collapse?</t>
  </si>
  <si>
    <t>71</t>
  </si>
  <si>
    <t>four days</t>
  </si>
  <si>
    <t>ten</t>
  </si>
  <si>
    <t>What causes rock extension?</t>
  </si>
  <si>
    <t>The edict protected Catholics by discouraging what?</t>
  </si>
  <si>
    <t>Trout River</t>
  </si>
  <si>
    <t>After 1945, what challenged the French empire?</t>
  </si>
  <si>
    <t>授時暦</t>
  </si>
  <si>
    <t>What is Warsaw known as in Carpathian?</t>
  </si>
  <si>
    <t>1890</t>
  </si>
  <si>
    <t>involving orogenic wedges</t>
  </si>
  <si>
    <t>a suspect's talking to criminal investigators</t>
  </si>
  <si>
    <t>What political leaning does the Cato Institute have?</t>
  </si>
  <si>
    <t>the foot of the mast</t>
  </si>
  <si>
    <t>What MSL team is from Southern California?</t>
  </si>
  <si>
    <t>In what year did the French Huguenots abandon their first North American outpost?</t>
  </si>
  <si>
    <t xml:space="preserve">What has shortened the Rhine river? </t>
  </si>
  <si>
    <t>How many citizens conflict in a constitutional impasse?</t>
  </si>
  <si>
    <t>$4.093 million</t>
  </si>
  <si>
    <t>Tymnet worked with what?</t>
  </si>
  <si>
    <t>What was the Justinian plague epidemic called?</t>
  </si>
  <si>
    <t>What committee corresponds with one or more departments in the Spanish Government?</t>
  </si>
  <si>
    <t>What is the function of specialize cells located in the brain?</t>
  </si>
  <si>
    <t>What is a particular problem in biology that would benefit from determining that P = NP?</t>
  </si>
  <si>
    <t xml:space="preserve">The Deutsce Bundespost bought what kind of interface look a likes? </t>
  </si>
  <si>
    <t>direct</t>
  </si>
  <si>
    <t>36% of households</t>
  </si>
  <si>
    <t>Who was the vice president in 1962?</t>
  </si>
  <si>
    <t>a nationwide network</t>
  </si>
  <si>
    <t>Who moved his court from Kraków to Warsaw in 1596?</t>
  </si>
  <si>
    <t>When did violence start in war?</t>
  </si>
  <si>
    <t>−11.7 °C (10.9 °F)</t>
  </si>
  <si>
    <t>Fred Singer</t>
  </si>
  <si>
    <t>What is one country that has been suggested for importation of medicines?</t>
  </si>
  <si>
    <t>on a 358-acre (145 ha) campus</t>
  </si>
  <si>
    <t>deformations</t>
  </si>
  <si>
    <t>On 8 February 2007</t>
  </si>
  <si>
    <t>all spheres of life.</t>
  </si>
  <si>
    <t>After the University of Ann Arbor and Wayne State University, who was the third university to complete the triad?</t>
  </si>
  <si>
    <t>What do progressive moderates of Islam seek to separate?</t>
  </si>
  <si>
    <t>On May 3, 1901, downtown Jacksonville was ravaged by a fire that started as a kitchen fire. Spanish moss at a nearby mattress factory was quickly engulfed in flames and enabling the fire to spread rapidly. In just eight hours, it swept through 146 city blocks, destroyed over 2,000 buildings, left about 10,000 homeless and killed 7 residents. The Confederate Monument in Hemming Park was one of the only landmarks to survive the fire. Governor Jennings declare martial law and sent the state militia to maintain order. On May 17 municipal authority resumed in Jacksonville. It is said the glow from the flames could be seen in Savannah, Georgia, and the smoke plumes seen in Raleigh, North Carolina. Known as the "Great Fire of 1901", it was one of the worst disasters in Florida history and the largest urban fire in the southeastern United States. Architect Henry John Klutho was a primary figure in the reconstruction of the city. The first multi-story structure built by Klutho was the Dyal-Upchurch Building in 1902. The St. James Building, built on the previous site of the St. James Hotel that burned down, was built in 1912 as Klutho's crowning achievement.</t>
  </si>
  <si>
    <t>there are more poor people in the United States and Western Europe than in China</t>
  </si>
  <si>
    <t>What physical quantities do not have direction?</t>
  </si>
  <si>
    <t>What molecules are recognized as foreign by the immune system?</t>
  </si>
  <si>
    <t>How many Huguenots were there in 1598?</t>
  </si>
  <si>
    <t>input size</t>
  </si>
  <si>
    <t>What is the name of the Los Angeles rail system?</t>
  </si>
  <si>
    <t>How did the 2001 IPCC report compare to reality on sea levels?</t>
  </si>
  <si>
    <t>Late-Glacial valley</t>
  </si>
  <si>
    <t>Where do most students at the Groton School come from?</t>
  </si>
  <si>
    <t>What is the average discharge of the Moselle to the Rhine?</t>
  </si>
  <si>
    <t>Sleep hormones shift the cytokine balance to which cytokine?</t>
  </si>
  <si>
    <t>lab monitoring, adherence counseling, and assist patients with cost-containment strategies needed to obtain their expensive specialty drugs</t>
  </si>
  <si>
    <t>below 0 °C (32 °F)</t>
  </si>
  <si>
    <t>What was Warsaw's Market Square listed as in 1980?</t>
  </si>
  <si>
    <t>turbine</t>
  </si>
  <si>
    <t>Who applies European Union law?</t>
  </si>
  <si>
    <t>analog and numerical</t>
  </si>
  <si>
    <t>What did British Ambassador Lord Cromer order due to his worry about US mid East actions?</t>
  </si>
  <si>
    <t>Where are bills typically gestated in Stage 1?</t>
  </si>
  <si>
    <t>About what year was the atmospheric engine invented?</t>
  </si>
  <si>
    <t>5 pm</t>
  </si>
  <si>
    <t>What country does the Rhine empty?</t>
  </si>
  <si>
    <t>Sierra Sky Park</t>
  </si>
  <si>
    <t>the judge increased her sentence</t>
  </si>
  <si>
    <t>How many private schools existed in New Zealand in April 2014?</t>
  </si>
  <si>
    <t>34 million</t>
  </si>
  <si>
    <t>Which branch of the EU has had the most influence on the development of EU law?</t>
  </si>
  <si>
    <t>How many divisions of graduate research does the University of Higher Learning consist of?</t>
  </si>
  <si>
    <t>When did the university start having a bachelor's degree program in Cinema &amp; Media studies?</t>
  </si>
  <si>
    <t>What religion were the Normans</t>
  </si>
  <si>
    <t>Under what law is value of a worker determined?</t>
  </si>
  <si>
    <t xml:space="preserve"> What Han Chinese leader rejected the Mongols?</t>
  </si>
  <si>
    <t>better relevant income</t>
  </si>
  <si>
    <t>as a structural force</t>
  </si>
  <si>
    <t>What equation is torque like regarding velocity?</t>
  </si>
  <si>
    <t>Jacksonville</t>
  </si>
  <si>
    <t>World War I</t>
  </si>
  <si>
    <t>3.62</t>
  </si>
  <si>
    <t>What kind of barrier does not protect organisms from infection?</t>
  </si>
  <si>
    <t>Where did Kublai move the Mongol capital to?</t>
  </si>
  <si>
    <t>What is another term for shortening the admission event?</t>
  </si>
  <si>
    <t>Other than its main central  business district, where are the majority of San Diego's business districts located?</t>
  </si>
  <si>
    <t>When did Mongke Khan become Great Khan?</t>
  </si>
  <si>
    <t>Where was the first garden located?</t>
  </si>
  <si>
    <t>Who assembles the authors' contributions?</t>
  </si>
  <si>
    <t>What is rare on the Southeast of the state?</t>
  </si>
  <si>
    <t>few drops</t>
  </si>
  <si>
    <t>1802</t>
  </si>
  <si>
    <t>Uighurs of the Kingdom of Qocho</t>
  </si>
  <si>
    <t>When was the essay written by modern activists published?</t>
  </si>
  <si>
    <t>What did Nixon join on October 20, 1973?</t>
  </si>
  <si>
    <t>civil rebellion</t>
  </si>
  <si>
    <t>When were theories developed suggesting inequality may have some positive effect on economic development?</t>
  </si>
  <si>
    <t>unincorporated suburbs</t>
  </si>
  <si>
    <t xml:space="preserve">What were the years two Regulations that conflicted with an Italian law originate in the Simmenthal SpA case? </t>
  </si>
  <si>
    <t>When did Watt finish the development of his improvements to engine cylinders?</t>
  </si>
  <si>
    <t>What is an example of a measurement within a complexity class that would create a bigger set of problems if the bounds were relaxed?</t>
  </si>
  <si>
    <t>Antigens bind to what in order to elicit a response of the immune system?</t>
  </si>
  <si>
    <t>five to ten years</t>
  </si>
  <si>
    <t>there is no known polynomial-time solution</t>
  </si>
  <si>
    <t>What percentage of the non-eligible voting population did not vote?</t>
  </si>
  <si>
    <t>automatically devolved</t>
  </si>
  <si>
    <t>Department of State Affairs</t>
  </si>
  <si>
    <t>What is the length of Hoek van Holland conventionally measured in?</t>
  </si>
  <si>
    <t>melanocytes</t>
  </si>
  <si>
    <t>What was Ban Ki-Moon the Secretary General of?</t>
  </si>
  <si>
    <t>Vampire bats</t>
  </si>
  <si>
    <t>irreducible elements</t>
  </si>
  <si>
    <t>What percentage was the increase of agricultural products since 2004?</t>
  </si>
  <si>
    <t>Given the strength of French forces at Louisbourg, what did Loudoun do?</t>
  </si>
  <si>
    <t>How many Africans were brought into the United States during the slave trade?</t>
  </si>
  <si>
    <t>dispatched six regiments to New France under the command of Baron Dieskau in 1755.</t>
  </si>
  <si>
    <t>Where did American troops remain stationed after Saddam's defeat?</t>
  </si>
  <si>
    <t>What was the Middle East not a match for?</t>
  </si>
  <si>
    <t>Why were the Uighurs ranked higher by the Mongols?</t>
  </si>
  <si>
    <t>highest 'social efficiency'</t>
  </si>
  <si>
    <t>What NASA astronaut is also a university alumni member?</t>
  </si>
  <si>
    <t xml:space="preserve"> Whose occupation of Kuwait did Iraq military personal seek to put an end to?</t>
  </si>
  <si>
    <t>input</t>
  </si>
  <si>
    <t>though the 21st century</t>
  </si>
  <si>
    <t>What seminal paper was written by Juris Hartmanis and Richard Stearns in 1975?</t>
  </si>
  <si>
    <t>How did the Tran dynasty rule?</t>
  </si>
  <si>
    <t>combustion</t>
  </si>
  <si>
    <t>What other role do many pharmacists avoid?</t>
  </si>
  <si>
    <t>In which area was the 1995 report based?</t>
  </si>
  <si>
    <t xml:space="preserve"> What was made valid in the late 19th and 20th centuries?</t>
  </si>
  <si>
    <t>"zip" the mouth shut</t>
  </si>
  <si>
    <t>By what name is that first Huguenot church known today?</t>
  </si>
  <si>
    <t>Where was the first settlement in Canberra?</t>
  </si>
  <si>
    <t xml:space="preserve"> Mohammad Iqbal was what type of enemy to the State of Pakistan?</t>
  </si>
  <si>
    <t xml:space="preserve"> Whose puppet did Islamists support the Saudi regime of being?</t>
  </si>
  <si>
    <t>What is a particular measure input associated with the a theory?</t>
  </si>
  <si>
    <t>What was confusing within KPN?</t>
  </si>
  <si>
    <t>"Southwest Fresno"</t>
  </si>
  <si>
    <t>political and monetary dominance</t>
  </si>
  <si>
    <t>most densely populated</t>
  </si>
  <si>
    <t>Jazdów</t>
  </si>
  <si>
    <t>a monthly subscription</t>
  </si>
  <si>
    <t>Manakin Episcopal Church</t>
  </si>
  <si>
    <t>December 12</t>
  </si>
  <si>
    <t>22,338,618</t>
  </si>
  <si>
    <t>necessary</t>
  </si>
  <si>
    <t>What future Revolutionary key figures participated in this attack?</t>
  </si>
  <si>
    <t>What magnetic character do triplet O2 have?</t>
  </si>
  <si>
    <t>What group will rarely run a public school?</t>
  </si>
  <si>
    <t>Oriental Institute</t>
  </si>
  <si>
    <t>Denmark's minimum capital law</t>
  </si>
  <si>
    <t>Battle of Cedar Creek</t>
  </si>
  <si>
    <t>About what weather feature do paleoclimatologists want information ?</t>
  </si>
  <si>
    <t>After a general debate on the final form of the bill</t>
  </si>
  <si>
    <t>14</t>
  </si>
  <si>
    <t>What commission did not resign even though faced corruption allegations?</t>
  </si>
  <si>
    <t>gastric acid</t>
  </si>
  <si>
    <t>multilateral</t>
  </si>
  <si>
    <t>How often are elections for the mayor held?</t>
  </si>
  <si>
    <t>William the Silent</t>
  </si>
  <si>
    <t>Which courts is the least EU law applied?</t>
  </si>
  <si>
    <t>Even before Washington returned, Dinwiddie had sent a company of 40 men under William Trent to that point, where in the early months of 1754 they began construction of a small stockaded fort. Governor Duquesne sent additional French forces under Claude-Pierre Pecaudy de Contrecœur to relieve Saint-Pierre during the same period, and Contrecœur led 500 men south from Fort Venango on April 5, 1754. When these forces arrived at the fort on April 16, Contrecœur generously allowed Trent's small company to withdraw. He purchased their construction tools to continue building what became Fort Duquesne.</t>
  </si>
  <si>
    <t>Fermat primality test</t>
  </si>
  <si>
    <t>Who is the 12th Prime Minister of Poland?</t>
  </si>
  <si>
    <t>Which theorem can be simplified to the Lasker–Noether theorem?</t>
  </si>
  <si>
    <t>Western Imperialism divided the globe according to which theory?</t>
  </si>
  <si>
    <t>In what year did Hoek van Holland begin canalization projects?</t>
  </si>
  <si>
    <t>Who did Davies tell about Baran's work?</t>
  </si>
  <si>
    <t>What are pathogens that travel through the body looking for phagocytes called?</t>
  </si>
  <si>
    <t>duty</t>
  </si>
  <si>
    <t>What is essential for the successful execution of a project?</t>
  </si>
  <si>
    <t>What is the Proto-Germanic adaptation of the name of the Rhine?</t>
  </si>
  <si>
    <t xml:space="preserve"> Where was the less popular trading center for the Ottoman empire?</t>
  </si>
  <si>
    <t>What is the one lead author responsible for?</t>
  </si>
  <si>
    <t>What set the stage for Merits role in NSFNET</t>
  </si>
  <si>
    <t>arithmetic</t>
  </si>
  <si>
    <t>half of Naples' 300,000 inhabitants</t>
  </si>
  <si>
    <t>When did Richard II flee to Normandy?</t>
  </si>
  <si>
    <t>What is the temperature in the highest portion of the mountain range in winter?</t>
  </si>
  <si>
    <t>Who can't pay Australian pharmacists for doing Home Medicines Reviews?</t>
  </si>
  <si>
    <t>When political inequality is smaller, more waste and pollution is?</t>
  </si>
  <si>
    <t>The committees in Scottish Parliament are weaker then in other systems why?</t>
  </si>
  <si>
    <t>In Europe, the North American theater of the Seven Years' War usually is not given a separate name. The entire international conflict is known as the Seven Years' War. "Seven Years" refers to events in Europe, from the official declaration of war in 1756 to the signing of the peace treaty in 1763. These dates do not correspond with the fighting on mainland North America, where the fighting between the two colonial powers was largely concluded in six years, from the Battle of Jumonville Glen in 1754 to the capture of Montreal in 1760.</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</si>
  <si>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1038–40. There is debate whether the Normans in Greek service actually were from Norman Italy, and it now seems likely only a few came from there. It is also unknown how many of the "Franks", as the Byzantines called them, were Normans and not other Frenchmen.</t>
  </si>
  <si>
    <t xml:space="preserve"> Where did HT succeed in pulling off a bloodless coup in 1974?</t>
  </si>
  <si>
    <t xml:space="preserve"> When was Al-Banna born?</t>
  </si>
  <si>
    <t>30.0%</t>
  </si>
  <si>
    <t>What percentage of the population of Warsaw was Jewish in 1897?</t>
  </si>
  <si>
    <t>Pons in France</t>
  </si>
  <si>
    <t>When did John of London come to live in Cambridge?</t>
  </si>
  <si>
    <t>How were non-local area networks established with Appletalk?</t>
  </si>
  <si>
    <t>StubHub Center</t>
  </si>
  <si>
    <t>British war plans</t>
  </si>
  <si>
    <t>chronic and complex disease states</t>
  </si>
  <si>
    <t>How many Huguenots were there in Fort Caroline?</t>
  </si>
  <si>
    <t>How do private schools in the rest of the world differ from Ireland?</t>
  </si>
  <si>
    <t>What is the level of inequality in overdeveloped countries?</t>
  </si>
  <si>
    <t>phagocytes</t>
  </si>
  <si>
    <t>until 1796</t>
  </si>
  <si>
    <t>What was the percentage of Germans attending private high schools in 2008?</t>
  </si>
  <si>
    <t>28,000</t>
  </si>
  <si>
    <t>idealized point particles</t>
  </si>
  <si>
    <t>What is operated by Academic Colleges Group in Wanganui?</t>
  </si>
  <si>
    <t xml:space="preserve">In what constituent country of the United Kingdom is Trevithick located? </t>
  </si>
  <si>
    <t>Chinese physicians were brought along military campaigns by the Mongols</t>
  </si>
  <si>
    <t>leftist/communist/nationalist insurgents/opposition</t>
  </si>
  <si>
    <t xml:space="preserve"> What type of interpretation of Islam does Salafism discourage?</t>
  </si>
  <si>
    <t>Assuming that T represents a polynomial in T(n), what is the term given to the corresponding algorithm?</t>
  </si>
  <si>
    <t>What happens when business overpays their workers?</t>
  </si>
  <si>
    <t>When did photosynthetic organisms evolve on Earth?</t>
  </si>
  <si>
    <t>In what state is the largest Huguenot Society located?</t>
  </si>
  <si>
    <t>How long is the Central Bridge?</t>
  </si>
  <si>
    <t>quicksort</t>
  </si>
  <si>
    <t>What do high levels of inequality  prevent beyond economic prosperity?</t>
  </si>
  <si>
    <t>What class is most commonly not ascribed to the graph isomorphism problem in spite of definitive determination?</t>
  </si>
  <si>
    <t>What are antimicrobial peptides that evolved as immune defense in eukaryotes called?</t>
  </si>
  <si>
    <t>suspended planktonic prey</t>
  </si>
  <si>
    <t>the clinical services that pharmacists can provide for their patients</t>
  </si>
  <si>
    <t>What is an important concept in crystallization?</t>
  </si>
  <si>
    <t>the Society of Jesus</t>
  </si>
  <si>
    <t>In what city is the last Huguenot congregation in the US?</t>
  </si>
  <si>
    <t>What is the record low for July?</t>
  </si>
  <si>
    <t>How much lower was the North Sea in the last cold phase than it is today?</t>
  </si>
  <si>
    <t>What percentage of hours of light are there in December?</t>
  </si>
  <si>
    <t>effectiveness of treatment regimens</t>
  </si>
  <si>
    <t>What are environmentalists concerned about having released from the Amazon region?</t>
  </si>
  <si>
    <t>asking for a round trip through all sites in Milan whose total length is at most 10 km</t>
  </si>
  <si>
    <t>Who realized that the effects of gravity might be observed differently at smaller distances?</t>
  </si>
  <si>
    <t>the wetter climate may have allowed the tropical rainforest to spread out across the continent.</t>
  </si>
  <si>
    <t>private universities</t>
  </si>
  <si>
    <t>self" peptides</t>
  </si>
  <si>
    <t>fully human</t>
  </si>
  <si>
    <t>What do isolated, spaced out graves of plague victims indicate?</t>
  </si>
  <si>
    <t>What basin was formed when the Andes Mountains rose?</t>
  </si>
  <si>
    <t>What does Sacramento mean in Spanish?</t>
  </si>
  <si>
    <t>Downtown Fresno</t>
  </si>
  <si>
    <t>What percentage of Poland's population was Protestant in 1901?</t>
  </si>
  <si>
    <t>How many regard themselves as Huguenots today outside of France?</t>
  </si>
  <si>
    <t>the opening of hostilities</t>
  </si>
  <si>
    <t>About 0.9%</t>
  </si>
  <si>
    <t>Newcastle</t>
  </si>
  <si>
    <t>temperatures that are too cold in northern Europe for the survival of fleas</t>
  </si>
  <si>
    <t>What types of schools are most ergänzungsschulen?</t>
  </si>
  <si>
    <t>What did Syria decide that the price of oil should be after the attack?</t>
  </si>
  <si>
    <t>In what year did Massachusetts first require children to be educated in schools?</t>
  </si>
  <si>
    <t>What water has cold green waters?</t>
  </si>
  <si>
    <t>How many avulsions have occurred in the past 6000 yeas?</t>
  </si>
  <si>
    <t>What would be lower if there were fewer people?</t>
  </si>
  <si>
    <t>What type of architecture is represented in the St. John's Tower?</t>
  </si>
  <si>
    <t>What caused the need for principal Treaties that ended up forming the EU?</t>
  </si>
  <si>
    <t>In Galileo's view, the terrestrial sphere contained how many elements?</t>
  </si>
  <si>
    <t>Another term for on-diagonal elements is what?</t>
  </si>
  <si>
    <t>owner</t>
  </si>
  <si>
    <t>Who discovered that electric and magnetic fields could be "self-aware"</t>
  </si>
  <si>
    <t>What can be seen between hadrons?</t>
  </si>
  <si>
    <t>little Hugos, or those who want Hugo</t>
  </si>
  <si>
    <t>the meeting of the Church's General Assembly</t>
  </si>
  <si>
    <t>How did the Los Angeles Times define southern California in 1909?</t>
  </si>
  <si>
    <t>principal role</t>
  </si>
  <si>
    <t>fundamental electroweak interaction.</t>
  </si>
  <si>
    <t>What profession did many graduates of Cambridge become in 1643?</t>
  </si>
  <si>
    <t>In a progressive tax, what increases as the taxable base amount increases?</t>
  </si>
  <si>
    <t>intracellular pathogenesis</t>
  </si>
  <si>
    <t>fixed</t>
  </si>
  <si>
    <t>What Jewish practice did the Yuan ban?</t>
  </si>
  <si>
    <t>to help strengthen their territorial claims</t>
  </si>
  <si>
    <t>How much temperature is consumed by the pump while the work fluid is condensed?</t>
  </si>
  <si>
    <t>When did BSkyB decide to stop giving away free digiboxes?</t>
  </si>
  <si>
    <t>4,097.9</t>
  </si>
  <si>
    <t>Something that is considered a non fundamental error is the belief that a force is required to maintain what?</t>
  </si>
  <si>
    <t>the Regenstein Library</t>
  </si>
  <si>
    <t>Compared to other elements, how abundant does oxygen rank?</t>
  </si>
  <si>
    <t>immunization</t>
  </si>
  <si>
    <t>The First British Empire was based on mercantilism, and involved colonies and holdings primarily in North America, the Caribbean, and India. Its growth was reversed by the loss of the American colonies in 1776. Britain made compensating gains in India, Australia, and in constructing an informal economic empire through control of trade and finance in Latin America after the independence of Spanish and Portuguese colonies about 1820. By the 1840s, Britain had adopted a highly successful policy of free trade that gave it dominance in the trade of much of the world. After losing its first Empire to the Americans, Britain then turned its attention towards Asia, Africa, and the Pacific. Following the defeat of Napoleonic France in 1815, Britain enjoyed a century of almost unchallenged dominance and expanded its imperial holdings around the globe. Increasing degrees of internal autonomy were granted to its white settler colonies in the 20th century.</t>
  </si>
  <si>
    <t>What was the California State University renamed as?</t>
  </si>
  <si>
    <t>90% to 93%</t>
  </si>
  <si>
    <t>The 2010 drought had three what were vegetation increased?</t>
  </si>
  <si>
    <t>its distinctive flared base</t>
  </si>
  <si>
    <t>What were British plans against French?</t>
  </si>
  <si>
    <t>What language replaced the Gallo-Romance language?</t>
  </si>
  <si>
    <t>What report has the problem of a lack of scientific confidence?</t>
  </si>
  <si>
    <t>sit-ins</t>
  </si>
  <si>
    <t>stress tensor</t>
  </si>
  <si>
    <t>The 2007 Lisbon Treaty explicitly recognised fundamental rights by providing in Article 6(1) that "The Union recognises the rights, freedoms and principles set out in the Charter of Fundamental Rights of the European Union of 7 December 2000, as adopted at Strasbourg on 12 December 2007, which shall have the same legal value as the Treaties." Therefore, the Charter of Fundamental Rights of the European Union has become an integral part of European Union law, codifying the fundamental rights which were previously considered general principles of European Union law. In effect, after the Lisbon Treaty, the Charter and the Convention now co-exist under European Union law, though the former is enforced by the European Court of Justice in relation to European Union measures, and the latter by the European Court of Human Rights in relation to measures by member states.</t>
  </si>
  <si>
    <t>rising levels of property income</t>
  </si>
  <si>
    <t>According to the wealth concentration theory, what advantage do the wealthy have in accumulating new wealth?</t>
  </si>
  <si>
    <t>the lack of reliable statistics from this period</t>
  </si>
  <si>
    <t>What field of computer science analyzes the resource requirements of a specific algorithm isolated unto itself within a given problem?</t>
  </si>
  <si>
    <t>25m people</t>
  </si>
  <si>
    <t>Tymnet consisted of a large private network that supported who?</t>
  </si>
  <si>
    <t>in the Earth's biosphere, air, sea and land</t>
  </si>
  <si>
    <t>How many people have worked with Barack Obama who are from Sweden?</t>
  </si>
  <si>
    <t xml:space="preserve"> Where in Central Asia didn't the Han Chinese move?</t>
  </si>
  <si>
    <t>What did Sybilla of Normandy introduce to Scotland?</t>
  </si>
  <si>
    <t>Where is a palm house with subtropic plants from all over the world on display?</t>
  </si>
  <si>
    <t>a closed system of particles</t>
  </si>
  <si>
    <t>Egyptian fraction</t>
  </si>
  <si>
    <t>According to Gluga's theorem, what period does 1/p always have assuming p is a prime that is not 2 or 5?</t>
  </si>
  <si>
    <t>Céloron's expedition force consisted of about 200 Troupes de la marine and 30 Indians. The expedition covered about 3,000 miles (4,800 km) between June and November 1749. It went up the St. Lawrence, continued along the northern shore of Lake Ontario, crossed the portage at Niagara, and followed the southern shore of Lake Erie. At the Chautauqua Portage (near present-day Barcelona, New York), the expedition moved inland to the Allegheny River, which it followed to the site of present-day Pittsburgh. There Céloron buried lead plates engraved with the French claim to the Ohio Country. Whenever he encountered British merchants or fur-traders, Céloron informed them of the French claims on the territory and told them to leave.</t>
  </si>
  <si>
    <t>np≡n (mod p) for any n if p is a prime number</t>
  </si>
  <si>
    <t>big</t>
  </si>
  <si>
    <t>The legislature of American Union is principally composed of what?</t>
  </si>
  <si>
    <t>the most seats in the Legislative Assembly</t>
  </si>
  <si>
    <t>What did Heath ask Norway to do over the winter?</t>
  </si>
  <si>
    <t>Who did the US provide aid to, to fight against the Soviet Union?</t>
  </si>
  <si>
    <t>What region does use the term 'private schools' to refer to universities?</t>
  </si>
  <si>
    <t>rat population was insufficient</t>
  </si>
  <si>
    <t>What does the ciliary rosettes do to decease bulk and increase density?</t>
  </si>
  <si>
    <t>When did painting activity in the palaces and churches take place in the later decades of?</t>
  </si>
  <si>
    <t xml:space="preserve"> When had the Eight Ministries existed?</t>
  </si>
  <si>
    <t>What compounds contain oxygen?</t>
  </si>
  <si>
    <t>What was Warsaw ranked the 7th greatest of?</t>
  </si>
  <si>
    <t>What do biostratigraphers want to understand about past climate?</t>
  </si>
  <si>
    <t>What was the profession of John Boyle?</t>
  </si>
  <si>
    <t>a conquest over an area</t>
  </si>
  <si>
    <t>trade liberalisation</t>
  </si>
  <si>
    <t>religion from politics</t>
  </si>
  <si>
    <t>What has happened to sedimentary, volcanic and intrusive rock in the Grand Canyon?</t>
  </si>
  <si>
    <t>moist broadleaf forest</t>
  </si>
  <si>
    <t>Who developed the first commercial steam powered device?</t>
  </si>
  <si>
    <t>687 and 760 nm</t>
  </si>
  <si>
    <t>the South Pacific</t>
  </si>
  <si>
    <t>Janet Gray</t>
  </si>
  <si>
    <t>armed</t>
  </si>
  <si>
    <t>main contractor</t>
  </si>
  <si>
    <t>How many mechanisms does a typical steam engine have to keep spring weight from getting too high?</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</si>
  <si>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gravitational.:2–10:79 High-energy particle physics observations made during the 1970s and 1980s confirmed that the weak and electromagnetic forces are expressions of a more fundamental electroweak interaction.</t>
  </si>
  <si>
    <t>What do petrologists use electron microprobes in the laboratory for?</t>
  </si>
  <si>
    <t>prince Wonjong</t>
  </si>
  <si>
    <t>Who was the first Huguenot to arrive at the Cape of Good Hope?</t>
  </si>
  <si>
    <t>What is restrained with a lever in the top of a boiler?</t>
  </si>
  <si>
    <t>Which group has two layers of cells with a middle layer of mesoglea?</t>
  </si>
  <si>
    <t>widespread education</t>
  </si>
  <si>
    <t>1712</t>
  </si>
  <si>
    <t>Which is more costly, formal, or informal imperialism?</t>
  </si>
  <si>
    <t>Who said people involved in the ozone situation had "a better understanding of scientific ignorance and uncertainties"?</t>
  </si>
  <si>
    <t>What modern company has been notably working on a steam engine using modern materials?</t>
  </si>
  <si>
    <t>Areas of heavy forest are visible to the naked eye from where?</t>
  </si>
  <si>
    <t>not necessarily right</t>
  </si>
  <si>
    <t>at the Battle of Hastings</t>
  </si>
  <si>
    <t>violent economic and political shocks</t>
  </si>
  <si>
    <t>What do matrix components show about how magma flows?</t>
  </si>
  <si>
    <t xml:space="preserve"> Who rejected the Nong Shu?</t>
  </si>
  <si>
    <t>Where did the Song dynasty continue to cause problems for Kublai?</t>
  </si>
  <si>
    <t>paintings</t>
  </si>
  <si>
    <t>if they are distinct or equal classes</t>
  </si>
  <si>
    <t>On what show did Bill Aiken make is television debut?</t>
  </si>
  <si>
    <t>What was the civil disobedience performed at the test site?</t>
  </si>
  <si>
    <t>Informal rule is generally less costly</t>
  </si>
  <si>
    <t>Parliament typically sits from February to late what?</t>
  </si>
  <si>
    <t>cannot be written as a product of two ring elements that are not units</t>
  </si>
  <si>
    <t>What does the 9 +3 pattern of cilia thought to do?</t>
  </si>
  <si>
    <t>south-east</t>
  </si>
  <si>
    <t>How do academic results in former Model C schools compare to other schools?</t>
  </si>
  <si>
    <t>What was the population of the Dutch Republic before this emigration?</t>
  </si>
  <si>
    <t>the public switched data network operated by the Dutch PTT Telecom</t>
  </si>
  <si>
    <t>What is the expression used to identify any given series of problems capable of being solved within time on a deterministic Turing machine?</t>
  </si>
  <si>
    <t>Who argued that the USSR had itself become an imperialist power?</t>
  </si>
  <si>
    <t>Organization of Arab Petroleum Exporting Countries</t>
  </si>
  <si>
    <t>trade unions, banks, and private universities</t>
  </si>
  <si>
    <t>miasto stołeczne Warszawa</t>
  </si>
  <si>
    <t>royal assent</t>
  </si>
  <si>
    <t>What do French construct shortly before losing Florida?</t>
  </si>
  <si>
    <t xml:space="preserve"> When is the latest most Marxists claim imperialism as an extension of capitalism has its roots</t>
  </si>
  <si>
    <t>Discovery of gas in the North Sea resulted in what?</t>
  </si>
  <si>
    <t>the will of elite politicians</t>
  </si>
  <si>
    <t>the spring of 1329</t>
  </si>
  <si>
    <t>between the 1960s and 1990s</t>
  </si>
  <si>
    <t>the Bayeux Tapestry</t>
  </si>
  <si>
    <t>What contributed to the decreased inequality between trained and untrained workers?</t>
  </si>
  <si>
    <t>What is an important solved problem in complexity theory?</t>
  </si>
  <si>
    <t>What life process produces oxygen in the presence of light?</t>
  </si>
  <si>
    <t>"Apologie"</t>
  </si>
  <si>
    <t>to "ensure that in the interpretation and application of the Treaties the law is observed"</t>
  </si>
  <si>
    <t>demand for higher quality housing increased</t>
  </si>
  <si>
    <t>Where did the fewest Huguenots stay?</t>
  </si>
  <si>
    <t>Henry Ives Cobb</t>
  </si>
  <si>
    <t>by 800 CE</t>
  </si>
  <si>
    <t>What monarchy did western troops protect?</t>
  </si>
  <si>
    <t>Which timeline is the most accurate?</t>
  </si>
  <si>
    <t>How is the dioxygen covalent bond explained?</t>
  </si>
  <si>
    <t>Against whom did the Camisards rise up to fight?</t>
  </si>
  <si>
    <t>mistreatment from government officials</t>
  </si>
  <si>
    <t>Where did New Briton call home?</t>
  </si>
  <si>
    <t>In what year did the Black Death spread into Iceland?</t>
  </si>
  <si>
    <t>What exists between fundamentalist Islamism and reformist Islamism?</t>
  </si>
  <si>
    <t xml:space="preserve"> What did the Hamas charter compromisingly encourage?</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</si>
  <si>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</si>
  <si>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progressive tax</t>
  </si>
  <si>
    <t>1262</t>
  </si>
  <si>
    <t>Mount Bogong</t>
  </si>
  <si>
    <t>lamprey and hagfish</t>
  </si>
  <si>
    <t>Where were the Koori first set to be located in Australia?</t>
  </si>
  <si>
    <t>threat of war</t>
  </si>
  <si>
    <t>Why does Oxfam and Credit Suisse believe their findings are being accepted?</t>
  </si>
  <si>
    <t>checks and balances system of the U.S. and many other governments</t>
  </si>
  <si>
    <t>dial-up terminal</t>
  </si>
  <si>
    <t xml:space="preserve">What is septicemia? </t>
  </si>
  <si>
    <t>What entity does not enforce the Charter of Fundamental Rights of the European Union?</t>
  </si>
  <si>
    <t>National Science Foundation Network</t>
  </si>
  <si>
    <t>What has a bigger impact on the United States' economy more than trade?</t>
  </si>
  <si>
    <t>Killer T cells can only recognize antigens coupled to what kind of molecules?</t>
  </si>
  <si>
    <t>guidance and intervention</t>
  </si>
  <si>
    <t>Compromise of 1850</t>
  </si>
  <si>
    <t>How much land did the Lord of Pelham Manor, John Pell. own in total in North America?</t>
  </si>
  <si>
    <t>the Pannerdens Kanaal</t>
  </si>
  <si>
    <t>When was Isiah Bowman appointed to President Wilson's Inquiry?</t>
  </si>
  <si>
    <t>both sides withdrawing from the field</t>
  </si>
  <si>
    <t>What produces the high levels of oxygen on Earth?</t>
  </si>
  <si>
    <t>What is located on the site of The Weaving House currently?</t>
  </si>
  <si>
    <t>Very high-speed Backbone Network Service</t>
  </si>
  <si>
    <t>How did Celeron handle meeting with New Briton?</t>
  </si>
  <si>
    <t>the process of a country taking physical control of another</t>
  </si>
  <si>
    <t xml:space="preserve">X.25 uses what type network type </t>
  </si>
  <si>
    <t>Civil Rights Movement</t>
  </si>
  <si>
    <t>divergence</t>
  </si>
  <si>
    <t>UV</t>
  </si>
  <si>
    <t>What are cnidarians commonly called?</t>
  </si>
  <si>
    <t>Henry Cavendish</t>
  </si>
  <si>
    <t>What were Pierre Raoul Pictet's professions?</t>
  </si>
  <si>
    <t>American aid to Israel</t>
  </si>
  <si>
    <t>What percentage of New Zealand students attended private schools in April 2014?</t>
  </si>
  <si>
    <t>In what year was Cambridge founded?</t>
  </si>
  <si>
    <t>What dynasties inspired the Japanese-like elements of Kublai's government?</t>
  </si>
  <si>
    <t>What is the minimum amount, if any, of data to make up a packet?</t>
  </si>
  <si>
    <t>What was the end of the War of the Australian Succession?</t>
  </si>
  <si>
    <t>principles of pre-allocation of network bandwidth</t>
  </si>
  <si>
    <t>one of the first ever production OC-48c (2.5 Gbit/s) IP links</t>
  </si>
  <si>
    <t>ended the true Islamic system</t>
  </si>
  <si>
    <t>The smaller streams are used for what?</t>
  </si>
  <si>
    <t>What organization was led by Hasan al-Hudaybi?</t>
  </si>
  <si>
    <t>Who gave her royal assent to the Scotland Act of 1998?</t>
  </si>
  <si>
    <t>most</t>
  </si>
  <si>
    <t>When is the suspended team scheduled to return?</t>
  </si>
  <si>
    <t>Other than the steamboat, what modern form of travel brought visitors to Florida?</t>
  </si>
  <si>
    <t>risen with increased income inequality</t>
  </si>
  <si>
    <t>ultraviolet radiation impacting oxygen-containing molecules</t>
  </si>
  <si>
    <t xml:space="preserve">How did scientists assess the DNA/RNA of yersinia pestis? </t>
  </si>
  <si>
    <t>How recently has the homes in Fresno been restored?</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</si>
  <si>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</si>
  <si>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What range of years was the current warming compared to?</t>
  </si>
  <si>
    <t xml:space="preserve">What does computational complexity theory most specifically seek to answer? </t>
  </si>
  <si>
    <t>How didn't Natives in Logstown take Celeron's information?</t>
  </si>
  <si>
    <t>1917</t>
  </si>
  <si>
    <t>Inflammation occurs during sleep times because of the presence of what molecule?</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</si>
  <si>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</si>
  <si>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Who was Bohemond's son?</t>
  </si>
  <si>
    <t>When was Zia-ul-Haq killed?</t>
  </si>
  <si>
    <t>Article 102</t>
  </si>
  <si>
    <t>The Amazon rainforest</t>
  </si>
  <si>
    <t>greater inequality and potential economic instability</t>
  </si>
  <si>
    <t>Which institute is a center for Near Western studies?</t>
  </si>
  <si>
    <t>Moselle</t>
  </si>
  <si>
    <t>What has complicated definitions that prevent classification into a framework?</t>
  </si>
  <si>
    <t>multiplication</t>
  </si>
  <si>
    <t>growing anti-communist fervor</t>
  </si>
  <si>
    <t>What is held outside the formal legal ownership registration system in many developing countries?</t>
  </si>
  <si>
    <t>Where do plenary meetings take place?</t>
  </si>
  <si>
    <t>What did the the Europeans think the peoples in the tropics were in need of?</t>
  </si>
  <si>
    <t>small numbers of settlers</t>
  </si>
  <si>
    <t>Chivas USA</t>
  </si>
  <si>
    <t>In the Rankine cycle, what does water turn into when heated?</t>
  </si>
  <si>
    <t>Guanabara Confession of Faith</t>
  </si>
  <si>
    <t>How cold does this region of Victoria get in the winner?</t>
  </si>
  <si>
    <t>dioxygen</t>
  </si>
  <si>
    <t>the Common Core</t>
  </si>
  <si>
    <t>One of its earliest massive implementations was brought about by Egyptians against the British occupation in the 1919 Revolution. Civil disobedience is one of the many ways people have rebelled against what they deem to be unfair laws. It has been used in many nonviolent resistance movements in India (Gandhi's campaigns for independence from the British Empire), in Czechoslovakia's Velvet Revolution and in East Germany to oust their communist governments, In South Africa in the fight against apartheid, in the American Civil Rights Movement, in the Singing Revolution to bring independence to the Baltic countries from the Soviet Union, recently with the 2003 Rose Revolution in Georgia and the 2004 Orange Revolution in Ukraine, among other various movements worldwide.</t>
  </si>
  <si>
    <t>What will be the importance of the pharmacist in past decades?</t>
  </si>
  <si>
    <t>around 34%</t>
  </si>
  <si>
    <t>allocution</t>
  </si>
  <si>
    <t>optional education</t>
  </si>
  <si>
    <t>What is the localized band that digital receivers will receive to air channels on?</t>
  </si>
  <si>
    <t>Cabot Science Library, Lamont Library, and Widener Library</t>
  </si>
  <si>
    <t>What is a hermaphrodite?</t>
  </si>
  <si>
    <t>Who sold the rights?</t>
  </si>
  <si>
    <t>What does Paul Krugmen think has had an observable effect on inequality in the U.S.?</t>
  </si>
  <si>
    <t>What are the core treaties that the primary law of the EU consists of?</t>
  </si>
  <si>
    <t>assuming the task of interpreting the treaties, and accelerating economic and political integration</t>
  </si>
  <si>
    <t>serious depopulation and permanent change in both economic and social structures</t>
  </si>
  <si>
    <t>almost half</t>
  </si>
  <si>
    <t>How much time after Charles Darwin, did William Smith develop the principles of succession?</t>
  </si>
  <si>
    <t>What country's ship landed at Oskoy?</t>
  </si>
  <si>
    <t>What were the national elections in 1994 canceled by?</t>
  </si>
  <si>
    <t>asynchronously</t>
  </si>
  <si>
    <t>Warsaw, especially its city centre (Śródmieście), is home not only to many national institutions and government agencies, but also to many domestic and international companies. In 2006, 304,016 companies were registered in the city. Warsaw's ever-growing business community has been noticed globally, regionally, and nationally. MasterCard Emerging Market Index has noted Warsaw's economic strength and commercial center. Moreover, Warsaw was ranked as the 7th greatest emerging market. Foreign investors' financial participation in the city's development was estimated in 2002 at over 650 million euro. Warsaw produces 12% of Poland's national income, which in 2008 was 305.1% of the Polish average, per capita (or 160% of the European Union average). The GDP per capita in Warsaw amounted to PLN 94 000 in 2008 (c. EUR 23 800, USD 33 000). Total nominal GDP of the city in 2010 amounted to 191.766 billion PLN, 111696 PLN per capita, which was 301,1 % of Polish average. Warsaw leads the region of East-Central Europe in foreign investment and in 2006, GDP growth met expectations with a level of 6.1%. It also has one of the fastest growing economies, with GDP growth at 6.5 percent in 2007 and 6.1 percent in the first quarter of 2008.</t>
  </si>
  <si>
    <t>An increase in imported cars</t>
  </si>
  <si>
    <t>What were steam engines used as a source of?</t>
  </si>
  <si>
    <t>killer cell immunoglobulin receptors (KIR</t>
  </si>
  <si>
    <t>the Bible in vernacular languages</t>
  </si>
  <si>
    <t>What alumni is also the Governor of the Bank of Japan?</t>
  </si>
  <si>
    <t>The speed of the killing response of the human immune system is a product of what process?</t>
  </si>
  <si>
    <t>30%–50%</t>
  </si>
  <si>
    <t>What valley is Los Angeles located in?</t>
  </si>
  <si>
    <t xml:space="preserve"> imperialism often unites countries by using which technique?</t>
  </si>
  <si>
    <t>In what country was Damascus?</t>
  </si>
  <si>
    <t>Inspired by Shelley what was the name of Gandhi's doctrine?</t>
  </si>
  <si>
    <t>What is one of the most common occupations in the world?</t>
  </si>
  <si>
    <t>How are Victorian education members chosen?</t>
  </si>
  <si>
    <t>1 August 1944</t>
  </si>
  <si>
    <t>What stipend do students enrolled in priority courses receive?</t>
  </si>
  <si>
    <t>Korean</t>
  </si>
  <si>
    <t>Which boulevard can you find many majestic homes in the area?</t>
  </si>
  <si>
    <t>Outside of livestock, what else was considered a major industry in the agriculture regions?</t>
  </si>
  <si>
    <t>What Republic has maintained its control of Iran?</t>
  </si>
  <si>
    <t>"On the Computational Complexity of Algorithms"</t>
  </si>
  <si>
    <t>115 °F (46.1 °C)</t>
  </si>
  <si>
    <t>Analysis of what kind of deposits from the Amazon Fan indicates a change in rainfall in the Amazon basin?</t>
  </si>
  <si>
    <t xml:space="preserve">A higher capacity network was formed by what project? </t>
  </si>
  <si>
    <t>What movements pursued a more radical direction?</t>
  </si>
  <si>
    <t>Which type of livestock was the argricultural region known for?</t>
  </si>
  <si>
    <t>chemical energy</t>
  </si>
  <si>
    <t>nolo contendere</t>
  </si>
  <si>
    <t>t to render certain laws ineffective, to cause their repeal, or to exert pressure to get one's political wishes on some other issue</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</si>
  <si>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</si>
  <si>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What does the Museum of the Polish Army portray the history of?</t>
  </si>
  <si>
    <t>What present day county is New Rochelle in?</t>
  </si>
  <si>
    <t>Who found that there was a developed culture of Commissioner's who lacked responsibility?</t>
  </si>
  <si>
    <t xml:space="preserve"> What non-dynasty came after the Yuan?</t>
  </si>
  <si>
    <t>When was the prime number theorem proven?</t>
  </si>
  <si>
    <t>January 2010</t>
  </si>
  <si>
    <t>political power generated by wealth</t>
  </si>
  <si>
    <t>vitamin D</t>
  </si>
  <si>
    <t>What does the utilitarian principle seek for the greatest number of people?</t>
  </si>
  <si>
    <t>Static friction balances what force when there is no movement of an object on a surface?</t>
  </si>
  <si>
    <t>What is the name of the German translation of Dioscorides' book?</t>
  </si>
  <si>
    <t xml:space="preserve">Could only Apple devices utilize this suite? </t>
  </si>
  <si>
    <t>What religions did Tugh Temur follow?</t>
  </si>
  <si>
    <t>Between which years did the Mediterranean Sea flow into the Tethys sea?</t>
  </si>
  <si>
    <t>Who has a system for companies that have financial responsibility of completing a project?</t>
  </si>
  <si>
    <t>500,000</t>
  </si>
  <si>
    <t>win an acquittal</t>
  </si>
  <si>
    <t>What is one example of an instance that the quantitative answer to the traveling salesman problem fails to answer?</t>
  </si>
  <si>
    <t>What covered Scandinavia, the Baltics, Scotland, and the Alps in the last Ice Age?</t>
  </si>
  <si>
    <t>Raghuram Rajan</t>
  </si>
  <si>
    <t>using sickles to deflate one of the large domes covering two satellite dishes</t>
  </si>
  <si>
    <t>League of Augsburg</t>
  </si>
  <si>
    <t>Fringe</t>
  </si>
  <si>
    <t>Montreal Protocol</t>
  </si>
  <si>
    <t>Immunology is a science that examines the structure and function of the immune system. It originates from medicine and early studies on the causes of immunity to disease. The earliest known reference to immunity was during the plague of Athens in 430 BC. Thucydides noted that people who had recovered from a previous bout of the disease could nurse the sick without contracting the illness a second time. In the 18th century, Pierre-Louis Moreau de Maupertuis made experiments with scorpion venom and observed that certain dogs and mice were immune to this venom. This and other observations of acquired immunity were later exploited by Louis Pasteur in his development of vaccination and his proposed germ theory of disease. Pasteur's theory was in direct opposition to contemporary theories of disease, such as the miasma theory. It was not until Robert Koch's 1891 proofs, for which he was awarded a Nobel Prize in 1905, that microorganisms were confirmed as the cause of infectious disease. Viruses were confirmed as human pathogens in 1901, with the discovery of the yellow fever virus by Walter Reed.</t>
  </si>
  <si>
    <t>Conrad of Montferrat</t>
  </si>
  <si>
    <t>How many independent schools are in India?</t>
  </si>
  <si>
    <t>In what year did Harvard win an Intercolleiate Sailing Association National Championship?</t>
  </si>
  <si>
    <t>Lake Rhine</t>
  </si>
  <si>
    <t>What consortium was BSkyB included with?</t>
  </si>
  <si>
    <t>King George's War</t>
  </si>
  <si>
    <t>certain number of teacher's salaries are paid by the State</t>
  </si>
  <si>
    <t>even</t>
  </si>
  <si>
    <t>The final years of the Yuan dynasty were marked by struggle, famine, and bitterness among the populace. In time, Kublai Khan's successors lost all influence on other Mongol lands across Asia, while the Mongols beyond the Middle Kingdom saw them as too Chinese. Gradually, they lost influence in China as well. The reigns of the later Yuan emperors were short and marked by intrigues and rivalries. Uninterested in administration, they were separated from both the army and the populace, and China was torn by dissension and unrest. Outlaws ravaged the country without interference from the weakening Yuan armies.</t>
  </si>
  <si>
    <t>poorly drafted contracts</t>
  </si>
  <si>
    <t>When did Zhu Shijie die?</t>
  </si>
  <si>
    <t xml:space="preserve"> Where did Maududi's books not place Islam?</t>
  </si>
  <si>
    <t>What does respiration release into the atmosphere?</t>
  </si>
  <si>
    <t>What is a fundamentalist interpretation of Islam called?</t>
  </si>
  <si>
    <t>a military coup d'état</t>
  </si>
  <si>
    <t>Why do some tribes use remote sensing technology?</t>
  </si>
  <si>
    <t>Ctenophores used to be regarded as "dead ends" in marine food chains because it was thought their low ratio of organic matter to salt and water made them a poor diet for other animals. It is also often difficult to identify the remains of ctenophores in the guts of possible predators, although the combs sometimes remain intact long enough to provide a clue. Detailed investigation of chum salmon, Oncorhynchus keta, showed that these fish digest ctenophores 20 times as fast as an equal weight of shrimps, and that ctenophores can provide a good diet if there are enough of them around. Beroids prey mainly on other ctenophores. Some jellyfish and turtles eat large quantities of ctenophores, and jellyfish may temporarily wipe out ctenophore populations. Since ctenophores and jellyfish often have large seasonal variations in population, most fish that prey on them are generalists, and may have a greater effect on populations than the specialist jelly-eaters. This is underlined by an observation of herbivorous fishes deliberately feeding on gelatinous zooplankton during blooms in the Red Sea. The larvae of some sea anemones are parasites on ctenophores, as are the larvae of some flatworms that parasitize fish when they reach adulthood.</t>
  </si>
  <si>
    <t>How many Huguenots lived in West Frisia in 1705?</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</si>
  <si>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</si>
  <si>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What did Mazda establish in the US in 1973?</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</si>
  <si>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</si>
  <si>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environmental determinism</t>
  </si>
  <si>
    <t>Torque is the rotation equivalent of force in the same way that angle is the rotational equivalent for position, angular velocity for velocity, and angular momentum for momentum. As a consequence of Newton's First Law of Motion, there exists rotational inertia that ensures that all bodies maintain their angular momentum unless acted upon by an unbalanced torque. Likewise, Newton's Second Law of Motion can be used to derive an analogous equation for the instantaneous angular acceleration of the rigid body:</t>
  </si>
  <si>
    <t>When was amnesty granted to those responsible for the massacre?</t>
  </si>
  <si>
    <t>the European Court of Justice and the highest national courts</t>
  </si>
  <si>
    <t>Zhongdu</t>
  </si>
  <si>
    <t>90%</t>
  </si>
  <si>
    <t>whether it would do more harm than good.</t>
  </si>
  <si>
    <t>higher returns</t>
  </si>
  <si>
    <t>The Board of Trustees</t>
  </si>
  <si>
    <t>What did 'Da Yuan Tong Zhi' mean?</t>
  </si>
  <si>
    <t>twin-cylinder</t>
  </si>
  <si>
    <t>Where was the biggest settlement of Huguenots in Ireland?</t>
  </si>
  <si>
    <t>the wilderness of the Maine district</t>
  </si>
  <si>
    <t>$2.2 billion</t>
  </si>
  <si>
    <t>1708</t>
  </si>
  <si>
    <t>What kind of curriculum did public schools focus on for white students?</t>
  </si>
  <si>
    <t>What are the hairs on ctenophores called?</t>
  </si>
  <si>
    <t>methotrexate or azathioprine</t>
  </si>
  <si>
    <t>Cities that anchor the regions are often the hub for what kind of activity?</t>
  </si>
  <si>
    <t>What is one result of civil rebellion?</t>
  </si>
  <si>
    <t>Any number larger than 1 can be represented as a product of what?</t>
  </si>
  <si>
    <t>The university operates 12 research institutes and 113 research centers on campus. Among these are the Oriental Institute—a museum and research center for Near Eastern studies owned and operated by the university—and a number of National Resource Centers, including the Center for Middle Eastern Studies. Chicago also operates or is affiliated with a number of research institutions apart from the university proper. The university partially manages Argonne National Laboratory, part of the United States Department of Energy's national laboratory system, and has a joint stake in Fermilab, a nearby particle physics laboratory, as well as a stake in the Apache Point Observatory in Sunspot, New Mexico. Faculty and students at the adjacent Toyota Technological Institute at Chicago collaborate with the university, In 2013, the university announced that it was affiliating the formerly independent Marine Biological Laboratory in Woods Hole, Mass. Although formally unrelated, the National Opinion Research Center is located on Chicago's campus.</t>
  </si>
  <si>
    <t>Where do cicadas spend the majority of their lives?</t>
  </si>
  <si>
    <t>Was sitting is 874.3 km²?</t>
  </si>
  <si>
    <t>betray a man's presence in the household</t>
  </si>
  <si>
    <t>influence</t>
  </si>
  <si>
    <t>What is the largest infrastructure in question referred to?</t>
  </si>
  <si>
    <t>2000</t>
  </si>
  <si>
    <t>What area was Kublai trying to capture by attacking Xiangyang?</t>
  </si>
  <si>
    <t>What are dart frogs are known to secrete?</t>
  </si>
  <si>
    <t xml:space="preserve"> What year did Iqbal leave Lahore?</t>
  </si>
  <si>
    <t>Who presents different ideas about how to accomplish goals?</t>
  </si>
  <si>
    <t>Earth's crust</t>
  </si>
  <si>
    <t>Korean King</t>
  </si>
  <si>
    <t>The Black Death ravaged much of the Islamic world. Plague was present in at least one location in the Islamic world virtually every year between 1500 and 1850. Plague repeatedly struck the cities of North Africa. Algiers lost 30 to 50 thousand inhabitants to it in 1620–21, and again in 1654–57, 1665, 1691, and 1740–42. Plague remained a major event in Ottoman society until the second quarter of the 19th century. Between 1701 and 1750, thirty-seven larger and smaller epidemics were recorded in Constantinople, and an additional thirty-one between 1751 and 1800. Baghdad has suffered severely from visitations of the plague, and sometimes two-thirds of its population has been wiped out.</t>
  </si>
  <si>
    <t>Downtown Riverside</t>
  </si>
  <si>
    <t>How long has the ongoing tectonic subsidence in the southern North Sea been happening for?</t>
  </si>
  <si>
    <t>What is the lower level of a the Australian House of Representatives called?</t>
  </si>
  <si>
    <t>last weekend of September</t>
  </si>
  <si>
    <t>What philosophy of thought addresses wealth equality?</t>
  </si>
  <si>
    <t>"Social Chapter"</t>
  </si>
  <si>
    <t>John Houghton,</t>
  </si>
  <si>
    <t>What do workers generally have in the market?</t>
  </si>
  <si>
    <t>What are some advantages of hospital pharmacies?</t>
  </si>
  <si>
    <t>What is the age of key beds if they are related to a fault and not cut?</t>
  </si>
  <si>
    <t>Juvenile and adult  beroe lack what?</t>
  </si>
  <si>
    <t>microscopic analysis</t>
  </si>
  <si>
    <t>"comb" and the Greek suffix -φορος meaning "carrying"</t>
  </si>
  <si>
    <t>Oursel</t>
  </si>
  <si>
    <t>Maududi was trained as a lawyer, but chose what professional for himself instead?</t>
  </si>
  <si>
    <t>Chevrolet Aveo</t>
  </si>
  <si>
    <t>Construction projects can suffer from preventable financial problems. Underbids happen when builders ask for too little money to complete the project. Cash flow problems exist when the present amount of funding cannot cover the current costs for labour and materials, and because they are a matter of having sufficient funds at a specific time, can arise even when the overall total is enough. Fraud is a problem in many fields, but is notoriously prevalent in the construction field. Financial planning for the project is intended to ensure that a solid plan with adequate safeguards and contingency plans are in place before the project is started and is required to ensure that the plan is properly executed over the life of the project.</t>
  </si>
  <si>
    <t>In addition to English, what language is also often taught in Nepalese private schools?</t>
  </si>
  <si>
    <t>festivals</t>
  </si>
  <si>
    <t>BBN provided financing for what?</t>
  </si>
  <si>
    <t>strong and weak forces</t>
  </si>
  <si>
    <t>In what country is Marseille?</t>
  </si>
  <si>
    <t>Who were potachi?</t>
  </si>
  <si>
    <t>What was the name of Tancred's nephew?</t>
  </si>
  <si>
    <t>Prophet Mohammad and his successors</t>
  </si>
  <si>
    <t>Where did France lose a war in the 1950's?</t>
  </si>
  <si>
    <t>What name is typically associated with preschool?</t>
  </si>
  <si>
    <t>a secret ballot</t>
  </si>
  <si>
    <t xml:space="preserve">How were messages delivered before implementation? </t>
  </si>
  <si>
    <t>What is one of the largest and most modern oncological institutions in Curie?</t>
  </si>
  <si>
    <t>In what decade were injectors widely used in steam engines?</t>
  </si>
  <si>
    <t>Giuga's conjecture says that this equation is also a sufficient condition for p to be prime. Another consequence of Fermat's little theorem is the following: if p is a prime number other than 2 and 5, 1/p is always a recurring decimal, whose period is p − 1 or a divisor of p − 1. The fraction 1/p expressed likewise in base q (rather than base 10) has similar effect, provided that p is not a prime factor of q. Wilson's theorem says that an integer p &gt; 1 is prime if and only if the factorial (p − 1)! + 1 is divisible by p. Moreover, an integer n &gt; 4 is composite if and only if (n − 1)! is divisible by n.</t>
  </si>
  <si>
    <t>9.81 meters per second</t>
  </si>
  <si>
    <t>the laboratory</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</si>
  <si>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</si>
  <si>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Where was the Muslim Brotherhood founded?</t>
  </si>
  <si>
    <t>Rhine-kilometers"</t>
  </si>
  <si>
    <t>after 1279</t>
  </si>
  <si>
    <t>What meets every 3 months?</t>
  </si>
  <si>
    <t xml:space="preserve"> When was Iqbal elected vice president of the Muslim League?</t>
  </si>
  <si>
    <t>individually</t>
  </si>
  <si>
    <t>William Farel</t>
  </si>
  <si>
    <t>However, the rainforest still managed to thrive during these glacial periods, allowing for the survival and evolution of a broad diversity of species.</t>
  </si>
  <si>
    <t>religious groups</t>
  </si>
  <si>
    <t>The successful searches for what showed that the elementary particles are not observable?</t>
  </si>
  <si>
    <t>What century did the Germanic vocalism Rin come from?</t>
  </si>
  <si>
    <t>When were the French wars of religion?</t>
  </si>
  <si>
    <t>What is the Scottish Parliament currently in the fourth of?</t>
  </si>
  <si>
    <t>What do outcrop samples help magnetic stratigraphers to date?</t>
  </si>
  <si>
    <t>arrest</t>
  </si>
  <si>
    <t>How are the 83 "Constituency MSPs" chosen?</t>
  </si>
  <si>
    <t>topographic gradients</t>
  </si>
  <si>
    <t>What Egyptian president jailed thousands of members of the Brotherhood?</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</si>
  <si>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</si>
  <si>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University of Chicago scholars played a major part in what development?</t>
  </si>
  <si>
    <t>Richard I</t>
  </si>
  <si>
    <t>the Earth must be much older than had previously been supposed</t>
  </si>
  <si>
    <t>In what year was the agreement to allow the Saarland settlement reached?</t>
  </si>
  <si>
    <t>What is another name for the west side of Fresno?</t>
  </si>
  <si>
    <t>spontaneous combustion</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</si>
  <si>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</si>
  <si>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Leopold Kronenberg Palace</t>
  </si>
  <si>
    <t>sent small numbers of settlers to its colonies,</t>
  </si>
  <si>
    <t>Where is the stratigraphic section?</t>
  </si>
  <si>
    <t>Oude Rijn</t>
  </si>
  <si>
    <t>sentence</t>
  </si>
  <si>
    <t>What modern math concept did Zhu Shijie do work similar to?</t>
  </si>
  <si>
    <t>Under which Directive did the EU harmonize restrictions on restrictions on marketing and advertising?</t>
  </si>
  <si>
    <t>What do exemptions come from that prevent bad things?</t>
  </si>
  <si>
    <t>As of January 2016 how many primalities does the largest known prime consists of?</t>
  </si>
  <si>
    <t>What did Germanic tribes establish with help from the Rhine?</t>
  </si>
  <si>
    <t>east</t>
  </si>
  <si>
    <t>immunomodulators</t>
  </si>
  <si>
    <t>How large is the Pierre-Auguste Renoir piece?</t>
  </si>
  <si>
    <t>How many bits are typically used in the primes for the Diffie–Hellman key exchange?</t>
  </si>
  <si>
    <t>Where was Marin's first fort constructed?</t>
  </si>
  <si>
    <t>What the marginal utility of wealth per income per person do as that person becomes poorer?</t>
  </si>
  <si>
    <t>Difficulty in establishing a framework for complexity classes can be caused by what variable?</t>
  </si>
  <si>
    <t>How long had John Paul II been the pope in 1983?</t>
  </si>
  <si>
    <t>What gorge is between the Bingen and Bonn?</t>
  </si>
  <si>
    <t>What color is the sputum of those suffering from septicemic plague sufferers?</t>
  </si>
  <si>
    <t>there was an attempt to reform the constitutional law of the European Union and make it more transparent</t>
  </si>
  <si>
    <t>How many people may have lived in the Amazon region during AD 1500?</t>
  </si>
  <si>
    <t>What slowed the spread of the Jacksonville fire in 1901?</t>
  </si>
  <si>
    <t>What are layers of sand pulled out of?</t>
  </si>
  <si>
    <t>New techniques of building construction are being researched, made possible by advances in what?</t>
  </si>
  <si>
    <t>invasion failed</t>
  </si>
  <si>
    <t>How many Medieval Warm Period reconstructions were used?</t>
  </si>
  <si>
    <t>What type of motivators are achievement and self determination considered?</t>
  </si>
  <si>
    <t>What are longer growth spells associated with?</t>
  </si>
  <si>
    <t>What ideal thermodynamic cycle analyzes the process by which steam engines work?</t>
  </si>
  <si>
    <t>What is formed in nature from energy during photosynthesis?</t>
  </si>
  <si>
    <t>strong and weak</t>
  </si>
  <si>
    <t>trying to stop her from giving her brother Polynices a proper burial</t>
  </si>
  <si>
    <t>fundraising drives</t>
  </si>
  <si>
    <t>Invertebrates do not generate what type of cells that are a part of the vertebrate adaptive immune system?</t>
  </si>
  <si>
    <t>What early Greek wrote about experiments on air and combustion?</t>
  </si>
  <si>
    <t>268 U.S. 510 (1925)</t>
  </si>
  <si>
    <t>k</t>
  </si>
  <si>
    <t>How is course content provided to a private school?</t>
  </si>
  <si>
    <t>melt</t>
  </si>
  <si>
    <t>What rain forced supports more than 11,003 species</t>
  </si>
  <si>
    <t>On what vehicles do full size working engines sometimes use oscillating cylinder rocks?</t>
  </si>
  <si>
    <t>the bound on the complexity of reductions</t>
  </si>
  <si>
    <t>When did the church reform begin?</t>
  </si>
  <si>
    <t>When did Huguenots first arrive in Helsinki?</t>
  </si>
  <si>
    <t>What is temperature does Hopetoun average in Feburary?</t>
  </si>
  <si>
    <t>megaprojects</t>
  </si>
  <si>
    <t>steam turbines with reduction gearing</t>
  </si>
  <si>
    <t>Who founded the Office of Western Medicine?</t>
  </si>
  <si>
    <t>ten to fifteen</t>
  </si>
  <si>
    <t>Where were Genesis geologists unable to measure oxygen?</t>
  </si>
  <si>
    <t>What replaced the Sky+Box?</t>
  </si>
  <si>
    <t>Blum complexity axioms</t>
  </si>
  <si>
    <t>Who was the famous Huguenot theologian and writer in London?</t>
  </si>
  <si>
    <t>Commission v France</t>
  </si>
  <si>
    <t>The two what are considered to be physically distinguishable?</t>
  </si>
  <si>
    <t>Where are health and social problems least common?</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</si>
  <si>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</si>
  <si>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at the right bank of the Vistula</t>
  </si>
  <si>
    <t>What act convened the old parliament of Scotland?</t>
  </si>
  <si>
    <t>How much does Victoria produce in Australian pears?</t>
  </si>
  <si>
    <t>state or government</t>
  </si>
  <si>
    <t>According to PolitiFact the top 400 richest Americans "have more wealth than half of all Americans combined." According to the New York Times on July 22, 2014, the "richest 1 percent in the United States now own more wealth than the bottom 90 percent". Inherited wealth may help explain why many Americans who have become rich may have had a "substantial head start". In September 2012, according to the Institute for Policy Studies, "over 60 percent" of the Forbes richest 400 Americans "grew up in substantial privilege".</t>
  </si>
  <si>
    <t>How many biomolecules contain no oxygen?</t>
  </si>
  <si>
    <t>Terra preta (black earth), which is distributed over large areas in the Amazon forest, is now widely accepted as a product of indigenous soil management. The development of this fertile soil allowed agriculture and silviculture in the previously hostile environment; meaning that large portions of the Amazon rainforest are probably the result of centuries of human management, rather than naturally occurring as has previously been supposed. In the region of the Xingu tribe, remains of some of these large settlements in the middle of the Amazon forest were found in 2003 by Michael Heckenberger and colleagues of the University of Florida. Among those were evidence of roads, bridges and large plazas.</t>
  </si>
  <si>
    <t>Raoul Pierre Pictet</t>
  </si>
  <si>
    <t>BSkyB has no veto over the presence of channels on their EPG, with open access being an enforced part of their operating licence from Ofcom. Any channel which can get carriage on a suitable beam of a satellite at 28° East is entitled to access to BSkyB's EPG for a fee, ranging from £15–100,000. Third-party channels which opt for encryption receive discounts ranging from reduced price to free EPG entries, free carriage on a BSkyB leased transponder, or actual payment for being carried. However, even in this case, BSkyB does not carry any control over the channel's content or carriage issues such as picture quality.</t>
  </si>
  <si>
    <t>Warsaw Uprising Museum</t>
  </si>
  <si>
    <t>When was the only satellite launched?</t>
  </si>
  <si>
    <t>peat swamps or small ponds</t>
  </si>
  <si>
    <t>What tv host and writer went to Harvard?</t>
  </si>
  <si>
    <t>In which case did the Court of Justice hold that requiring Italian lawyers to comply with maximum tariffs unless there was an agreement with a client was not a restriction?</t>
  </si>
  <si>
    <t>the role of nineteenth-century maps during the "scramble for Africa"</t>
  </si>
  <si>
    <t>helper T cells</t>
  </si>
  <si>
    <t>When do autoimmune diseases often strike men?</t>
  </si>
  <si>
    <t>Puente Hills Fault</t>
  </si>
  <si>
    <t>the legitimacy of any government</t>
  </si>
  <si>
    <t>What happens when all parts of a plant become infected?</t>
  </si>
  <si>
    <t>What type of jihad does HT avoid engaging in?</t>
  </si>
  <si>
    <t>What did Baran want to build with the system?</t>
  </si>
  <si>
    <t>What conjecture holds that there are always a minimum of 1 prime between the squares of consecutive primes greater than 2?</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</si>
  <si>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</si>
  <si>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How many square kilometers is the Amazon Basin?</t>
  </si>
  <si>
    <t>What is Europe's largest inland port?</t>
  </si>
  <si>
    <t xml:space="preserve">How many members can voters choose to represent the constituency? </t>
  </si>
  <si>
    <t>America</t>
  </si>
  <si>
    <t>What does the CJEU duty not emcompass?</t>
  </si>
  <si>
    <t>What is the kilogram-force sometimes reffered to as?</t>
  </si>
  <si>
    <t>What are the three construction subsectors?</t>
  </si>
  <si>
    <t>illegal acts</t>
  </si>
  <si>
    <t>filmmakers</t>
  </si>
  <si>
    <t>When is the oldest recorded incident of civil disobedience?</t>
  </si>
  <si>
    <t>taking physical control of another</t>
  </si>
  <si>
    <t>When did BSkyB discontinue the Sky+ Box?</t>
  </si>
  <si>
    <t>At which level of education is this sport becoming more popular?</t>
  </si>
  <si>
    <t>World War II.</t>
  </si>
  <si>
    <t>restricting Halal slaughter and other Islamic practices like circumcision</t>
  </si>
  <si>
    <t>Newton's Third Law is a result of applying symmetry to situations where forces can be attributed to the presence of different objects. The third law means that all forces are interactions between different bodies,[Note 3] and thus that there is no such thing as a unidirectional force or a force that acts on only one body. Whenever a first body exerts a force F on a second body, the second body exerts a force −F on the first body. F and −F are equal in magnitude and opposite in direction. This law is sometimes referred to as the action-reaction law, with F called the "action" and −F the "reaction". The action and the reaction are simultaneous:</t>
  </si>
  <si>
    <t>What does a car have besides a commune?</t>
  </si>
  <si>
    <t>only for those m that are prime</t>
  </si>
  <si>
    <t xml:space="preserve">Where does oldly created wealth concentrate? </t>
  </si>
  <si>
    <t>In what century was the Olympic balancing system used?</t>
  </si>
  <si>
    <t>2017</t>
  </si>
  <si>
    <t>In what year was the South African Schools Act passed?</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</si>
  <si>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</si>
  <si>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How wouldn't the capabilities approach achieve it's goal?</t>
  </si>
  <si>
    <t>Guy de Lusignan</t>
  </si>
  <si>
    <t>people to pursue their life goals in any country through free movement</t>
  </si>
  <si>
    <t>How long has Proportionality been recognized as one of the general principles of EU law?</t>
  </si>
  <si>
    <t>In many countries, there is a Gender pay gap in favor of males in the labor market. Several factors other than discrimination may contribute to this gap. On average, women are more likely than men to consider factors other than pay when looking for work, and may be less willing to travel or relocate. Thomas Sowell, in his book Knowledge and Decisions, claims that this difference is due to women not taking jobs due to marriage or pregnancy, but income studies show that that does not explain the entire difference. A U.S. Census's report stated that in US once other factors are accounted for there is still a difference in earnings between women and men. The income gap in other countries ranges from 53% in Botswana to -40% in Bahrain.</t>
  </si>
  <si>
    <t>There were many Chinese with what expected status?</t>
  </si>
  <si>
    <t>In what year was Jean Ribault born?</t>
  </si>
  <si>
    <t>What church runs public schools in Victoria?</t>
  </si>
  <si>
    <t>How many legions for the Germania Inferior existed?</t>
  </si>
  <si>
    <t>decreases</t>
  </si>
  <si>
    <t>areas cleared of forest</t>
  </si>
  <si>
    <t>What century did the Normans first gain their separate identity?</t>
  </si>
  <si>
    <t>What are produced from a large number of genes?</t>
  </si>
  <si>
    <t>high levels of inequality</t>
  </si>
  <si>
    <t>, make it more difficult for a system to function</t>
  </si>
  <si>
    <t>How is utility distribution further divided?</t>
  </si>
  <si>
    <t>By when did most of France's Colonies gain independence?</t>
  </si>
  <si>
    <t>Who did the Turks take up service with?</t>
  </si>
  <si>
    <t>This formalism</t>
  </si>
  <si>
    <t xml:space="preserve">What did DECnet originally do </t>
  </si>
  <si>
    <t>immune surveillance</t>
  </si>
  <si>
    <t>carbon</t>
  </si>
  <si>
    <t>What did Karlen and Singer present to the US senate?</t>
  </si>
  <si>
    <t>What are two types of faults that happen in the shallow crust?</t>
  </si>
  <si>
    <t>a private research university</t>
  </si>
  <si>
    <t>What is the source of oxygen production through electrocatalytic means?</t>
  </si>
  <si>
    <t>healthcare professionals</t>
  </si>
  <si>
    <t>Bendigo</t>
  </si>
  <si>
    <t>Who is the current Premier of Victoria?</t>
  </si>
  <si>
    <t>the separate condenser</t>
  </si>
  <si>
    <t>What was the building vacated twice to allow for?</t>
  </si>
  <si>
    <t>Some 5 million</t>
  </si>
  <si>
    <t>What is the upper range of annual fees for non-boarding students in British public schools?</t>
  </si>
  <si>
    <t>self</t>
  </si>
  <si>
    <t>What theorem was implicated by Manuel Blum's axioms?</t>
  </si>
  <si>
    <t>poverty and were ill treated</t>
  </si>
  <si>
    <t>What time frame doesn't the Seven Years War cover?</t>
  </si>
  <si>
    <t>What has the tendency to decrease wages in a field or job position?</t>
  </si>
  <si>
    <t>water level</t>
  </si>
  <si>
    <t>What third type of plea uses creative words?</t>
  </si>
  <si>
    <t>Newcomen's</t>
  </si>
  <si>
    <t>email</t>
  </si>
  <si>
    <t>Who was the second female Nobel laureate ?</t>
  </si>
  <si>
    <t>This shift has already commenced in some countries; for instance, pharmacists in Australia receive remuneration from the Australian Government for conducting comprehensive Home Medicines Reviews. In Canada, pharmacists in certain provinces have limited prescribing rights (as in Alberta and British Columbia) or are remunerated by their provincial government for expanded services such as medications reviews (Medschecks in Ontario). In the United Kingdom, pharmacists who undertake additional training are obtaining prescribing rights and this is because of pharmacy education. They are also being paid for by the government for medicine use reviews. In Scotland the pharmacist can write prescriptions for Scottish registered patients of their regular medications, for the majority of drugs, except for controlled drugs, when the patient is unable to see their doctor, as could happen if they are away from home or the doctor is unavailable. In the United States, pharmaceutical care or clinical pharmacy has had an evolving influence on the practice of pharmacy. Moreover, the Doctor of Pharmacy (Pharm. D.) degree is now required before entering practice and some pharmacists now complete one or two years of residency or fellowship training following graduation. In addition, consultant pharmacists, who traditionally operated primarily in nursing homes are now expanding into direct consultation with patients, under the banner of "senior care pharmacy."</t>
  </si>
  <si>
    <t>nine nations</t>
  </si>
  <si>
    <t>North County regions</t>
  </si>
  <si>
    <t>power steering</t>
  </si>
  <si>
    <t>receptor diversity</t>
  </si>
  <si>
    <t>Egyptian Islamic Jihad</t>
  </si>
  <si>
    <t>with Polymerase Chain Reaction (PCR)</t>
  </si>
  <si>
    <t>European Union law</t>
  </si>
  <si>
    <t>votes</t>
  </si>
  <si>
    <t>breaches of law in protest against international organizations and foreign governments</t>
  </si>
  <si>
    <t>connecting the same string multiple times to the same object through the use of a set-up that uses movable pulleys,</t>
  </si>
  <si>
    <t>In a nuclear power plant, what is the steam turbine connected to?</t>
  </si>
  <si>
    <t>Which book by Edward Said portrayed the west as being the "others?"</t>
  </si>
  <si>
    <t>What are responsibilities pharmacy technicians never deal with?</t>
  </si>
  <si>
    <t>a mathematical by-product of exchange of momentum</t>
  </si>
  <si>
    <t>Hundreds of madrasahs spawned what organization?</t>
  </si>
  <si>
    <t xml:space="preserve"> Germany doesn't have an imperialistic future until when?</t>
  </si>
  <si>
    <t>What prompted advanced research and education in networking?</t>
  </si>
  <si>
    <t>The BBC</t>
  </si>
  <si>
    <t>Who never issued the Royal Proclamation of 1763?</t>
  </si>
  <si>
    <t>revolutionary civil disobedience</t>
  </si>
  <si>
    <t>Building construction is the process of adding structure to real property or construction of buildings. The majority of building construction jobs are small renovations, such as addition of a room, or renovation of a bathroom. Often, the owner of the property acts as laborer, paymaster, and design team for the entire project. Although building construction projects typically include various common elements, such as design, financial, estimating and legal considerations, many projects of varying sizes reach undesirable end results, such as structural collapse, cost overruns, and/or litigation. For this reason, those with experience in the field make detailed plans and maintain careful oversight during the project to ensure a positive outcome.</t>
  </si>
  <si>
    <t>Charles River</t>
  </si>
  <si>
    <t>For many years, Sudan had an Islamist regime under the leadership of Hassan al-Turabi. His National Islamic Front first gained influence when strongman General Gaafar al-Nimeiry invited members to serve in his government in 1979. Turabi built a powerful economic base with money from foreign Islamist banking systems, especially those linked with Saudi Arabia. He also recruited and built a cadre of influential loyalists by placing sympathetic students in the university and military academy while serving as minister of education.</t>
  </si>
  <si>
    <t>What is productive for a long period of time in the Amazon?</t>
  </si>
  <si>
    <t>cylinders and valve gear</t>
  </si>
  <si>
    <t>Cologne</t>
  </si>
  <si>
    <t>How high were the winds around St. Augustine during the 1871 hurricane?</t>
  </si>
  <si>
    <t>Where do other tourist events happen in Victoria outside of Melbourne?</t>
  </si>
  <si>
    <t>From 2005 to 2014, there were two Major League Soccer teams in Los Angeles — the LA Galaxy and Chivas USA — that both played at the StubHub Center and were local rivals. However, Chivas were suspended following the 2014 MLS season, with a second MLS team scheduled to return in 2018.</t>
  </si>
  <si>
    <t>What is the axis of Warsaw which divides it into two parts?</t>
  </si>
  <si>
    <t>What part the composition of the Earth's atmosphere is comprised of oxygen?</t>
  </si>
  <si>
    <t>Which group can not meet at other locations in Scotland?</t>
  </si>
  <si>
    <t>What engines were used throughout most of the 20th century to propel power plants?</t>
  </si>
  <si>
    <t>coining the modern name packet switching and inspiring numerous packet switching networks</t>
  </si>
  <si>
    <t xml:space="preserve">How many people, at most, have died of plague in Baghdad? </t>
  </si>
  <si>
    <t>When are subject committees established?</t>
  </si>
  <si>
    <t>data sampling is biased away from the center of the Amazon basin</t>
  </si>
  <si>
    <t>the study of positions of rock units and their deformation</t>
  </si>
  <si>
    <t>UNESCO World Heritage Site.</t>
  </si>
  <si>
    <t>governmental entities</t>
  </si>
  <si>
    <t>0.9%</t>
  </si>
  <si>
    <t>What are three complexity classes between L and P?</t>
  </si>
  <si>
    <t>second-most</t>
  </si>
  <si>
    <t>beginning in early September and ending in mid-May</t>
  </si>
  <si>
    <t>Foreign Protestants Naturalization Act</t>
  </si>
  <si>
    <t>What does the film of oxide on metals delay?</t>
  </si>
  <si>
    <t>What hormones are produced mostly when awake?</t>
  </si>
  <si>
    <t>Who was Louis XIV's main rival?</t>
  </si>
  <si>
    <t xml:space="preserve"> Where did Charles de Gaulle and the Free English run operations during World War 2?</t>
  </si>
  <si>
    <t>According to reduction, if X and Y can be solved by the same algorithm then X performs what function in relationship to Y?</t>
  </si>
  <si>
    <t>What satellite made it impossible for Sky Digital to launch an all new digital service?</t>
  </si>
  <si>
    <t xml:space="preserve"> How poorly did the Mongol Emperors know spoken Chinese?</t>
  </si>
  <si>
    <t>What is the Norman architecture idiom?</t>
  </si>
  <si>
    <t>When were fundamental rights not recognized by the European Court of Justice?</t>
  </si>
  <si>
    <t>Which part of China had people ranked higher in the class system?</t>
  </si>
  <si>
    <t>consumption</t>
  </si>
  <si>
    <t>Who allegedly coined the name Black Death?</t>
  </si>
  <si>
    <t xml:space="preserve">What are the three secondary expressions used to represent case complexity? </t>
  </si>
  <si>
    <t>electrostatic force (due to the electric field) and the magnetic force</t>
  </si>
  <si>
    <t>Persistent unemployment has what effect on long-term economic growth?</t>
  </si>
  <si>
    <t>What period did the emergence of feeding mechanisms come from?</t>
  </si>
  <si>
    <t>they surrendered</t>
  </si>
  <si>
    <t>Why did the demand for rentals decrease?</t>
  </si>
  <si>
    <t>Sky Q Silver</t>
  </si>
  <si>
    <t>What are MPs unable to vote upon?</t>
  </si>
  <si>
    <t>Where can a tribute to the fall of Warsaw be found?</t>
  </si>
  <si>
    <t>King Malcolm III of Scotland</t>
  </si>
  <si>
    <t>an increase</t>
  </si>
  <si>
    <t>17th century</t>
  </si>
  <si>
    <t>locomotion</t>
  </si>
  <si>
    <t>Circuit switching charges a fee for transferring what kind of information?</t>
  </si>
  <si>
    <t xml:space="preserve"> Where did France lose a war in the 1930's?</t>
  </si>
  <si>
    <t>Victory Square</t>
  </si>
  <si>
    <t>connection-oriented operations</t>
  </si>
  <si>
    <t>By what document did the Huguenots confess their faith to the Portuguese in Brazil?</t>
  </si>
  <si>
    <t>How many Huguenots settled in Bedfordshire?</t>
  </si>
  <si>
    <t>law and philosophy</t>
  </si>
  <si>
    <t>decision problems</t>
  </si>
  <si>
    <t>far southeast side</t>
  </si>
  <si>
    <t>four classes</t>
  </si>
  <si>
    <t>the river's natural course due to number of canalisation projects completed in the 19th and 20th century</t>
  </si>
  <si>
    <t>What was Warsaw's population in 1901?</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</si>
  <si>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</si>
  <si>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What are no longer components of drug therapy?</t>
  </si>
  <si>
    <t>In modern times, what is said about civil disobedience?</t>
  </si>
  <si>
    <t>Polish and international artists</t>
  </si>
  <si>
    <t>What is the name of the TV scrambling system BSkyB couldn't use?</t>
  </si>
  <si>
    <t>How much of the IPCC attendees are government representatives?</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</si>
  <si>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</si>
  <si>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What could justify restrictions on freedom of establishment?</t>
  </si>
  <si>
    <t>accept punishment</t>
  </si>
  <si>
    <t>Hyperbaric (high-pressure) medicine</t>
  </si>
  <si>
    <t>What modern forms of travel took visitors to other parts of Florida?</t>
  </si>
  <si>
    <t>Civil disobedience can occur when people speak about a certain topic that is deemed as?</t>
  </si>
  <si>
    <t>How many lobes do plankton have?</t>
  </si>
  <si>
    <t>What is the most elemental way to test the primality of any integer n?</t>
  </si>
  <si>
    <t>Marquis de Vaudreuil.</t>
  </si>
  <si>
    <t>How many households has kids under the age of 18 living in them?</t>
  </si>
  <si>
    <t>What already existed in the USSR before 1973?</t>
  </si>
  <si>
    <t>private actors</t>
  </si>
  <si>
    <t>Extension</t>
  </si>
  <si>
    <t>What park is close to Vistula street?</t>
  </si>
  <si>
    <t>When is civil disobedience justified against certain groups according to trade unions?</t>
  </si>
  <si>
    <t>Who influenced the Taliban's ideology?</t>
  </si>
  <si>
    <t>Sayyid Abul Ala Maududi</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</si>
  <si>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</si>
  <si>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Which treaty provides that the European Union law be applied to metropolitan territories of member states?</t>
  </si>
  <si>
    <t>less than quadratic time</t>
  </si>
  <si>
    <t>How many academic research divisions does the University of Chicago have?</t>
  </si>
  <si>
    <t>Where can tourists go when they visit Cambridge?</t>
  </si>
  <si>
    <t>like true larvae</t>
  </si>
  <si>
    <t>What doesn't the capabilities approach look at poverty as a form of?</t>
  </si>
  <si>
    <t>What was the projection of sea level increases in the forth assessment report?</t>
  </si>
  <si>
    <t>ultraviolet radiation impacting oxygen-containing molecules such as carbon dioxide</t>
  </si>
  <si>
    <t>Shirley and Johnson</t>
  </si>
  <si>
    <t>the cause was a form of anthrax</t>
  </si>
  <si>
    <t>What are outcomes expected with Medication Therapy Management?</t>
  </si>
  <si>
    <t>transport applications</t>
  </si>
  <si>
    <t>Why would one want to give more punishment?</t>
  </si>
  <si>
    <t>make detailed plans and maintain careful oversight during the project</t>
  </si>
  <si>
    <t>What other Northern European cities had Huguenot congregations?</t>
  </si>
  <si>
    <t>In early Pleistocene, what direction did the Rhine flow?</t>
  </si>
  <si>
    <t>normal faulting</t>
  </si>
  <si>
    <t>The working fluid in a Rankine cycle can operate as a closed loop system, where the working fluid is recycled continuously, or may be an "open loop" system, where the exhaust steam is directly released to the atmosphere, and a separate source of water feeding the boiler is supplied. Normally water is the fluid of choice due to its favourable properties, such as non-toxic and unreactive chemistry, abundance, low cost, and its thermodynamic properties. Mercury is the working fluid in the mercury vapor turbine. Low boiling hydrocarbons can be used in a binary cycle.</t>
  </si>
  <si>
    <t>What continent are the Canarian Islands off the coast of?</t>
  </si>
  <si>
    <t>What causes the immune system to treat foreign organisms like normal tissues?</t>
  </si>
  <si>
    <t>What percentage of whites are hispanic or latino?</t>
  </si>
  <si>
    <t>Abercynon</t>
  </si>
  <si>
    <t>What was one of the nationalities that the Huguenots established diplomatic contacts with?</t>
  </si>
  <si>
    <t>South Coast Metro</t>
  </si>
  <si>
    <t>colonizing empires</t>
  </si>
  <si>
    <t>When did Prime Minister Wilson commit to some form of devolved legislature?</t>
  </si>
  <si>
    <t>The sieve of Euler would not be valid if what were true?</t>
  </si>
  <si>
    <t>dispute over control of the confluence of the Allegheny and Monongahela rivers, called the Forks of the Ohio</t>
  </si>
  <si>
    <t>How well are teachers paid in public schools in Australia?</t>
  </si>
  <si>
    <t>Current faculty include the anthropologist Marshall Sahlins, historian Dipesh Chakrabarty, paleontologists Neil Shubin and Paul Sereno, evolutionary biologist Jerry Coyne, Nobel prize winning physicist Yoichiro Nambu, Nobel prize winning physicist James Cronin, Nobel Prize winning economists Eugene Fama, James Heckman, Lars Peter Hansen, Roger Myerson and Robert Lucas, Jr., Freakonomics author and noted economist Steven Levitt, current governor of India's central bank Raghuram Rajan, the 74th United States Secretary of the Treasury and former Goldman Sachs Chairman and CEO Hank Paulson, former Chairman of President Barack Obama's Council of Economic Advisors Austan Goolsbee, Shakespeare scholar David Bevington, and renowned political scientists John Mearsheimer and Robert Pape.</t>
  </si>
  <si>
    <t>How quickly do plankton populations grow due to hermaphrodism and early reproduction?</t>
  </si>
  <si>
    <t>As to the Summons you send me to retire, I do not think myself obliged to obey it.</t>
  </si>
  <si>
    <t>What type of treatment are pharmacists important for?</t>
  </si>
  <si>
    <t>How many Examination Boards exist in India?</t>
  </si>
  <si>
    <t>What controls wages in a purely capitalist mode of production?</t>
  </si>
  <si>
    <t>Type II hypersensitivity</t>
  </si>
  <si>
    <t>Where is the first man-made self-sustaining nuclear reaction located?</t>
  </si>
  <si>
    <t>What has technological innovation and automation replaced low-skilled jobs with?</t>
  </si>
  <si>
    <t>What protestant religions made Northern European counties safe for Huguenot immigration?</t>
  </si>
  <si>
    <t>What year did BSkyB and Virgin Media have a dispute over the carriage of Sky Channels on cable TV?</t>
  </si>
  <si>
    <t>small-business proprietors</t>
  </si>
  <si>
    <t>What was the name given to the regions in which the pro - slavery southerners lived?</t>
  </si>
  <si>
    <t>Along with poppet valve gears, what type of gears utilized separate admission and exhaust valves to give ideal events?</t>
  </si>
  <si>
    <t>castles and vineyards</t>
  </si>
  <si>
    <t>What is the term that describes what  happened in 1979 when the US prices of oil were higher?</t>
  </si>
  <si>
    <t>Which artictle does not state that the member states' rights to deliver public services may not be obstructed?</t>
  </si>
  <si>
    <t>free-to-air</t>
  </si>
  <si>
    <t>How many main flows are branched off from the Nederrijn?</t>
  </si>
  <si>
    <t>−11.7 °C</t>
  </si>
  <si>
    <t>Which team was suspended from the MLS?</t>
  </si>
  <si>
    <t>The waxy cuticle</t>
  </si>
  <si>
    <t>In what era was the Williamite war in Ireland?</t>
  </si>
  <si>
    <t>What is the Swedish word for school voucher?</t>
  </si>
  <si>
    <t>Civil_disobedience</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</si>
  <si>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</si>
  <si>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How does HT strive to amass power?</t>
  </si>
  <si>
    <t>Cargill Meat Solutions and Foster Farms</t>
  </si>
  <si>
    <t>What do the Treaties generally limit?</t>
  </si>
  <si>
    <t>money from foreign Islamist banking systems</t>
  </si>
  <si>
    <t>When did Victoria approve a referendum?</t>
  </si>
  <si>
    <t>Who was the developer of the Hamming battery?</t>
  </si>
  <si>
    <t>What isn't the income inequality gap between genders in Botswana?</t>
  </si>
  <si>
    <t>What was Hero of Ayanz's nationality?</t>
  </si>
  <si>
    <t>a function of the size of the instance</t>
  </si>
  <si>
    <t>necessity rather than opportunity</t>
  </si>
  <si>
    <t>a protective radiation shield</t>
  </si>
  <si>
    <t>Who is the author of the book, "Knowledge and Decisions"?</t>
  </si>
  <si>
    <t>photons</t>
  </si>
  <si>
    <t>markets</t>
  </si>
  <si>
    <t>What is unimportant in SAR?</t>
  </si>
  <si>
    <t>Where have oxygen bars been since 1990?</t>
  </si>
  <si>
    <t>Pleurobrachia</t>
  </si>
  <si>
    <t>What can faith groups ask the Presiding Officer to do for them?</t>
  </si>
  <si>
    <t>What would income differentials be if individual contributions were relevant to the social product?</t>
  </si>
  <si>
    <t>Apart from its mathematics and postgraduate schools, what else doe the university run?</t>
  </si>
  <si>
    <t>How many casualties didn't British get?</t>
  </si>
  <si>
    <t xml:space="preserve">Case complexity likelihoods provide variable probabilities of what general measure? </t>
  </si>
  <si>
    <t>Who identified gravity as a force?</t>
  </si>
  <si>
    <t>Who built on Philo of Pneumatica's work?</t>
  </si>
  <si>
    <t>sword</t>
  </si>
  <si>
    <t>Who were the Samuron?</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</si>
  <si>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</si>
  <si>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Besides 1,3, and 7, what other number must all distinct divisors greater than 5 end with?</t>
  </si>
  <si>
    <t>What was the Plos Pathogens paper about?</t>
  </si>
  <si>
    <t>time of the Miocene</t>
  </si>
  <si>
    <t>What component of water is more soluble than nitrogen?</t>
  </si>
  <si>
    <t>How many provinces did the Ottoman empire contain in the 17th century?</t>
  </si>
  <si>
    <t>political unity</t>
  </si>
  <si>
    <t>Masovian gothic</t>
  </si>
  <si>
    <t>In which direction did the water on the eastern side flow?</t>
  </si>
  <si>
    <t>What locations are headquartered at the California University at Irvine?</t>
  </si>
  <si>
    <t>When a T-cell encounters a foreign pathogen, it extends a vitamin D receptor. This is essentially a signaling device that allows the T-cell to bind to the active form of vitamin D, the steroid hormone calcitriol. 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Only after binding to calcitriol can T-cells perform their intended function. Other immune system cells that are known to express CYP27B1 and thus activate vitamin D calcidiol, are dendritic cells, keratinocytes and macrophages.</t>
  </si>
  <si>
    <t>What percentage did OPEC raise the price of oil?</t>
  </si>
  <si>
    <t>When did French Republicans back building the French empire?</t>
  </si>
  <si>
    <t>2001</t>
  </si>
  <si>
    <t>by store and forward switching</t>
  </si>
  <si>
    <t>Where is the principle of proportionality not recognized in the EC treaty?</t>
  </si>
  <si>
    <t>Sybilla</t>
  </si>
  <si>
    <t>At what size and larger can drugs elicit a neutralizing immune response?</t>
  </si>
  <si>
    <t>identity</t>
  </si>
  <si>
    <t>type of committee</t>
  </si>
  <si>
    <t>What type of topological systems are found in numbers in Victoria?</t>
  </si>
  <si>
    <t>79 individual libraries</t>
  </si>
  <si>
    <t>white flight</t>
  </si>
  <si>
    <t>How much does it cost yearly to go to a UK university?</t>
  </si>
  <si>
    <t>What Institute published findings in September 2012 regarding the Forbes richest 400 Americans?</t>
  </si>
  <si>
    <t>Who translated this version of the scriptures?</t>
  </si>
  <si>
    <t>Why is majority rule used?</t>
  </si>
  <si>
    <t>Who founded Cambridge in 1650?</t>
  </si>
  <si>
    <t>1961</t>
  </si>
  <si>
    <t>final vote</t>
  </si>
  <si>
    <t>Philo of Byzantium</t>
  </si>
  <si>
    <t>acupuncture, moxibustion, pulse diagnosis, and various herbal drugs</t>
  </si>
  <si>
    <t>allowed local area networks to be established ad hoc without the requirement for a centralized router or server</t>
  </si>
  <si>
    <t>to “wid[en] people’s choices and the level of their achieved well-being”</t>
  </si>
  <si>
    <t>What two resources commonly consumed by alternate models are typically known to vary?</t>
  </si>
  <si>
    <t>Who does the statue of Little Heroic commemorate?</t>
  </si>
  <si>
    <t>What type of flower is sought on Wianki?</t>
  </si>
  <si>
    <t>How much British military was in South America at start of War?</t>
  </si>
  <si>
    <t>What formation has an asymmetrical pattern of different landmarks?</t>
  </si>
  <si>
    <t>the kingdom</t>
  </si>
  <si>
    <t>This concept contrasted and contradicted the theretofore established principles of pre-allocation of network bandwidth</t>
  </si>
  <si>
    <t>Catch Me Who Can</t>
  </si>
  <si>
    <t>What US companies are compiled in the Top-250</t>
  </si>
  <si>
    <t>What causes hillslopes and channels to erode?</t>
  </si>
  <si>
    <t>William Maclure</t>
  </si>
  <si>
    <t>What does paleotopography study?</t>
  </si>
  <si>
    <t>The Scotland Act 2002 extends the devolved what?</t>
  </si>
  <si>
    <t>2016</t>
  </si>
  <si>
    <t>8 February 2007</t>
  </si>
  <si>
    <t>last week of February 1974,</t>
  </si>
  <si>
    <t>What did Ghandi mention about the right to abolish an unjust government in The Declaration of Independence?</t>
  </si>
  <si>
    <t>what is the least controversial aspect of imperialism?</t>
  </si>
  <si>
    <t>Hank Paulson is the former Chairman and CEO of what banking firm?</t>
  </si>
  <si>
    <t>Name a luxury model that became popular in the mid-1970s.</t>
  </si>
  <si>
    <t>main</t>
  </si>
  <si>
    <t>It was outlined that who's donations could only be used for buildings?</t>
  </si>
  <si>
    <t>What variable is easy to establish in a framework for complexity classes?</t>
  </si>
  <si>
    <t>In England, in the absence of census figures, historians propose a range of preincident population figures from as high as 7 million to as low as 4 million in 1300, and a postincident population figure as low as 2 million. By the end of 1350, the Black Death subsided, but it never really died out in England. Over the next few hundred years, further outbreaks occurred in 1361–62, 1369, 1379–83, 1389–93, and throughout the first half of the 15th century. An outbreak in 1471 took as much as 10–15% of the population, while the death rate of the plague of 1479–80 could have been as high as 20%. The most general outbreaks in Tudor and Stuart England seem to have begun in 1498, 1535, 1543, 1563, 1589, 1603, 1625, and 1636, and ended with the Great Plague of London in 1665.</t>
  </si>
  <si>
    <t>euphoric</t>
  </si>
  <si>
    <t>it focuses attention on the threat of punishment and not the moral reasons to follow this law</t>
  </si>
  <si>
    <t>spin</t>
  </si>
  <si>
    <t>to the state and its laws</t>
  </si>
  <si>
    <t>What types of collections does desert California have?</t>
  </si>
  <si>
    <t xml:space="preserve"> How many years have non-imperialistic practices existed?</t>
  </si>
  <si>
    <t>affiliated with other Protestant denominations with more numerous members</t>
  </si>
  <si>
    <t>For a field F containing 0 and 1, what would be the prime knot field?</t>
  </si>
  <si>
    <t>Metro Trains Melbourne</t>
  </si>
  <si>
    <t>What types of responsibilities might a pharmacy technician not be responsible for?</t>
  </si>
  <si>
    <t>granted the Protestants equality</t>
  </si>
  <si>
    <t>Secular Arab nationalism was blamed for both the defeat of Arab troops as well as what type of stagnation?</t>
  </si>
  <si>
    <t>Who conducted an experiment on August 4, 1774?</t>
  </si>
  <si>
    <t>La Rochelle</t>
  </si>
  <si>
    <t>What does the Treaty on the Functioning of the European Union not protect?</t>
  </si>
  <si>
    <t>After WW-II where did Russia apply its old Tsarist regimes?</t>
  </si>
  <si>
    <t>The presence of who is highly likely even in small projects?</t>
  </si>
  <si>
    <t>Who was the Normans' main enemy in Italy, the Byzantine Empire and Armenia?</t>
  </si>
  <si>
    <t>Sullivan Bay</t>
  </si>
  <si>
    <t>On October 6, 1973</t>
  </si>
  <si>
    <t>"dephlogisticated air</t>
  </si>
  <si>
    <t>What the marginal utility of wealth per income per person do as that person becomes richer?</t>
  </si>
  <si>
    <t>What policy did the Kelven Report contain?</t>
  </si>
  <si>
    <t>Scottish Parliament grew</t>
  </si>
  <si>
    <t>Amazonia: Man and Culture in a Counterfeit Paradise.</t>
  </si>
  <si>
    <t>What is a term that means constant energy?</t>
  </si>
  <si>
    <t>destructive</t>
  </si>
  <si>
    <t>What is involved in a review of prescribed medications?</t>
  </si>
  <si>
    <t>How much do ctenophore eat in a day?</t>
  </si>
  <si>
    <t>What plants create most combustion power?</t>
  </si>
  <si>
    <t>Aristotle's</t>
  </si>
  <si>
    <t>What is a way you can show police officers civil disobedience ?</t>
  </si>
  <si>
    <t>Eleutherian gunpowder mills.</t>
  </si>
  <si>
    <t>to avoid being targeted by the boycott</t>
  </si>
  <si>
    <t>Omnicare, Kindred Healthcare and PharMerica</t>
  </si>
  <si>
    <t>Other than the motion picture and television industry, what other major industry is centered in Los Angeles?</t>
  </si>
  <si>
    <t>Catholicism</t>
  </si>
  <si>
    <t>When was the Polish-Bolshevik war fought?</t>
  </si>
  <si>
    <t>Common Core</t>
  </si>
  <si>
    <t>The Amazon rainforest makes up what amount of Earth's rainforests?</t>
  </si>
  <si>
    <t>individually, sometimes resulting in different paths and out-of-order delivery</t>
  </si>
  <si>
    <t>When did the European Anti-Fraud Office investigate John Dalli?</t>
  </si>
  <si>
    <t>Where were the writings of Plato acclaimed in 1846?</t>
  </si>
  <si>
    <t>Where in Central Asia did the Han Chinese move?</t>
  </si>
  <si>
    <t>Data Distribution Centre and the National Greenhouse Gas Inventories Programme</t>
  </si>
  <si>
    <t>What religion's schools does the term 'parochial schools' generally refer to?</t>
  </si>
  <si>
    <t>reduced the population of Seville by half</t>
  </si>
  <si>
    <t>Synthetic aperture</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</si>
  <si>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(1277–1347) invented a suspension method for reducing dislocated joints, which he performed using anesthetics. The Mongol physician Hu Sihui described the importance of a healthy diet in a 1330 medical treatise.</t>
  </si>
  <si>
    <t>boycotts</t>
  </si>
  <si>
    <t>What is the proven assumption generally ascribed to the value of complexity classes?</t>
  </si>
  <si>
    <t>in a number of stages</t>
  </si>
  <si>
    <t>What textile industry did the Huguenots contribute to in Ireland?</t>
  </si>
  <si>
    <t>renewal of hostilities</t>
  </si>
  <si>
    <t>50</t>
  </si>
  <si>
    <t>What future Revolutionary key figures never participated in this attack?</t>
  </si>
  <si>
    <t xml:space="preserve"> Iqbal worried that India's mostly Hindu population would not do what to Muslim heritage and culture?</t>
  </si>
  <si>
    <t>Along with electric motors, what type of engines superseded turbines?</t>
  </si>
  <si>
    <t>Where is the oldest pharmacy stated to be located?</t>
  </si>
  <si>
    <t>1754</t>
  </si>
  <si>
    <t>technological innovation</t>
  </si>
  <si>
    <t>What kind of sleep was discovered at the U of C in 1947?</t>
  </si>
  <si>
    <t>What is stratigraphy?</t>
  </si>
  <si>
    <t>What marine engines were less efficient than gas turbines?</t>
  </si>
  <si>
    <t>How many primes were included in Derrick Norman Lehmer's list of prime numbers?</t>
  </si>
  <si>
    <t>Who established the psychological school of conservative international relations?</t>
  </si>
  <si>
    <t xml:space="preserve"> How many successors of Kublai was Toghun the first of?</t>
  </si>
  <si>
    <t>the architect or engineer</t>
  </si>
  <si>
    <t>How many receptors on a helper T cell must be bound to a MHC:antigen complex in order for the cell to be activated?</t>
  </si>
  <si>
    <t>local-global principle</t>
  </si>
  <si>
    <t>possess more financial assets than the lowest 48 nations combined.</t>
  </si>
  <si>
    <t>What Jacksonville community is known for having heavy ties to the Navy?</t>
  </si>
  <si>
    <t>Why did Kublai's successors lose control of the rest of the Mongol empire?</t>
  </si>
  <si>
    <t>What time period did the geoglyphs date back to?</t>
  </si>
  <si>
    <t>How much did the population of Victoria increase in ten years after the discovery of gold?</t>
  </si>
  <si>
    <t>1745</t>
  </si>
  <si>
    <t>Arabs and much of the rest of the Third World</t>
  </si>
  <si>
    <t>What does  mnemiopsis eat?</t>
  </si>
  <si>
    <t>What is the name of the law which imposed the speed limit?</t>
  </si>
  <si>
    <t>In what century did important classical music developments occur in Normandy?</t>
  </si>
  <si>
    <t>What did creating highways in the Amazon rainforest lead to?</t>
  </si>
  <si>
    <t>There were many Mongols with what unexpected status?</t>
  </si>
  <si>
    <t>fern</t>
  </si>
  <si>
    <t>the "hockey stick graph"</t>
  </si>
  <si>
    <t>What is the name of the park in Atascadero?</t>
  </si>
  <si>
    <t>What neighborhood did Huguenots create in Hamburg?</t>
  </si>
  <si>
    <t>What are those with lower incomes often unable to manage?</t>
  </si>
  <si>
    <t>complexity</t>
  </si>
  <si>
    <t>Who demonstrated that electric and magnetic forces were unified through two consistent theories?</t>
  </si>
  <si>
    <t>March 29, 1883</t>
  </si>
  <si>
    <t>stainless steel</t>
  </si>
  <si>
    <t>design typical of Eastern bloc countries</t>
  </si>
  <si>
    <t>What is Victoria's largest non-Christian religion?</t>
  </si>
  <si>
    <t>What types of employees does and interior design firm usually have?</t>
  </si>
  <si>
    <t>How do bills pass through Parliament?</t>
  </si>
  <si>
    <t>What happened when public high schools gained accreditation?</t>
  </si>
  <si>
    <t>430 BC</t>
  </si>
  <si>
    <t>What letter didn't Washington present to Saint-Pierre ?</t>
  </si>
  <si>
    <t>Premier</t>
  </si>
  <si>
    <t>Between Bingen and Bonn, the Middle Rhine flows through the Rhine Gorge, a formation which was created by erosion. The rate of erosion equaled the uplift in the region, such that the river was left at about its original level while the surrounding lands raised. The gorge is quite deep and is the stretch of the river which is known for its many castles and vineyards. It is a UNESCO World Heritage Site (2002) and known as "the Romantic Rhine", with more than 40 castles and fortresses from the Middle Ages and many quaint and lovely country villages.</t>
  </si>
  <si>
    <t>Moderate and reformist Islamists who accept and work within the democratic process include parties like the Tunisian Ennahda Movement. Jamaat-e-Islami of Pakistan is basically a socio-political and democratic Vanguard party but has also gained political influence through military coup d'état in past. The Islamist groups like Hezbollah in Lebanon and Hamas in Palestine participate in democratic and political process as well as armed attacks, seeking to abolish the state of Israel. Radical Islamist organizations like al-Qaeda and the Egyptian Islamic Jihad, and groups such as the Taliban, entirely reject democracy, often declaring as kuffar those Muslims who support it (see takfirism), as well as calling for violent/offensive jihad or urging and conducting attacks on a religious basis.</t>
  </si>
  <si>
    <t>How many protestants live in France today?</t>
  </si>
  <si>
    <t>Who has the task of ensuring party members vote according to the party line?</t>
  </si>
  <si>
    <t>What organization arranged to founding of school?</t>
  </si>
  <si>
    <t>artifact</t>
  </si>
  <si>
    <t>The success of any pathogen depends on its ability to elude host immune responses. Therefore, pathogens evolved several methods that allow them to successfully infect a host, while evading detection or destruction by the immune system. Bacteria often overcome physical barriers by secreting enzymes that digest the barrier, for example, by using a type II secretion system. Alternatively, using a type III secretion system, they may insert a hollow tube into the host cell, providing a direct route for proteins to move from the pathogen to the host. These proteins are often used to shut down host defenses.</t>
  </si>
  <si>
    <t>Which law is a rule of vector addition?</t>
  </si>
  <si>
    <t>second and third run movies, along with classic films</t>
  </si>
  <si>
    <t>494,665</t>
  </si>
  <si>
    <t>pasture for cattle</t>
  </si>
  <si>
    <t>render certain laws ineffective, to cause their repeal</t>
  </si>
  <si>
    <t>What is one way to use pure speech to reach as much people as possible to protest?</t>
  </si>
  <si>
    <t>What ideas motivated Channing to remove Christianity as dominant in college curriculum?</t>
  </si>
  <si>
    <t>How weren't the Mongol garrison families earning money?</t>
  </si>
  <si>
    <t>How small was the audience BSkyB said they couldn't reach?</t>
  </si>
  <si>
    <t>Who doesn't benefit when a project doesn't follow a residential district?</t>
  </si>
  <si>
    <t>semi-legal</t>
  </si>
  <si>
    <t>What case complexity is represented when limited time is required to sort integers?</t>
  </si>
  <si>
    <t>rainfall</t>
  </si>
  <si>
    <t>Sybilla of Normandy</t>
  </si>
  <si>
    <t>How many tons of dust remains in the air?</t>
  </si>
  <si>
    <t>less than or equal to the square root of n</t>
  </si>
  <si>
    <t>How much of the global wealth will the wealthiest 1 percent own by 2016?</t>
  </si>
  <si>
    <t>What was Houghton's role?</t>
  </si>
  <si>
    <t>Where does the Delta in the Netherlands begin?</t>
  </si>
  <si>
    <t>What was not similar to the Lisbon Treaty?</t>
  </si>
  <si>
    <t>fund</t>
  </si>
  <si>
    <t>low total pressures</t>
  </si>
  <si>
    <t>What was Abu Hamaz al-Masri charged with when he was freed?</t>
  </si>
  <si>
    <t>By what method did Maududi not want to change the hearts and minds of individuals?</t>
  </si>
  <si>
    <t>African-American</t>
  </si>
  <si>
    <t>What takes up 23.1% of the Earth's mass?</t>
  </si>
  <si>
    <t>dragons rock</t>
  </si>
  <si>
    <t>third</t>
  </si>
  <si>
    <t>What part is added to the uniflow engine to resolve the issue in the counterflow cycle?</t>
  </si>
  <si>
    <t>What did Charles Darwin publish in 1830?</t>
  </si>
  <si>
    <t>In what year did Samuel K. Cohn, Jr.  read Graham Twigg's major work?</t>
  </si>
  <si>
    <t>While producing oxygen, what gas does a zeolite sieve absorb?</t>
  </si>
  <si>
    <t>How many inhabitants does the Los Angeles area contain?</t>
  </si>
  <si>
    <t>early vertebrates</t>
  </si>
  <si>
    <t>the usual academic subjects</t>
  </si>
  <si>
    <t>collective bargaining, political influence, or corruption</t>
  </si>
  <si>
    <t>How many general principles does the the Social Charter not declare?</t>
  </si>
  <si>
    <t>literature, cartography, geography, and scientific education</t>
  </si>
  <si>
    <t>np≡n (mod p)</t>
  </si>
  <si>
    <t>What are graduate courses at the U of C known for?</t>
  </si>
  <si>
    <t>Who's major ports were controlled by the English?</t>
  </si>
  <si>
    <t>Who created an engine using high pressure steam in 1801?</t>
  </si>
  <si>
    <t>a spin triplet state</t>
  </si>
  <si>
    <t>inclusions and components</t>
  </si>
  <si>
    <t>long lasting detrimental effect</t>
  </si>
  <si>
    <t xml:space="preserve">The Australian Tax Office used AUSTPAC for what reason? </t>
  </si>
  <si>
    <t>What fluids are enzymes not found in?</t>
  </si>
  <si>
    <t>760 mm</t>
  </si>
  <si>
    <t>in space</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</si>
  <si>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</si>
  <si>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the empire fell</t>
  </si>
  <si>
    <t>When was the fire that destroyed 146 buildings in Jacksonville?</t>
  </si>
  <si>
    <t>A constitutional impasse pertains to how a citizen relates to the state and what?</t>
  </si>
  <si>
    <t>If polynomial time can be utilized within an NP-complete problem, what does the imply P is equal to?</t>
  </si>
  <si>
    <t>the Atlantic</t>
  </si>
  <si>
    <t>horrible wars</t>
  </si>
  <si>
    <t>September 1971</t>
  </si>
  <si>
    <t>Where didn't British settlers live?</t>
  </si>
  <si>
    <t>When did a plague-ridden ship land in Norway?</t>
  </si>
  <si>
    <t>active</t>
  </si>
  <si>
    <t>What is the largest sensory feature of the ctenophora?</t>
  </si>
  <si>
    <t>A language solved in quadratic time implies the use of what type of Turing machine?</t>
  </si>
  <si>
    <t>Why did Harvard end its early admission program?</t>
  </si>
  <si>
    <t>division and administration</t>
  </si>
  <si>
    <t>the atmospheric engine</t>
  </si>
  <si>
    <t>al-Gama'a al-Islamiyya</t>
  </si>
  <si>
    <t>How do competing businesses attract workers?</t>
  </si>
  <si>
    <t>7,000,000 square kilometres (2,70</t>
  </si>
  <si>
    <t>by erosion</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</si>
  <si>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</si>
  <si>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relationship contracting where the emphasis is on a co-operative relationship</t>
  </si>
  <si>
    <t>What did tax collectors try to prevent from being installed in the Temple?</t>
  </si>
  <si>
    <t>What type of law does not make Eu institutions and member states follow the law?</t>
  </si>
  <si>
    <t>silt up the lake</t>
  </si>
  <si>
    <t>In the 1060s</t>
  </si>
  <si>
    <t>1849</t>
  </si>
  <si>
    <t>What commemorates Warsaw's heroic history?</t>
  </si>
  <si>
    <t>How many total acres is Woodward Park?</t>
  </si>
  <si>
    <t>When there is a side that agrees to a lot for a little what happens to the cost?</t>
  </si>
  <si>
    <t>Frank Burnet</t>
  </si>
  <si>
    <t>Who explained that inertial reference frames equaled reference frames subject to constant acceleration?</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</si>
  <si>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</si>
  <si>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protein structure prediction</t>
  </si>
  <si>
    <t>To what gauge have some lines been changed in the west of Victoria?</t>
  </si>
  <si>
    <t>Dublin</t>
  </si>
  <si>
    <t>What was a non-religious reason for the massacre?</t>
  </si>
  <si>
    <t>government officials and climate change experts</t>
  </si>
  <si>
    <t>the Data Distribution Centre and the National Greenhouse Gas Inventories Programme</t>
  </si>
  <si>
    <t>Who developed a successful steam engine for Charles Porter?</t>
  </si>
  <si>
    <t>photolysis of ozone</t>
  </si>
  <si>
    <t>Near Tamins-Reichenau the Anterior Rhine and the Posterior Rhine join and form the Rhine. The river makes a distinctive turn to the north near Chur. This section is nearly 86 km long, and descends from a height of 599 m to 396 m. It flows through a wide glacial alpine valley known as the Rhine Valley (German: Rheintal). Near Sargans a natural dam, only a few metres high, prevents it from flowing into the open Seeztal valley and then through Lake Walen and Lake Zurich into the river Aare. The Alpine Rhine begins in the most western part of the Swiss canton of Graubünden, and later forms the border between Switzerland to the West and Liechtenstein and later Austria to the East.</t>
  </si>
  <si>
    <t>IgG</t>
  </si>
  <si>
    <t>What was the total nominal GDP of Srodmiescie in 2010?</t>
  </si>
  <si>
    <t>How many homes did the Pacific Improvement Corporation build?</t>
  </si>
  <si>
    <t>"macrocilia"</t>
  </si>
  <si>
    <t>sleep</t>
  </si>
  <si>
    <t>no known case</t>
  </si>
  <si>
    <t>bans on foreign popular culture, control of the internet and unauthorised satellite dishes</t>
  </si>
  <si>
    <t>Rhenus</t>
  </si>
  <si>
    <t>Who reopened Tower Theatre?</t>
  </si>
  <si>
    <t>viral antigens</t>
  </si>
  <si>
    <t>How many people did the Islamic State control the territory of as of March 2015?</t>
  </si>
  <si>
    <t>redistributive taxation</t>
  </si>
  <si>
    <t>Modern English</t>
  </si>
  <si>
    <t>almost 25,000</t>
  </si>
  <si>
    <t>lawbreaking</t>
  </si>
  <si>
    <t>powers that are "reserved" to the Parliament of the United Kingdom</t>
  </si>
  <si>
    <t>What leader of the Swiss reformation was a student of Lefevre?</t>
  </si>
  <si>
    <t>24-year tenure.</t>
  </si>
  <si>
    <t>a financial instrument that was usable across a large number of merchants and also allowed cardholders to revolve a balance</t>
  </si>
  <si>
    <t>own more than half of the global wealth by 2016</t>
  </si>
  <si>
    <t>What lands were reserved for the French?</t>
  </si>
  <si>
    <t>spring of 1329</t>
  </si>
  <si>
    <t>a somewhat larger number of "contributing authors"</t>
  </si>
  <si>
    <t>400 m (1,300 ft).</t>
  </si>
  <si>
    <t>When was Berlin's first stock exchange established?</t>
  </si>
  <si>
    <t>74,000 (BP</t>
  </si>
  <si>
    <t>Rhine Gorge</t>
  </si>
  <si>
    <t>17.</t>
  </si>
  <si>
    <t>How many quadrangles does the Main Quadrangles have?</t>
  </si>
  <si>
    <t>What is structural geology?</t>
  </si>
  <si>
    <t>oxidant</t>
  </si>
  <si>
    <t>Where is the Santa Fe Railroad Depot located?</t>
  </si>
  <si>
    <t>Of what form is the infinite amount of positives that comprise the special cases of Schinzel's hypothesis?</t>
  </si>
  <si>
    <t>British America and New France</t>
  </si>
  <si>
    <t>captured Fort Beauséjour</t>
  </si>
  <si>
    <t>Who was one of Lothar de Maiziere's predecessors?</t>
  </si>
  <si>
    <t>The judicial branch</t>
  </si>
  <si>
    <t>The time and space hierarchy theorems</t>
  </si>
  <si>
    <t>the university's off-campus rental policies.</t>
  </si>
  <si>
    <t>What architecture type came after Norman in England?</t>
  </si>
  <si>
    <t>How long since it's been that geoglyphs were first discovered on deforested land?</t>
  </si>
  <si>
    <t>Ariq Böke</t>
  </si>
  <si>
    <t>Where was Friedrich Ratzel born?</t>
  </si>
  <si>
    <t>In what year did Jerónimo de Ayanz y Beaumont receive a steam engine patent?</t>
  </si>
  <si>
    <t>In which year did the newspaper define southern California?</t>
  </si>
  <si>
    <t>When was the lithosphere discovered?</t>
  </si>
  <si>
    <t>What organization does climate related research?</t>
  </si>
  <si>
    <t>User Datagram Protocol</t>
  </si>
  <si>
    <t>Who provided a definition of linear bounded automata in 1960?</t>
  </si>
  <si>
    <t>pre-allocates dedicated network bandwidth specifically for each communication session</t>
  </si>
  <si>
    <t>anarchists</t>
  </si>
  <si>
    <t>How many naval bases are located in Jacksonville?</t>
  </si>
  <si>
    <t>What was the memoir entitled which was submitted to the American Philosophical Society?</t>
  </si>
  <si>
    <t>Robert Bork</t>
  </si>
  <si>
    <t>What are lobata in plankton?</t>
  </si>
  <si>
    <t>between 1.4 and 5.8 °C</t>
  </si>
  <si>
    <t>Hong Kong</t>
  </si>
  <si>
    <t>What is European Union Law?</t>
  </si>
  <si>
    <t>steam locomotives</t>
  </si>
  <si>
    <t>on rocks, algae, or the body surfaces of other invertebrates</t>
  </si>
  <si>
    <t>Who was appointed as third in command to Lor Loudoun in 1756?</t>
  </si>
  <si>
    <t>What company was not concerned about retaining new rights?</t>
  </si>
  <si>
    <t>obscures the fact that Indians fought on both sides of the conflict, and that this was part of the Seven Years' War</t>
  </si>
  <si>
    <t xml:space="preserve"> How many Africans were brought into the United States during the non-slave trade?</t>
  </si>
  <si>
    <t>Aboriginal inhabitants</t>
  </si>
  <si>
    <t>What was the name of the first building built on campus grounds?</t>
  </si>
  <si>
    <t>The rainforest contains several species that can pose a hazard. Among the largest predatory creatures are the black caiman, jaguar, cougar, and anaconda. In the river, electric eels can produce an electric shock that can stun or kill, while piranha are known to bite and injure humans. Various species of poison dart frogs secrete lipophilic alkaloid toxins through their flesh. There are also numerous parasites and disease vectors. Vampire bats dwell in the rainforest and can spread the rabies virus. Malaria, yellow fever and Dengue fever can also be contracted in the Amazon region.</t>
  </si>
  <si>
    <t>Cretaceous–Paleogene extinction</t>
  </si>
  <si>
    <t>eleven separate academic units</t>
  </si>
  <si>
    <t>By what method did Maududi want to change the hearts and minds of individuals?</t>
  </si>
  <si>
    <t>asthenosphere</t>
  </si>
  <si>
    <t>What anthropologists are also university alumni members?</t>
  </si>
  <si>
    <t xml:space="preserve">What treaty took the place of constitutional treaty? </t>
  </si>
  <si>
    <t>To what extent did Fermat confirm the validity of Fermat numbers?</t>
  </si>
  <si>
    <t>sending an email to the Lebanon, New Hampshire city councilors</t>
  </si>
  <si>
    <t>1981</t>
  </si>
  <si>
    <t>When did the Spanish and Portuguese colonies gain their independance.</t>
  </si>
  <si>
    <t>Why  might the temperature affect the theory of plague spreading?</t>
  </si>
  <si>
    <t>fund travelers</t>
  </si>
  <si>
    <t>Which two groups have cells bound by inter-cell connections and membranes, muscles, a nervous system and sensory organs?</t>
  </si>
  <si>
    <t>Who did the Han Chinese want to help the Mongols fight?</t>
  </si>
  <si>
    <t>Why did French feel they had right to Ohio claim?</t>
  </si>
  <si>
    <t xml:space="preserve"> Hobson argued that imperialism wasn't an international what?</t>
  </si>
  <si>
    <t>How do mesoglea control how brackish body fluids are?</t>
  </si>
  <si>
    <t>the Lek</t>
  </si>
  <si>
    <t>What was Report R-2626?</t>
  </si>
  <si>
    <t>Leonard Bernstein</t>
  </si>
  <si>
    <t>According to polynomial time reduction squaring can ultimately be logically reduced to what?</t>
  </si>
  <si>
    <t>the Colorado River</t>
  </si>
  <si>
    <t>democratic</t>
  </si>
  <si>
    <t>secondary or post-secondary</t>
  </si>
  <si>
    <t>What did George Carlin tell the city council to do in New Hampshire?</t>
  </si>
  <si>
    <t>Where is the Asian gold miners strongest in Victoria?</t>
  </si>
  <si>
    <t xml:space="preserve"> How many Khitan Tumens weren't there?</t>
  </si>
  <si>
    <t>11 million customers</t>
  </si>
  <si>
    <t>Cobham</t>
  </si>
  <si>
    <t>Steam_engine</t>
  </si>
  <si>
    <t>What tribes weren't in Father Le Loutre's War?</t>
  </si>
  <si>
    <t>What is one example of unique rational primes?</t>
  </si>
  <si>
    <t>What does non-revolutionary civil disobedience want to overthrow?</t>
  </si>
  <si>
    <t>How many people were at a Harvard sponsored regatta in 1875?</t>
  </si>
  <si>
    <t>Along with diesel engines, what engines have overtaken steam engines for marine propulsion?</t>
  </si>
  <si>
    <t>Liu Bingzhong and Yao Shu</t>
  </si>
  <si>
    <t>The adaptive immune system evolved in early vertebrates and allows for a stronger immune response as well as immunological memory, where each pathogen is "remembered" by a signature antigen. The adaptive immune response is antigen-specific and requires the recognition of specific "non-self" antigens during a process called antigen presentation. Antigen specificity allows for the generation of responses that are tailored to specific pathogens or pathogen-infected cells. The ability to mount these tailored responses is maintained in the body by "memory cells". Should a pathogen infect the body more than once, these specific memory cells are used to quickly eliminate it.</t>
  </si>
  <si>
    <t>When was the American Philosophical Society created?</t>
  </si>
  <si>
    <t>just a harassment</t>
  </si>
  <si>
    <t>non-native Chinese people</t>
  </si>
  <si>
    <t>What denomination operates St Joseph's College?</t>
  </si>
  <si>
    <t>542</t>
  </si>
  <si>
    <t>Who did the Normans besiege in the 11th century?</t>
  </si>
  <si>
    <t>In the centre of Basel, the first major city in the course of the stream, is located the "Rhine knee"; this is a major bend, where the overall direction of the Rhine changes from West to North. Here the High Rhine ends. Legally, the Central Bridge is the boundary between High and Upper Rhine. The river now flows North as Upper Rhine through the Upper Rhine Plain, which is about 300 km long and up to 40 km wide. The most important tributaries in this area are the Ill below of Strasbourg, the Neckar in Mannheim and the Main across from Mainz. In Mainz, the Rhine leaves the Upper Rhine Valley and flows through the Mainz Basin.</t>
  </si>
  <si>
    <t>When did the plague return to Europe?</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</si>
  <si>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</si>
  <si>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What is using moral dialogue considered when not following the law?</t>
  </si>
  <si>
    <t>What Revolutionary War midnight rider was a Huguenot descendant?</t>
  </si>
  <si>
    <t>Groton School</t>
  </si>
  <si>
    <t>The West Lutheran question is known as what?</t>
  </si>
  <si>
    <t>What is the second level of territorial division in Poland?</t>
  </si>
  <si>
    <t>What usually carries sediment particles from one place to another?</t>
  </si>
  <si>
    <t>more than 10,000 m2</t>
  </si>
  <si>
    <t>the ring of integers of quadratic number fields</t>
  </si>
  <si>
    <t>What battle took place in the 10th century?</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</si>
  <si>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</si>
  <si>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What is the US concerned more about than inflation?</t>
  </si>
  <si>
    <t>high</t>
  </si>
  <si>
    <t>What books did Bayle publish?</t>
  </si>
  <si>
    <t>How many Catholic schools were in Victoria?</t>
  </si>
  <si>
    <t>What is a scientific device that manipulates symbols contained on a strip of tape?</t>
  </si>
  <si>
    <t>The Earth's mantle</t>
  </si>
  <si>
    <t>In what year did OPEC pull out of the Bretton Woods Accord?</t>
  </si>
  <si>
    <t>an unbalanced torque</t>
  </si>
  <si>
    <t>heart disease, chronic pain, and asthma</t>
  </si>
  <si>
    <t xml:space="preserve"> How many rival princes were involved in living with Gegeen?</t>
  </si>
  <si>
    <t>lower rates</t>
  </si>
  <si>
    <t>increasingly</t>
  </si>
  <si>
    <t xml:space="preserve">Why was Appletalk considered plug-n-play? </t>
  </si>
  <si>
    <t>fewer than 10</t>
  </si>
  <si>
    <t>capturing three traders and killing 14 people of the Miami nation</t>
  </si>
  <si>
    <t>What kind of swimming pool is at the Lavietes Pavillion?</t>
  </si>
  <si>
    <t>Despite periodic repression, the Brotherhood has become one of the most influential movements in the Islamic world, particularly in the Arab world. For many years it was described as "semi-legal" and was the only opposition group in Egypt able to field candidates during elections. In the Egyptian parliamentary election, 2011–2012, the political parties identified as "Islamist" (the Brotherhood's Freedom and Justice Party, Salafi Al-Nour Party and liberal Islamist Al-Wasat Party) won 75% of the total seats. Mohamed Morsi, an Islamist democrat of Muslim Brotherhood, was the first democratically elected president of Egypt. He was deposed during the 2013 Egyptian coup d'état.</t>
  </si>
  <si>
    <t>other senior pharmacy technicians</t>
  </si>
  <si>
    <t>4,404.5 people</t>
  </si>
  <si>
    <t xml:space="preserve">What is the Bassin de compensation de Plobsheim in Alsace? </t>
  </si>
  <si>
    <t>Juveniles</t>
  </si>
  <si>
    <t>What does the fourth scale compress?</t>
  </si>
  <si>
    <t>Which canal was dug in France to carry Rhine's water?</t>
  </si>
  <si>
    <t>Spanish moss</t>
  </si>
  <si>
    <t>The principles of European Union law are rules of law which have been developed by the European Court of Justice that constitute unwritten rules which are not expressly provided for in the treaties but which affect how European Union law is interpreted and applies. In formulating these principles, the courts have drawn on a variety of sources, including: public international law and legal doctrines and principles present in the legal systems of European Union member states and in the jurisprudence of the European Court of Human Rights. Accepted general principles of European Union Law include fundamental rights (see human rights), proportionality, legal certainty, equality before the law and subsidiarity.</t>
  </si>
  <si>
    <t xml:space="preserve"> When didn't the term imperialism first come to be used by its current definition?</t>
  </si>
  <si>
    <t>The Amazon region is home to how many species of insect?</t>
  </si>
  <si>
    <t>Adaptive (or acquired) immunity</t>
  </si>
  <si>
    <t>What are many complexity classes not defined by?</t>
  </si>
  <si>
    <t>necessity</t>
  </si>
  <si>
    <t>In South Africa, along with privately governed schools, what schools are classified as independent?</t>
  </si>
  <si>
    <t>prestige</t>
  </si>
  <si>
    <t>1654</t>
  </si>
  <si>
    <t>Osama bin Laden</t>
  </si>
  <si>
    <t>Massachusetts</t>
  </si>
  <si>
    <t>What denomination was the Hollis Professor of Divinity connected to?</t>
  </si>
  <si>
    <t>What evidence did Plato use to explain life-forms?</t>
  </si>
  <si>
    <t>greater density of cold water</t>
  </si>
  <si>
    <t>the Parliament</t>
  </si>
  <si>
    <t>What sort of system releases the exhaust steam into the boiler?</t>
  </si>
  <si>
    <t>How many members in the seats of the Scottish Parliament are members of the Scottish Government?</t>
  </si>
  <si>
    <t>brain drain</t>
  </si>
  <si>
    <t>How can any knot be distinctively indicated?</t>
  </si>
  <si>
    <t>location</t>
  </si>
  <si>
    <t>What geochemist developed the uranium-lead dating method into lead-lead dating?</t>
  </si>
  <si>
    <t>Islamic fundamentalist or neofundamentalist</t>
  </si>
  <si>
    <t>How are the particle forces and accelerations explained as by gauge bosons exchange?</t>
  </si>
  <si>
    <t>all spheres</t>
  </si>
  <si>
    <t>38–41 °C</t>
  </si>
  <si>
    <t>later ARPANET architecture</t>
  </si>
  <si>
    <t>On what railroad was Salamanca used?</t>
  </si>
  <si>
    <t>inform the jury and the public of the political circumstances</t>
  </si>
  <si>
    <t>successfully cut off the French frontier forts further to the west and south</t>
  </si>
  <si>
    <t>What does the word Rheinrinne translate to?</t>
  </si>
  <si>
    <t xml:space="preserve">What does it mean for the dollar to float? </t>
  </si>
  <si>
    <t>Which country does the Rhine encounter it's main tributaries?</t>
  </si>
  <si>
    <t>What types of preparation do pharmacists have?</t>
  </si>
  <si>
    <t>What is it called when steam propels a turbo generator with diesel motor propulsion?</t>
  </si>
  <si>
    <t>When was the Upper Rhine sold to Burgundy?</t>
  </si>
  <si>
    <t>Iqbal expressed fears that not only would secularism and secular nationalism weaken the spiritual foundations of Islam and Muslim society, but that India's Hindu-majority population would crowd out Muslim heritage, culture and political influence. In his travels to Egypt, Afghanistan, Palestine and Syria, he promoted ideas of greater Islamic political co-operation and unity, calling for the shedding of nationalist differences. Sir Muhammad Iqbal was elected president of the Muslim League in 1930 at its session in Allahabad as well as for the session in Lahore in 1932. In his Allahabad Address on 29 December 1930, Iqbal outlined a vision of an independent state for Muslim-majority provinces in northwestern India. This address later inspired the Pakistan movement.</t>
  </si>
  <si>
    <t>What is the oldest exhibition site in Warsaw?</t>
  </si>
  <si>
    <t>Which theorem would be invalid if the number 1 were considered prime?</t>
  </si>
  <si>
    <t>wealth and income</t>
  </si>
  <si>
    <t>When did the 1973 oil crisis begin?</t>
  </si>
  <si>
    <t>More than 200,000 people lived in a rain forest during what decade?</t>
  </si>
  <si>
    <t>What is the seating arrangement of the debating chamber?</t>
  </si>
  <si>
    <t>What does Frame Relay provide?</t>
  </si>
  <si>
    <t>Private schooling in the United States has been debated by educators, lawmakers and parents, since the beginnings of compulsory education in Massachusetts in 1852. The Supreme Court precedent appears to favor educational choice, so long as states may set standards for educational accomplishment. Some of the most relevant Supreme Court case law on this is as follows: Runyon v. McCrary, 427 U.S. 160 (1976); Wisconsin v. Yoder, 406 U.S. 205 (1972); Pierce v. Society of Sisters, 268 U.S. 510 (1925); Meyer v. Nebraska, 262 U.S. 390 (1923).</t>
  </si>
  <si>
    <t>after dropping to the sea-floor</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</si>
  <si>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</si>
  <si>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pull</t>
  </si>
  <si>
    <t>12%</t>
  </si>
  <si>
    <t>oxides of silicon</t>
  </si>
  <si>
    <t>to use the proceedings as a forum</t>
  </si>
  <si>
    <t>supplant it.</t>
  </si>
  <si>
    <t>What type of city has Berlin been for as long as it's been a city?</t>
  </si>
  <si>
    <t>"push"</t>
  </si>
  <si>
    <t xml:space="preserve">Internet2 became what in 2007? </t>
  </si>
  <si>
    <t>1,000</t>
  </si>
  <si>
    <t>open forest and grassland</t>
  </si>
  <si>
    <t>In 2010 the Amazon rainforest experienced another severe drought, in some ways more extreme than the 2005 drought. The affected region was approximate 1,160,000 square miles (3,000,000 km2) of rainforest, compared to 734,000 square miles (1,900,000 km2) in 2005. The 2010 drought had three epicenters where vegetation died off, whereas in 2005 the drought was focused on the southwestern part. The findings were published in the journal Science. In a typical year the Amazon absorbs 1.5 gigatons of carbon dioxide; during 2005 instead 5 gigatons were released and in 2010 8 gigatons were released.</t>
  </si>
  <si>
    <t>Aside from being located on the coast, what contributes to Jacksonville's lack of cold weather?</t>
  </si>
  <si>
    <t>Which type of law concerns the EU's governance structure?</t>
  </si>
  <si>
    <t>evidence</t>
  </si>
  <si>
    <t>At what village did a Triton stop to rest on a sandy beach</t>
  </si>
  <si>
    <t>a world revolution</t>
  </si>
  <si>
    <t>British Sky Broadcasting</t>
  </si>
  <si>
    <t>Articles 106 and 107</t>
  </si>
  <si>
    <t>Tumor antigens are complexed with MHC class I molecules in the same way as what antigens?</t>
  </si>
  <si>
    <t>In which case did the Court of Justice state that refusal to admit a lawyer to the Belgian bar because he did not have Belgian heritage wasn't able to be justified?</t>
  </si>
  <si>
    <t>What was the naval base called?</t>
  </si>
  <si>
    <t>What platform was Sentanta Sports planning to avoid launching on?</t>
  </si>
  <si>
    <t>The complexity of problems often depends on what?</t>
  </si>
  <si>
    <t>Lutheran and Reformed</t>
  </si>
  <si>
    <t>more fundamental electroweak interaction.</t>
  </si>
  <si>
    <t>rich and well</t>
  </si>
  <si>
    <t>In what year was Wisconsin v. Yoder decided at the Supreme Court?</t>
  </si>
  <si>
    <t>Mandatory</t>
  </si>
  <si>
    <t>empty land</t>
  </si>
  <si>
    <t>What is the name of one type of computing method that is used to find 100 million primes?</t>
  </si>
  <si>
    <t>use the proceedings as a forum to inform the jury and the public of the political circumstances</t>
  </si>
  <si>
    <t>What theory was arrived at in 1811 that presented the assumption of diatomic molecules?</t>
  </si>
  <si>
    <t>What was the one linear SD channel Virgin Media carried from November 2006 to July 2009?</t>
  </si>
  <si>
    <t xml:space="preserve">In what part of the 19th century where generators introduced? </t>
  </si>
  <si>
    <t>The Central Region, consisting of present-day Hebei, Shandong, Shanxi, the south-eastern part of present-day Inner Mongolia and the Henan areas to the north of the Yellow River, was considered the most important region of the dynasty and directly governed by the Central Secretariat (or Zhongshu Sheng) at Khanbaliq (modern Beijing); similarly, another top-level administrative department called the Bureau of Buddhist and Tibetan Affairs (or Xuanzheng Yuan) held administrative rule over the whole of modern-day Tibet and a part of Sichuan, Qinghai and Kashmir.</t>
  </si>
  <si>
    <t>What is the income inequality gap between genders in Botswana?</t>
  </si>
  <si>
    <t>When was the regime in Pakistan overthrown by General Zia-ul-Haq?</t>
  </si>
  <si>
    <t>Who is the founder of the Chicago Cubs and author of the first management accounting text book?</t>
  </si>
  <si>
    <t>The Tower District is centered around which historic theatre?</t>
  </si>
  <si>
    <t>Who mapped the St. Johns River in 1562?</t>
  </si>
  <si>
    <t>a pair of tentilla-bearing tentacles</t>
  </si>
  <si>
    <t>Napoleon's</t>
  </si>
  <si>
    <t>In this equation, a dimensional constant  is used to describe the relative strength of gravity. This constant has come to be known as Newton's Universal Gravitation Constant, though its value was unknown in Newton's lifetime. Not until 1798 was Henry Cavendish able to make the first measurement of  using a torsion balance; this was widely reported in the press as a measurement of the mass of the Earth since knowing  could allow one to solve for the Earth's mass given the above equation. Newton, however, realized that since all celestial bodies followed the same laws of motion, his law of gravity had to be universal. Succinctly stated, Newton's Law of Gravitation states that the force on a spherical object of mass  due to the gravitational pull of mass  is</t>
  </si>
  <si>
    <t>late 19th</t>
  </si>
  <si>
    <t>Where is D'Olier Street?</t>
  </si>
  <si>
    <t>How many MSPs are there?</t>
  </si>
  <si>
    <t>What is the glacial alpine valley known as?</t>
  </si>
  <si>
    <t>How many years did it take for the Spring snow covers to melt?</t>
  </si>
  <si>
    <t>What was diverted and now flows parallel to the Rhine?</t>
  </si>
  <si>
    <t>aristocracy</t>
  </si>
  <si>
    <t>What is the first major city in the course of the Rhine?</t>
  </si>
  <si>
    <t>What kind of destruction did the 1994 earthquake cause the most of in US history?</t>
  </si>
  <si>
    <t>a suite of network protocols created by Digital Equipment Corporation</t>
  </si>
  <si>
    <t>What increases or decreases in response to applied friction?</t>
  </si>
  <si>
    <t>What was Warsaw the most diverse of in Poland?</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</si>
  <si>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</si>
  <si>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When did Galor and Zeria show new information about inequality?</t>
  </si>
  <si>
    <t>self-consistent unification</t>
  </si>
  <si>
    <t>water flow</t>
  </si>
  <si>
    <t>This means that in a closed system of particles, there are no internal forces that are unbalanced. That is, the action-reaction force shared between any two objects in a closed system will not cause the center of mass of the system to accelerate. The constituent objects only accelerate with respect to each other, the system itself remains unaccelerated. Alternatively, if an external force acts on the system, then the center of mass will experience an acceleration proportional to the magnitude of the external force divided by the mass of the system.:19-1</t>
  </si>
  <si>
    <t>against governmental entities</t>
  </si>
  <si>
    <t>When did British government give land for development of Ohio Country?</t>
  </si>
  <si>
    <t>life expectancy</t>
  </si>
  <si>
    <t>1024</t>
  </si>
  <si>
    <t>electric</t>
  </si>
  <si>
    <t>In order to be considered in the bottom percentile, a person would need to amass how much money each year?</t>
  </si>
  <si>
    <t>What is the name of the property that designates a number as being efficient or not?</t>
  </si>
  <si>
    <t>What is the density of all primes compatible with a modulo 9?</t>
  </si>
  <si>
    <t>What is Norman art's most well known piece?</t>
  </si>
  <si>
    <t>specific pathogen</t>
  </si>
  <si>
    <t>Which TFEU article defines the ordinary legislative procedure that applies for majority of EU acts?</t>
  </si>
  <si>
    <t>During 2012-2013, how many student were able to take the Core classes at a single time?</t>
  </si>
  <si>
    <t>What dynasty came after the Yuan?</t>
  </si>
  <si>
    <t>limited coercion</t>
  </si>
  <si>
    <t>What was one of the allies of Russia in the Great Northern War?</t>
  </si>
  <si>
    <t>Who showed that if P=NQ then there exists problems in NQ that are neither P nor NQ-complete?</t>
  </si>
  <si>
    <t>In what year were the last classes held in the university?</t>
  </si>
  <si>
    <t>What parliament has no power to legislate in any areas?</t>
  </si>
  <si>
    <t>Since its founding, the EU has operated among an increasing plurality of national and globalising legal systems. This has meant both the European Court of Justice and the highest national courts have had to develop principles to resolve conflicts of laws between different systems. Within the EU itself, the Court of Justice's view is that if EU law conflicts with a provision of national law, then EU law has primacy. In the first major case in 1964, Costa v ENEL, a Milanese lawyer, and former shareholder of an energy company, named Mr Costa refused to pay his electricity bill to Enel, as a protest against the nationalisation of the Italian energy corporations. He claimed the Italian nationalisation law conflicted with the Treaty of Rome, and requested a reference be made to both the Italian Constitutional Court and the Court of Justice under TFEU article 267. The Italian Constitutional Court gave an opinion that because the nationalisation law was from 1962, and the treaty was in force from 1958, Costa had no claim. By contrast, the Court of Justice held that ultimately the Treaty of Rome in no way prevented energy nationalisation, and in any case under the Treaty provisions only the Commission could have brought a claim, not Mr Costa. However, in principle, Mr Costa was entitled to plead that the Treaty conflicted with national law, and the court would have a duty to consider his claim to make a reference if there would be no appeal against its decision. The Court of Justice, repeating its view in Van Gend en Loos, said member states "albeit within limited spheres, have restricted their sovereign rights and created a body of law applicable both to their nationals and to themselves" on the "basis of reciprocity". EU law would not "be overridden by domestic legal provisions, however framed... without the legal basis of the community itself being called into question." This meant any "subsequent unilateral act" of the member state inapplicable. Similarly, in Amministrazione delle Finanze v Simmenthal SpA, a company, Simmenthal SpA, claimed that a public health inspection fee under an Italian law of 1970 for importing beef from France to Italy was contrary to two Regulations from 1964 and 1968. In "accordance with the principle of the precedence of Community law," said the Court of Justice, the "directly applicable measures of the institutions" (such as the Regulations in the case) "render automatically inapplicable any conflicting provision of current national law". This was necessary to prevent a "corresponding denial" of Treaty "obligations undertaken unconditionally and irrevocably by member states", that could "imperil the very foundations of the" EU. But despite the views of the Court of Justice, the national courts of member states have not accepted the same analysis.</t>
  </si>
  <si>
    <t>From the late 1340s onwards, people in the countryside suffered from frequent natural disasters such as droughts, floods and the resulting famines, and the government's lack of effective policy led to a loss of popular support. In 1351, the Red Turban Rebellion started and grew into a nationwide uprising. In 1354, when Toghtogha led a large army to crush the Red Turban rebels, Toghun Temür suddenly dismissed him for fear of betrayal. This resulted in Toghun Temür's restoration of power on the one hand and a rapid weakening of the central government on the other. He had no choice but to rely on local warlords' military power, and gradually lost his interest in politics and ceased to intervene in political struggles. He fled north to Shangdu from Khanbaliq (present-day Beijing) in 1368 after the approach of the forces of the Míng dynasty (1368–1644), founded by Zhu Yuanzhang in the south. He had tried to regain Khanbaliq, which eventually failed; he died in Yingchang (located in present-day Inner Mongolia) two years later (1370). Yingchang was seized by the Ming shortly after his death. Some royal family members still lived in Henan today.</t>
  </si>
  <si>
    <t>The invasion failed both militarily and politically</t>
  </si>
  <si>
    <t>more capital</t>
  </si>
  <si>
    <t>17th century.</t>
  </si>
  <si>
    <t>arms</t>
  </si>
  <si>
    <t>Queen Elizabeth II</t>
  </si>
  <si>
    <t>&gt; 3.</t>
  </si>
  <si>
    <t>What happens to the gravel found in xenoliths?</t>
  </si>
  <si>
    <t xml:space="preserve">WHat did foreign clones of DATAPAC allow for </t>
  </si>
  <si>
    <t>Which measure is adopted when there is a choice between several inappropriate measures?</t>
  </si>
  <si>
    <t>they produce secretions (ink) that luminesce</t>
  </si>
  <si>
    <t>What genus has self-fertilization been seen?</t>
  </si>
  <si>
    <t>What exposed the former coasts of Europe?</t>
  </si>
  <si>
    <t>the elected MSPs</t>
  </si>
  <si>
    <t>Private schools generally prefer to be called independent schools, because of their freedom to operate outside of government and local government control. Some of these are also known as public schools. Preparatory schools in the UK prepare pupils aged up to 13 years old to enter public schools. The name "public school" is based on the fact that the schools were open to pupils from anywhere, and not merely to those from a certain locality, and of any religion or occupation. According to The Good Schools Guide approximately 9 per cent of children being educated in the UK are doing so at fee-paying schools at GSCE level and 13 per cent at A-level.[citation needed] Many independent schools are single-sex (though this is becoming less common). Fees range from under £3,000 to £21,000 and above per year for day pupils, rising to £27,000+ per year for boarders. For details in Scotland, see "Meeting the Cost".</t>
  </si>
  <si>
    <t>Was wasn't the plan for Langlades mission?</t>
  </si>
  <si>
    <t>amorphous area of central Europe.</t>
  </si>
  <si>
    <t>Why has the Muslim Brotherhood not facilitated inexpensive mass marriage ceremonies?</t>
  </si>
  <si>
    <t>What is another way to state the condition that infinitely many primes can exist only if a and q are coprime?</t>
  </si>
  <si>
    <t>What are the globally recognized anchor cities known for?</t>
  </si>
  <si>
    <t>What does Warsaw's mixture of architectural styles reflect?</t>
  </si>
  <si>
    <t xml:space="preserve">When was the divestment from South Africa movement? </t>
  </si>
  <si>
    <t>What is the high end of the temperature range in winter?</t>
  </si>
  <si>
    <t>eastwards</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</si>
  <si>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</si>
  <si>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 xml:space="preserve">What was telenet </t>
  </si>
  <si>
    <t>How many square kilometers of rainforest is covered in the basin?</t>
  </si>
  <si>
    <t>Who had Kublai wanted to succeed him?</t>
  </si>
  <si>
    <t>What did the Court of the Massachusetts Bay Colony vote for John Harvard to have in 1650?</t>
  </si>
  <si>
    <t>When did Edward the Confessor's son return from his fathers refuge?</t>
  </si>
  <si>
    <t>What did Guo Shoujing not do for calendars?</t>
  </si>
  <si>
    <t>How many days does the high not reach 90 in December?</t>
  </si>
  <si>
    <t>Trioxygen</t>
  </si>
  <si>
    <t>What does the Earth have a higher proportion of oxygen-16 than?</t>
  </si>
  <si>
    <t>What is the name of the donor who helped establish the Hutchinson Commons?</t>
  </si>
  <si>
    <t>to make the hosts responsible for reliable delivery of data, rather than the network itself</t>
  </si>
  <si>
    <t>What band is fitted in the middle of the satellite dish?</t>
  </si>
  <si>
    <t>How many miles east of Berlin is Vistula?</t>
  </si>
  <si>
    <t>1948</t>
  </si>
  <si>
    <t>1636</t>
  </si>
  <si>
    <t>What did the BankAmericard allow customers do to that they couldn't do with previous financial instruments?</t>
  </si>
  <si>
    <t>How many events occur in an engine cycle?</t>
  </si>
  <si>
    <t>How many television and radio channels could the new digital service carry?</t>
  </si>
  <si>
    <t>What do extremely unequal societies tend to be?</t>
  </si>
  <si>
    <t>a proprietary suite of networking protocols developed by Apple Inc. in 1985</t>
  </si>
  <si>
    <t>What type of skills does the market bid up compensation for?</t>
  </si>
  <si>
    <t>How does the TFEU revise old legislation?</t>
  </si>
  <si>
    <t>The west side of Fresno is the center of which ethnic community?</t>
  </si>
  <si>
    <t>marine triple expansion</t>
  </si>
  <si>
    <t>a simple majority vote</t>
  </si>
  <si>
    <t>the winter of 1973–74</t>
  </si>
  <si>
    <t>What is the name given to the university's main library?</t>
  </si>
  <si>
    <t>Fresno is marked by a semi-arid climate (Köppen BSh), with mild, moist winters and hot and dry summers, thus displaying Mediterranean characteristics. December and January are the coldest months, and average around 46.5 °F (8.1 °C), and there are 14 nights with freezing lows annually, with the coldest night of the year typically bottoming out below 30 °F (−1.1 °C). July is the warmest month, averaging 83.0 °F (28.3 °C); normally, there are 32 days of 100 °F (37.8 °C)+ highs and 106 days of 90 °F (32.2 °C)+ highs, and in July and August, there are only three or four days where the high does not reach 90 °F (32.2 °C). Summers provide considerable sunshine, with July peaking at 97 percent of the total possible sunlight hours; conversely, January is the lowest with only 46 percent of the daylight time in sunlight because of thick tule fog. However, the year averages 81% of possible sunshine, for a total of 3550 hours. Average annual precipitation is around 11.5 inches (292.1 mm), which, by definition, would classify the area as a semidesert. Most of the wind rose direction occurrences derive from the northwest, as winds are driven downward along the axis of the California Central Valley; in December, January and February there is an increased presence of southeastern wind directions in the wind rose statistics. Fresno meteorology was selected in a national U.S. Environmental Protection Agency study for analysis of equilibrium temperature for use of ten-year meteorological data to represent a warm, dry western United States locale.</t>
  </si>
  <si>
    <t>a known client</t>
  </si>
  <si>
    <t>In what sort of places are dry cooling towers used?</t>
  </si>
  <si>
    <t>territory east of the Mississippi</t>
  </si>
  <si>
    <t>The Presiding Officer</t>
  </si>
  <si>
    <t>Who wrote the Nong Shu?</t>
  </si>
  <si>
    <t>Florida East Coast Railway</t>
  </si>
  <si>
    <t>Who mentored Buyantu?</t>
  </si>
  <si>
    <t>radiation shield</t>
  </si>
  <si>
    <t>water disturbances created by the cilia</t>
  </si>
  <si>
    <t>What County was Jacksonville the seat of prior to 1968?</t>
  </si>
  <si>
    <t>What was the result of the 1967 referendum?</t>
  </si>
  <si>
    <t>King Sigimund's Column is an example of what kind of attraction in Warsaw?</t>
  </si>
  <si>
    <t>Beroida are known by what other name?</t>
  </si>
  <si>
    <t>Within the 30 days how many digiboxes had been sold?</t>
  </si>
  <si>
    <t>Goldbach's</t>
  </si>
  <si>
    <t>What has an equivalence between mass and space-time?</t>
  </si>
  <si>
    <t>What was Berlin's population in 1901?</t>
  </si>
  <si>
    <t>What is used to enhance the effects of inflammation?</t>
  </si>
  <si>
    <t>well before Braddock's departure for North America</t>
  </si>
  <si>
    <t>How many households had BSkyB service in 1994?</t>
  </si>
  <si>
    <t>Francisco de Orellana</t>
  </si>
  <si>
    <t>Dai Ön Ulus</t>
  </si>
  <si>
    <t>In what year was the Rumford engine patented?</t>
  </si>
  <si>
    <t>During what period did the Tower Theatre re-open?</t>
  </si>
  <si>
    <t>For some decades prior to the First Palestine Intifada in 1987, the Muslim Brotherhood in Palestine took a "quiescent" stance towards Israel, focusing on preaching, education and social services, and benefiting from Israel's "indulgence" to build up a network of mosques and charitable organizations. As the First Intifada gathered momentum and Palestinian shopkeepers closed their shops in support of the uprising, the Brotherhood announced the formation of HAMAS ("zeal"), devoted to Jihad against Israel. Rather than being more moderate than the PLO, the 1988 Hamas charter took a more uncompromising stand, calling for the destruction of Israel and the establishment of an Islamic state in Palestine. It was soon competing with and then overtaking the PLO for control of the intifada. The Brotherhood's base of devout middle class found common cause with the impoverished youth of the intifada in their cultural conservatism and antipathy for activities of the secular middle class such as drinking alcohol and going about without hijab.</t>
  </si>
  <si>
    <t>When did Prussia become the center of the Congress Poland?</t>
  </si>
  <si>
    <t>55,000</t>
  </si>
  <si>
    <t>What is most of Warsaw's modern growth based on?</t>
  </si>
  <si>
    <t>1823</t>
  </si>
  <si>
    <t xml:space="preserve"> When was the FLIS founded?</t>
  </si>
  <si>
    <t>What are crystal lattices measured in?</t>
  </si>
  <si>
    <t xml:space="preserve"> Maududi was trained as a lawyer, but chose what religion for himself instead?</t>
  </si>
  <si>
    <t>Under Elie Metchnikoff's cellular theory, what cells were responsible for immune response?</t>
  </si>
  <si>
    <t>When was the fifth assessment report written?</t>
  </si>
  <si>
    <t>1980s</t>
  </si>
  <si>
    <t>lower level</t>
  </si>
  <si>
    <t>Who is known for inventing the first elementary charge calculator?</t>
  </si>
  <si>
    <t>Amtrak San Joaquins</t>
  </si>
  <si>
    <t>What is economic liberalism not one of the causes of?</t>
  </si>
  <si>
    <t>How could human inequality be addressed without resulting in an decrease of environmental damage?</t>
  </si>
  <si>
    <t>the Blum complexity axioms</t>
  </si>
  <si>
    <t xml:space="preserve">This causes the rock unit as a whole to become longer and thinner. </t>
  </si>
  <si>
    <t>Where is the gravel from that is found in xenoliths?</t>
  </si>
  <si>
    <t>Indians fought on both sides of the conflict</t>
  </si>
  <si>
    <t>in excess of approximately 1015 kelvins</t>
  </si>
  <si>
    <t>When was the charter for this church signed?</t>
  </si>
  <si>
    <t>by having colloblasts</t>
  </si>
  <si>
    <t>if 1 were considered a prime</t>
  </si>
  <si>
    <t>All India Muslim League</t>
  </si>
  <si>
    <t>What was the objective of Royal Proclamation of 1763?</t>
  </si>
  <si>
    <t>In U.S. states, what happens to the life expectancy in less economically equal ones?</t>
  </si>
  <si>
    <t>the middle period of classical antiquity</t>
  </si>
  <si>
    <t>A 60-minute long "Question Time" takes place at what time?</t>
  </si>
  <si>
    <t>What type of professionals are pharmacists?</t>
  </si>
  <si>
    <t>Braddock (with George Washington as one of his aides) led about 1,500 army troops</t>
  </si>
  <si>
    <t>In the process of vaccination, what is introduced in order to develop a specific immunity?</t>
  </si>
  <si>
    <t>Who invented a high-pressure power source around 1800?</t>
  </si>
  <si>
    <t>Of Poland's inhabitants in 1901, what percentage was Catholic?</t>
  </si>
  <si>
    <t>Cytotoxic drugs</t>
  </si>
  <si>
    <t>What increased about Harvard's student body in 2005?</t>
  </si>
  <si>
    <t>British blockade of the French coastline</t>
  </si>
  <si>
    <t>What cell is unable to act as a scavenger?</t>
  </si>
  <si>
    <t>Demographically</t>
  </si>
  <si>
    <t>after the Franco-German War,</t>
  </si>
  <si>
    <t>Why did al-Qaeda tell ISIL to take a hike?</t>
  </si>
  <si>
    <t>How did fish larvae accidentally get introduced into the two bodies of water?</t>
  </si>
  <si>
    <t>The receptors on a killer T cell must bind to how many MHC: antigen complexes in order to activate the cell?</t>
  </si>
  <si>
    <t>What borders did the French complete during the Middle Ages?</t>
  </si>
  <si>
    <t>square root of n</t>
  </si>
  <si>
    <t>How much of the of the water flow volume of the Rhine flows farther east?</t>
  </si>
  <si>
    <t>What has lately been being viewed as a fundamental status of member state nationals by the Court of Justice?</t>
  </si>
  <si>
    <t>through various associations and other arrangements</t>
  </si>
  <si>
    <t>Are sheaths wider or narrower in size near the mouth?</t>
  </si>
  <si>
    <t>The legislative body, the Council, are made up of what type of individuals?</t>
  </si>
  <si>
    <t>The Lower Rhine flows through North Rhine-Westphalia. Its banks are usually heavily populated and industrialized, in particular the agglomerations Cologne, Düsseldorf and Ruhr area. Here the Rhine flows through the largest conurbation in Germany, the Rhine-Ruhr region. One of the most important cities in this region is Duisburg with the largest river port in Europe (Duisport). The region downstream of Duisburg is more agricultural. In Wesel, 30 km downstream of Duisburg, is located the western end of the second east-west shipping route, the Wesel-Datteln Canal, which runs parallel to the Lippe. Between Emmerich and Cleves the Emmerich Rhine Bridge, the longest suspension bridge in Germany, crosses the 400 m wide river. Near Krefeld, the river crosses the Uerdingen line, the line which separates the areas where Low German and High German are spoken.</t>
  </si>
  <si>
    <t>What are the Sky Q mini set top boxes able to connect to?</t>
  </si>
  <si>
    <t>regain authority over his own people</t>
  </si>
  <si>
    <t>In what year were the Black Death victims in East Smithfield discovered?</t>
  </si>
  <si>
    <t>Of what form do Euler numbers take?</t>
  </si>
  <si>
    <t>around $200 million</t>
  </si>
  <si>
    <t>What did frozen subsoil and expanded alpine glaciers begin to do?</t>
  </si>
  <si>
    <t>Ohio Company,</t>
  </si>
  <si>
    <t>the IPCC</t>
  </si>
  <si>
    <t>Resolution 43/53</t>
  </si>
  <si>
    <t>BSkyB does not carry any control</t>
  </si>
  <si>
    <t>What was Loudoun's plans for 1757?</t>
  </si>
  <si>
    <t>Where are some of the best medical facilities in East-Central Europe located?</t>
  </si>
  <si>
    <t>Which phylum is more complex than sponges?</t>
  </si>
  <si>
    <t>Almost all ctenophores are predators, taking prey ranging from microscopic larvae and rotifers to the adults of small crustaceans; the exceptions are juveniles of two species, which live as parasites on the salps on which adults of their species feed. In favorable circumstances, ctenophores can eat ten times their own weight in a day. Only 100–150 species have been validated, and possibly another 25 have not been fully described and named. The textbook examples are cydippids with egg-shaped bodies and a pair of retractable tentacles fringed with tentilla ("little tentacles") that are covered with colloblasts, sticky cells that capture prey. The phylum has a wide range of body forms, including the flattened, deep-sea platyctenids, in which the adults of most species lack combs, and the coastal beroids, which lack tentacles and prey on other ctenophores by using huge mouths armed with groups of large, stiffened cilia that act as teeth. These variations enable different species to build huge populations in the same area, because they specialize in different types of prey, which they capture by as wide a range of methods as spiders use.</t>
  </si>
  <si>
    <t>Private Bill Committees</t>
  </si>
  <si>
    <t>Muslim medicine</t>
  </si>
  <si>
    <t>"lower lake"</t>
  </si>
  <si>
    <t>What is usual form of oxygen bound compounds?</t>
  </si>
  <si>
    <t>map out their ancestral lands to help strengthen their territorial claims</t>
  </si>
  <si>
    <t>What does quadratic reciprocity seek to achieve?</t>
  </si>
  <si>
    <t>What three construction subsectors are firms managing construction projects divided into?</t>
  </si>
  <si>
    <t>IJsselmeer</t>
  </si>
  <si>
    <t>Who asks supplementary questions and then a general question of the First Minister?</t>
  </si>
  <si>
    <t xml:space="preserve">Why is the second timeline needed? </t>
  </si>
  <si>
    <t>During what process are lava tubes expanded?</t>
  </si>
  <si>
    <t>further corrosion</t>
  </si>
  <si>
    <t>cattle were brought across</t>
  </si>
  <si>
    <t>Some of the oldest schools in South Africa are 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"public" (state-controlled) and "independent" (which includes traditional private schools and schools which are privately governed[clarification needed].)</t>
  </si>
  <si>
    <t>Of Warsaw's inhabitants in 1901, what percentage was Catholic?</t>
  </si>
  <si>
    <t>What is another term for sea currents?</t>
  </si>
  <si>
    <t>constitute civil disobedience</t>
  </si>
  <si>
    <t>a monthly fee</t>
  </si>
  <si>
    <t>In which direction does the west side of Fresno neighborhood lie to the 99 freeway?</t>
  </si>
  <si>
    <t>2,400</t>
  </si>
  <si>
    <t>stronger</t>
  </si>
  <si>
    <t>a better relevant income</t>
  </si>
  <si>
    <t>How many drugs approved by the FDA in 2011 were specialty drugs?</t>
  </si>
  <si>
    <t>What type of numbers demonstrate a flaw with the Fermat primality test?</t>
  </si>
  <si>
    <t>when the present amount of funding cannot cover the current costs for labour and materials</t>
  </si>
  <si>
    <t>no French regular army</t>
  </si>
  <si>
    <t>What type of bat that lives in the Amazon rainforest can spread rabies?</t>
  </si>
  <si>
    <t>What scale does trade liberalization shift economic inequality from?</t>
  </si>
  <si>
    <t>pseudorandom number generators</t>
  </si>
  <si>
    <t>In 1785 James Hutton presented what paper to the Royal Society of Edinburgh?</t>
  </si>
  <si>
    <t>more convenient and private method</t>
  </si>
  <si>
    <t>How many bits are often in the primes used for RSA public key cryptography algorithms?</t>
  </si>
  <si>
    <t>What are injectors used to supply?</t>
  </si>
  <si>
    <t>[Date]</t>
  </si>
  <si>
    <t>Zhongtong</t>
  </si>
  <si>
    <t>self and non-self molecules</t>
  </si>
  <si>
    <t>What percentage of people died during the Great Plague of London in 1665?</t>
  </si>
  <si>
    <t>What percentage of people died in Crimea of the Black Death?</t>
  </si>
  <si>
    <t>Demographically, it was the most diverse city in Poland, with significant numbers of foreign-born inhabitants. In addition to the Polish majority, there was a significant Jewish minority in Warsaw. According to Russian census of 1897, out of the total population of 638,000, Jews constituted 219,000 (around 34% percent). Warsaw's prewar Jewish population of more than 350,000 constituted about 30 percent of the city's total population. In 1933, out of 1,178,914 inhabitants 833,500 were of Polish mother tongue. World War II changed the demographics of the city, and to this day there is much less ethnic diversity than in the previous 300 years of Warsaw's history. Most of the modern day population growth is based on internal migration and urbanisation.</t>
  </si>
  <si>
    <t>storage vessels</t>
  </si>
  <si>
    <t>91.3</t>
  </si>
  <si>
    <t>draining the surrounding land and polders</t>
  </si>
  <si>
    <t>Tower Theatre</t>
  </si>
  <si>
    <t>When the law is a direct target of the protest, what is this called?</t>
  </si>
  <si>
    <t>What type of arch did the Normans invent?</t>
  </si>
  <si>
    <t>eight rows</t>
  </si>
  <si>
    <t>Which theory suggested people in the tropics were uncivilized?</t>
  </si>
  <si>
    <t>Who designed Salamanca?</t>
  </si>
  <si>
    <t xml:space="preserve">Who made up 19% of the student body in the 2012 Spring Quarter? </t>
  </si>
  <si>
    <t>Former IPCC chairman Robert Watson has said "The mistakes all appear to have gone in the direction of making it seem like climate change is more serious by overstating the impact. That is worrying. The IPCC needs to look at this trend in the errors and ask why it happened". Martin Parry, a climate expert who had been co-chair of the IPCC working group II, said that "What began with a single unfortunate error over Himalayan glaciers has become a clamour without substance" and the IPCC had investigated the other alleged mistakes, which were "generally unfounded and also marginal to the assessment".</t>
  </si>
  <si>
    <t>Victoria Constitution Act 1855</t>
  </si>
  <si>
    <t>What do voters reject in 1967</t>
  </si>
  <si>
    <t>What was Jacksonville referred to before the consolidation?</t>
  </si>
  <si>
    <t>additional warming of the Earth's surface</t>
  </si>
  <si>
    <t>What is the second most abundant element?</t>
  </si>
  <si>
    <t>What financial issue is notoriously prevalent in the construction field?</t>
  </si>
  <si>
    <t>worst</t>
  </si>
  <si>
    <t>about 3,000 miles (4,800 km) between June and November 1749.</t>
  </si>
  <si>
    <t>What do climate models predict will increase by as much as 0.6 degrees C in the next 100 years?</t>
  </si>
  <si>
    <t>Henry of Navarre</t>
  </si>
  <si>
    <t>Imperial Academy of Medicine</t>
  </si>
  <si>
    <t>the twin prime conjecture</t>
  </si>
  <si>
    <t>Canterbury</t>
  </si>
  <si>
    <t>Art Deco style</t>
  </si>
  <si>
    <t>Sherwood Boehlert, chairman of the House Science Committee</t>
  </si>
  <si>
    <t>What type of civil war was fought between political and tribal warlords?</t>
  </si>
  <si>
    <t>a decrease in the price of skilled labor</t>
  </si>
  <si>
    <t>What words are inscribed on the mace of parliament?</t>
  </si>
  <si>
    <t>What did the IPCC apologize for?</t>
  </si>
  <si>
    <t>What is Harvard's total financial aid reserves?</t>
  </si>
  <si>
    <t>The Oude Maas</t>
  </si>
  <si>
    <t>second and third run</t>
  </si>
  <si>
    <t>In what year was the first commercial steam powered device invented?</t>
  </si>
  <si>
    <t>In connectionless mode each packet includes complete addressing information. The packets are routed individually, sometimes resulting in different paths and out-of-order delivery. Each packet is labeled with a destination address, source address, and port numbers. It may also be labeled with the sequence number of the packet. This precludes the need for a dedicated path to help the packet find its way to its destination, but means that much more information is needed in the packet header, which is therefore larger, and this information needs to be looked up in power-hungry content-addressable memory. Each packet is dispatched and may go via different routes; potentially, the system has to do as much work for every packet as the connection-oriented system has to do in connection set-up, but with less information as to the application's requirements. At the destination, the original message/data is reassembled in the correct order, based on the packet sequence number. Thus a virtual connection, also known as a virtual circuit or byte stream is provided to the end-user by a transport layer protocol, although intermediate network nodes only provides a connectionless network layer service.</t>
  </si>
  <si>
    <t>N–S</t>
  </si>
  <si>
    <t>special efforts</t>
  </si>
  <si>
    <t>caliphate</t>
  </si>
  <si>
    <t>How far is Fresno from Los Angeles?</t>
  </si>
  <si>
    <t>cabin depressurization</t>
  </si>
  <si>
    <t>760 mm (2 ft 6 in) narrow gauge lines</t>
  </si>
  <si>
    <t>At A-level, what percentage of British students attend fee-paying schools?</t>
  </si>
  <si>
    <t>Who agreed to sign the Social Charter and was exempt from the legislation covering Social Charter issues?</t>
  </si>
  <si>
    <t>50,000</t>
  </si>
  <si>
    <t>What proteins are used by very few organisms?</t>
  </si>
  <si>
    <t>1964 and 1968</t>
  </si>
  <si>
    <t>What created a centralized router or server?</t>
  </si>
  <si>
    <t>Rijn</t>
  </si>
  <si>
    <t>For how long did Huguenots continue to use French names?</t>
  </si>
  <si>
    <t>What causes the innate response to be disarmed?</t>
  </si>
  <si>
    <t>Where wasn't there a weakness in British supply chain?</t>
  </si>
  <si>
    <t>Who founded the Office of eastern Medicine?</t>
  </si>
  <si>
    <t>What is the result of rebellion according to Black's Law Dictionary?</t>
  </si>
  <si>
    <t>Lothian Regional Council on George IV Bridge</t>
  </si>
  <si>
    <t xml:space="preserve">What does critically tapered mean? </t>
  </si>
  <si>
    <t>violence</t>
  </si>
  <si>
    <t>How much support does evidence provide for the view that labor-market flexibility improves labor-market outcomes?</t>
  </si>
  <si>
    <t>Pick TV</t>
  </si>
  <si>
    <t>Which theorem states that every large even integer can be written as a prime summed with a semiprime?</t>
  </si>
  <si>
    <t>What practice do some internet pharmacies engage in?</t>
  </si>
  <si>
    <t>"villes de sûreté"</t>
  </si>
  <si>
    <t>Who was yersinia pestis named for?</t>
  </si>
  <si>
    <t>325</t>
  </si>
  <si>
    <t>What are white blood cells known as?</t>
  </si>
  <si>
    <t>three-dimensional objects</t>
  </si>
  <si>
    <t>90 to 95 percent</t>
  </si>
  <si>
    <t>What unknown variation of arithmetic presents a decision problem not evidenced in P?</t>
  </si>
  <si>
    <t>Tony Hawk</t>
  </si>
  <si>
    <t>concrete</t>
  </si>
  <si>
    <t>In what year did William Maclure begin the process of creating the first geological map of the U.S.?</t>
  </si>
  <si>
    <t>convergent boundaries</t>
  </si>
  <si>
    <t>What is another piece created by Neumes?</t>
  </si>
  <si>
    <t>What does ocean water do to luminescence from certain animals?</t>
  </si>
  <si>
    <t>How many Victorians are Muslim?</t>
  </si>
  <si>
    <t>What type of measure is communication complexity not an example of?</t>
  </si>
  <si>
    <t>Imperialism is responsible for the rapid spread of what?</t>
  </si>
  <si>
    <t>climate</t>
  </si>
  <si>
    <t>What is a very seldom used unit of mass in the metric system?</t>
  </si>
  <si>
    <t>Count Ludwig von Nassau-Saarbrücken</t>
  </si>
  <si>
    <t>The Port of Long Beach belongs to which region of California?</t>
  </si>
  <si>
    <t>V8 and six cylinder engines</t>
  </si>
  <si>
    <t>to extend networking benefits, for computer science departments at academic and research institutions that could not be directly connected to ARPANET</t>
  </si>
  <si>
    <t>Besides rivers, what shapes the sedimentation of the rivers?</t>
  </si>
  <si>
    <t>1⁄3</t>
  </si>
  <si>
    <t>What kind of interethnic marriage became uncommon in the Jin dynasty?</t>
  </si>
  <si>
    <t>What is the name of the scheme that provides tuition and fee assistance to students due to excess enrollment?</t>
  </si>
  <si>
    <t>Eicosanoids include what compounds that result in fever and blood vessel dilation?</t>
  </si>
  <si>
    <t>What entity sparked the growth of Fresno Station?</t>
  </si>
  <si>
    <t>a proper legal basis</t>
  </si>
  <si>
    <t>What cells are the second arm of the innate immune system?</t>
  </si>
  <si>
    <t>What other business district does Orange County envelop outside of Downtown Santa Ana and Newport Center?</t>
  </si>
  <si>
    <t>What do forces have with regard to additive quantities?</t>
  </si>
  <si>
    <t>Who did Rollo sign the treaty of Saint-Clair-sur-Epte with?</t>
  </si>
  <si>
    <t>What chess grandmaster is also a university alumni?</t>
  </si>
  <si>
    <t>Fresno County Courthouse (demolished), the Fresno Carnegie Public Library</t>
  </si>
  <si>
    <t>A third of Pacific Islanders are what ethnicity?</t>
  </si>
  <si>
    <t>How many people lived in Constantinople in 1701?</t>
  </si>
  <si>
    <t>What do simple unicellular organisms lack?</t>
  </si>
  <si>
    <t>What might the fees to attend an Irish boarding school rise to?</t>
  </si>
  <si>
    <t>Who wrote about the distillation of drinking water from sea water?</t>
  </si>
  <si>
    <t>When did Syria and Egypt launch a surprise attack on Israel?</t>
  </si>
  <si>
    <t>What carries a significant amount of the Rhine flow through France?</t>
  </si>
  <si>
    <t xml:space="preserve"> Who along with Russia supported post WW-I communist movements?</t>
  </si>
  <si>
    <t>What Norman law wasdeveloped between 1000 and 1300?</t>
  </si>
  <si>
    <t>When was Europe's last major epidemic?</t>
  </si>
  <si>
    <t>Who distributes money from the annual trust fund?</t>
  </si>
  <si>
    <t>Ctenophores and cnidarians are classified as what?</t>
  </si>
  <si>
    <t>neuronal dendrites</t>
  </si>
  <si>
    <t>Who are debates and meetings open to?</t>
  </si>
  <si>
    <t>innate force of impetus</t>
  </si>
  <si>
    <t>reduces</t>
  </si>
  <si>
    <t>Where is much of the work of the Scottish Parliament done?</t>
  </si>
  <si>
    <t>political Islam</t>
  </si>
  <si>
    <t>their functions</t>
  </si>
  <si>
    <t>The Standard Industrial Classification and the newer North American Industry Classification System have a classification system for companies that perform or otherwise engage in construction. To recognize the differences of companies in this sector, it is divided into three subsectors: building construction, heavy and civil engineering construction, and specialty trade contractors. There are also categories for construction service firms (e.g., engineering, architecture) and construction managers (firms engaged in managing construction projects without assuming direct financial responsibility for completion of the construction project).</t>
  </si>
  <si>
    <t>Other than the San Diego metropolitan area, what other area are the communities along Interstates 15 and 215 connected with?</t>
  </si>
  <si>
    <t>What type of club is the Southern California Automobile Club?</t>
  </si>
  <si>
    <t>the high risk of a conflict of interest and/or the avoidance of absolute powers</t>
  </si>
  <si>
    <t>How many professional schools does the University of Higher Learning consist of?</t>
  </si>
  <si>
    <t>When did the Channel 4 documentary Undercover Mosque air?</t>
  </si>
  <si>
    <t>half as much</t>
  </si>
  <si>
    <t>During withdrawal from Fort William Henry, what did some Indian enemies of French do?</t>
  </si>
  <si>
    <t>What pop was a native of Germany?</t>
  </si>
  <si>
    <t>months after it happened</t>
  </si>
  <si>
    <t>the concept of distributed adaptive message block switching</t>
  </si>
  <si>
    <t>What term does the UK, Australia and Canada always use when referring to universities?</t>
  </si>
  <si>
    <t>19 April 1943</t>
  </si>
  <si>
    <t>European theatre</t>
  </si>
  <si>
    <t>1550</t>
  </si>
  <si>
    <t>When were the Normans in Normandy?</t>
  </si>
  <si>
    <t>Why would a person chose civil disobedience against specific laws?</t>
  </si>
  <si>
    <t>She gives a stirring speech</t>
  </si>
  <si>
    <t>1803</t>
  </si>
  <si>
    <t>What evolved 5.3 billion years ago?</t>
  </si>
  <si>
    <t>The British Parliament</t>
  </si>
  <si>
    <t>The mermaid</t>
  </si>
  <si>
    <t>freedom to continue worshiping in their Roman Catholic tradition, continued ownership of their property,</t>
  </si>
  <si>
    <t>shipping toxic waste</t>
  </si>
  <si>
    <t>How was the civil disobedience shown in Antigone?</t>
  </si>
  <si>
    <t>In what kind of fluid are pressure differences caused by direction of forces over gradients?</t>
  </si>
  <si>
    <t>What happens to the lead fusible plugs if the water level of the fire drops?</t>
  </si>
  <si>
    <t>Rugby is also a growing sport in southern California, particularly at the high school level, with increasing numbers of schools adding rugby as an official school sport.</t>
  </si>
  <si>
    <t>What economy started growing in the Greater Bay Region?</t>
  </si>
  <si>
    <t>Which Treaty protects the freedom of establishment and the freedom to provide services?</t>
  </si>
  <si>
    <t>What did colonial authorities reduce because of the Colony of Victoria Act of 1855?</t>
  </si>
  <si>
    <t>entirely separate companies</t>
  </si>
  <si>
    <t>What public entity of learning is often target of civil disobedience?</t>
  </si>
  <si>
    <t>Dogg Pound</t>
  </si>
  <si>
    <t>paramagnetic</t>
  </si>
  <si>
    <t>harassment</t>
  </si>
  <si>
    <t xml:space="preserve">What are some of scientists arguments? </t>
  </si>
  <si>
    <t>What did Donald Davies Develop</t>
  </si>
  <si>
    <t>6th century BC</t>
  </si>
  <si>
    <t>quantitative statements</t>
  </si>
  <si>
    <t>soil fertility and weed invasion</t>
  </si>
  <si>
    <t xml:space="preserve">Public and private funding led to what development? </t>
  </si>
  <si>
    <t>the shortest space-time path between two space-time events.</t>
  </si>
  <si>
    <t>Manuel Blum</t>
  </si>
  <si>
    <t>by undulating their bodies as well as by the beating of their comb-rows</t>
  </si>
  <si>
    <t>What is the weight of a bushel of engines in pounds?</t>
  </si>
  <si>
    <t xml:space="preserve"> Why did Toghun Temur approve Toghtogha?</t>
  </si>
  <si>
    <t>Neckar</t>
  </si>
  <si>
    <t>What does vaccination not exploit?</t>
  </si>
  <si>
    <t>General Assembly Hall of the Church of Scotland</t>
  </si>
  <si>
    <t>physical experiments</t>
  </si>
  <si>
    <t>cling to and creep on surfaces</t>
  </si>
  <si>
    <t>What charter has become an important aspect of EU law?</t>
  </si>
  <si>
    <t>What percentage of German students attended private schools in 2008?</t>
  </si>
  <si>
    <t>Where is a palm house with tropic plants from all over the world on display?</t>
  </si>
  <si>
    <t>every four years</t>
  </si>
  <si>
    <t xml:space="preserve">What does each packet includ in connectionless mode </t>
  </si>
  <si>
    <t xml:space="preserve">How many bodies of water makes up Lake Constance? </t>
  </si>
  <si>
    <t>port's trade</t>
  </si>
  <si>
    <t>17</t>
  </si>
  <si>
    <t>What was an additional projected effect of the attempted reform?</t>
  </si>
  <si>
    <t>When is a second MSL team scheduled to return?</t>
  </si>
  <si>
    <t>Which theorem states that all large odd integers can be expressed as a sum of three primes?</t>
  </si>
  <si>
    <t>s = −2, −4, ...,</t>
  </si>
  <si>
    <t>What was the government the final judge of?</t>
  </si>
  <si>
    <t>What period opened the Tethys Ocean?</t>
  </si>
  <si>
    <t>After Braddock died, who controlled North American British forces?</t>
  </si>
  <si>
    <t>How many degrees south did the Amazon rainforest reach from 66-34 Mya?</t>
  </si>
  <si>
    <t>91% of what is used for farming?</t>
  </si>
  <si>
    <t>What is the CJEU's duty?</t>
  </si>
  <si>
    <t>What is eliminated after the equity in the property?</t>
  </si>
  <si>
    <t>his arrest was not covered in any newspapers</t>
  </si>
  <si>
    <t>other locations throughout Scotland</t>
  </si>
  <si>
    <t>Deforestation</t>
  </si>
  <si>
    <t>the main hall</t>
  </si>
  <si>
    <t>Theories on imperialism don't use which country as a model?</t>
  </si>
  <si>
    <t>damage</t>
  </si>
  <si>
    <t>When did Landau propose his four conjectural problems?</t>
  </si>
  <si>
    <t>151 votes</t>
  </si>
  <si>
    <t>512-bit</t>
  </si>
  <si>
    <t>When did Genghis Khan become Great Khan?</t>
  </si>
  <si>
    <t xml:space="preserve">Where is the Rhine? </t>
  </si>
  <si>
    <t>Who governs the University of Zimmer?</t>
  </si>
  <si>
    <t>In what geographical portion of Wales is Abercynon located?</t>
  </si>
  <si>
    <t>those who feel that only doctors can reliably assess contraindications, risk/benefit ratios, and an individual's overall suitability for use of a medication.</t>
  </si>
  <si>
    <t>What thesis specifies that a trinomial relationship exists within time complexities in a computational model?</t>
  </si>
  <si>
    <t>more than 4 kilometers</t>
  </si>
  <si>
    <t>According to Oxfam, the 85 richest people have wealth equal to how many average people?</t>
  </si>
  <si>
    <t>Under the Mongols</t>
  </si>
  <si>
    <t>poet</t>
  </si>
  <si>
    <t>undulating their bodies</t>
  </si>
  <si>
    <t>writing a five volume book</t>
  </si>
  <si>
    <t>Governor Vaudreuil</t>
  </si>
  <si>
    <t>What fell to the Normans in the 10th century?</t>
  </si>
  <si>
    <t>Where did Johnson stop?</t>
  </si>
  <si>
    <t>What gauge of rail lines do two tourist lines use?</t>
  </si>
  <si>
    <t>lithosphere</t>
  </si>
  <si>
    <t>What has presented problems to the UN economy more than other nations?</t>
  </si>
  <si>
    <t>During which decade did the university experience student rest?</t>
  </si>
  <si>
    <t>Sharia</t>
  </si>
  <si>
    <t>Jamboree Business Parks belongs to which business center?</t>
  </si>
  <si>
    <t>State</t>
  </si>
  <si>
    <t>Yuán Cháo</t>
  </si>
  <si>
    <t>having colloblasts</t>
  </si>
  <si>
    <t>What does X.25's integrity operations concern?</t>
  </si>
  <si>
    <t>Which court argued that the Treaty of Rome did not prevent energy nationalism?</t>
  </si>
  <si>
    <t>How independently created a separate system in 1965?</t>
  </si>
  <si>
    <t>What building from the 19th century was destroyed between the 1950s and 1960s?</t>
  </si>
  <si>
    <t>Presbyterian Church</t>
  </si>
  <si>
    <t>When did the four rightly guided Caliphs die?</t>
  </si>
  <si>
    <t>specialised education and training</t>
  </si>
  <si>
    <t>entire length</t>
  </si>
  <si>
    <t>374</t>
  </si>
  <si>
    <t xml:space="preserve"> When did the colonization of India not occur?</t>
  </si>
  <si>
    <t>blind plea</t>
  </si>
  <si>
    <t>must be supported by scientific evidence</t>
  </si>
  <si>
    <t>Which articles of the Free Movement of Workers Regulation set out the primary provisions on equal treatment of workers?</t>
  </si>
  <si>
    <t>How is best-case time complexity written as an expression?</t>
  </si>
  <si>
    <t>German</t>
  </si>
  <si>
    <t>After the Greeks, little happened with the study of prime numbers until the 17th century. In 1640 Pierre de Fermat stated (without proof) Fermat's little theorem (later proved by Leibniz and Euler). Fermat also conjectured that all numbers of the form 22n + 1 are prime (they are called Fermat numbers) and he verified this up to n = 4 (or 216 + 1). However, the very next Fermat number 232 + 1 is composite (one of its prime factors is 641), as Euler discovered later, and in fact no further Fermat numbers are known to be prime. The French monk Marin Mersenne looked at primes of the form 2p − 1, with p a prime. They are called Mersenne primes in his honor.</t>
  </si>
  <si>
    <t>Besides cultural events, what other tourist attraction does Victoria have?</t>
  </si>
  <si>
    <t>Where does the gold in the parliamentary mace come from?</t>
  </si>
  <si>
    <t>Scots, Gaelic, or any other language with the agreement of the Presiding Officer</t>
  </si>
  <si>
    <t>He who does great things.</t>
  </si>
  <si>
    <t>What publication printed that the wealthiest 1% have more money than those in the bottom 90%?</t>
  </si>
  <si>
    <t xml:space="preserve">What thesis specifies that a polynomial relationship exists within time complexities in a computational model? </t>
  </si>
  <si>
    <t>Who received the first steam engine patent?</t>
  </si>
  <si>
    <t>Outside of its use of automobiles, what else is southern California famous for using?</t>
  </si>
  <si>
    <t>What types of pumps are typically used in industrial boilers?</t>
  </si>
  <si>
    <t>endowments</t>
  </si>
  <si>
    <t>allowed very young students to attend college</t>
  </si>
  <si>
    <t>phylum of animals that live in marine waters</t>
  </si>
  <si>
    <t>In a steam turbine, what are discs mounted on?</t>
  </si>
  <si>
    <t>enhanced transit infrastructure, possible shuttles open to the public, and park space</t>
  </si>
  <si>
    <t>Which party is strongest in Victoria's northwestern and eastern regions?</t>
  </si>
  <si>
    <t>What is the term when top income earners aspire to obtain the same standards of living as people wealthier than themselves?</t>
  </si>
  <si>
    <t>In what year did the Black Death originate in Central Asia?</t>
  </si>
  <si>
    <t>metals</t>
  </si>
  <si>
    <t>The Kuznets curve says with economic development, inequality will decrease after what?</t>
  </si>
  <si>
    <t>Warner Center is located in which area?</t>
  </si>
  <si>
    <t>What impact did this loss have on Abercrombie?</t>
  </si>
  <si>
    <t>When was the the second German empire founded?</t>
  </si>
  <si>
    <t>What process do both science and governments follow?</t>
  </si>
  <si>
    <t>What was the Soviet Union trying to suppress with its army?</t>
  </si>
  <si>
    <t>December 25</t>
  </si>
  <si>
    <t>Which conjecture holds that for any positive integer n, there is an infinite amount of pairs of consecutive primes differing by 2n?</t>
  </si>
  <si>
    <t>What were the operating expenses of the Groton School in 2012?</t>
  </si>
  <si>
    <t>USGS</t>
  </si>
  <si>
    <t>How many clubs do the students at the University of Model United Nations run?</t>
  </si>
  <si>
    <t>five or more</t>
  </si>
  <si>
    <t>What are those with lower incomes less likely to have in order to prepare for the future?</t>
  </si>
  <si>
    <t>What is the Proto-Germanic adoption of the Gaulish name of the Rhine?</t>
  </si>
  <si>
    <t>a body of treaties and legislation, such as Regulations and Directives</t>
  </si>
  <si>
    <t>What is not an example of a mechanical barrier?</t>
  </si>
  <si>
    <t>Evolution of the adaptive immune system occurred in an ancestor of the jawed vertebrates. Many of the classical molecules of the adaptive immune system (e.g., immunoglobulins and T cell receptors) exist only in jawed vertebrates. However, a distinct lymphocyte-derived molecule has been discovered in primitive jawless vertebrates, such as the lamprey and hagfish. These animals possess a large array of molecules called Variable lymphocyte receptors (VLRs) that, like the antigen receptors of jawed vertebrates, are produced from only a small number (one or two) of genes. These molecules are believed to bind pathogenic antigens in a similar way to antibodies, and with the same degree of specificity.</t>
  </si>
  <si>
    <t>What was the percentage of people that voted in favor of the Pico Act of 1859?</t>
  </si>
  <si>
    <t>long, slender tentacles</t>
  </si>
  <si>
    <t>Public-Private Partnering</t>
  </si>
  <si>
    <t>What does the Wessel-Datteln canal run parallel to?</t>
  </si>
  <si>
    <t>affordable housing</t>
  </si>
  <si>
    <t>commonly present</t>
  </si>
  <si>
    <t>Where was Montcalm focusing the offense for New France?</t>
  </si>
  <si>
    <t>What is primarily and independent effort?</t>
  </si>
  <si>
    <t xml:space="preserve"> One strategy of Islamization is to not seize power by what methods?</t>
  </si>
  <si>
    <t>1997</t>
  </si>
  <si>
    <t>Warsaw Uprising Monument</t>
  </si>
  <si>
    <t>1946</t>
  </si>
  <si>
    <t>interdisciplinary approach</t>
  </si>
  <si>
    <t>They viewed the economic value of the Caribbean islands' sugar cane to be greater and easier to defend than the furs from the continent</t>
  </si>
  <si>
    <t>sponges and cnidarians, ctenophores</t>
  </si>
  <si>
    <t>Whose control of the UK's government helped fuel a desire for a Scottish Parliament?</t>
  </si>
  <si>
    <t>older than the fault</t>
  </si>
  <si>
    <t>normal faulting and through the ductile stretching and thinning</t>
  </si>
  <si>
    <t>What did Philo incorrectly assume that the air became?</t>
  </si>
  <si>
    <t>What did the early entrant program do for potential students?</t>
  </si>
  <si>
    <t>Which president ended the Emergency Energy Conservation Act?</t>
  </si>
  <si>
    <t>In July 2013, the English High Court of Justice found that Microsoft’s use of the term "SkyDrive" infringed on Sky’s right to the "Sky" trademark. On 31 July 2013, BSkyB and Microsoft announced their settlement, in which Microsoft will not appeal the ruling, and will rename its SkyDrive cloud storage service after an unspecified "reasonable period of time to allow for an orderly transition to a new brand," plus "financial and other terms, the details of which are confidential". On 27 January 2014, Microsoft announced "that SkyDrive will soon become OneDrive" and "SkyDrive Pro" becomes "OneDrive for Business".</t>
  </si>
  <si>
    <t>Plasmodium falciparum</t>
  </si>
  <si>
    <t>American delegation from the Paris Peace Conference</t>
  </si>
  <si>
    <t>The term Huguenot was originally meant to confer?</t>
  </si>
  <si>
    <t>mathematicians</t>
  </si>
  <si>
    <t>What fortified this concept?</t>
  </si>
  <si>
    <t>What types of other schools is the city of Harris well known for?</t>
  </si>
  <si>
    <t>consumer prices</t>
  </si>
  <si>
    <t>an invasion of Britain</t>
  </si>
  <si>
    <t>Frontiers from between Nova Scotia and Acadia in the north, to the Ohio Country in the south, were claimed by both sides.</t>
  </si>
  <si>
    <t>end of the Mexican War</t>
  </si>
  <si>
    <t>statistical mechanics</t>
  </si>
  <si>
    <t>Where is the American Library Association located?</t>
  </si>
  <si>
    <t>What type of motivators aren't food and shelter considered?</t>
  </si>
  <si>
    <t>What do killer B cells recognize?</t>
  </si>
  <si>
    <t>The embargo was not uniform across Europe. Of the nine members of the European Economic Community (EEC), the Netherlands faced a complete embargo, the UK and France received almost uninterrupted supplies (having refused to allow America to use their airfields and embargoed arms and supplies to both the Arabs and the Israelis), while the other six faced partial cutbacks. The UK had traditionally been an ally of Israel, and Harold Wilson's government supported the Israelis during the Six-Day War. His successor, Ted Heath, reversed this policy in 1970, calling for Israel to withdraw to its pre-1967 borders.</t>
  </si>
  <si>
    <t>make it very difficult for predators to evolve that could specialize as predators</t>
  </si>
  <si>
    <t>Africa</t>
  </si>
  <si>
    <t>quantum electrodynamics</t>
  </si>
  <si>
    <t xml:space="preserve"> Which historic empire used cultural imperialism to sway non-local elites?</t>
  </si>
  <si>
    <t xml:space="preserve"> What philosophies overlay Chinese medicine?</t>
  </si>
  <si>
    <t>What problem from the Fresno Chandler Airport has plagued residents?</t>
  </si>
  <si>
    <t>50% to 60%</t>
  </si>
  <si>
    <t>What was the name of the first Huguenot church in the New World?</t>
  </si>
  <si>
    <t>What city is the capital of Victoria?</t>
  </si>
  <si>
    <t xml:space="preserve">A routing packet is required under what system? </t>
  </si>
  <si>
    <t>a means of making ARPANET technology public</t>
  </si>
  <si>
    <t>computational problem</t>
  </si>
  <si>
    <t>by the available data</t>
  </si>
  <si>
    <t>3.7</t>
  </si>
  <si>
    <t xml:space="preserve"> What nominal title did Yuan emperors reject?</t>
  </si>
  <si>
    <t>Duke William II</t>
  </si>
  <si>
    <t>computational</t>
  </si>
  <si>
    <t>What was formed after the undeformed units were deposited?</t>
  </si>
  <si>
    <t>foundational constitutional questions affecting democracy and human rights</t>
  </si>
  <si>
    <t>1638</t>
  </si>
  <si>
    <t>What generally dictates the construction materials used?</t>
  </si>
  <si>
    <t>268 U.S. 510</t>
  </si>
  <si>
    <t>Aside from oxides, what other compounds comprise a large portion of the Earth's crust?</t>
  </si>
  <si>
    <t>When did the Shah kingdom start to collapse?</t>
  </si>
  <si>
    <t>How did the Camden 28 describe their actions to the court?</t>
  </si>
  <si>
    <t>What does the cilia try to keep the transparent dome resting on?</t>
  </si>
  <si>
    <t>Observations on the Geology of the United States explanatory of a Geological Map</t>
  </si>
  <si>
    <t>CD40 ligand</t>
  </si>
  <si>
    <t>political support</t>
  </si>
  <si>
    <t>What is the point that radiometric isotopes begin diffusing called?</t>
  </si>
  <si>
    <t>1966</t>
  </si>
  <si>
    <t>Conant devised programs</t>
  </si>
  <si>
    <t>What is the minimum distance between a patient's home and the nearest pharmacy that allows a physician in Austria to give out medicine?</t>
  </si>
  <si>
    <t>What is it estimated that about half of all variation in homicide rates can be accounted for by?</t>
  </si>
  <si>
    <t>ten times more</t>
  </si>
  <si>
    <t>Before World War II, Fresno had many ethnic neighborhoods, including Little Armenia, German Town, Little Italy, and Chinatown. In 1940, the Census Bureau reported Fresno's population as 94.0% white, 3.3% black and 2.7% Asian. (Incongruously, Chinatown was primarily a Japanese neighborhood and today Japanese-American businesses still remain). During 1942, Pinedale, in what is now North Fresno, was the site of the Pinedale Assembly Center, an interim facility for the relocation of Fresno area Japanese Americans to internment camps. The Fresno Fairgrounds was also utilized as an assembly center.</t>
  </si>
  <si>
    <t>The best-known legend</t>
  </si>
  <si>
    <t>What type of number theory utilizes and studies Noetherian arithmetic?</t>
  </si>
  <si>
    <t>What UN resolution endorsed the IPCC?</t>
  </si>
  <si>
    <t>idealized point particles rather than three-dimensional objects</t>
  </si>
  <si>
    <t>The independence of which Parliament tends to be high?</t>
  </si>
  <si>
    <t>Who did internet2 partner with</t>
  </si>
  <si>
    <t>political reasons</t>
  </si>
  <si>
    <t>Dyrrachium</t>
  </si>
  <si>
    <t>Who did Britain exploit in India?</t>
  </si>
  <si>
    <t>What are the little tentacles that cydippids have called?</t>
  </si>
  <si>
    <t>Which US President visited Jacksonville in 1888?</t>
  </si>
  <si>
    <t>August 2004</t>
  </si>
  <si>
    <t>The name Rijn, from here on, is used only for smaller streams farther to the north, which together formed the main river Rhine in Roman times. Though they retained the name, these streams no longer carry water from the Rhine, but are used for draining the surrounding land and polders. From Wijk bij Duurstede, the old north branch of the Rhine is called Kromme Rijn ("Bent Rhine") past Utrecht, first Leidse Rijn ("Rhine of Leiden") and then, Oude Rijn ("Old Rhine"). The latter flows west into a sluice at Katwijk, where its waters can be discharged into the North Sea. This branch once formed the line along which the Limes Germanicus were built. During periods of lower sea levels within the various ice ages, the Rhine took a left turn, creating the Channel River, the course of which now lies below the English Channel.</t>
  </si>
  <si>
    <t>What do cilia use their bodies for?</t>
  </si>
  <si>
    <t>substantially increased the asking price</t>
  </si>
  <si>
    <t>My ways Jacksonville's coldest month on record?</t>
  </si>
  <si>
    <t>States or departments in four nations contain "Amazonas" in their names.</t>
  </si>
  <si>
    <t>Camp Pendleton</t>
  </si>
  <si>
    <t>What companies did Toyota, Chevrolet and Dodge have joint partnerships with?</t>
  </si>
  <si>
    <t>What advancements besides military technology did Europe not achieve?</t>
  </si>
  <si>
    <t>When do bathyctena chuni, euplokamis stationis and eurhamphaea vexilligera  excrete secretions?</t>
  </si>
  <si>
    <t>Śródmieście</t>
  </si>
  <si>
    <t>Eternal Heaven</t>
  </si>
  <si>
    <t>8</t>
  </si>
  <si>
    <t>WHen did ARPNET and SITA become operational</t>
  </si>
  <si>
    <t>What is decreased by staging expansion across multiple cylinders?</t>
  </si>
  <si>
    <t>1,600</t>
  </si>
  <si>
    <t>What percentage of married couples had children living with them?</t>
  </si>
  <si>
    <t>the state (including the judges)</t>
  </si>
  <si>
    <t>Why do some people find it hard to not talk to a tax agent?</t>
  </si>
  <si>
    <t>gradual</t>
  </si>
  <si>
    <t xml:space="preserve"> Who refuses to lead The Islamic State?</t>
  </si>
  <si>
    <t>What does colonialism lack that imperialism has?</t>
  </si>
  <si>
    <t>What was the only region in Europe not conquered by the Germanic tribes?</t>
  </si>
  <si>
    <t>James Hutton published a 2 volume version of his theories in what year?</t>
  </si>
  <si>
    <t>What does a great amount of self-gratification undermine?</t>
  </si>
  <si>
    <t>lack of understanding of the legal ramifications, or due to a fear of seeming rude.</t>
  </si>
  <si>
    <t>unexplored territory</t>
  </si>
  <si>
    <t>extensive, electrified, passenger system</t>
  </si>
  <si>
    <t>What does not contain formal and substantive provisions?</t>
  </si>
  <si>
    <t>When did Polonia Warsaw win the country's championship prior to 2000?</t>
  </si>
  <si>
    <t>During what years did Harvard roll out a new undergraduate program?</t>
  </si>
  <si>
    <t>Aside from 113 research institutes, how many research centers does the U of C operate?</t>
  </si>
  <si>
    <t>What is Engineering News-Record?</t>
  </si>
  <si>
    <t>What dynasty shared artistic inspiration with the Yuan?</t>
  </si>
  <si>
    <t>declines</t>
  </si>
  <si>
    <t>Louis XIII</t>
  </si>
  <si>
    <t>Court of Justice of the European Union (CJEU)</t>
  </si>
  <si>
    <t>disrupting their plasma membrane.</t>
  </si>
  <si>
    <t>How many modern types of algorithm tests for general numbers n are there?</t>
  </si>
  <si>
    <t>How many earthquakes does the state of California have each year?</t>
  </si>
  <si>
    <t>Stromatoveris is similair to which genus?</t>
  </si>
  <si>
    <t>700</t>
  </si>
  <si>
    <t>Who was Edward the Confessor's half-brother?</t>
  </si>
  <si>
    <t>In what year did Rev. Elie Prioleau become the pastor of the first Huguenot church in Charleston, South Carolina?</t>
  </si>
  <si>
    <t>risen by less than two percent per year</t>
  </si>
  <si>
    <t>The hydrography of the current delta is characterized by the delta's main arms, disconnected arms (Hollandse IJssel, Linge, Vecht, etc.) and smaller rivers and streams. Many rivers have been closed ("dammed") and now serve as drainage channels for the numerous polders. The construction of Delta Works changed the Delta in the second half of the 20th Century fundamentally. Currently Rhine water runs into the sea, or into former marine bays now separated from the sea, in five places, namely at the mouths of the Nieuwe Merwede, Nieuwe Waterway (Nieuwe Maas), Dordtse Kil, Spui and IJssel.</t>
  </si>
  <si>
    <t xml:space="preserve"> When did the Syrian Civil War end?</t>
  </si>
  <si>
    <t>when Germany started to build her own colonial empire</t>
  </si>
  <si>
    <t>What is carbon monoxide poisonous to that can cause gas gangrene?</t>
  </si>
  <si>
    <t>the statistical behaviour</t>
  </si>
  <si>
    <t>How does cooling of the local environment affect the mnemiopsis?</t>
  </si>
  <si>
    <t>A number larger than -3 can be represented as a product of what?</t>
  </si>
  <si>
    <t>Miller–Urey experiment</t>
  </si>
  <si>
    <t>states and governments</t>
  </si>
  <si>
    <t>Ediacaran period</t>
  </si>
  <si>
    <t>Sub-Saharan Africa</t>
  </si>
  <si>
    <t>the Brotherhood</t>
  </si>
  <si>
    <t>Protestantism</t>
  </si>
  <si>
    <t>a Qara-Khitay (Khitan</t>
  </si>
  <si>
    <t>500</t>
  </si>
  <si>
    <t>Who was defeated by Montcalm at Quebec?</t>
  </si>
  <si>
    <t>internal fertilization</t>
  </si>
  <si>
    <t>Does the residential architecture of the Tower District compare or contrast with other part of Fresno?</t>
  </si>
  <si>
    <t>1251</t>
  </si>
  <si>
    <t>What do B cells help T cells produce?</t>
  </si>
  <si>
    <t>When did the Jurassic Period end?</t>
  </si>
  <si>
    <t>Amboise</t>
  </si>
  <si>
    <t>When did the Germanic tribes claim territory in north and west Europe?</t>
  </si>
  <si>
    <t>Who replaced the Normans as the ruling class?</t>
  </si>
  <si>
    <t>DC</t>
  </si>
  <si>
    <t>What minor amount of liquid oxygen was produced by early French experimenters?</t>
  </si>
  <si>
    <t>anti-communist fervor</t>
  </si>
  <si>
    <t>From what type of materials must liquid oxygen be separated?</t>
  </si>
  <si>
    <t>Packet_switching</t>
  </si>
  <si>
    <t>How many people lived in Egypt at the start of the Black Death?</t>
  </si>
  <si>
    <t>How aren't incomes distributed in Sweden?</t>
  </si>
  <si>
    <t xml:space="preserve"> What was Iqbal studying in Ireland?</t>
  </si>
  <si>
    <t>Cavendish's Law of Gravitation states what?</t>
  </si>
  <si>
    <t>illegal boycotts, refusals to pay taxes, draft dodging, distributed denial-of-service attacks, and sit-ins</t>
  </si>
  <si>
    <t>What do all but one kind of Aboral lack?</t>
  </si>
  <si>
    <t>What does the world's first Museum of Posters have one of the largest collections of in the world?</t>
  </si>
  <si>
    <t>What seldom used term of a unit of force equal to 1000 pound s of force?</t>
  </si>
  <si>
    <t>What hypothesis is associated with the complexity class of P viewed as a mathematical abstraction with efficient algorithmic functionality?</t>
  </si>
  <si>
    <t>international organizations and foreign governments</t>
  </si>
  <si>
    <t>How many Muslims came from Iraq to fight in Afghanistan?</t>
  </si>
  <si>
    <t>gravitational force</t>
  </si>
  <si>
    <t>1880</t>
  </si>
  <si>
    <t>From what does photosynthesis get oxygen?</t>
  </si>
  <si>
    <t>How many large public parks does Fresno have?</t>
  </si>
  <si>
    <t>Mnemiopsis leidyi</t>
  </si>
  <si>
    <t>Several thousand</t>
  </si>
  <si>
    <t>In what dynasty did Tianze live?</t>
  </si>
  <si>
    <t>Persia after the Muslim conquests had come to an end</t>
  </si>
  <si>
    <t>Which campus hosts graduate only student programs and is located on the banks of the Seine?</t>
  </si>
  <si>
    <t>HAMAS</t>
  </si>
  <si>
    <t>After the death of Tugh Temür in 1332 and subsequent death of Rinchinbal (Emperor Ningzong) the same year, the 13-year-old Toghun Temür (Emperor Huizong), the last of the nine successors of Kublai Khan, was summoned back from Guangxi and succeeded to the throne. After El Temür's death, Bayan became as powerful an official as El Temür had been in the beginning of his long reign. As Toghun Temür grew, he came to disapprove of Bayan's autocratic rule. In 1340 he allied himself with Bayan's nephew Toqto'a, who was in discord with Bayan, and banished Bayan by coup. With the dismissal of Bayan, Toghtogha seized the power of the court. His first administration clearly exhibited fresh new spirit. He also gave a few early signs of a new and positive direction in central government. One of his successful projects was to finish the long-stalled official histories of the Liao, Jin, and Song dynasties, which were eventually completed in 1345. Yet, Toghtogha resigned his office with the approval of Toghun Temür, marking the end of his first administration, and he was not called back until 1349.</t>
  </si>
  <si>
    <t xml:space="preserve">What involves limited production with a designated purchase? </t>
  </si>
  <si>
    <t>old boy network</t>
  </si>
  <si>
    <t>independent components</t>
  </si>
  <si>
    <t>What type of authority are ambulatory care pharmacists not given in the U.S. federal health care system?</t>
  </si>
  <si>
    <t>Where didn't French fur trappers travel?</t>
  </si>
  <si>
    <t>Irish linen</t>
  </si>
  <si>
    <t>What did Mazda want to distinguish itself from by opening assembly plants in 1973?</t>
  </si>
  <si>
    <t>shock</t>
  </si>
  <si>
    <t>annexing outlying communities</t>
  </si>
  <si>
    <t>Abercrombie was recalled and replaced by Jeffery Amherst,</t>
  </si>
  <si>
    <t>What country has the most illiterate adults in the world?</t>
  </si>
  <si>
    <t>thorough analysis of all medication (prescription, non-prescription, and herbals) currently being taken by an individual.</t>
  </si>
  <si>
    <t>the Rhind papyrus</t>
  </si>
  <si>
    <t>Some people describe what between individuals or groups as non-imperialism or non-colonialism?</t>
  </si>
  <si>
    <t>Oxygen</t>
  </si>
  <si>
    <t>Betty Meggers said that hunting was needed to support a large population where?</t>
  </si>
  <si>
    <t>the Supreme Court</t>
  </si>
  <si>
    <t>oxygen gas</t>
  </si>
  <si>
    <t>An increase in imported cars into North America</t>
  </si>
  <si>
    <t>How are most cilia when moving through the water?</t>
  </si>
  <si>
    <t>independent</t>
  </si>
  <si>
    <t>What year was North America's first printing press started?</t>
  </si>
  <si>
    <t>How is the prime number p in Chebyshev's postulate expressed mathematically?</t>
  </si>
  <si>
    <t xml:space="preserve">Who suggested the name of Tymnet? </t>
  </si>
  <si>
    <t>Who threw gold into the Rhine, according to legend?</t>
  </si>
  <si>
    <t>Emperor Chengzong</t>
  </si>
  <si>
    <t>David Axelrod</t>
  </si>
  <si>
    <t>To what pathogen that causes gas gangrene is oxygen poisonous?</t>
  </si>
  <si>
    <t>Who was a man studying medicinal applicants of plants in Ancient Greece?</t>
  </si>
  <si>
    <t>What happens when a person's capabilities aer lowered, as it relates to their income?</t>
  </si>
  <si>
    <t>What is the Saxon Garden in Polish?</t>
  </si>
  <si>
    <t>very badly disposed towards the French</t>
  </si>
  <si>
    <t>What made Ohio Country vulnerable?</t>
  </si>
  <si>
    <t>union membership</t>
  </si>
  <si>
    <t>What cells are at their lowest while people are awake?</t>
  </si>
  <si>
    <t>global</t>
  </si>
  <si>
    <t>What does photosynthesis release into the Earth's atmosphere?</t>
  </si>
  <si>
    <t>What do T cells recognize before antigens have been processed?</t>
  </si>
  <si>
    <t>Lorelei</t>
  </si>
  <si>
    <t>idealism and philanthropy</t>
  </si>
  <si>
    <t>set of triples</t>
  </si>
  <si>
    <t>What does indirect civil disobedience protest a law by doing?</t>
  </si>
  <si>
    <t>oscillating</t>
  </si>
  <si>
    <t>What are two cars with V8 engines that were more fuel efficient?</t>
  </si>
  <si>
    <t>It became a moral justification to lift the world up to French standards by bringing Christianity and French culture. In 1884 the leading exponent of colonialism, Jules Ferry declared France had a civilising mission: "The higher races have a right over the lower races, they have a duty to civilize the inferior". Full citizenship rights – ‘’assimilation’’ – were offered, although in reality assimilation was always on the distant horizon. Contrasting from Britain, France sent small numbers of settlers to its colonies, with the only notable exception of Algeria, where French settlers nevertheless always remained a small minority.</t>
  </si>
  <si>
    <t xml:space="preserve"> What was the Soviet Union trying to motivate with its army?</t>
  </si>
  <si>
    <t>mujahideen</t>
  </si>
  <si>
    <t>the 1940s</t>
  </si>
  <si>
    <t>gets smaller</t>
  </si>
  <si>
    <t>What River surrounds Jacksonville?</t>
  </si>
  <si>
    <t>What category are schools put into that maintain a line between academics and religion?</t>
  </si>
  <si>
    <t>two</t>
  </si>
  <si>
    <t>economic</t>
  </si>
  <si>
    <t>Lucas–Lehmer test</t>
  </si>
  <si>
    <t>many complexity classes</t>
  </si>
  <si>
    <t>Full citizenship rights</t>
  </si>
  <si>
    <t>forces</t>
  </si>
  <si>
    <t>identified change orders or project changes that increased costs</t>
  </si>
  <si>
    <t>more equally distributed</t>
  </si>
  <si>
    <t>Bilateria</t>
  </si>
  <si>
    <t>Gaelic</t>
  </si>
  <si>
    <t>moist tropical vegetation cover</t>
  </si>
  <si>
    <t>What are most detailed plans in construction?</t>
  </si>
  <si>
    <t>T cells</t>
  </si>
  <si>
    <t xml:space="preserve">What molecules that promote inflammation peak during waking hours? </t>
  </si>
  <si>
    <t>When did Great Britain colonize Australia?</t>
  </si>
  <si>
    <t>What does 'Pax Mongolica' mean?</t>
  </si>
  <si>
    <t>not benefitting Scotland as much as they should</t>
  </si>
  <si>
    <t>What form of oxygen is composed of three oxygen atoms?</t>
  </si>
  <si>
    <t>a balance sensor consisting of a statolith</t>
  </si>
  <si>
    <t>Yuan_dynasty</t>
  </si>
  <si>
    <t>Who discovered pottery found on Black Hammock Island?</t>
  </si>
  <si>
    <t>the dilemma faced by German citizens</t>
  </si>
  <si>
    <t>Wednesday afternoons</t>
  </si>
  <si>
    <t>How many French people fled to Prussia?</t>
  </si>
  <si>
    <t>What military impact did Huguenot immigration have on Frederick's army?</t>
  </si>
  <si>
    <t>What was the idealized value of imperialism?</t>
  </si>
  <si>
    <t>"wrecking amendments"</t>
  </si>
  <si>
    <t>What was the average duty of a low-pressure Watt engine?</t>
  </si>
  <si>
    <t>What would a parent have to pay to send their child to a boarding school in 2012?</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</si>
  <si>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</si>
  <si>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validity of the social contract</t>
  </si>
  <si>
    <t>In what century was the term pharma last used?</t>
  </si>
  <si>
    <t>complete list of primes up to  is known</t>
  </si>
  <si>
    <t>Bolshevik leaders</t>
  </si>
  <si>
    <t>Which khanates had converted to Islam?</t>
  </si>
  <si>
    <t>What has a classification system for construction companies?</t>
  </si>
  <si>
    <t>Frederick William, Elector of Brandenburg, invited Huguenots to settle in his realms, and a number of their descendants rose to positions of prominence in Prussia. Several prominent German military, cultural, and political figures were ethnic Huguenot, including poet Theodor Fontane, General Hermann von François, the hero of the First World War Battle of Tannenberg, Luftwaffe General and fighter ace Adolf Galland, Luftwaffe flying ace Hans-Joachim Marseille, and famed U-boat captain Lothar von Arnauld de la Perière. The last Prime Minister of the (East) German Democratic Republic, Lothar de Maizière, is also a descendant of a Huguenot family, as is the German Federal Minister of the Interior, Thomas de Maizière.</t>
  </si>
  <si>
    <t>the mouth of the Monongahela River</t>
  </si>
  <si>
    <t>When did the South American French and Indian War end?</t>
  </si>
  <si>
    <t>Who did Edgar marry?</t>
  </si>
  <si>
    <t>west of the Appalachian Mountains</t>
  </si>
  <si>
    <t>When did Edward return?</t>
  </si>
  <si>
    <t>Completing Q with respect to what will produce the field of real numbers?</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</si>
  <si>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</si>
  <si>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South</t>
  </si>
  <si>
    <t xml:space="preserve">What is the conventional measurement of the Rhine? </t>
  </si>
  <si>
    <t>Oxygen is the most abundant chemical element by mass in the Earth's biosphere, air, sea and land. Oxygen is the third most abundant chemical element in the universe, after hydrogen and helium. About 0.9% of the Sun's mass is oxygen. Oxygen constitutes 49.2% of the Earth's crust by mass and is the major component of the world's oceans (88.8% by mass). Oxygen gas is the second most common component of the Earth's atmosphere, taking up 20.8% of its volume and 23.1% of its mass (some 1015 tonnes).[d] Earth is unusual among the planets of the Solar System in having such a high concentration of oxygen gas in its atmosphere: Mars (with 0.1% O
2 by volume) and Venus have far lower concentrations. The O
2 surrounding these other planets is produced solely by ultraviolet radiation impacting oxygen-containing molecules such as carbon dioxide.</t>
  </si>
  <si>
    <t>Why are the small lakes in the parks emptied before winter?</t>
  </si>
  <si>
    <t>Woods Hole Research Center</t>
  </si>
  <si>
    <t>whether the bill is within the legislative competence of the Parliament</t>
  </si>
  <si>
    <t>What area of Fresno were the Fresno Fairgrounds located in?</t>
  </si>
  <si>
    <t>Prices remained stable until what?</t>
  </si>
  <si>
    <t>type III secretion system</t>
  </si>
  <si>
    <t>What position was Walter Camp on Harvard's football team?</t>
  </si>
  <si>
    <t>Which river joins the Rhine in Duisburg?</t>
  </si>
  <si>
    <t>defense and justification of empire-building</t>
  </si>
  <si>
    <t>The fourth Yuan emperor, Buyantu Khan (Ayurbarwada), was a competent emperor. He was the first Yuan emperor to actively support and adopt mainstream Chinese culture after the reign of Kublai, to the discontent of some Mongol elite. He had been mentored by Li Meng, a Confucian academic. He made many reforms, including the liquidation of the Department of State Affairs (Chinese: 尚書省), which resulted in the execution of five of the highest-ranking officials. Starting in 1313 the traditional imperial examinations were reintroduced for prospective officials, testing their knowledge on significant historical works. Also, he codified much of the law, as well as publishing or translating a number of Chinese books and works.</t>
  </si>
  <si>
    <t>What Viking groups were conquered by Rollo?</t>
  </si>
  <si>
    <t>As of 2014 how quickly is building material being printed?</t>
  </si>
  <si>
    <t>How did Huguenots evolve their religious beliefs in the New World?</t>
  </si>
  <si>
    <t>What organization predicted that the Amazon force could survive more than three years of drought</t>
  </si>
  <si>
    <t>special training</t>
  </si>
  <si>
    <t>Miller-Rabin</t>
  </si>
  <si>
    <t>How are Victorian cabinet members chosen?</t>
  </si>
  <si>
    <t>What was the Brazilian French colony called?</t>
  </si>
  <si>
    <t>What is involved in sea current coupling?</t>
  </si>
  <si>
    <t>a dimensional constant</t>
  </si>
  <si>
    <t>Mohandas Gandhi</t>
  </si>
  <si>
    <t>Following the Liberal victory in 2015, standing orders were changed to do what?</t>
  </si>
  <si>
    <t>Two</t>
  </si>
  <si>
    <t>What type of studies do Geochronologists perform?</t>
  </si>
  <si>
    <t>What states that only problems that cannot be solved in polynomial time can be feasibly computed on some computational device?</t>
  </si>
  <si>
    <t>Who challenged the plague theory first?</t>
  </si>
  <si>
    <t>When was the IPCC Fourth Assessment Report published?</t>
  </si>
  <si>
    <t>What method do Muslim run schools use in their curriculum?</t>
  </si>
  <si>
    <t>Where did the genoese traders bring the plague?</t>
  </si>
  <si>
    <t>What months out of the year is Woodward Park open?</t>
  </si>
  <si>
    <t>1724</t>
  </si>
  <si>
    <t>What type of vote does the Council not pass in order to disapprove of any changes recommended by Parliament?</t>
  </si>
  <si>
    <t>What other sources of high oxidative potential can add to a fire?</t>
  </si>
  <si>
    <t>1665</t>
  </si>
  <si>
    <t>the California State Automobile Association</t>
  </si>
  <si>
    <t>When did income inequality begin to decrease in the US?</t>
  </si>
  <si>
    <t>The earlier they surrendered to the Mongols</t>
  </si>
  <si>
    <t>What is a type of Dodge built compact truck?</t>
  </si>
  <si>
    <t>What is home to Southern California?</t>
  </si>
  <si>
    <t>LeGrande</t>
  </si>
  <si>
    <t>What did the Zuider Zee brackish lagoon change into?</t>
  </si>
  <si>
    <t>Why was the Kleitman-Aserinsky experiment conducted?</t>
  </si>
  <si>
    <t>a global scale</t>
  </si>
  <si>
    <t>2011</t>
  </si>
  <si>
    <t>economists</t>
  </si>
  <si>
    <t>When did building activity in the palaces and churches take place in the later decades of?</t>
  </si>
  <si>
    <t>What did the Italian government not fail to implement?</t>
  </si>
  <si>
    <t>Middle East.</t>
  </si>
  <si>
    <t>steep and steady decline</t>
  </si>
  <si>
    <t>How many mechanisms does a typical steam engine have to keep boiler pressure from getting too high?</t>
  </si>
  <si>
    <t>isothermal</t>
  </si>
  <si>
    <t>a "boost" in performance</t>
  </si>
  <si>
    <t>Why has the Rhine been shortened?</t>
  </si>
  <si>
    <t>lost money</t>
  </si>
  <si>
    <t>What do rules about conflict of interest involving doctors diagnosing patients not resemble?</t>
  </si>
  <si>
    <t>What forces are responsible for the interactions between atomic particles?</t>
  </si>
  <si>
    <t>cramped and unsanitary</t>
  </si>
  <si>
    <t>Cretaceous–Paleogene extinction event</t>
  </si>
  <si>
    <t>Who was an important figure in the twentieth-century Islamic revival in India?</t>
  </si>
  <si>
    <t>Great Khan</t>
  </si>
  <si>
    <t>Harbor improvements since the late 19th century have made Jacksonville a major military and civilian deep-water port. Its riverine location facilitates two United States Navy bases and the Port of Jacksonville, Florida's third largest seaport. The two US Navy bases, Blount Island Command and the nearby Naval Submarine Base Kings Bay form the third largest military presence in the United States. Significant factors in the local economy include services such as banking, insurance, healthcare and logistics. As with much of Florida, tourism is also important to the Jacksonville area, particularly tourism related to golf. People from Jacksonville may be called "Jacksonvillians" or "Jaxsons" (also spelled "Jaxons").</t>
  </si>
  <si>
    <t>What  are construction companies asked to plan?</t>
  </si>
  <si>
    <t>What is the oncorhynchus also called?</t>
  </si>
  <si>
    <t>Who in Warsaw has the power of legislative action?</t>
  </si>
  <si>
    <t>What method is used to intuitively assess or quantify the amount of resources required to solve a computational problem?</t>
  </si>
  <si>
    <t>What is the basic unit of territorial division in Warsaw?</t>
  </si>
  <si>
    <t>What were the reasons why residents moved to the town of Fresno Station?</t>
  </si>
  <si>
    <t>the Williamite war</t>
  </si>
  <si>
    <t>Millingen aan de Rijn,</t>
  </si>
  <si>
    <t>What do the leaders of the opposition parties and other MSPs question the First Minister about?</t>
  </si>
  <si>
    <t>What success did Abercrombie gain out of the defeat at Carillon?</t>
  </si>
  <si>
    <t>What did the European Court of Justice not recognize?</t>
  </si>
  <si>
    <t>If 15 were to be considered as prime what would the sieve of Eratosthenes yield for all other numbers?</t>
  </si>
  <si>
    <t>Who is the White House Coordinator of Security Planning and also an anthropologist?</t>
  </si>
  <si>
    <t>Who were the Main Gothics designed by?</t>
  </si>
  <si>
    <t>an Australian public X.25 network operated by Telstra</t>
  </si>
  <si>
    <t>NSF began in 1985 to promote what?</t>
  </si>
  <si>
    <t>What are some existing facilities?</t>
  </si>
  <si>
    <t>1 were considered a prime</t>
  </si>
  <si>
    <t>Whose work  corrected Aristotle's physics in the seventeenth century?</t>
  </si>
  <si>
    <t>there are now numerous such communities across the United States</t>
  </si>
  <si>
    <t>Warraghiggey, meaning "He who does great things."</t>
  </si>
  <si>
    <t>Who was famous for disobedience against a tax collector?</t>
  </si>
  <si>
    <t xml:space="preserve">Why is it important to precisely date rocks within the stratigraphic section? </t>
  </si>
  <si>
    <t>Shinzen Japanese Gardens</t>
  </si>
  <si>
    <t>lands west of the Appalachian Mountains</t>
  </si>
  <si>
    <t>What percentage of children educated in Scotland are at independent schools?</t>
  </si>
  <si>
    <t>National Party of Australia</t>
  </si>
  <si>
    <t>When did France take control of Algeria?</t>
  </si>
  <si>
    <t>In all countries over how many steps can it take to build on government land?</t>
  </si>
  <si>
    <t>What has happened to private school numbers since 2014?</t>
  </si>
  <si>
    <t>What is a magazine for design companies?</t>
  </si>
  <si>
    <t>If P is ultimately proven to be equal tot NP, what effect would this have on the efficiency of problems?</t>
  </si>
  <si>
    <t>silver and inlaid with gold</t>
  </si>
  <si>
    <t>a stirring speech</t>
  </si>
  <si>
    <t>Hyperbaric (high-pressure) medicine uses special oxygen chambers to increase the partial pressure of O
2 around the patient and, when needed, the medical staff. Carbon monoxide poisoning, gas gangrene, and decompression sickness (the 'bends') are sometimes treated using these devices. Increased O
2 concentration in the lungs helps to displace carbon monoxide from the heme group of hemoglobin. Oxygen gas is poisonous to the anaerobic bacteria that cause gas gangrene, so increasing its partial pressure helps kill them. Decompression sickness occurs in divers who decompress too quickly after a dive, resulting in bubbles of inert gas, mostly nitrogen and helium, forming in their blood. Increasing the pressure of O
2 as soon as possible is part of the treatment.</t>
  </si>
  <si>
    <t>However, already in quantum mechanics there is one "caveat", namely the particles acting onto each other do not only possess the spatial variable, but also a discrete intrinsic angular momentum-like variable called the "spin", and there is the Pauli principle relating the space and the spin variables. Depending on the value of the spin, identical particles split into two different classes, fermions and bosons. If two identical fermions (e.g. electrons) have a symmetric spin function (e.g. parallel spins) the spatial variables must be antisymmetric (i.e. they exclude each other from their places much as if there was a repulsive force), and vice versa, i.e. for antiparallel spins the position variables must be symmetric (i.e. the apparent force must be attractive). Thus in the case of two fermions there is a strictly negative correlation between spatial and spin variables, whereas for two bosons (e.g. quanta of electromagnetic waves, photons) the correlation is strictly positive.</t>
  </si>
  <si>
    <t>What did the Amazon rainforest do during the Middle Miocene?</t>
  </si>
  <si>
    <t>What is considered less fundamental than the concept of force?</t>
  </si>
  <si>
    <t>16th century</t>
  </si>
  <si>
    <t>speed-up theorem</t>
  </si>
  <si>
    <t>How big can ctenophora grow?</t>
  </si>
  <si>
    <t>the election of the UK Labour Party to government in 1997</t>
  </si>
  <si>
    <t>In what year was Huguon built?</t>
  </si>
  <si>
    <t>Newton's Second Law of Motion states what?</t>
  </si>
  <si>
    <t>How much was the 1994 earthquake estimated to have cost?</t>
  </si>
  <si>
    <t>What areas are pharmacy informatics prepared to work in?</t>
  </si>
  <si>
    <t>1562</t>
  </si>
  <si>
    <t>either its continental North American possessions east of the Mississippi or the Caribbean islands of Guadeloupe and Martinique,</t>
  </si>
  <si>
    <t>What plants create most electric power?</t>
  </si>
  <si>
    <t xml:space="preserve">Recently a more detailed model of the Earth was developed. Seismologists were able to create this using images of what from the interior of the Earth? </t>
  </si>
  <si>
    <t>an innate force of impetus</t>
  </si>
  <si>
    <t>the western frontier</t>
  </si>
  <si>
    <t>How long have humans been impacting the delta for?</t>
  </si>
  <si>
    <t>Why is there a need for a dedicated path?</t>
  </si>
  <si>
    <t>How did the party overthrow the elected government in 1989?</t>
  </si>
  <si>
    <t>When was Tugh Temur born?</t>
  </si>
  <si>
    <t>the Alps</t>
  </si>
  <si>
    <t>A committee of the President can present what?</t>
  </si>
  <si>
    <t>From 1421 to 1904</t>
  </si>
  <si>
    <t>What is the mayor of Menich called?</t>
  </si>
  <si>
    <t>What types of houses are designed by Fresno architects?</t>
  </si>
  <si>
    <t>Charleston</t>
  </si>
  <si>
    <t xml:space="preserve">Who spread awareness of national networking? </t>
  </si>
  <si>
    <t>What is the gender income inequality in Bahrain?</t>
  </si>
  <si>
    <t>Duke of Cumberland</t>
  </si>
  <si>
    <t>function problem</t>
  </si>
  <si>
    <t>a phylum of animals</t>
  </si>
  <si>
    <t>What is secreted by the respiratory tract to trap microorganisms?</t>
  </si>
  <si>
    <t>extended structure</t>
  </si>
  <si>
    <t>What are the 3 post popular libraries for undergraduates in the Harvard system?</t>
  </si>
  <si>
    <t>Where does the centripetal force come from?</t>
  </si>
  <si>
    <t>Xingu tribe</t>
  </si>
  <si>
    <t>Where has the official home of the Scottish Parliament been since 2004?</t>
  </si>
  <si>
    <t>What type of district is southern California home to many of?</t>
  </si>
  <si>
    <t>How must expectations be formed to keep costs down?</t>
  </si>
  <si>
    <t>Neoclassical economics</t>
  </si>
  <si>
    <t>When the Rhine emerges from Lake Constance which way does it flow?</t>
  </si>
  <si>
    <t>What building was a gift from the Soviet Union?</t>
  </si>
  <si>
    <t>What do ephithelial cells fill most of in the Nuda?</t>
  </si>
  <si>
    <t>Warsaw (Polish: Warszawa [varˈʂava] ( listen); see also other names) is the capital and largest city of Poland. It stands on the Vistula River in east-central Poland, roughly 260 kilometres (160 mi) from the Baltic Sea and 300 kilometres (190 mi) from the Carpathian Mountains. Its population is estimated at 1.740 million residents within a greater metropolitan area of 2.666 million residents, which makes Warsaw the 9th most-populous capital city in the European Union. The city limits cover 516.9 square kilometres (199.6 sq mi), while the metropolitan area covers 6,100.43 square kilometres (2,355.39 sq mi).</t>
  </si>
  <si>
    <t>What did the Jewish people do so pagan items wouldn't be in the temple of Jerusalem?</t>
  </si>
  <si>
    <t>What is the gauge of the Victorian rail lines?</t>
  </si>
  <si>
    <t>Where is Brazil ranked globally in soybean production?</t>
  </si>
  <si>
    <t>Where is the lowest point of Wesola located?</t>
  </si>
  <si>
    <t>What combined with lowering prices to make it difficult or impossible for poor people to keep pace?</t>
  </si>
  <si>
    <t>Older than The Game by 23 years, the Harvard-Yale Regatta was the original source of the athletic rivalry between the two schools. It is held annually in June on the Thames River in eastern Connecticut. The Harvard crew is typically considered to be one of the top teams in the country in rowing. Today, Harvard fields top teams in several other sports, such as the Harvard Crimson men's ice hockey team (with a strong rivalry against Cornell), squash, and even recently won NCAA titles in Men's and Women's Fencing. Harvard also won the Intercollegiate Sailing Association National Championships in 2003.</t>
  </si>
  <si>
    <t>five volume book in his native Greek</t>
  </si>
  <si>
    <t>What troops attacked Fort William Henry in early 1757?</t>
  </si>
  <si>
    <t>after the end of the Mexican War</t>
  </si>
  <si>
    <t>Who did Dinwiddie order to address French in Virginia territory?</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</si>
  <si>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</si>
  <si>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those who feel that only doctors can reliably assess contraindications, risk/benefit ratios, and an individual's overall suitability for use of a medication</t>
  </si>
  <si>
    <t>Which problem consists of both  inflationary and deflationary impacts?</t>
  </si>
  <si>
    <t>What does Salafism in its harshest form encourage its followers to view the religion of others with?</t>
  </si>
  <si>
    <t>friction</t>
  </si>
  <si>
    <t>In what year did Fresno become an incorporated city?</t>
  </si>
  <si>
    <t>Mongol and Turkic tribes</t>
  </si>
  <si>
    <t>Who sold the rights to the island in the 14th century?</t>
  </si>
  <si>
    <t>run IP over ATM or a version of MPLS</t>
  </si>
  <si>
    <t>What is gravitational acceleration proportional to?</t>
  </si>
  <si>
    <t>How long is Lake Constance?</t>
  </si>
  <si>
    <t>Below what levels were the projected sea levels in the 2001 IPCC projection?</t>
  </si>
  <si>
    <t>What was the name of the peaceful era between France and Germany?</t>
  </si>
  <si>
    <t>What was the ultimate development of the vertical engine?</t>
  </si>
  <si>
    <t>What is the weight of a bushel of coal in pounds?</t>
  </si>
  <si>
    <t>What allows for responses that are not tailored to a specific pathogen?</t>
  </si>
  <si>
    <t xml:space="preserve"> What policy took away Britain dominance in world trade?</t>
  </si>
  <si>
    <t>When did Mongke Khan die?</t>
  </si>
  <si>
    <t xml:space="preserve">What does a high tide risk near lands? </t>
  </si>
  <si>
    <t>What British citizen stands with and supports liberal democrats?</t>
  </si>
  <si>
    <t>complexity class P</t>
  </si>
  <si>
    <t>What  does ozone's characteristic to cause damage effect?</t>
  </si>
  <si>
    <t>How is income determined in a market with variously unskilled workers?</t>
  </si>
  <si>
    <t>What law staes that forces are interactions between bodies?</t>
  </si>
  <si>
    <t>When was Sky Digital launched?</t>
  </si>
  <si>
    <t>Imperialism is defined as "A policy of extending a country’s power and influence through diplomacy or military force." Imperialism is particularly focused on the control that one group, often a state power, has on another group of people. This is often through various forms of "othering" (see other) based on racial, religious, or cultural stereotypes. There are "formal" or "informal" imperialisms. "Formal imperialism" is defined as "physical control or full-fledged colonial rule". "Informal imperialism" is less direct; however, it is still a powerful form of dominance.</t>
  </si>
  <si>
    <t>derision</t>
  </si>
  <si>
    <t>Italian Plague</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</si>
  <si>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</si>
  <si>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musicians</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</si>
  <si>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</si>
  <si>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geochemical evolution of rock units</t>
  </si>
  <si>
    <t>recognition</t>
  </si>
  <si>
    <t>temperatures and sea levels have been rising at or above the maximum rates proposed</t>
  </si>
  <si>
    <t>How was forward switching achieved?</t>
  </si>
  <si>
    <t>Completing p with respect to what will produce the field of real numbers?</t>
  </si>
  <si>
    <t>difficulty</t>
  </si>
  <si>
    <t>CD8</t>
  </si>
  <si>
    <t>The immune systems of bacteria have enzymes that protect against infection by what kind of cells?</t>
  </si>
  <si>
    <t>non-self</t>
  </si>
  <si>
    <t>What is violating a law which is not the goal of the protest called?</t>
  </si>
  <si>
    <t>What did Robert Koch prove was the cause of infectious disease?</t>
  </si>
  <si>
    <t>When was the old parliament of Scotland convened?</t>
  </si>
  <si>
    <t xml:space="preserve">All quantitative force laws were discovered using what? </t>
  </si>
  <si>
    <t>What began operation in 1982?</t>
  </si>
  <si>
    <t>Dutch law said only people established in the Netherlands could give legal advice</t>
  </si>
  <si>
    <t>their low ratio of organic matter to salt and water</t>
  </si>
  <si>
    <t>successfully destroyed Fort Frontenac</t>
  </si>
  <si>
    <t>throughout its North American provinces</t>
  </si>
  <si>
    <t>What increases rapidly as per capita income increases?</t>
  </si>
  <si>
    <t>What type of theatre is the Warsaw Fotoplastikon?</t>
  </si>
  <si>
    <t>What writing inspired the name Great Yuan?</t>
  </si>
  <si>
    <t>When was the French and Indian War?</t>
  </si>
  <si>
    <t>solid economic growth</t>
  </si>
  <si>
    <t>What is latency between nodes?</t>
  </si>
  <si>
    <t>How many earthquakes are greater than a 4.7 magnitude?</t>
  </si>
  <si>
    <t xml:space="preserve">What is one of the supplementary sources of European Union law? </t>
  </si>
  <si>
    <t>When did British begin to build fort under William Trent?</t>
  </si>
  <si>
    <t>What are the agents the immune system detects known as?</t>
  </si>
  <si>
    <t>What is the effect of beta decay?</t>
  </si>
  <si>
    <t>What cannot be used to find the age of pluton emplacement?</t>
  </si>
  <si>
    <t>What town charter was approved in 1821?</t>
  </si>
  <si>
    <t>different viewpoints and political parties</t>
  </si>
  <si>
    <t>The earliest recorded incidents of collective civil disobedience took place during the Roman Empire[citation needed]. Unarmed Jews gathered in the streets to prevent the installation of pagan images in the Temple in Jerusalem.[citation needed][original research?] In modern times, some activists who commit civil disobedience as a group collectively refuse to sign bail until certain demands are met, such as favorable bail conditions, or the release of all the activists. This is a form of jail solidarity.[page needed] There have also been many instances of solitary civil disobedience, such as that committed by Thoreau, but these sometimes go unnoticed. Thoreau, at the time of his arrest, was not yet a well-known author, and his arrest was not covered in any newspapers in the days, weeks and months after it happened. The tax collector who arrested him rose to higher political office, and Thoreau's essay was not published until after the end of the Mexican War.</t>
  </si>
  <si>
    <t>What is the turbine entry temperature of a Rankine turbine, in degrees Celsius?</t>
  </si>
  <si>
    <t>What is the term that describes the difference between what higher paid and lower paid professionals earn?</t>
  </si>
  <si>
    <t>pharmacy health care</t>
  </si>
  <si>
    <t>Warsaw</t>
  </si>
  <si>
    <t>What are presented to parliament in addition to the bill itself?</t>
  </si>
  <si>
    <t xml:space="preserve"> Where did Mongke Khan defend the Song dynasty?</t>
  </si>
  <si>
    <t>Big Ten Conference</t>
  </si>
  <si>
    <t>they owned the Ohio Country</t>
  </si>
  <si>
    <t>Jean Cauvin (John Calvin)</t>
  </si>
  <si>
    <t>What will maidens be able to predict by floating their programmes down the Vistula</t>
  </si>
  <si>
    <t>In the shortest building in downtown Jacksonville?</t>
  </si>
  <si>
    <t>The Walt Disney Company</t>
  </si>
  <si>
    <t>St. Bartholomew's Day massacre</t>
  </si>
  <si>
    <t>the Mongol and Turkic tribes</t>
  </si>
  <si>
    <t>the Legislative Assembly</t>
  </si>
  <si>
    <t>Where can the complexity classes RP, BPP, PP, BQP, MA, and PH be located?</t>
  </si>
  <si>
    <t>Along with the Anglican Church and Uniting Church, what religious denomination operates private schools in Australia?</t>
  </si>
  <si>
    <t>Atlantic</t>
  </si>
  <si>
    <t>In what year was PloS Pathogens first published?</t>
  </si>
  <si>
    <t>What two fields of theoretical computer science closely mirror computational complexity theory?</t>
  </si>
  <si>
    <t>foundations were laid out</t>
  </si>
  <si>
    <t>The traveling salesman problem is an example of what type of problem?</t>
  </si>
  <si>
    <t>prohibited emigration</t>
  </si>
  <si>
    <t>In what year did Huguenots first move to present-day Saarland?</t>
  </si>
  <si>
    <t>What is one of the least common causes of death in humans?</t>
  </si>
  <si>
    <t>When was Thoreau's essay published?</t>
  </si>
  <si>
    <t>advanced research and education networking in the United States</t>
  </si>
  <si>
    <t>What was invented by Savery?</t>
  </si>
  <si>
    <t>What is the goal of Islamist groups like Hezbollah and Hamas?</t>
  </si>
  <si>
    <t>ability to elude host immune responses</t>
  </si>
  <si>
    <t>Up until 1990, Saudi Arabia played an important role in restraining what groups?</t>
  </si>
  <si>
    <t>When was the Lisbon Treaty established?</t>
  </si>
  <si>
    <t xml:space="preserve">Why was OC-12c considered a substantial engineering feat? </t>
  </si>
  <si>
    <t>11.5 inches (292.1 mm)</t>
  </si>
  <si>
    <t>What does heavy and civil engineering construction not do when managing projects?</t>
  </si>
  <si>
    <t>What is special about communication sessions with packet switching?</t>
  </si>
  <si>
    <t>What happened as a result of the Russo-Japanese War?</t>
  </si>
  <si>
    <t>Switzerland and the Netherlands</t>
  </si>
  <si>
    <t>Why were the initial suggestions for a devolved parliament before 1914 shelved?</t>
  </si>
  <si>
    <t>What was the newer county added to the list?</t>
  </si>
  <si>
    <t>Is Saint Nicolas or Sint Nicolaas celebrated earlier in the year in the Netherlands?</t>
  </si>
  <si>
    <t>the methodology used</t>
  </si>
  <si>
    <t>What wasn't the goal of Braddock's expedition?</t>
  </si>
  <si>
    <t xml:space="preserve">Where is the data reassembled? </t>
  </si>
  <si>
    <t>dreadnought battleships</t>
  </si>
  <si>
    <t>What can be indirectly derived from the symmetry of space?</t>
  </si>
  <si>
    <t>Where was the Rhine regulated with a lower canal?</t>
  </si>
  <si>
    <t xml:space="preserve"> In America what is the most revered skin color?</t>
  </si>
  <si>
    <t>When did the Wahhabi seized the Grand Mosque in Mecca?</t>
  </si>
  <si>
    <t>In what year was the Edicaran Eoandromeda named?</t>
  </si>
  <si>
    <t>How can you protest against big companies in a non violent way?</t>
  </si>
  <si>
    <t>What did the judge have to let the jurors know about in the Chicago Eight case?</t>
  </si>
  <si>
    <t>How many days does the Parliament have to nominate a First Minister after a General Election?</t>
  </si>
  <si>
    <t>What is the highest peak in Victoria?</t>
  </si>
  <si>
    <t>("upper lake"</t>
  </si>
  <si>
    <t>before Kublai in 1285</t>
  </si>
  <si>
    <t>the Commentaries on the Classic of Changes (I Ching)</t>
  </si>
  <si>
    <t>What do some researchers believe is the earliest-diverging animal phylum is?</t>
  </si>
  <si>
    <t>Whom can the Second Minister deliver statements to?</t>
  </si>
  <si>
    <t>exploitation of the valuable assets and supplies of the nation that was conquered and the conquering nation then gaining the benefits</t>
  </si>
  <si>
    <t>What is activated before the innate response in vertebrates?</t>
  </si>
  <si>
    <t>Who owned the Cuckoo Tavern?</t>
  </si>
  <si>
    <t>Who went to Fort Dusquesne in June 1745?</t>
  </si>
  <si>
    <t>corrosion</t>
  </si>
  <si>
    <t>When did Setanta Sports say it would launch as a free service on the digital terrestrial platform?</t>
  </si>
  <si>
    <t>What type of rail line is Pacific National?</t>
  </si>
  <si>
    <t>Seven Days to the River Rhine</t>
  </si>
  <si>
    <t>William P. Bell</t>
  </si>
  <si>
    <t>Along with solar, coal and nuclear, what sort of plants notable use the Rankine process?</t>
  </si>
  <si>
    <t>Lincoln Continental,</t>
  </si>
  <si>
    <t>Who wanted Israel to withdraw from its border?</t>
  </si>
  <si>
    <t>The Greens</t>
  </si>
  <si>
    <t>What planet seemed to buck Newton's gravitational laws?</t>
  </si>
  <si>
    <t>What are the most active parts of ctenophora?</t>
  </si>
  <si>
    <t>What kind of member what the University to the Big Twelve Conference?</t>
  </si>
  <si>
    <t>How much support is there for the UN approach to economic development?</t>
  </si>
  <si>
    <t>scientific papers and independently documented results from other scientific bodies</t>
  </si>
  <si>
    <t>What type of unibody construction does an American car usually have?</t>
  </si>
  <si>
    <t>What is the name of another type of prime here p+1 or p-1 takes a certain shape?</t>
  </si>
  <si>
    <t>How are the votes weighted to ensure that smaller states aren't dominated by larger ones?</t>
  </si>
  <si>
    <t xml:space="preserve"> Why were the Uighurs ranked lower by the Mongols?</t>
  </si>
  <si>
    <t>$150,000</t>
  </si>
  <si>
    <t>53%</t>
  </si>
  <si>
    <t>How many hundred of years was Scotland directly governed by the parliament of Great Britain?</t>
  </si>
  <si>
    <t>What is another term for vital air?</t>
  </si>
  <si>
    <t>How does the flow of magma change?</t>
  </si>
  <si>
    <t>disposition of prisoners' personal effects</t>
  </si>
  <si>
    <t>What are the top 4-5% graduating students honored with?</t>
  </si>
  <si>
    <t>a method which pre-allocates dedicated network bandwidth specifically for each communication session</t>
  </si>
  <si>
    <t>prep schools</t>
  </si>
  <si>
    <t>What is the goal of the capabilities approach?</t>
  </si>
  <si>
    <t>3,792,621</t>
  </si>
  <si>
    <t>Which areas were least vulnerable to disease?</t>
  </si>
  <si>
    <t>steroid hormone calcitriol</t>
  </si>
  <si>
    <t>30–75%</t>
  </si>
  <si>
    <t>Who didn't Dinwiddie order to address French in Virginia territory?</t>
  </si>
  <si>
    <t>accompanying documents – Explanatory Notes</t>
  </si>
  <si>
    <t>Who was Kublai Khan's grandfather?</t>
  </si>
  <si>
    <t>The isolated subdivision</t>
  </si>
  <si>
    <t>What is an Islamic revival movement?</t>
  </si>
  <si>
    <t>Ismailiyah, Egypt</t>
  </si>
  <si>
    <t>a structural force</t>
  </si>
  <si>
    <t>HD channels</t>
  </si>
  <si>
    <t>What is the most feared condition that divers want to avoid?</t>
  </si>
  <si>
    <t>head of government</t>
  </si>
  <si>
    <t>levels of economic inequality</t>
  </si>
  <si>
    <t>Which sized cars were the least demanded cars in the crisis?</t>
  </si>
  <si>
    <t>quietist/non-political Islam</t>
  </si>
  <si>
    <t>The former speaker of Parliament is whom?</t>
  </si>
  <si>
    <t>How did the final Song emperor die?</t>
  </si>
  <si>
    <t>Who did not assert Russia's right to "self-determination?"</t>
  </si>
  <si>
    <t>What did countries such as Spain have a crime against?</t>
  </si>
  <si>
    <t>Mental Health (Care and Treatment) (Scotland) Act 2003</t>
  </si>
  <si>
    <t>How are the rates of social goods in countries with higher inequality?</t>
  </si>
  <si>
    <t>Percy Shelley</t>
  </si>
  <si>
    <t>On August 15, 1971</t>
  </si>
  <si>
    <t>What chemist showed that fire needed only a part of air?</t>
  </si>
  <si>
    <t>What are Los Angeles, Orange, San Diego, San Bernardino and Riverside?</t>
  </si>
  <si>
    <t>What is the name brand of the video recorder that BSkyB never sold?</t>
  </si>
  <si>
    <t>gravel</t>
  </si>
  <si>
    <t>Australia</t>
  </si>
  <si>
    <t>In between French and British, what groups never controlled land?</t>
  </si>
  <si>
    <t>What is difficult with a satellite-to-noise ratio?</t>
  </si>
  <si>
    <t>encourage consensus amongst elected members</t>
  </si>
  <si>
    <t>What was the Colonia Agrippina's original name?</t>
  </si>
  <si>
    <t>What is the power-to-weight ratio of a steam plant compared to that of an internal combustion engine?</t>
  </si>
  <si>
    <t>different view</t>
  </si>
  <si>
    <t>What includes all subjects which are not stated in Schedule 6 to the Scotland Act?</t>
  </si>
  <si>
    <t>What method is used in tallying votes in the first vote of the ballot?</t>
  </si>
  <si>
    <t>optimizes the use of medication and promotes health, wellness, and disease prevention</t>
  </si>
  <si>
    <t>How long did it take to improve on Sir Isaac Newton's laws of motion?</t>
  </si>
  <si>
    <t>What do the tentacles on plankton do to help them find prey?</t>
  </si>
  <si>
    <t>Who did the SNP obtain 16 seats from?</t>
  </si>
  <si>
    <t xml:space="preserve">First published by Sir Charles Lyell in 1830 this book was called what? </t>
  </si>
  <si>
    <t>What was the Yuan's paper money called?</t>
  </si>
  <si>
    <t>Between Brakel and what other city can the most landward tidal influence be detected?</t>
  </si>
  <si>
    <t>A typical configuration is to run IP over ATM or a version of MPLS</t>
  </si>
  <si>
    <t>around 1700</t>
  </si>
  <si>
    <t>liquefied air</t>
  </si>
  <si>
    <t>small islands by precipitating sediments</t>
  </si>
  <si>
    <t>260 kilometres</t>
  </si>
  <si>
    <t>High pressure power sources were small enough that they could be used in what application?</t>
  </si>
  <si>
    <t>Which IPCC author criticized the TAR?</t>
  </si>
  <si>
    <t>a construction manager, design engineer, construction engineer or project manager</t>
  </si>
  <si>
    <t>What are engines using four expansion cylinders known as?</t>
  </si>
  <si>
    <t xml:space="preserve"> One of FIS' agenda items was to force men to start doing what?</t>
  </si>
  <si>
    <t>Strictly speaking who was included in DATANET 1</t>
  </si>
  <si>
    <t>Scottish_Parliament</t>
  </si>
  <si>
    <t>private research university</t>
  </si>
  <si>
    <t>Which scientists avoided the creation of pharmacology in modern Islam?</t>
  </si>
  <si>
    <t>What is the name for a response of the immune system that damages the body's native tissues?</t>
  </si>
  <si>
    <t>What is the current main judicial body of the EU?</t>
  </si>
  <si>
    <t>What were Protestant's contributions to the United State economic life?</t>
  </si>
  <si>
    <t>between 1500 and 1850</t>
  </si>
  <si>
    <t>What is another function that primes have that the number 1 does not?</t>
  </si>
  <si>
    <t>415,000 to 587,000</t>
  </si>
  <si>
    <t>(firms engaged in managing construction projects without assuming direct financial responsibility for completion of the construction project)</t>
  </si>
  <si>
    <t>What is the basic unit of territorial division in Poland?</t>
  </si>
  <si>
    <t>25</t>
  </si>
  <si>
    <t>What concepts influenced the later ARPANET?</t>
  </si>
  <si>
    <t>to denote unknown or unexplored territory</t>
  </si>
  <si>
    <t>Political</t>
  </si>
  <si>
    <t>second-largest city</t>
  </si>
  <si>
    <t>1951</t>
  </si>
  <si>
    <t>What troops attacked Fort William Henry in early 1775?</t>
  </si>
  <si>
    <t>Who developed an axiomatic complexity theory based on his axioms in 1974?</t>
  </si>
  <si>
    <t>applied force</t>
  </si>
  <si>
    <t>In 1900, the Los Angeles Times defined southern California as including "the seven counties of Los Angeles, San Bernardino, Orange, Riverside, San Diego, Ventura and Santa Barbara." In 1999, the Times added a newer county—Imperial—to that list.</t>
  </si>
  <si>
    <t>What does extension do to sediment that is less than a meter long?</t>
  </si>
  <si>
    <t>Sky plc</t>
  </si>
  <si>
    <t>What do all but one platycenida species lack?</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</si>
  <si>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</si>
  <si>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What is the matrix?</t>
  </si>
  <si>
    <t>adjustable spring-loaded</t>
  </si>
  <si>
    <t>What type of flower is sought on Midsummer's Eve?</t>
  </si>
  <si>
    <t>declined significantly</t>
  </si>
  <si>
    <t>eicosanoids and cytokines</t>
  </si>
  <si>
    <t>What type of authority are ambulatory care pharmacists given in the U.S. federal health care system?</t>
  </si>
  <si>
    <t>at least the mid-14th century</t>
  </si>
  <si>
    <t>$200 million</t>
  </si>
  <si>
    <t>How many events occur in a steam cycle?</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</si>
  <si>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</si>
  <si>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the original force</t>
  </si>
  <si>
    <t>What is the oldest work of Norman art?</t>
  </si>
  <si>
    <t>Rather than the fuel, what is oxygen to a fire?</t>
  </si>
  <si>
    <t>What type of forested areas can be found on the highest terrace?</t>
  </si>
  <si>
    <t>What type of architecture is the house of the St. John's merchant family a notable example of?</t>
  </si>
  <si>
    <t>What area has the most diversity of anywhere in the country?</t>
  </si>
  <si>
    <t>It wasn't the first network to make the hosts responsible for what?</t>
  </si>
  <si>
    <t>Industrial</t>
  </si>
  <si>
    <t>What is decreased by staging expansion across one cylinder?</t>
  </si>
  <si>
    <t>What kind of sending technology is being used to protect tribal lands in the Amazon?</t>
  </si>
  <si>
    <t>Where is the newest pharmacy stated to be located?</t>
  </si>
  <si>
    <t>What is used by certain wealthy groups to obtain policies financially beneficial for them?</t>
  </si>
  <si>
    <t>On what theorem is the formula that frequently generates the number 2 and all other primes precisely once based on?</t>
  </si>
  <si>
    <t>When did the French construct Kings Road?</t>
  </si>
  <si>
    <t>Fresno is served by State Route 99, the main north/south freeway that connects the major population centers of the California Central Valley. State Route 168, the Sierra Freeway, heads east to the city of Clovis and Huntington Lake. State Route 41 (Yosemite Freeway/Eisenhower Freeway) comes into Fresno from Atascadero in the south, and then heads north to Yosemite. State Route 180 (Kings Canyon Freeway) comes from the west via Mendota, and from the east in Kings Canyon National Park going towards the city of Reedley.</t>
  </si>
  <si>
    <t>Daily Mail</t>
  </si>
  <si>
    <t>Who was assigned to design a second master plan?</t>
  </si>
  <si>
    <t xml:space="preserve"> What was Zia-ul-Haq's non-official state ideology?</t>
  </si>
  <si>
    <t xml:space="preserve"> Why did Kublai's successors win control of the rest of the Mongol empire?</t>
  </si>
  <si>
    <t>the Dutch Republic</t>
  </si>
  <si>
    <t>What college is Jake Rosenfield associated with?</t>
  </si>
  <si>
    <t>What happens to waste heat in the Rankine cycle?</t>
  </si>
  <si>
    <t>If q=9 and a=3,6 or 9, how many primes would be in the progression?</t>
  </si>
  <si>
    <t>Frontiers from between Nova Scotia and Acadia in the north, to the Ohio Country in the south, were claimed by both sides</t>
  </si>
  <si>
    <t>intractable problems</t>
  </si>
  <si>
    <t>What Irish cities had Huguenot mayors in the 1600s and 1700s?</t>
  </si>
  <si>
    <t>One of the principal advantages the Rankine cycle holds over others is that during the compression stage relatively little work is required to drive the pump, the working fluid being in its liquid phase at this point. By condensing the fluid, the work required by the pump consumes only 1% to 3% of the turbine power and contributes to a much higher efficiency for a real cycle. The benefit of this is lost somewhat due to the lower heat addition temperature. Gas turbines, for instance, have turbine entry temperatures approaching 1500 °C. Nonetheless, the efficiencies of actual large steam cycles and large modern gas turbines are fairly well matched.[citation needed]</t>
  </si>
  <si>
    <t>Originating as the Jama'at al-Tawhid wal-Jihad in 1999, it pledged allegiance to al-Qaeda in 2004, participated in the Iraqi insurgency that followed the March 2003 invasion of Iraq by Western forces, joined the fight in the Syrian Civil War beginning in March 2011, and was expelled from al-Qaeda in early 2014, (which complained of its failure to consult and "notorious intransigence"). The group gained prominence after it drove Iraqi government forces out of key cities in western Iraq in a 2014 offensive. The group is adept at social media, posting Internet videos of beheadings of soldiers, civilians, journalists and aid workers, and is known for its destruction of cultural heritage sites. The United Nations has held ISIL responsible for human rights abuses and war crimes, and Amnesty International has reported ethnic cleansing by the group on a "historic scale". The group has been designated a terrorist organisation by the United Nations, the European Union and member states, the United States, India, Indonesia, Turkey, Saudi Arabia, Syria and other countries.</t>
  </si>
  <si>
    <t>uncivilized</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</si>
  <si>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</si>
  <si>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</si>
  <si>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What are two ways lava tubes are added during deformation?</t>
  </si>
  <si>
    <t>U.S. Defense Secretary</t>
  </si>
  <si>
    <t>wrecking</t>
  </si>
  <si>
    <t>What are two changes to GM vehicles that were implemented in 1982?</t>
  </si>
  <si>
    <t>distinctive flared base</t>
  </si>
  <si>
    <t>Who upon arriving gave the original viking settlers a common identity?</t>
  </si>
  <si>
    <t>by the eastern border</t>
  </si>
  <si>
    <t>What does one not need to remain constant in a multiplication algorithm to produce the same outcome whether multiplying or squaring two integers?</t>
  </si>
  <si>
    <t>Lauren Oliver</t>
  </si>
  <si>
    <t>Sony</t>
  </si>
  <si>
    <t>complete addressing information</t>
  </si>
  <si>
    <t>What has not been seen increasingly as a fundamental status of member state nationals by the Court of Justice?</t>
  </si>
  <si>
    <t>Who is France a traditional ally of?</t>
  </si>
  <si>
    <t>kilopond</t>
  </si>
  <si>
    <t>Who included 1 as the first prime number in the mid 18th century?</t>
  </si>
  <si>
    <t>What is the most complex way to avoid the adaptive immune system?</t>
  </si>
  <si>
    <t>Latin monastery at Sant'Eufemia.</t>
  </si>
  <si>
    <t>How many times did Maclure cross the Union states?</t>
  </si>
  <si>
    <t>Terra nullius</t>
  </si>
  <si>
    <t>In 2006, a toxic waste spill off the coast of Côte d'Ivoire, from a European ship, prompted the Commission to look into legislation against toxic waste. Environment Commissioner Stavros Dimas stated that "Such highly toxic waste should never have left the European Union". With countries such as Spain not even having a crime against shipping toxic waste, Franco Frattini, the Justice, Freedom and Security Commissioner, proposed with Dimas to create criminal sentences for "ecological crimes". The competence for the Union to do this was contested in 2005 at the Court of Justice resulting in a victory for the Commission. That ruling set a precedent that the Commission, on a supranational basis, may legislate in criminal law – something never done before. So far, the only other proposal has been the draft intellectual property rights directive. Motions were tabled in the European Parliament against that legislation on the basis that criminal law should not be an EU competence, but was rejected at vote. However, in October 2007, the Court of Justice ruled that the Commission could not propose what the criminal sanctions could be, only that there must be some.</t>
  </si>
  <si>
    <t>Who is the sole governing authority capable of initiating legislative proposals?</t>
  </si>
  <si>
    <t>The house of the Baryczko merchant family is a notable example of what type of architecture?</t>
  </si>
  <si>
    <t>higher rates</t>
  </si>
  <si>
    <t>became the prototype for confederation during the War of Independence</t>
  </si>
  <si>
    <t>the exploitation of the valuable assets and supplies of the nation that was conquered</t>
  </si>
  <si>
    <t>Who did the Parliament rent additional buildings from?</t>
  </si>
  <si>
    <t>How much gold did Victoria produce in the years of 1851-1860?</t>
  </si>
  <si>
    <t>The planet Vulcan was predicted to explain the what with planet Saturn?</t>
  </si>
  <si>
    <t>What is the process of adding detailed plans and careful oversight?</t>
  </si>
  <si>
    <t>What year did the storm hit Richard's fleet?</t>
  </si>
  <si>
    <t>very low</t>
  </si>
  <si>
    <t>marginally more</t>
  </si>
  <si>
    <t>Why was the Michigan Educational Research Information Trio formed?</t>
  </si>
  <si>
    <t>What did Mitsubishi rename its Forte to?</t>
  </si>
  <si>
    <t>physicians and other healthcare professionals</t>
  </si>
  <si>
    <t>While anarchists favor government, what don't they believe in?</t>
  </si>
  <si>
    <t>In what year was Rene Goulaine de Laudonniere born?</t>
  </si>
  <si>
    <t>In Sept 1760 who negotiated a war from Montreal?</t>
  </si>
  <si>
    <t>The French and Indian War was the New World aspect of what European conflict?</t>
  </si>
  <si>
    <t>Who was the Norse leader?</t>
  </si>
  <si>
    <t>some 2,000</t>
  </si>
  <si>
    <t>Oxygen condenses at 90.20 K (−182.95 °C, −297.31 °F), and freezes at 54.36 K (−218.79 °C, −361.82 °F). Both liquid and solid O
2 are clear substances with a light sky-blue color caused by absorption in the red (in contrast with the blue color of the sky, which is due to Rayleigh scattering of blue light). High-purity liquid O
2 is usually obtained by the fractional distillation of liquefied air. Liquid oxygen may also be produced by condensation out of air, using liquid nitrogen as a coolant. It is a highly reactive substance and must be segregated from combustible materials.</t>
  </si>
  <si>
    <t>What can often be predicted beforehand?</t>
  </si>
  <si>
    <t>What are some small pharmacy management companies?</t>
  </si>
  <si>
    <t>1894</t>
  </si>
  <si>
    <t>temperatures increased on the basis of documentary evidence of Medieval vineyards in England</t>
  </si>
  <si>
    <t>western portions of the Great Lakes region</t>
  </si>
  <si>
    <t>principle of equivalence</t>
  </si>
  <si>
    <t>Who patented a steam engine in 1781?</t>
  </si>
  <si>
    <t>p is not a prime factor of q</t>
  </si>
  <si>
    <t>What is a PPP also known as?</t>
  </si>
  <si>
    <t>What was the independent work of Donald Davis?</t>
  </si>
  <si>
    <t>What are construction managers?</t>
  </si>
  <si>
    <t>transport</t>
  </si>
  <si>
    <t>Immunodeficiencies occur when one or more of the components of the immune system are inactive. The ability of the immune system to respond to pathogens is diminished in both the young and the elderly, with immune responses beginning to decline at around 50 years of age due to immunosenescence. In developed countries, obesity, alcoholism, and drug use are common causes of poor immune function. However, malnutrition is the most common cause of immunodeficiency in developing countries. Diets lacking sufficient protein are associated with impaired cell-mediated immunity, complement activity, phagocyte function, IgA antibody concentrations, and cytokine production. Additionally, the loss of the thymus at an early age through genetic mutation or surgical removal results in severe immunodeficiency and a high susceptibility to infection.</t>
  </si>
  <si>
    <t>Where were the Germanic tribes originally located?</t>
  </si>
  <si>
    <t>Who owned the WWVA Jamboree?</t>
  </si>
  <si>
    <t>What is the number of plant species in economics and social interest?</t>
  </si>
  <si>
    <t>Where did Halford Mackinder work?</t>
  </si>
  <si>
    <t>September 2007</t>
  </si>
  <si>
    <t>Wise up or die</t>
  </si>
  <si>
    <t>How much gun powder was saved?</t>
  </si>
  <si>
    <t>Who led the Science and Environmental Policy Project?</t>
  </si>
  <si>
    <t>French Louisiana west of the Mississippi River (including New Orleans)</t>
  </si>
  <si>
    <t>If (as WWF argued), population levels would start to drop to a sustainable level</t>
  </si>
  <si>
    <t>About how much did a New York City day school cost annually in 2012?</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</si>
  <si>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</si>
  <si>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When did BSkyB upgrade the Sky+ Box?</t>
  </si>
  <si>
    <t>What does child well-being in rich countries correlate most to?</t>
  </si>
  <si>
    <t>Are link parameters based on size?</t>
  </si>
  <si>
    <t>dominant colonial power</t>
  </si>
  <si>
    <t>What did Baran call his message routing methodology?</t>
  </si>
  <si>
    <t>cotton spinning</t>
  </si>
  <si>
    <t>zip" the mouth shut when the animal is not feeding,</t>
  </si>
  <si>
    <t>What cities 340 km from Jacksonville?</t>
  </si>
  <si>
    <t>Who discovered plate tectonics?</t>
  </si>
  <si>
    <t>Fresno Traction Company</t>
  </si>
  <si>
    <t>turbulent history of the city</t>
  </si>
  <si>
    <t>How many people were in British North American Colonies?</t>
  </si>
  <si>
    <t>What was the percentage of a female householder with no husband present?</t>
  </si>
  <si>
    <t>Tours</t>
  </si>
  <si>
    <t>What is another term for the port face?</t>
  </si>
  <si>
    <t>Generally speaking, while all member states recognise that EU law takes primacy over national law where this agreed in the Treaties, they do not accept that the Court of Justice has the final say on foundational constitutional questions affecting democracy and human rights. In the United Kingdom, the basic principle is that Parliament, as the sovereign expression of democratic legitimacy, can decide whether it wishes to expressly legislate against EU law. This, however, would only happen in the case of an express wish of the people to withdraw from the EU. It was held in R (Factortame Ltd) v Secretary of State for Transport that "whatever limitation of its sovereignty Parliament accepted when it enacted the European Communities Act 1972 was entirely voluntary" and so "it has always been clear" that UK courts have a duty "to override any rule of national law found to be in conflict with any directly enforceable rule of Community law." More recently the UK Supreme Court noted that in R (HS2 Action Alliance Ltd) v Secretary of State for Transport, although the UK constitution is uncodified, there could be "fundamental principles" of common law, and Parliament "did not either contemplate or authorise the abrogation" of those principles when it enacted the European Communities Act 1972. The view of the German Constitutional Court from the Solange I and Solange II decisions is that if the EU does not comply with its basic constitutional rights and principles (particularly democracy, the rule of law and the social state principles) then it cannot override German law. However, as the nicknames of the judgments go, "so long as" the EU works towards the democratisation of its institutions, and has a framework that protects fundamental human rights, it would not review EU legislation for compatibility with German constitutional principles. Most other member states have expressed similar reservations. This suggests the EU's legitimacy rests on the ultimate authority of member states, its factual commitment to human rights, and the democratic will of the people.</t>
  </si>
  <si>
    <t>What does Article 102 not allow the European Council to do?</t>
  </si>
  <si>
    <t>work was published first</t>
  </si>
  <si>
    <t>How might gravity effects be observed differently according to Newton?</t>
  </si>
  <si>
    <t xml:space="preserve"> What was Kublai Khan's opposition to Ogedei Khan?</t>
  </si>
  <si>
    <t xml:space="preserve"> What was Temur Khan's Japanese-style name?</t>
  </si>
  <si>
    <t>How many sororities belong to the National Panhellenic Conference?</t>
  </si>
  <si>
    <t>January 18, 1974</t>
  </si>
  <si>
    <t>The University of Chicago also maintains facilities apart from its main campus. The university's Booth School of Business maintains campuses in Singapore, London, and the downtown Streeterville neighborhood of Chicago. The Center in Paris, a campus located on the left bank of the Seine in Paris, hosts various undergraduate and graduate study programs. In fall 2010, the University of Chicago also opened a center in Beijing, near Renmin University's campus in Haidian District. The most recent additions are a center in New Delhi, India, which opened in 2014, and a center in Hong Kong which opened in 2015.</t>
  </si>
  <si>
    <t>Whose goals often still oppose the IPCC?</t>
  </si>
  <si>
    <t>high rates</t>
  </si>
  <si>
    <t>The Cestida</t>
  </si>
  <si>
    <t>What car is licensed by the FSO Tico Factory and built in Egypt?</t>
  </si>
  <si>
    <t>What follows the same set of mathematical rules than physical quantities?</t>
  </si>
  <si>
    <t>path between two space-time events</t>
  </si>
  <si>
    <t>how much time the best algorithm requires to solve the problem</t>
  </si>
  <si>
    <t>When had the plague reached Alexandria?</t>
  </si>
  <si>
    <t>What is the main goal of trying to get jury nullification during trial?</t>
  </si>
  <si>
    <t>What happened to safety bumpers in 1979?</t>
  </si>
  <si>
    <t>Why not a worldwide network as opposed to simply a UK only network?</t>
  </si>
  <si>
    <t>around 15,000</t>
  </si>
  <si>
    <t>1,000 m3/s</t>
  </si>
  <si>
    <t>Along with 7 fraternities, how many sororities does the U of C have?</t>
  </si>
  <si>
    <t>When was the color crimson adopted at Harvard as official color?</t>
  </si>
  <si>
    <t>What Han Chinese leader defected to the Mongols?</t>
  </si>
  <si>
    <t>The weak force is due to the exchange of the heavy W and Z bosons. Its most familiar effect is beta decay (of neutrons in atomic nuclei) and the associated radioactivity. The word "weak" derives from the fact that the field strength is some 1013 times less than that of the strong force. Still, it is stronger than gravity over short distances. A consistent electroweak theory has also been developed, which shows that electromagnetic forces and the weak force are indistinguishable at a temperatures in excess of approximately 1015 kelvins. Such temperatures have been probed in modern particle accelerators and show the conditions of the universe in the early moments of the Big Bang.</t>
  </si>
  <si>
    <t>When was the last Sino-Japanese War?</t>
  </si>
  <si>
    <t>Ban Ki-moon</t>
  </si>
  <si>
    <t>What does the Museum of the Riding Army portray the history of?</t>
  </si>
  <si>
    <t>Why is the need for acceptance of punishment needed?</t>
  </si>
  <si>
    <t>What issues were not addressed in the Treaty of Aix-la-Chapelle?</t>
  </si>
  <si>
    <t>What principle helps find the difference between a normal or thrust fault?</t>
  </si>
  <si>
    <t>What principle highlights the significance of primes in number theory</t>
  </si>
  <si>
    <t>Reserved matters are subjects that are outside the legislative competence of the Scotland Parliament. The Scottish Parliament is unable to legislate on such issues that are reserved to, and dealt with at, Westminster (and where Ministerial functions usually lie with UK Government ministers). These include abortion, broadcasting policy, civil service, common markets for UK goods and services, constitution, electricity, coal, oil, gas, nuclear energy, defence and national security, drug policy, employment, foreign policy and relations with Europe, most aspects of transport safety and regulation, National Lottery, protection of borders, social security and stability of UK's fiscal, economic and monetary system.</t>
  </si>
  <si>
    <t>APCs</t>
  </si>
  <si>
    <t>When did the so called gentlemen's agreement between Sadat and the Islamists break down?</t>
  </si>
  <si>
    <t>There are direct contractual links between who?</t>
  </si>
  <si>
    <t>supply and demand</t>
  </si>
  <si>
    <t>rise and fall according to market demand</t>
  </si>
  <si>
    <t>long lasting detrimental</t>
  </si>
  <si>
    <t>The Scottish Parliament</t>
  </si>
  <si>
    <t>86 km long</t>
  </si>
  <si>
    <t>Large predators of the Amazon rainforest include the jaguar, cougar, and anaconda, what is one other example?</t>
  </si>
  <si>
    <t>Of what form are rational Gaussians?</t>
  </si>
  <si>
    <t>How many buildings were razed by the Jacksonville fire?</t>
  </si>
  <si>
    <t>What park is close to John Lennon street?</t>
  </si>
  <si>
    <t>What kind of region can be found inside the urban area of southern California?</t>
  </si>
  <si>
    <t>Nearly 7,000 students are enrolled where?</t>
  </si>
  <si>
    <t>What was the Six Years War?</t>
  </si>
  <si>
    <t>Lothar de Maizière</t>
  </si>
  <si>
    <t>Four</t>
  </si>
  <si>
    <t>identifying goals of therapy</t>
  </si>
  <si>
    <t>Where are ribonucleases not conserved?</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</si>
  <si>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</si>
  <si>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Did the European Court of Justice rule the defendant in the case of Commission v. Edith Cresson broke any laws?</t>
  </si>
  <si>
    <t>A single line connects San Bernardino, Riverside and what other county?</t>
  </si>
  <si>
    <t>a major part of the Internet backbone</t>
  </si>
  <si>
    <t>division</t>
  </si>
  <si>
    <t>organisms</t>
  </si>
  <si>
    <t>What are private secondary schools in Germany called?</t>
  </si>
  <si>
    <t>botany and chemistry</t>
  </si>
  <si>
    <t>What type of technology is the non organic separating of gases?</t>
  </si>
  <si>
    <t>Who provided a definition of linear bounded automata in 1970?</t>
  </si>
  <si>
    <t>What do magnetic straitigraphers precisely date?</t>
  </si>
  <si>
    <t>How many weren't in Langlades expedition?</t>
  </si>
  <si>
    <t>What thirty-seven story building was built in 1972?</t>
  </si>
  <si>
    <t>direct patient care services that optimizes the use of medication and promotes health, wellness, and disease prevention</t>
  </si>
  <si>
    <t>In which point did the drainage basin of the Amazon split?</t>
  </si>
  <si>
    <t>What was the population density in 2000?</t>
  </si>
  <si>
    <t>Royal Ujazdów Castle</t>
  </si>
  <si>
    <t>Athens in 430 BC</t>
  </si>
  <si>
    <t>Jin</t>
  </si>
  <si>
    <t>erosion</t>
  </si>
  <si>
    <t>How would the geographical societies in Europe support certain travelers?</t>
  </si>
  <si>
    <t>How many species of insects are known in the region?</t>
  </si>
  <si>
    <t>declared Japan a "nonfriendly" country</t>
  </si>
  <si>
    <t>What force acts between electric charges?</t>
  </si>
  <si>
    <t>What is a particular problem in chemistry that would benefit from determining that P = NP?</t>
  </si>
  <si>
    <t>13.34%</t>
  </si>
  <si>
    <t>What does an decrease in the income share of the bottom 20 percent of people of a society result in?</t>
  </si>
  <si>
    <t>pre-Heian Imperial court</t>
  </si>
  <si>
    <t>Why does a lower level of economic growth occur due to high-end consumption?</t>
  </si>
  <si>
    <t>late</t>
  </si>
  <si>
    <t>that BSkyB had substantially increased the asking price for the channels</t>
  </si>
  <si>
    <t>nearly $41 trillion</t>
  </si>
  <si>
    <t>nephew</t>
  </si>
  <si>
    <t>input encoding</t>
  </si>
  <si>
    <t>Who published its blueprint for devotion in 1995?</t>
  </si>
  <si>
    <t>How common are copepods in other places?</t>
  </si>
  <si>
    <t>Who is the Governor of the Bank of Justice?</t>
  </si>
  <si>
    <t>What company was angry about the merger of Sky Television and British Satellite Broadcasting?</t>
  </si>
  <si>
    <t>the movements of nature</t>
  </si>
  <si>
    <t xml:space="preserve"> Europe first colonized the Americas, then Asia, but what continent was fourth?</t>
  </si>
  <si>
    <t>Geneva</t>
  </si>
  <si>
    <t>Tancred</t>
  </si>
  <si>
    <t>political figures</t>
  </si>
  <si>
    <t>Whose puppet did Islamists accuse the Saudi regime of being?</t>
  </si>
  <si>
    <t>What type of process is the oxygen cycle?</t>
  </si>
  <si>
    <t>What did everyday relevance to popular culture explain?</t>
  </si>
  <si>
    <t>Advances in polynomial algebra were made by mathematicians during the Yuan era. The mathematician Zhu Shijie (1249–1314) solved simultaneous equations with up to four unknowns using a rectangular array of coefficients, equivalent to modern matrices. Zhu used a method of elimination to reduce the simultaneous equations to a single equation with only one unknown. His method is described in the Jade Mirror of the Four Unknowns, written in 1303. The opening pages contain a diagram of Pascal's triangle. The summation of a finite arithmetic series is also covered in the book.</t>
  </si>
  <si>
    <t>What term is used for schools who accept only black children?</t>
  </si>
  <si>
    <t>What applicants does the Carnegie Foundation want to have more support for?</t>
  </si>
  <si>
    <t>Why was Wegener's theory important for understanding the lithosphere?</t>
  </si>
  <si>
    <t>the warmest months from May through September</t>
  </si>
  <si>
    <t>respiration</t>
  </si>
  <si>
    <t>coordinate the response to the embargo</t>
  </si>
  <si>
    <t>What is the largest metropolitan area in Florida and the Southeast?</t>
  </si>
  <si>
    <t>poor</t>
  </si>
  <si>
    <t>562 to 1598</t>
  </si>
  <si>
    <t>Beijing</t>
  </si>
  <si>
    <t>Saddam Hussein's</t>
  </si>
  <si>
    <t>What does air in equilibrium with water contain?</t>
  </si>
  <si>
    <t>Western governments considered Islamists to be the worse of two evils when compared to whom?</t>
  </si>
  <si>
    <t>The "Huguenot Street Historic District" in New Paltz</t>
  </si>
  <si>
    <t>Some Huguenots settled in Bedfordshire, one of the main centres of the British lace industry at the time. Although 19th century sources have asserted that some of these refugees were lacemakers and contributed to the East Midlands lace industry, this is contentious. The only reference to immigrant lacemakers in this period is of twenty-five widows who settled in Dover, and there is no contemporary documentation to support there being Huguenot lacemakers in Bedfordshire. The implication that the style of lace known as 'Bucks Point' demonstrates a Huguenot influence, being a "combination of Mechlin patterns on Lille ground", is fallacious: what is now known as Mechlin lace did not develop until first half of the eighteenth century and lace with Mechlin patterns and Lille ground did not appear until the end of the 18th century, when it was widely copied throughout Europe.</t>
  </si>
  <si>
    <t>resist responding to investigators' questions</t>
  </si>
  <si>
    <t>The first fortified settlements on the site of today's Warsaw were located in Bródno (9th/10th century) and Jazdów (12th/13th century). After Jazdów was raided by nearby clans and dukes, a new similar settlement was established on the site of a small fishing village called Warszowa. The Prince of Płock, Bolesław II of Masovia, established this settlement, the modern-day Warsaw, in about 1300. In the beginning of the 14th century it became one of the seats of the Dukes of Masovia, becoming the official capital of Masovian Duchy in 1413. 14th-century Warsaw's economy rested on mostly crafts and trade. Upon the extinction of the local ducal line, the duchy was reincorporated into the Polish Crown in 1526.</t>
  </si>
  <si>
    <t>132 million</t>
  </si>
  <si>
    <t>Australian Greens</t>
  </si>
  <si>
    <t>Where did Old Briton call home?</t>
  </si>
  <si>
    <t>default emission factors</t>
  </si>
  <si>
    <t>Who runs the University of Chicago?</t>
  </si>
  <si>
    <t>Granite is made up largely of what chemical compound?</t>
  </si>
  <si>
    <t>What did the number of legions in Roman times depend on?</t>
  </si>
  <si>
    <t>ranked above</t>
  </si>
  <si>
    <t>Sky Movies and Sky Box office also include what optional soundtracks?</t>
  </si>
  <si>
    <t>7,000,000</t>
  </si>
  <si>
    <t>What does CDB include?</t>
  </si>
  <si>
    <t>Evidence for what types of structures were found in 2003?</t>
  </si>
  <si>
    <t>New Rochelle, located in the county of Westchester on the north shore of Long Island Sound, seemed to be the great location of the Huguenots in New York. It is said that they landed on the coastline peninsula of Davenports Neck called "Bauffet's Point" after traveling from England where they had previously taken refuge on account of religious persecution, four years before the revocation of the Edict of Nantes. They purchased from John Pell, Lord of Pelham Manor, a tract of land consisting of six thousand one hundred acres with the help of Jacob Leisler. It was named New Rochelle after La Rochelle, their former strong-hold in France. A small wooden church was first erected in the community, followed by a second church that built of stone. Previous to the erection of it, the strong men would often walk twenty-three miles on Saturday evening, the distance by the road from New Rochelle to New York, to attend the Sunday service. The church was eventually replaced by a third, Trinity-St. Paul's Episcopal Church, which contains heirlooms including the original bell from the French Huguenot Church "Eglise du St. Esperit" on Pine Street in New York City, which is preserved as a relic in the tower room. The Huguenot cemetery, or "Huguenot Burial Ground", has since been recognized as a historic cemetery that is the final resting place for a wide range of the Huguenot founders, early settlers and prominent citizens dating back more than three centuries.</t>
  </si>
  <si>
    <t>regulations and directives</t>
  </si>
  <si>
    <t>Austria</t>
  </si>
  <si>
    <t>The area where Jacksonville currently sits has been inhabited for how many years?</t>
  </si>
  <si>
    <t>the NP-complete Boolean satisfiability problem</t>
  </si>
  <si>
    <t>The 2012 Act</t>
  </si>
  <si>
    <t>continental European liberalism</t>
  </si>
  <si>
    <t>the Sun</t>
  </si>
  <si>
    <t>Albany in December 1755</t>
  </si>
  <si>
    <t>What is used to view the properties of crystals?</t>
  </si>
  <si>
    <t>Proving that any of these classes are unequal</t>
  </si>
  <si>
    <t>n = 2 · 1017</t>
  </si>
  <si>
    <t>ignition event</t>
  </si>
  <si>
    <t>Under what condition is an element a general xy?</t>
  </si>
  <si>
    <t>technologies and ideas</t>
  </si>
  <si>
    <t>What pope opposed Roberts campaign?</t>
  </si>
  <si>
    <t>the "10 million dollar millionaires" grew to nearly $41 trillion in 2008</t>
  </si>
  <si>
    <t>within the borders of Warsaw</t>
  </si>
  <si>
    <t>What was Iqbal studying in England and Germany?</t>
  </si>
  <si>
    <t>Is what industry was attracted to Jacksonville in the early nineteenth century?</t>
  </si>
  <si>
    <t>Pushing against an object on a frictional surface can result in a situation where the object does not move because the applied force is opposed by static friction, generated between the object and the table surface. For a situation with no movement, the static friction force exactly balances the applied force resulting in no acceleration. The static friction increases or decreases in response to the applied force up to an upper limit determined by the characteristics of the contact between the surface and the object.</t>
  </si>
  <si>
    <t>What motivation is opportunity-based entrepreneurship driven by?</t>
  </si>
  <si>
    <t>During what years was the Model United Nations team ranked first in South America?</t>
  </si>
  <si>
    <t>Between 1991 and 2000, the total area of forest lost in the Amazon rose from 415,000 to 587,000 square kilometres (160,000 to 227,000 sq mi), with most of the lost forest becoming pasture for cattle. Seventy percent of formerly forested land in the Amazon, and 91% of land deforested since 1970, is used for livestock pasture. Currently, Brazil is the second-largest global producer of soybeans after the United States. New research however, conducted by Leydimere Oliveira et al., has shown that the more rainforest is logged in the Amazon, the less precipitation reaches the area and so the lower the yield per hectare becomes. So despite the popular perception, there has been no economical advantage for Brazil from logging rainforest zones and converting these to pastoral fields.</t>
  </si>
  <si>
    <t>Old Rhine Bridge at Constance</t>
  </si>
  <si>
    <t>Norseman, Viking</t>
  </si>
  <si>
    <t>Which ctenophora have been studies the most?</t>
  </si>
  <si>
    <t>What delimits the delta of the Rhine in the west?</t>
  </si>
  <si>
    <t>What country no longer uses the Bowl of Hygieia as a symbol of pharmacy?</t>
  </si>
  <si>
    <t>provide high-speed interconnection between NSF-sponsored supercomputing centers and select access points in the United States</t>
  </si>
  <si>
    <t>What did John Mayow  name the part of air that caused combustion?</t>
  </si>
  <si>
    <t>Londonistan</t>
  </si>
  <si>
    <t>Who wrote the book "Capital in the Twenty-First Century"?</t>
  </si>
  <si>
    <t>blood–brain barrier, blood–cerebrospinal fluid barrier</t>
  </si>
  <si>
    <t>Subsequent to the Conquest, however, the Marches came completely under the dominance of William's most trusted Norman barons, including Bernard de Neufmarché, Roger of Montgomery in Shropshire and Hugh Lupus in Cheshire. These Normans began a long period of slow conquest during which almost all of Wales was at some point subject to Norman interference. Norman words, such as baron (barwn), first entered Welsh at that time.</t>
  </si>
  <si>
    <t>What is the name of the process which confirms the primality of a number n?</t>
  </si>
  <si>
    <t>What were Isaac's chains made out of?</t>
  </si>
  <si>
    <t>Genghis Khan</t>
  </si>
  <si>
    <t>What happens when the immune system less active than normal?</t>
  </si>
  <si>
    <t>Soho Square</t>
  </si>
  <si>
    <t>What did Microsoft announce that it would rename Sky Drive Pro to?</t>
  </si>
  <si>
    <t>What was the average family size with no wife present?</t>
  </si>
  <si>
    <t>would have also produced a single constitutional document</t>
  </si>
  <si>
    <t>hate</t>
  </si>
  <si>
    <t>large cars</t>
  </si>
  <si>
    <t>What happened to the credibility of secular politics as a result of the Six-Day War?</t>
  </si>
  <si>
    <t>Monterey</t>
  </si>
  <si>
    <t>What plays a major role in absorbing oxygen?</t>
  </si>
  <si>
    <t>How many tree species are in the rainforest?</t>
  </si>
  <si>
    <t>the filling of molecular orbitals formed from the atomic orbitals of the individual oxygen atoms</t>
  </si>
  <si>
    <t>force and violence and refusal to submit to arrest</t>
  </si>
  <si>
    <t>Who do the lead authors prepare graphs and data for?</t>
  </si>
  <si>
    <t>When rock formations are found on top of a fault that have not been cut, then they must be older or younger than the fault?</t>
  </si>
  <si>
    <t>What is the most important thing when deciding if a law is moral?</t>
  </si>
  <si>
    <t>Le grand asks for a variance of what three terms?</t>
  </si>
  <si>
    <t>What outcomes are not expected with Medication Therapy Management?</t>
  </si>
  <si>
    <t>using sickles to deflate one of the large domes</t>
  </si>
  <si>
    <t>What has a magnitude of about 8.81 meters per second squared?</t>
  </si>
  <si>
    <t>Who formulated the laws of motion that were not improved-on for nearly three thousand years?</t>
  </si>
  <si>
    <t>In 1273</t>
  </si>
  <si>
    <t>modern context</t>
  </si>
  <si>
    <t>What was the name of the set top box manufacturer that BSkyB was having issues with?</t>
  </si>
  <si>
    <t>the highest</t>
  </si>
  <si>
    <t xml:space="preserve"> What did the Islamic State proclaim itself in 2015?</t>
  </si>
  <si>
    <t>Which Belgian footballer claimed that he should not be able to transfer from R.F.C. de Liege to USL Dunkerque?</t>
  </si>
  <si>
    <t>The "Hugues hypothesis"</t>
  </si>
  <si>
    <t>Maria Skłodowska-Curie Institute of Oncology</t>
  </si>
  <si>
    <t>What year were farmlands turned into suburbs?</t>
  </si>
  <si>
    <t>2.2 inches</t>
  </si>
  <si>
    <t>Chicago Pile-1</t>
  </si>
  <si>
    <t>peer tuitions</t>
  </si>
  <si>
    <t xml:space="preserve">What is another name a formation? </t>
  </si>
  <si>
    <t>G</t>
  </si>
  <si>
    <t>How old are the gravestones that reference the plague?</t>
  </si>
  <si>
    <t xml:space="preserve"> Why don't Islamists need democratic elections?</t>
  </si>
  <si>
    <t xml:space="preserve"> Any even number larger than what cannot be considered prime?</t>
  </si>
  <si>
    <t>The Rhine redistributes into the Ijssel and what other body?</t>
  </si>
  <si>
    <t>the most efficient algorithm</t>
  </si>
  <si>
    <t>What problem consists of trying to increase oil supplies and threats to US energy security?</t>
  </si>
  <si>
    <t>What do most platyctenida have on their aboral surface?</t>
  </si>
  <si>
    <t>What process attributes new wealth to those that already have it?</t>
  </si>
  <si>
    <t>What type of arts flourished in the Yuan?</t>
  </si>
  <si>
    <t>What happens to the norm when a number is multiplied by p?</t>
  </si>
  <si>
    <t>What kind of auricles do cilia have?</t>
  </si>
  <si>
    <t>Thanks to numerous musical venues, including the Teatr Wielki, the Polish National Opera, the Chamber Opera, the National Philharmonic Hall and the National Theatre, as well as the Roma and Buffo music theatres and the Congress Hall in the Palace of Culture and Science, Warsaw hosts many events and festivals. Among the events worth particular attention are: the International Frédéric Chopin Piano Competition, the International Contemporary Music Festival Warsaw Autumn, the Jazz Jamboree, Warsaw Summer Jazz Days, the International Stanisław Moniuszko Vocal Competition, the Mozart Festival, and the Festival of Old Music.</t>
  </si>
  <si>
    <t>public PAD service Telepad</t>
  </si>
  <si>
    <t>What medical school is located in Allston?</t>
  </si>
  <si>
    <t>horizontal compression</t>
  </si>
  <si>
    <t>34</t>
  </si>
  <si>
    <t>What has a lot to do with how we physically want to compute algorithms?</t>
  </si>
  <si>
    <t>two atoms</t>
  </si>
  <si>
    <t>Who is the first Premier of Victoria?</t>
  </si>
  <si>
    <t>1872</t>
  </si>
  <si>
    <t>What is the study of proteins involved in immune response known as?</t>
  </si>
  <si>
    <t>What is the mace displayed in?</t>
  </si>
  <si>
    <t>Commission v Edith Cresson</t>
  </si>
  <si>
    <t>What satellite enabled Sky Digital to launch an all new digital service?</t>
  </si>
  <si>
    <t>General Amherst</t>
  </si>
  <si>
    <t>When did Millerton residents move out of Fresno?</t>
  </si>
  <si>
    <t>When was the Ming dynasty in power?</t>
  </si>
  <si>
    <t>incitement to terrorism</t>
  </si>
  <si>
    <t>22,338,618 decimal digits</t>
  </si>
  <si>
    <t>For what purpose do organisms make peroxide and superoxide?</t>
  </si>
  <si>
    <t>Who often operates internet pharmacies?</t>
  </si>
  <si>
    <t>How many reconstructions covered more than 10,000 years?</t>
  </si>
  <si>
    <t>What is the mechanism for plate tectonics?</t>
  </si>
  <si>
    <t>When were the Wars of Religion fought?</t>
  </si>
  <si>
    <t>1350</t>
  </si>
  <si>
    <t>advances made in the Middle East in botany and chemistry</t>
  </si>
  <si>
    <t>by a fee per unit of information transmitted, such as characters, packets, or messages</t>
  </si>
  <si>
    <t>Which entity is the secondary legislative body?</t>
  </si>
  <si>
    <t>What is  interested in how algorithms scale with a decrease in the input size?</t>
  </si>
  <si>
    <t>What computer program allows stratigraphers to view the subsurface in three dimensions?</t>
  </si>
  <si>
    <t>Wang Zhen</t>
  </si>
  <si>
    <t>Why did British operation fail in 1755, 56, 57?</t>
  </si>
  <si>
    <t>100–150 species have been validated</t>
  </si>
  <si>
    <t>When an activated killer T cell finds cells where the MHC 1 receptor has specific antigens, it releases cytotoxins such as what?</t>
  </si>
  <si>
    <t>Emperor Wenzong</t>
  </si>
  <si>
    <t>Financial Regulations and Rules of the WMO</t>
  </si>
  <si>
    <t>Which organization covers the cost of the President of the IPCC?</t>
  </si>
  <si>
    <t>Who was influential in promoting the use of chemical compounds as medicines?</t>
  </si>
  <si>
    <t>Who is known for calculating the speed of nuclear reactions?</t>
  </si>
  <si>
    <t>What is a main duty of the GPhC?</t>
  </si>
  <si>
    <t>What needs to be made to ensure poorer members of society can participate in economic growth?</t>
  </si>
  <si>
    <t>When suffering from sleep deprivation, active immunizations may have a diminished effect and may result in lower antibody production, and a lower immune response, than would be noted in a well-rested individual. Additionally, proteins such as NFIL3, which have been shown to be closely intertwined with both T-cell differentiation and our circadian rhythms, can be affected through the disturbance of natural light and dark cycles through instances of sleep deprivation, shift work, etc. As a result, these disruptions can lead to an increase in chronic conditions such as heart disease, chronic pain, and asthma.</t>
  </si>
  <si>
    <t>When did Francia discover that the Rhine entered had entered their borders?</t>
  </si>
  <si>
    <t>Which genus lack tentacles and sheaths?</t>
  </si>
  <si>
    <t>What does private ownership create a situation of?</t>
  </si>
  <si>
    <t>The sieve of Eratosthenes would not be valid if what were true?</t>
  </si>
  <si>
    <t>How many Huguenot settled in the Baden territory of Germany?</t>
  </si>
  <si>
    <t>What was a popular type of variety show during the Yuan?</t>
  </si>
  <si>
    <t>the Treaty on the Functioning of the European Union.</t>
  </si>
  <si>
    <t>What was the name of the eastern half of the colony of 1788?</t>
  </si>
  <si>
    <t>stagnant wages</t>
  </si>
  <si>
    <t>upper bound</t>
  </si>
  <si>
    <t>humid subtropical</t>
  </si>
  <si>
    <t>Fulton Mall</t>
  </si>
  <si>
    <t>When did Robert Crispin go up against the Turks?</t>
  </si>
  <si>
    <t>For a long time, number theory in general, and the study of prime numbers in particular, was seen as the canonical example of pure mathematics, with no applications outside of the self-interest of studying the topic with the exception of use of prime numbered gear teeth to distribute wear evenly. In particular, number theorists such as British mathematician G. H. Hardy prided themselves on doing work that had absolutely no military significance. However, this vision was shattered in the 1970s, when it was publicly announced that prime numbers could be used as the basis for the creation of public key cryptography algorithms. Prime numbers are also used for hash tables and pseudorandom number generators.</t>
  </si>
  <si>
    <t>What does DECnet suite include?</t>
  </si>
  <si>
    <t>How many Nobel Laureates are among the school alumni?</t>
  </si>
  <si>
    <t>internal</t>
  </si>
  <si>
    <t>the Electorate of Brandenburg and Electorate of the Palatinate</t>
  </si>
  <si>
    <t>In what year did Oliver Evans patent his device?</t>
  </si>
  <si>
    <t>After what event are lagerstatten thought to have appeared?</t>
  </si>
  <si>
    <t>Bukhara</t>
  </si>
  <si>
    <t>Whose army liberated Duchy in 1806?</t>
  </si>
  <si>
    <t>by clapping their lobes</t>
  </si>
  <si>
    <t xml:space="preserve"> Who was made rich and prosperous prior to World War 2?</t>
  </si>
  <si>
    <t xml:space="preserve">What is the unusual form of the government's wealth redistribution? </t>
  </si>
  <si>
    <t>the accidental introduction of the Mnemiopsis-eating North American ctenophore Beroe ovata</t>
  </si>
  <si>
    <t>What are the total number of votes to be counted during the voting process?</t>
  </si>
  <si>
    <t>receive no jail time</t>
  </si>
  <si>
    <t>What does the past time and space hierarchy theorems form the basis of?</t>
  </si>
  <si>
    <t>The Rhine emerges from Lake Constance, flows generally westward, as the Hochrhein, passes the Rhine Falls, and is joined by its major tributary, the river Aare. The Aare more than doubles the Rhine's water discharge, to an average of nearly 1,000 m3/s (35,000 cu ft/s), and provides more than a fifth of the discharge at the Dutch border. The Aare also contains the waters from the 4,274 m (14,022 ft) summit of Finsteraarhorn, the highest point of the Rhine basin. The Rhine roughly forms the German-Swiss border from Lake Constance with the exceptions of the canton of Schaffhausen and parts of the cantons of Zürich and Basel-Stadt, until it turns north at the so-called Rhine knee at Basel, leaving Switzerland.</t>
  </si>
  <si>
    <t>10th century</t>
  </si>
  <si>
    <t>What happens when syncline is horizontally compressed?</t>
  </si>
  <si>
    <t>Nikita Khrushchev</t>
  </si>
  <si>
    <t xml:space="preserve">What was implemented with an X.25 interface? </t>
  </si>
  <si>
    <t>On what theorem is the formula that frequently generates the number 2 and all other primes precisely twice based on?</t>
  </si>
  <si>
    <t>Łazienki</t>
  </si>
  <si>
    <t xml:space="preserve"> J. A. Hobson wanted which races to develop the world?</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</si>
  <si>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</si>
  <si>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An adobe that provides less utility to one person than another is an example of reduced what?</t>
  </si>
  <si>
    <t>over half</t>
  </si>
  <si>
    <t>What has been analyzed to compare Amazon rainfall in the past and present?</t>
  </si>
  <si>
    <t>What is SiO?</t>
  </si>
  <si>
    <t>What do custom designed homes dictate in the area?</t>
  </si>
  <si>
    <t>Which group sets the time agenda?</t>
  </si>
  <si>
    <t>What is the clarity of liquid oxygen?</t>
  </si>
  <si>
    <t>Who designed the Scottish Parliament building?</t>
  </si>
  <si>
    <t>a transparent dome made of long, immobile cilia</t>
  </si>
  <si>
    <t xml:space="preserve">What years did the dollar price of oil rise by 2% per year? </t>
  </si>
  <si>
    <t>What did Conant develop to attract wealthy students to the school in 1933?</t>
  </si>
  <si>
    <t>kingdoms</t>
  </si>
  <si>
    <t>1349</t>
  </si>
  <si>
    <t>highest on Earth</t>
  </si>
  <si>
    <t>liquid nitrogen</t>
  </si>
  <si>
    <t>What European event caused the Huguenots to abandon Charlesfort?</t>
  </si>
  <si>
    <t>novel medications</t>
  </si>
  <si>
    <t>Where is St Aloysius' College located?</t>
  </si>
  <si>
    <t>complex silicates</t>
  </si>
  <si>
    <t>What was the North American portion of War of Austrian Succession?</t>
  </si>
  <si>
    <t>Where did these uprisings take place?</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</si>
  <si>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</si>
  <si>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What did the Persian Gulf depend on the Saudis to manage?</t>
  </si>
  <si>
    <t>What do analog models include in the pathway for metamorphism?</t>
  </si>
  <si>
    <t>Which region of California is Palm Springs located in?</t>
  </si>
  <si>
    <t>When did the Yuan begin using bronze printing plates for its money?</t>
  </si>
  <si>
    <t>Conservative Islam classifies Muslims who follow Shia interpretation as what?</t>
  </si>
  <si>
    <t>What is the citation for the Pierce v. Society of Sisters case?</t>
  </si>
  <si>
    <t>When did General Sejm make Vilnius its permanent seat?</t>
  </si>
  <si>
    <t xml:space="preserve"> What did al-Gama'a al-Islamiyya use to not get its way?</t>
  </si>
  <si>
    <t>When was liquid oxygen developed for commercial use?</t>
  </si>
  <si>
    <t>two public agencies, especially two equally sovereign branches of government, conflict.</t>
  </si>
  <si>
    <t>mountainous areas</t>
  </si>
  <si>
    <t>What other clashes weren't involved in taking Louisbourg?</t>
  </si>
  <si>
    <t>What is the time element in construction between two or more parties?</t>
  </si>
  <si>
    <t>reduce costs and maximize profits</t>
  </si>
  <si>
    <t>What day of the week are general elections held?</t>
  </si>
  <si>
    <t>WHat do x.25 and Frame Relay both require</t>
  </si>
  <si>
    <t>Christian Whiton</t>
  </si>
  <si>
    <t>the Faroe Islands</t>
  </si>
  <si>
    <t>What scale doesn't trade liberalization shift economic inequality from?</t>
  </si>
  <si>
    <t>things that are a matter of custom or expectation</t>
  </si>
  <si>
    <t>What does the lawfulness of action not depend on?</t>
  </si>
  <si>
    <t>How many access points are in a "multiple access scheme"?</t>
  </si>
  <si>
    <t>Chestnut Avenue goes through what?</t>
  </si>
  <si>
    <t>What was the population density in 1970?</t>
  </si>
  <si>
    <t>Who has design authority over all of the digital satellite receivers that are capable of using their service?</t>
  </si>
  <si>
    <t>Who created all of the nation's aviation communities?</t>
  </si>
  <si>
    <t>7th century</t>
  </si>
  <si>
    <t>The Rhine and what other river were accepted as the Germanic frontier?</t>
  </si>
  <si>
    <t>The North saw the South as what?</t>
  </si>
  <si>
    <t>melt (magma and/or lava)</t>
  </si>
  <si>
    <t>Because oil was priced in dollars, oil producers' real income decreased.</t>
  </si>
  <si>
    <t>What bacteria lives inside a protective capsule that serves to prevent cell lysis?</t>
  </si>
  <si>
    <t>What astronomer worked for Kublai?</t>
  </si>
  <si>
    <t>Who backed policies that have solutions that sound good but have poor prospects?</t>
  </si>
  <si>
    <t>What type of immune cells help to destroy abnormal cells in tumors?</t>
  </si>
  <si>
    <t>In what year was the Darfur Report issued?</t>
  </si>
  <si>
    <t>How much water does the Aare give to the Rhine?</t>
  </si>
  <si>
    <t>How wide is the Mainz Basin?</t>
  </si>
  <si>
    <t>What type of electric engine produces most electricity in the world today?</t>
  </si>
  <si>
    <t>colonies of British America and New France</t>
  </si>
  <si>
    <t>What are problems that cannot be solved in theory, but which in practice take too long for their solutions to be useful?</t>
  </si>
  <si>
    <t>According to the Princeton Review where has Harvard ranked as a "Dream College" in 2013</t>
  </si>
  <si>
    <t>A "Members Debate" is usually held immediately before what?</t>
  </si>
  <si>
    <t>nerves</t>
  </si>
  <si>
    <t>Western governments considered Islamists to be the lesser of two evils when compared to whom?</t>
  </si>
  <si>
    <t>When did Tugh Temur found his academy?</t>
  </si>
  <si>
    <t>What will a society with less equality have?</t>
  </si>
  <si>
    <t>the early 1990s</t>
  </si>
  <si>
    <t>What country has low income inequality and high presence of unions?</t>
  </si>
  <si>
    <t>What is the Kampinos Forest the last remnant of?</t>
  </si>
  <si>
    <t>Isaac Newton</t>
  </si>
  <si>
    <t>1368–1644</t>
  </si>
  <si>
    <t>What type of city has Warsaw been for as long as it's been a city?</t>
  </si>
  <si>
    <t xml:space="preserve">Turing machines are commonly employed to define what? </t>
  </si>
  <si>
    <t>1169</t>
  </si>
  <si>
    <t>Larry Roberts</t>
  </si>
  <si>
    <t>raises the productivity of each worker</t>
  </si>
  <si>
    <t>quantity surveyor</t>
  </si>
  <si>
    <t>What is the moniker that is being used to describe the region's diversified technology?</t>
  </si>
  <si>
    <t>the Los Angeles Area</t>
  </si>
  <si>
    <t>With what body must a pharmacy not be allowed to register?</t>
  </si>
  <si>
    <t>What is the dispensary subject to in a minority of countries?</t>
  </si>
  <si>
    <t>What molecules of the adaptive immune system only exist in jawed vertebrates?</t>
  </si>
  <si>
    <t>Families with French names in South Africa speak what language today?</t>
  </si>
  <si>
    <t>Cytokine TBF-B suppresses the activity of what cell types?</t>
  </si>
  <si>
    <t>rock crystallizes from melt (magma and/or lava)</t>
  </si>
  <si>
    <t>What is one type of private key cryptography algorithm?</t>
  </si>
  <si>
    <t>What type of fault boundary is defined by having widespread powerful earthquakes, as in the state of California?</t>
  </si>
  <si>
    <t>Überseering BV v Nordic Construction GmbH</t>
  </si>
  <si>
    <t>Al-Qaeda and the Taliban</t>
  </si>
  <si>
    <t>Only a few drops</t>
  </si>
  <si>
    <t>When did Washington learn about Trent's advance?</t>
  </si>
  <si>
    <t>disaster</t>
  </si>
  <si>
    <t>Which park hosts the largest Civil War reenactment on the west coast?</t>
  </si>
  <si>
    <t>What agreement did Montcalm and Indians have?</t>
  </si>
  <si>
    <t>Which articles state that powers stay with member states unless they've been conferred?</t>
  </si>
  <si>
    <t>What results in the work required by the pump to consume only 0.5% of the turbine power?</t>
  </si>
  <si>
    <t>What town surrounds Jacksonville?</t>
  </si>
  <si>
    <t>Catholic schismatic</t>
  </si>
  <si>
    <t>diploblastic</t>
  </si>
  <si>
    <t>store</t>
  </si>
  <si>
    <t>What measurement do scientists used to determine the quality of water?</t>
  </si>
  <si>
    <t xml:space="preserve"> Colonies were a sign of what amongst Asian countries?</t>
  </si>
  <si>
    <t>What does being an MSP share with the House of Commons?</t>
  </si>
  <si>
    <t>one MSP</t>
  </si>
  <si>
    <t>domestic Islamists</t>
  </si>
  <si>
    <t>$40,000</t>
  </si>
  <si>
    <t>lengthening rubbing surfaces of the valve</t>
  </si>
  <si>
    <t>What is the state average growth rate?</t>
  </si>
  <si>
    <t>When was the first reference in history to Prussia?</t>
  </si>
  <si>
    <t>What is the lowest ranking one of the counties could have in terms of most populous counties in the United States?</t>
  </si>
  <si>
    <t>1,230 km (760 mi)</t>
  </si>
  <si>
    <t>when they would be married,</t>
  </si>
  <si>
    <t>Where does the Rhine empty?</t>
  </si>
  <si>
    <t>What impact does workers working harder have on productivity of a business?</t>
  </si>
  <si>
    <t>Who did the City grant the property to in 1912?</t>
  </si>
  <si>
    <t>Chen's theorem</t>
  </si>
  <si>
    <t>British Sky Broadcasting Group plc</t>
  </si>
  <si>
    <t>whips</t>
  </si>
  <si>
    <t>interior valleys</t>
  </si>
  <si>
    <t>Which fault can produce a magnitude earthquake of 8.0?</t>
  </si>
  <si>
    <t>the Victoria Department of Education</t>
  </si>
  <si>
    <t>removing its economic foundation.</t>
  </si>
  <si>
    <t>What do most species of the genus Ocryopsis function as at the same time?</t>
  </si>
  <si>
    <t>What needs to happen to prevent building authority regulations?</t>
  </si>
  <si>
    <t>decrease</t>
  </si>
  <si>
    <t>In what part of the United States did many students migrate to Christian academies during the desegregation period?</t>
  </si>
  <si>
    <t>an assembly center</t>
  </si>
  <si>
    <t>What Lake in a German island Mainau receives a fraction of the Rhine's flow?</t>
  </si>
  <si>
    <t>What are key beds younger than?</t>
  </si>
  <si>
    <t>Which council's investigation found no statistical failings?</t>
  </si>
  <si>
    <t>third largest</t>
  </si>
  <si>
    <t>the housing bubble</t>
  </si>
  <si>
    <t>3</t>
  </si>
  <si>
    <t>1,345,596</t>
  </si>
  <si>
    <t>the City council</t>
  </si>
  <si>
    <t>lower</t>
  </si>
  <si>
    <t>When did tides and currents similar to our current system begin?</t>
  </si>
  <si>
    <t>How much of Poland's national income does Warsaw produce?</t>
  </si>
  <si>
    <t>representatives elected to either house of parliament</t>
  </si>
  <si>
    <t>Class II MHC</t>
  </si>
  <si>
    <t>Where was an elected assembly to be set up, under the terms of the Scotland Act of 1978?</t>
  </si>
  <si>
    <t>lack of remorse</t>
  </si>
  <si>
    <t>carrots, turnips, new varieties of lemons, eggplants, and melons, high-quality granulated sugar, and cotton</t>
  </si>
  <si>
    <t xml:space="preserve">How many major ice ages have occurred? </t>
  </si>
  <si>
    <t>What month, every four years, are the ordinary general elections held on?</t>
  </si>
  <si>
    <t>Blaine</t>
  </si>
  <si>
    <t>How did the education during the high school education movement differ from the subsequent high school education?</t>
  </si>
  <si>
    <t>What were major industries until suburbs were turned into farmlands?</t>
  </si>
  <si>
    <t>Which end of the Saxon Garden is the Tom of the Unknown Soldier located at?</t>
  </si>
  <si>
    <t>How much can the SP alter income tax in Scotland?</t>
  </si>
  <si>
    <t>Maciot de Bethencourt</t>
  </si>
  <si>
    <t xml:space="preserve"> When did the Spanish and Portuguese colonies lose their independance.</t>
  </si>
  <si>
    <t>Who attempted to achieve a separate statehood in 1805?</t>
  </si>
  <si>
    <t>What is a main advantage of the efficiency cycle?</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</si>
  <si>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</si>
  <si>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writing a five volume book in his native Greek</t>
  </si>
  <si>
    <t>Article 17(3)</t>
  </si>
  <si>
    <t>after the end of the Mexican War.</t>
  </si>
  <si>
    <t>a reduction</t>
  </si>
  <si>
    <t>an interactive host to host connection was made between the IBM mainframe computer systems at the University of Michigan in Ann Arbor and Wayne State</t>
  </si>
  <si>
    <t>Bento de Moura Portugal</t>
  </si>
  <si>
    <t>What is the Dutch name for the Rhine?</t>
  </si>
  <si>
    <t>the Legislative Council</t>
  </si>
  <si>
    <t>What did not happen after the Nice Treaty?</t>
  </si>
  <si>
    <t xml:space="preserve"> When did Kublai fail to move the Mongol capital?</t>
  </si>
  <si>
    <t>What percentage of monks and priests died from the Black Death?</t>
  </si>
  <si>
    <t>Which end of the Caucasian Garden is the Tomb of the Unknown Soldier located at?</t>
  </si>
  <si>
    <t>An MSP may introduce a bill as what?</t>
  </si>
  <si>
    <t>Who are committees comprised of?</t>
  </si>
  <si>
    <t>What were chao made out of?</t>
  </si>
  <si>
    <t>What is another name for a firebox?</t>
  </si>
  <si>
    <t>computation time</t>
  </si>
  <si>
    <t>laws of physics</t>
  </si>
  <si>
    <t>electric eels</t>
  </si>
  <si>
    <t>Who developed the Finnish research network, the CYCLADES packet?</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</si>
  <si>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</si>
  <si>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the ease with which people, youth in particular, can obtain controlled substances</t>
  </si>
  <si>
    <t>What company no longer trades as Sky?</t>
  </si>
  <si>
    <t>When was the Special Report on Managing Risks of Extreme Events and Disasters to Advance Climate Change Adaptation (SREX) issued?</t>
  </si>
  <si>
    <t>What elements follow oxygen as the most abundant in the universe?</t>
  </si>
  <si>
    <t>What city has one of the smallest ports in Germany?</t>
  </si>
  <si>
    <t>Afranji</t>
  </si>
  <si>
    <t xml:space="preserve"> By what means is imperialism never administered?</t>
  </si>
  <si>
    <t xml:space="preserve"> What do radical Islamist organizations accept entirely?</t>
  </si>
  <si>
    <t>1⁄3 normal pressure</t>
  </si>
  <si>
    <t>more unusual resources</t>
  </si>
  <si>
    <t>wage or salary</t>
  </si>
  <si>
    <t>children</t>
  </si>
  <si>
    <t>the Soviet Union</t>
  </si>
  <si>
    <t>In which case did the Court of Justice hold that a German court couldn't deny a Dutch building company the right to enforce a contract based in Germany?</t>
  </si>
  <si>
    <t xml:space="preserve">Where was the packet-switched network first demonstrated? </t>
  </si>
  <si>
    <t>beroids</t>
  </si>
  <si>
    <t>What case did the Court state that Austria was allowed to hold places in Austrian schools exclusivity for Austrian students?</t>
  </si>
  <si>
    <t>abolition of the Ottoman Caliphate</t>
  </si>
  <si>
    <t>What is the proprietary system that Sky+HD can't use?</t>
  </si>
  <si>
    <t>plans leaked to France well before Braddock's departure</t>
  </si>
  <si>
    <t>How many plant species are of interest to society and manufacturers exist in the amazon rainforest?</t>
  </si>
  <si>
    <t>Which airport is home to the busiest single runway in the world?</t>
  </si>
  <si>
    <t>What did Priestley name the air he created?</t>
  </si>
  <si>
    <t>in the 16th century</t>
  </si>
  <si>
    <t>proposed to build a nationwide network in the UK</t>
  </si>
  <si>
    <t>cylinder</t>
  </si>
  <si>
    <t>What are the Sky Q mini set top boxes never able to connect to?</t>
  </si>
  <si>
    <t>45 minutes</t>
  </si>
  <si>
    <t>What do the membership of the committees reflect?</t>
  </si>
  <si>
    <t>What armed group stopped the uprising at Ballarat?</t>
  </si>
  <si>
    <t>What is the lone MLS team that belongs to southern California?</t>
  </si>
  <si>
    <t>What company was formed by the merger of Sky Television and British Satellite Broadcasting?</t>
  </si>
  <si>
    <t>What was Shen Kuo's religion?</t>
  </si>
  <si>
    <t>His poem is considered the first kind of what type of protest?</t>
  </si>
  <si>
    <t>Who donated a half billion dollars to the university's Booth School of Business?</t>
  </si>
  <si>
    <t>What are the two different types of immunity?</t>
  </si>
  <si>
    <t>What method was used to clear forest for crop cultivation in the amazon forest?</t>
  </si>
  <si>
    <t>Type I</t>
  </si>
  <si>
    <t>symbolic</t>
  </si>
  <si>
    <t>dephlogisticated air</t>
  </si>
  <si>
    <t>What channel was never rebranded?</t>
  </si>
  <si>
    <t>What are two small car models that didn't recover in 1974?</t>
  </si>
  <si>
    <t>humid subtropical climate</t>
  </si>
  <si>
    <t>How many Frenchmen lost Battle of Carillon?</t>
  </si>
  <si>
    <t>NP-complete Boolean satisfiability problem</t>
  </si>
  <si>
    <t>Of particular concern with Internet pharmacies is the ease with which people, youth in particular, can obtain controlled substances (e.g., Vicodin, generically known as hydrocodone) via the Internet without a prescription issued by a doctor/practitioner who has an established doctor-patient relationship. There are many instances where a practitioner issues a prescription, brokered by an Internet server, for a controlled substance to a "patient" s/he has never met.[citation needed] In the United States, in order for a prescription for a controlled substance to be valid, it must be issued for a legitimate medical purpose by a licensed practitioner acting in the course of legitimate doctor-patient relationship. The filling pharmacy has a corresponding responsibility to ensure that the prescription is valid. Often, individual state laws outline what defines a valid patient-doctor relationship.</t>
  </si>
  <si>
    <t>Cobb Lecture Hall</t>
  </si>
  <si>
    <t>What was the insignificance of victory at Forth Niagara for British?</t>
  </si>
  <si>
    <t>increasing functionings (the things a person values doing), capabilities (the freedom to enjoy functionings) and agency (the ability to pursue valued goals)</t>
  </si>
  <si>
    <t>the Moselle</t>
  </si>
  <si>
    <t>What is the highest reference hospital in all of Poland?</t>
  </si>
  <si>
    <t>How long is the section of the Rhine near Chur?</t>
  </si>
  <si>
    <t xml:space="preserve">What would create a conflict between a problem X and problem C within the context of reduction? </t>
  </si>
  <si>
    <t>Lower</t>
  </si>
  <si>
    <t>survivable communications networks</t>
  </si>
  <si>
    <t>What does wealth disparity make the economy more prone to?</t>
  </si>
  <si>
    <t>What is a term for schools that receive government assistance?</t>
  </si>
  <si>
    <t>The Better Jacksonville Plan</t>
  </si>
  <si>
    <t>legalize importation of medications</t>
  </si>
  <si>
    <t>What conditions must be met for a prescription for a controlled substance to be valid?</t>
  </si>
  <si>
    <t>Specific relativity offers an equivalence between what?</t>
  </si>
  <si>
    <t>Working versions of 3D-printing building technology are already printing how much building material per hour?</t>
  </si>
  <si>
    <t>molecular oxygen and hydrogen</t>
  </si>
  <si>
    <t>How many Huguenots were slain in Toulouse?</t>
  </si>
  <si>
    <t>mortgage banker</t>
  </si>
  <si>
    <t>What do the treaties not limit?</t>
  </si>
  <si>
    <t>What gene is expressed by the B-cell?</t>
  </si>
  <si>
    <t>What can the mesoglea be closed by?</t>
  </si>
  <si>
    <t>How can you protest against WBAI and its policies as an individual?</t>
  </si>
  <si>
    <t>What was the capital of the Ottoman empire?</t>
  </si>
  <si>
    <t>Which Californio is located in the upper part?</t>
  </si>
  <si>
    <t>What did speeches given by the Navy mention about their treatment by protesters?</t>
  </si>
  <si>
    <t>What date was the Fourth Assessment Report published?</t>
  </si>
  <si>
    <t>Who sets the work agenda and allocates time in the chamber?</t>
  </si>
  <si>
    <t>lace</t>
  </si>
  <si>
    <t>Cornell</t>
  </si>
  <si>
    <t>It was shown by Ladner that if P ≠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</si>
  <si>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What are schools called that don't charge tuition in Austraila?</t>
  </si>
  <si>
    <t>How many rows of combs are there?</t>
  </si>
  <si>
    <t>What kind of arches does Norman architecture have?</t>
  </si>
  <si>
    <t>An evasion strategy used by several pathogens to avoid the innate immune system is to hide within the cells of their host (also called intracellular pathogenesis). Here, a pathogen spends most of its life-cycle inside host cells, where it is shielded from direct contact with immune cells, antibodies and complement. Some examples of intracellular pathogens include viruses, the food poisoning bacterium Salmonella and the eukaryotic parasites that cause malaria (Plasmodium falciparum) and leishmaniasis (Leishmania spp.). Other bacteria, such as Mycobacterium tuberculosis, live inside a protective capsule that prevents lysis by complement. Many pathogens secrete compounds that diminish or misdirect the host's immune response. Some bacteria form biofilms to protect themselves from the cells and proteins of the immune system. Such biofilms are present in many successful infections, e.g., the chronic Pseudomonas aeruginosa and Burkholderia cenocepacia infections characteristic of cystic fibrosis. Other bacteria generate surface proteins that bind to antibodies, rendering them ineffective; examples include Streptococcus (protein G), Staphylococcus aureus (protein A), and Peptostreptococcus magnus (protein L).</t>
  </si>
  <si>
    <t>lawful protest demonstration, nonviolent civil disobedience, and violent civil disobedience</t>
  </si>
  <si>
    <t>three or four</t>
  </si>
  <si>
    <t>Who was the first democratically elected president of Egypt?</t>
  </si>
  <si>
    <t>with or without intermediate forwarding nodes</t>
  </si>
  <si>
    <t>What type of medicine did Mongol shamans use?</t>
  </si>
  <si>
    <t>extends a vitamin D receptor</t>
  </si>
  <si>
    <t>What is the longest river in Germany?</t>
  </si>
  <si>
    <t>The Rhine Gorge is between Koblenz and what other city?</t>
  </si>
  <si>
    <t>What is another reason that Al-Hasa was buying weapons from Russia?</t>
  </si>
  <si>
    <t>Telenet was incorporated in 1973 and started operations in 1975. It went public in 1979 and was then sold to GTE</t>
  </si>
  <si>
    <t>During what period did downtown Fresno thrive?</t>
  </si>
  <si>
    <t>Allston Science Complex</t>
  </si>
  <si>
    <t>In what year did Edmond's characterize a "good" algorithm?</t>
  </si>
  <si>
    <t>Over how many studies have shown that violence is less common in societies with income differences?</t>
  </si>
  <si>
    <t>What was the source of the Rhine in the last Ice Age?</t>
  </si>
  <si>
    <t>What is the largest port in Europe called?</t>
  </si>
  <si>
    <t>cellular respiration</t>
  </si>
  <si>
    <t>1421</t>
  </si>
  <si>
    <t>How much did Sky bid to lose the 4 broadcast packages?</t>
  </si>
  <si>
    <t>What was an example of a type of warship that required expansion engines?</t>
  </si>
  <si>
    <t>What is an infection caused by an overgrowth of bacteria?</t>
  </si>
  <si>
    <t>How many bodies of water makes up Lake Constance?</t>
  </si>
  <si>
    <t>shaping ideas about the free market</t>
  </si>
  <si>
    <t>When was Spanish takeover of Louisiana Territory incomplete?</t>
  </si>
  <si>
    <t>Treaty on European Union (TEU)</t>
  </si>
  <si>
    <t>single-tape Turing machines</t>
  </si>
  <si>
    <t>an ash leaf</t>
  </si>
  <si>
    <t>1340s onwards</t>
  </si>
  <si>
    <t>Jani Beg</t>
  </si>
  <si>
    <t>Where is the mouth located on the pleuobrachia located?</t>
  </si>
  <si>
    <t>French</t>
  </si>
  <si>
    <t>What is one aspect of the hydrography of the former delta characterized by?</t>
  </si>
  <si>
    <t>Browlee also applies that civil disobedience is okay regarding?</t>
  </si>
  <si>
    <t>committee</t>
  </si>
  <si>
    <t>What path changes the direction of an object?</t>
  </si>
  <si>
    <t>What is used to figure the relative strengh of gravity?</t>
  </si>
  <si>
    <t>In extended fluids, similarities in pressure result in forces being directed where?</t>
  </si>
  <si>
    <t>What military branch does much of Jacksonville's Arab population have ties to?</t>
  </si>
  <si>
    <t>University City is an example of a business district located in which city?</t>
  </si>
  <si>
    <t>parabolic path</t>
  </si>
  <si>
    <t>What was the occupation of Joseph Priestley?</t>
  </si>
  <si>
    <t>What river runs through Carpathia?</t>
  </si>
  <si>
    <t>He who does great things</t>
  </si>
  <si>
    <t>Where did the monks flee to?</t>
  </si>
  <si>
    <t>What did Kublai's government have to balance between?</t>
  </si>
  <si>
    <t>The Center in Paris is located near what river?</t>
  </si>
  <si>
    <t>What did the EU members not believe lead to the outbreak of the war?</t>
  </si>
  <si>
    <t>Emmerich Rhine Bridge</t>
  </si>
  <si>
    <t>According to the humoral theory of immunity, what were the bodies immune agents?</t>
  </si>
  <si>
    <t>What kind of diet can salmon provide to other predators?</t>
  </si>
  <si>
    <t>What does continuous motion along dike swarms create for sediment to be deposited?</t>
  </si>
  <si>
    <t>In 1846, the natural history lectures of Louis Agassiz were acclaimed both in New York and on the campus at Harvard College. Agassiz's approach was distinctly idealist and posited Americans' "participation in the Divine Nature" and the possibility of understanding "intellectual existences". Agassiz's perspective on science combined observation with intuition and the assumption that a person can grasp the "divine plan" in all phenomena. When it came to explaining life-forms, Agassiz resorted to matters of shape based on a presumed archetype for his evidence. This dual view of knowledge was in concert with the teachings of Common Sense Realism derived from Scottish philosophers Thomas Reid and Dugald Stewart, whose works were part of the Harvard curriculum at the time. The popularity of Agassiz's efforts to "soar with Plato" probably also derived from other writings to which Harvard students were exposed, including Platonic treatises by Ralph Cudworth, John Norrisand, in a Romantic vein, Samuel Coleridge. The library records at Harvard reveal that the writings of Plato and his early modern and Romantic followers were almost as regularly read during the 19th century as those of the "official philosophy" of the more empirical and more deistic Scottish school.</t>
  </si>
  <si>
    <t>75</t>
  </si>
  <si>
    <t>What enzymes in saliva are antibacterial in nature?</t>
  </si>
  <si>
    <t>What tribes were in Father Le Loutre's War?</t>
  </si>
  <si>
    <t>Compounding was not popular in the loading of what machines?</t>
  </si>
  <si>
    <t>how graphs are encoded as binary strings</t>
  </si>
  <si>
    <t>What is one of the reason that US production has been held responsible for recessions and lower economic growth?</t>
  </si>
  <si>
    <t>the Cretaceous–Paleogene extinction</t>
  </si>
  <si>
    <t>Microorganisms or toxins that successfully enter an organism encounter the cells and mechanisms of the innate immune system. The innate response is usually triggered when microbes are identified by pattern recognition receptors, which recognize components that are conserved among broad groups of microorganisms, or when damaged, injured or stressed cells send out alarm signals, many of which (but not all) are recognized by the same receptors as those that recognize pathogens. Innate immune defenses are non-specific, meaning these systems respond to pathogens in a generic way. This system does not confer long-lasting immunity against a pathogen. The innate immune system is the dominant system of host defense in most organisms.</t>
  </si>
  <si>
    <t>Who loved Warsaw so much that he kept putting it in his novels?</t>
  </si>
  <si>
    <t>30% loss</t>
  </si>
  <si>
    <t>carbon related</t>
  </si>
  <si>
    <t>1,986 m</t>
  </si>
  <si>
    <t>Sometimes the prosecution proposes a plea bargain to civil disobedients, as in the case of the Camden 28, in which the defendants were offered an opportunity to plead guilty to one misdemeanor count and receive no jail time. In some mass arrest situations, the activists decide to use solidarity tactics to secure the same plea bargain for everyone. But some activists have opted to enter a blind plea, pleading guilty without any plea agreement in place. Mohandas Gandhi pleaded guilty and told the court, "I am here to . . . submit cheerfully to the highest penalty that can be inflicted upon me for what in law is a deliberate crime and what appears to me to be the highest duty of a citizen."</t>
  </si>
  <si>
    <t>San Andreas</t>
  </si>
  <si>
    <t>In contrast, during wake periods differentiated effector cells, such as cytotoxic natural killer cells and CTLs (cytotoxic T lymphocytes), peak in order to elicit an effective response against any intruding pathogens. As well during awake active times, anti-inflammatory molecules, such as cortisol and catecholamines, peak. There are two theories as to why the pro-inflammatory state is reserved for sleep time. First, inflammation would cause serious cognitive and physical impairments if it were to occur during wake times. Second, inflammation may occur during sleep times due to the presence of melatonin. Inflammation causes a great deal of oxidative stress and the presence of melatonin during sleep times could actively counteract free radical production during this time.</t>
  </si>
  <si>
    <t>Van Nuys Airport</t>
  </si>
  <si>
    <t>In what year were the Dragonnades started?</t>
  </si>
  <si>
    <t>When was the Central Pacific Railroad founded?</t>
  </si>
  <si>
    <t>Cristian Bay's encyclopedia concludes that civil disobedience does not only include what behavior?</t>
  </si>
  <si>
    <t>a type of "blood poisoning"</t>
  </si>
  <si>
    <t>Who was one of the most prominent French Waldensians?</t>
  </si>
  <si>
    <t>Newtonian</t>
  </si>
  <si>
    <t>What is not an example of a pathogen?</t>
  </si>
  <si>
    <t>by padlocking the gates</t>
  </si>
  <si>
    <t>colonies</t>
  </si>
  <si>
    <t>10th</t>
  </si>
  <si>
    <t>The oil crisis caused oil companies to increase oil supplies in which area?</t>
  </si>
  <si>
    <t>non-Mongol physicians</t>
  </si>
  <si>
    <t>Video On Demand service</t>
  </si>
  <si>
    <t>What advancements besides military technology did Europe achieve?</t>
  </si>
  <si>
    <t>By how much did Jacksonville's Hispanic white population decline? Call</t>
  </si>
  <si>
    <t>Taihō Code</t>
  </si>
  <si>
    <t>third largest military presence</t>
  </si>
  <si>
    <t>The Asante and Lunda Empires were in which region?</t>
  </si>
  <si>
    <t>National School</t>
  </si>
  <si>
    <t xml:space="preserve">If the tops of the rock units within the folds remain pointing upwards, they are called what? </t>
  </si>
  <si>
    <t>Where did the Normans and Byzantines sign the peace treaty?</t>
  </si>
  <si>
    <t>What characteristic identifies the French ancestry of some South Africans?</t>
  </si>
  <si>
    <t xml:space="preserve"> What did Kublai do to expediate famines?</t>
  </si>
  <si>
    <t xml:space="preserve">Other than 7 and 13, what other year interval do cicadas pupate? </t>
  </si>
  <si>
    <t>Antibodies are transferred to the gut of the infant through what means?</t>
  </si>
  <si>
    <t>What remain unsolved problems with the Kyoto Protocol?</t>
  </si>
  <si>
    <t>Purus Arch</t>
  </si>
  <si>
    <t>Guyard de Moulin</t>
  </si>
  <si>
    <t>oxyacetylene</t>
  </si>
  <si>
    <t>What can work to even the distribution of wealth?</t>
  </si>
  <si>
    <t>Most aspects of transport safety is a subject dealt with by whom?</t>
  </si>
  <si>
    <t>The development of Terra Preta allowed for what to happen in the Amazon Forest?</t>
  </si>
  <si>
    <t>European Court of Human Rights.</t>
  </si>
  <si>
    <t>vertebrates</t>
  </si>
  <si>
    <t>the Anglo-Saxons</t>
  </si>
  <si>
    <t>What was a major success, especially in rebuilding Warsaw?</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</si>
  <si>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</si>
  <si>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non-Catholics</t>
  </si>
  <si>
    <t>the total number of state transitions, or steps</t>
  </si>
  <si>
    <t>naval Battle of the Restigouche</t>
  </si>
  <si>
    <t>Who funds the IPCC's Deputy Secretary?</t>
  </si>
  <si>
    <t>What doesn't impact gender inequality in wages?</t>
  </si>
  <si>
    <t>What London neighborhood attracted Huguenot refugees?</t>
  </si>
  <si>
    <t>Why did natural sedimentation by the Rhine compensate the transgression bby the sea?</t>
  </si>
  <si>
    <t>What happens when business underpays their workers?</t>
  </si>
  <si>
    <t>Iroquois</t>
  </si>
  <si>
    <t>composite number</t>
  </si>
  <si>
    <t>Who governed the Central Region in the Yuan?</t>
  </si>
  <si>
    <t xml:space="preserve">How did the United States plan to subdue imperialistic tendencies? </t>
  </si>
  <si>
    <t>What does kAp stand for?</t>
  </si>
  <si>
    <t>What started with a zero velocity?</t>
  </si>
  <si>
    <t>Ancient Greeks</t>
  </si>
  <si>
    <t>probabilistic Turing machines, non-deterministic Turing machines</t>
  </si>
  <si>
    <t>What does the large pharynx do in the Beroe when its not feeding?</t>
  </si>
  <si>
    <t>During the Southern Song dynasty the descendant of Confucius at Qufu, the Duke Yansheng Kong Duanyou fled south with the Song Emperor to Quzhou, while the newly established Jin dynasty (1115–1234) in the north appointed Kong Duanyou's brother Kong Duancao who remained in Qufu as Duke Yansheng. From that time up until the Yuan dynasty, there were two Duke Yanshengs, once in the north in Qufu and the other in the south at Quzhou. During the Yuan dynasty, the Emperor Kublai Khan invited the southern Duke Yansheng Kong Zhu to return to Qufu. Kong Zhu refused, and gave up the title, so the northern branch of the family kept the title of Duke Yansheng. The southern branch still remained in Quzhou where they lived to this day. Confucius's descendants in Quzhou alone number 30,000. During the Yuan dynasty, one of Confucius' descendants moved from China to Goryeo era Korea and established a branch of the family there after marrying a Korean woman.</t>
  </si>
  <si>
    <t>What happens when cilia and arbol clap their lobes?</t>
  </si>
  <si>
    <t>Philo of Byzantium ____ surmised that air converted to fire</t>
  </si>
  <si>
    <t>near Diepoldsau</t>
  </si>
  <si>
    <t>A regulation of the Rhine was called for, with an upper canal near Diepoldsau and a lower canal at Fußach, in order to counteract the constant flooding and strong sedimentation in the western Rhine Delta. The Dornbirner Ach had to be diverted, too, and it now flows parallel to the canalized Rhine into the lake. Its water has a darker color than the Rhine; the latter's lighter suspended load comes from higher up the mountains. It is expected that the continuous input of sediment into the lake will silt up the lake. This has already happened to the former Lake Tuggenersee.</t>
  </si>
  <si>
    <t>What did Alec Shelbrooke propose payments of benefits never be made on?</t>
  </si>
  <si>
    <t>What word is the word pharmacy taken from?</t>
  </si>
  <si>
    <t>What was the the movement called that brought Baltic countries independence from the Soviet Union?</t>
  </si>
  <si>
    <t>What city is the capital of Australia?</t>
  </si>
  <si>
    <t>over 100,000</t>
  </si>
  <si>
    <t>ramification</t>
  </si>
  <si>
    <t>How many successors of Kublai was Toghun the last of?</t>
  </si>
  <si>
    <t>1564</t>
  </si>
  <si>
    <t>"As to the Summons you send me to retire, I do not think myself obliged to obey it."</t>
  </si>
  <si>
    <t>Rhine-Ruhr</t>
  </si>
  <si>
    <t>In what century did modern bubonic plague strike Europe?</t>
  </si>
  <si>
    <t>operators</t>
  </si>
  <si>
    <t>61</t>
  </si>
  <si>
    <t>What was D'olier's first name?</t>
  </si>
  <si>
    <t>What is named for its resemblance to dendritic cells?</t>
  </si>
  <si>
    <t>How long did it take to travel across Europe using primitive transport systems?</t>
  </si>
  <si>
    <t>26 seconds off the modern Gregorian calendar</t>
  </si>
  <si>
    <t>What concept, originally discovered by Black, was later discovered independently by Watt?</t>
  </si>
  <si>
    <t>What is stainless steel's theoretical Carnot efficiency?</t>
  </si>
  <si>
    <t>decentralized network with multiple paths between any two points</t>
  </si>
  <si>
    <t>United States</t>
  </si>
  <si>
    <t>tempted to enter the test site</t>
  </si>
  <si>
    <t>What did using fossils help change for scientists?</t>
  </si>
  <si>
    <t>Politically, the system of government created by Kublai Khan was the product of a compromise between Mongolian patrimonial feudalism and the traditional Chinese autocratic-bureaucratic system. Nevertheless, socially the educated Chinese elite were in general not given the degree of esteem that they had been accorded previously under native Chinese dynasties. Although the traditional Chinese elite were not given their share of power, the Mongols and the Semuren (various allied groups from Central Asia and the western end of the empire) largely remained strangers to the mainstream Chinese culture, and this dichotomy gave the Yuan regime a somewhat strong "colonial" coloration. The unequal treatment is possibly due to the fear of transferring power to the ethnic Chinese under their rule. The Mongols and Semuren were given certain advantages in the dynasty, and this would last even after the restoration of the imperial examination in the early 14th century. In general there were very few North Chinese or Southerners reaching the highest-post in the government compared with the possibility that Persians did so in the Ilkhanate. Later the Yongle Emperor of the Ming dynasty also mentioned the discrimination that existed during the Yuan dynasty. In response to an objection against the use of "barbarians" in his government, the Yongle Emperor answered: "... Discrimination was used by the Mongols during the Yuan dynasty, who employed only "Mongols and Tartars" and discarded northern and southern Chinese and this was precisely the cause that brought disaster upon them".</t>
  </si>
  <si>
    <t>What were the structures built by the Soviets typical of?</t>
  </si>
  <si>
    <t>What is an important personal decision for civil disobedients?</t>
  </si>
  <si>
    <t>What concept explains why objects continue in constant motion?</t>
  </si>
  <si>
    <t>Where does Hamas originate?</t>
  </si>
  <si>
    <t>How are the client and subcontractor linked?</t>
  </si>
  <si>
    <t>In what area of this British colony were Huguenot land grants?</t>
  </si>
  <si>
    <t>What was the ratio of British settler to French?</t>
  </si>
  <si>
    <t>What does civil disobedience relate to?</t>
  </si>
  <si>
    <t>private</t>
  </si>
  <si>
    <t>The reasons for the las two counties to be added are based on what?</t>
  </si>
  <si>
    <t xml:space="preserve">Petrologists identify rock samples in the field and where else? </t>
  </si>
  <si>
    <t>What is another name for a public school?</t>
  </si>
  <si>
    <t>What did the king do to regarding Huguenot education?</t>
  </si>
  <si>
    <t>What can happen when breathing in oxygen with 60 atm?</t>
  </si>
  <si>
    <t>Which type of rebellions are common in Scottish Parliament?</t>
  </si>
  <si>
    <t>white blood cells</t>
  </si>
  <si>
    <t>What is another name for State Route 99?</t>
  </si>
  <si>
    <t>North</t>
  </si>
  <si>
    <t>Many known complexity classes are suspected to be unequal, but this has not been proved. For instance P ⊆ NP ⊆ PP ⊆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</si>
  <si>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What may members question the First Minister about directly during First Minister's Question Time?</t>
  </si>
  <si>
    <t>University of Chicago scholars have played a major role in the development of various academic disciplines, including: the Chicago school of economics, the Chicago school of sociology, the law and economics movement in legal analysis, the Chicago school of literary criticism, the Chicago school of religion, and the behavioralism school of political science. Chicago's physics department helped develop the world's first man-made, self-sustaining nuclear reaction beneath the university's Stagg Field. Chicago's research pursuits have been aided by unique affiliations with world-renowned institutions like the nearby Fermilab and Argonne National Laboratory, as well as the Marine Biological Laboratory. The university is also home to the University of Chicago Press, the largest university press in the United States. With an estimated completion date of 2020, the Barack Obama Presidential Center will be housed at the university and include both the Obama presidential library and offices of the Obama Foundation.</t>
  </si>
  <si>
    <t>How much did it snow in 1885?</t>
  </si>
  <si>
    <t>Los Angeles (at 3.7 million people) and San Diego (at 1.3 million people), both in southern California, are the two largest cities in all of California (and two of the eight largest cities in the United States). In southern California there are also twelve cities with more than 200,000 residents and 34 cities over 100,000 in population. Many of southern California's most developed cities lie along or in close proximity to the coast, with the exception of San Bernardino and Riverside.</t>
  </si>
  <si>
    <t>special training to ensure that ignition sources are minimized</t>
  </si>
  <si>
    <t>must be publicly announced</t>
  </si>
  <si>
    <t>Who carved out a state for himself from Moorish lands?</t>
  </si>
  <si>
    <t>What did the Netherlands not let America use during the embargo?</t>
  </si>
  <si>
    <t>What company developed the most successful steam engine?</t>
  </si>
  <si>
    <t>What kind of diploma is given when graduating from a Sonderungsverbot?</t>
  </si>
  <si>
    <t>the Sierra Freeway</t>
  </si>
  <si>
    <t>What class of ships is an example of large passenger liners?</t>
  </si>
  <si>
    <t>Who was one of the most famous people born in Wola?</t>
  </si>
  <si>
    <t>Where are the most settlements located?</t>
  </si>
  <si>
    <t>Video On Demand content</t>
  </si>
  <si>
    <t>Which physics were not contradicted by observations and logic?</t>
  </si>
  <si>
    <t>odd prime</t>
  </si>
  <si>
    <t>Who is the current Chairman of President Barack Obama's Council of Economic Advisors?</t>
  </si>
  <si>
    <t>the repulsion of like charges under the influence of the electromagnetic force</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</si>
  <si>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</si>
  <si>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non-deterministic time</t>
  </si>
  <si>
    <t>Vaginal secretions serve as a chemical protective barrier following what?</t>
  </si>
  <si>
    <t>How many Muslim empires have used imperialism?</t>
  </si>
  <si>
    <t>When was Michigan Network Inc. formed by Michigan's public universities?</t>
  </si>
  <si>
    <t>theory of general relativity</t>
  </si>
  <si>
    <t>What began to decline after World War I?</t>
  </si>
  <si>
    <t>Along with private individuals and organizations, what groups sometimes runs ergänzungsschulen?</t>
  </si>
  <si>
    <t>the Han Chinese</t>
  </si>
  <si>
    <t>since at least the mid-14th century</t>
  </si>
  <si>
    <t>Gaulish name Rēnos</t>
  </si>
  <si>
    <t>Where did Kublai shorten the Grand Canal to?</t>
  </si>
  <si>
    <t>What additional business districts are in downtown Los Angeles itself?</t>
  </si>
  <si>
    <t>Southern Californian communities are well known to be large, spread - out, and what other characteristic?</t>
  </si>
  <si>
    <t>In what month and year did the Black Death spread into France?</t>
  </si>
  <si>
    <t>granulysin (a protease)</t>
  </si>
  <si>
    <t>What can be used to model tension forces?</t>
  </si>
  <si>
    <t>What gang entered the West Side in 2008?</t>
  </si>
  <si>
    <t>Why do igneous rocks use gravel?</t>
  </si>
  <si>
    <t>vector quantities</t>
  </si>
  <si>
    <t>new magma</t>
  </si>
  <si>
    <t>Treaties apply as soon as they enter into force</t>
  </si>
  <si>
    <t>Hunting and population are the main threats facing what?</t>
  </si>
  <si>
    <t>By which year did the American cars mpg start to improve?</t>
  </si>
  <si>
    <t>Fort Duquesne.</t>
  </si>
  <si>
    <t>When did Microsoft decide to appeal the ruling?</t>
  </si>
  <si>
    <t>king of France</t>
  </si>
  <si>
    <t>What was removed from the list of the UNESCO World Heritage Sites?</t>
  </si>
  <si>
    <t>eliminate all multiples of 1 (that is, all other numbers) and produce as output only the single number 1.</t>
  </si>
  <si>
    <t>taxation</t>
  </si>
  <si>
    <t>means to invest in new sources of creating wealth</t>
  </si>
  <si>
    <t>coast of Denmark</t>
  </si>
  <si>
    <t>them</t>
  </si>
  <si>
    <t>400 m wide</t>
  </si>
  <si>
    <t>Corliss steam engine</t>
  </si>
  <si>
    <t>the 1950s</t>
  </si>
  <si>
    <t>abolish the state of Israel</t>
  </si>
  <si>
    <t>1604</t>
  </si>
  <si>
    <t>Following the Peterloo massacre of 1819, poet Percy Shelley wrote the political poem The Mask of Anarchy later that year, that begins with the images of what he thought to be the unjust forms of authority of his time—and then imagines the stirrings of a new form of social action. It is perhaps the first modern[vague] statement of the principle of nonviolent protest. A version was taken up by the author Henry David Thoreau in his essay Civil Disobedience, and later by Gandhi in his doctrine of Satyagraha. Gandhi's Satyagraha was partially influenced and inspired by Shelley's nonviolence in protest and political action. In particular, it is known that Gandhi would often quote Shelley's Masque of Anarchy to vast audiences during the campaign for a free India.</t>
  </si>
  <si>
    <t>When did the colonization of India occur?</t>
  </si>
  <si>
    <t>Who took the throne after Kusala's uprising?</t>
  </si>
  <si>
    <t>Florence, Italy</t>
  </si>
  <si>
    <t>the election of the UK Labour Party to government</t>
  </si>
  <si>
    <t>What two things does pharmacy informatics bring together?</t>
  </si>
  <si>
    <t>Roughly, how much oxygen makes up the Earth crust?</t>
  </si>
  <si>
    <t>The Huguenot District was named in Cork in what year?</t>
  </si>
  <si>
    <t>multi-stage centrifugal</t>
  </si>
  <si>
    <t>What exactly is a "leaky bucket" in terms of this matter?</t>
  </si>
  <si>
    <t>Where will a canonball dropped from the crow's nest of a ship land according to Aristotle?</t>
  </si>
  <si>
    <t>surprised the Canadians on May 28</t>
  </si>
  <si>
    <t>specialized mushroom-shaped cells in the outer layer of the epidermis</t>
  </si>
  <si>
    <t>What is the most elemental way to test the primality of any division?</t>
  </si>
  <si>
    <t>What is the ground state of the O molecule referred to as?</t>
  </si>
  <si>
    <t>zeolite molecular sieves</t>
  </si>
  <si>
    <t>If he was arrested, what would happen to the leaflets that were handed out by Carter Wentworth in court</t>
  </si>
  <si>
    <t>decompression sickness (the 'bends')</t>
  </si>
  <si>
    <t>What did Newton's mechanics affect?</t>
  </si>
  <si>
    <t>Where are there 12 cities over 100,000 in population?</t>
  </si>
  <si>
    <t>Bob Gallion</t>
  </si>
  <si>
    <t xml:space="preserve">What was eventual Merits role? </t>
  </si>
  <si>
    <t>the world systems theory</t>
  </si>
  <si>
    <t>What famous artist later further investigated Philo's experiments?</t>
  </si>
  <si>
    <t>What is the term for the arrangement of two unpaired electrons in dioxygen?</t>
  </si>
  <si>
    <t>directly via their adjacency matrices</t>
  </si>
  <si>
    <t>neuroimmune system</t>
  </si>
  <si>
    <t>Which case did the Court of Justice not review Swedish bans on advertising to young children und er 12?</t>
  </si>
  <si>
    <t>Executive Committee</t>
  </si>
  <si>
    <t>fermionic nature of electrons</t>
  </si>
  <si>
    <t>What type of math was not advanced during the Yuan?</t>
  </si>
  <si>
    <t>recent anthropological</t>
  </si>
  <si>
    <t>How many Native American people resided in Fresno in 2010?</t>
  </si>
  <si>
    <t>modular exponentiation</t>
  </si>
  <si>
    <t>British telecommunications company</t>
  </si>
  <si>
    <t>Newton's laws and Newtonian mechanics in general were first developed to describe how forces affect idealized point particles rather than three-dimensional objects. However, in real life, matter has extended structure and forces that act on one part of an object might affect other parts of an object. For situations where lattice holding together the atoms in an object is able to flow, contract, expand, or otherwise change shape, the theories of continuum mechanics describe the way forces affect the material. For example, in extended fluids, differences in pressure result in forces being directed along the pressure gradients as follows:</t>
  </si>
  <si>
    <t>sell prescription drugs and require a valid prescription</t>
  </si>
  <si>
    <t>the Lisbon Treaty</t>
  </si>
  <si>
    <t>What is the name of the holding company for BSkyB?</t>
  </si>
  <si>
    <t>to share recordings and other media</t>
  </si>
  <si>
    <t>Ludendorff Bridge</t>
  </si>
  <si>
    <t>What did Newcomen add to Wat's engine between 1763 and 1775?</t>
  </si>
  <si>
    <t>a shortage of affordable housing</t>
  </si>
  <si>
    <t>The Daily Mail newspaper reported in 2012 that the UK government's benefits agency was checking claimants' "Sky TV bills to establish if a woman in receipt of benefits as a single mother is wrongly claiming to be living alone" – as, it claimed, subscription to sports channels would betray a man's presence in the household. In December, the UK’s parliament heard a claim that a subscription to BSkyB was ‘often damaging’, along with alcohol, tobacco and gambling. Conservative MP Alec Shelbrooke was proposing the payments of benefits and tax credits on a "Welfare Cash Card", in the style of the Supplemental Nutrition Assistance Program, that could be used to buy only "essentials".</t>
  </si>
  <si>
    <t xml:space="preserve">Which century was there a program to straighten the Rhine? </t>
  </si>
  <si>
    <t>international data communications network</t>
  </si>
  <si>
    <t>What two categories can a government school be put into in India?</t>
  </si>
  <si>
    <t>Four thousand</t>
  </si>
  <si>
    <t>infinitely many prime numbers</t>
  </si>
  <si>
    <t>How many people does the Greater Los Angeles Area have?</t>
  </si>
  <si>
    <t>the desire to prevent things that are indisputably bad</t>
  </si>
  <si>
    <t>Jerusalem</t>
  </si>
  <si>
    <t>In most countries, the dispensary is subject to pharmacy legislation; with requirements for storage conditions, compulsory texts, equipment, etc., specified in legislation. Where it was once the case that pharmacists stayed within the dispensary compounding/dispensing medications, there has been an increasing trend towards the use of trained pharmacy technicians while the pharmacist spends more time communicating with patients. Pharmacy technicians are now more dependent upon automation to assist them in their new role dealing with patients' prescriptions and patient safety issues.</t>
  </si>
  <si>
    <t>When did Menich serve as President?</t>
  </si>
  <si>
    <t>What changed the Delta in the first half of the 20th Century?</t>
  </si>
  <si>
    <t>What contains a nearly verbatim of parliamentary debates?</t>
  </si>
  <si>
    <t>How long was Warsaw the capital of the Duchy Commonwealth?</t>
  </si>
  <si>
    <t>What was unsuccessful in opening the rain forced Emily to decrease settlement?</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</si>
  <si>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</si>
  <si>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throughout the St. Lawrence and Mississippi watersheds</t>
  </si>
  <si>
    <t>Where were Persians more successful compared to Chinese in the Yuan?</t>
  </si>
  <si>
    <t>What Republic has maintained its control of Afghanistan?</t>
  </si>
  <si>
    <t>specific immune receptors</t>
  </si>
  <si>
    <t xml:space="preserve"> Where did rejection from governmental and religious groups come from?</t>
  </si>
  <si>
    <t>by limiting aggregate demand</t>
  </si>
  <si>
    <t>Energiprojekt AB</t>
  </si>
  <si>
    <t>at least 90% certain</t>
  </si>
  <si>
    <t>What did Jan van Riebeeck's father do for a living?</t>
  </si>
  <si>
    <t>Who was the duke in the battle of Hastings?</t>
  </si>
  <si>
    <t>What do Geologists use to study processes outside of the earth?</t>
  </si>
  <si>
    <t>What have many HT members graduated to joining?</t>
  </si>
  <si>
    <t>Who notably improved the Smeaton water pump?</t>
  </si>
  <si>
    <t>What is considered at a meeting of part of Parliament?</t>
  </si>
  <si>
    <t xml:space="preserve">What is the definition of agency as it unrelates to incapabilities? </t>
  </si>
  <si>
    <t>Intractable problems lacking polynomial time solutions necessarily negate the practical efficacy of what type of algorithm?</t>
  </si>
  <si>
    <t>outdated or only approproriate if herbal remedies were on offer to a large extent</t>
  </si>
  <si>
    <t>Harvard's faculty includes scholars such as biologist E. O. Wilson, cognitive scientist Steven Pinker, physicists Lisa Randall and Roy Glauber, chemists Elias Corey, Dudley R. Herschbach and George M. Whitesides, computer scientists Michael O. Rabin and Leslie Valiant, Shakespeare scholar Stephen Greenblatt, writer Louis Menand, critic Helen Vendler, historians Henry Louis Gates, Jr. and Niall Ferguson, economists Amartya Sen, N. Gregory Mankiw, Robert Barro, Stephen A. Marglin, Don M. Wilson III and Martin Feldstein, political philosophers Harvey Mansfield, Baroness Shirley Williams and Michael Sandel, Fields Medalist mathematician Shing-Tung Yau, political scientists Robert Putnam, Joseph Nye, and Stanley Hoffmann, scholar/composers Robert Levin and Bernard Rands, astrophysicist Alyssa A. Goodman, and legal scholars Alan Dershowitz and Lawrence Lessig.</t>
  </si>
  <si>
    <t>What was not considered an important element in Scottish national identity?</t>
  </si>
  <si>
    <t>What is west of State Route 41?</t>
  </si>
  <si>
    <t>Southern California is also home to the Port of Los Angeles, the United States' busiest commercial port; the adjacent Port of Long Beach, the United States' second busiest container port; and the Port of San Diego.</t>
  </si>
  <si>
    <t>colonization, use of military force, or other</t>
  </si>
  <si>
    <t>What product was notably shipped in vessels equipped with double and triple replacement engines?</t>
  </si>
  <si>
    <t>anaerobic bacteria</t>
  </si>
  <si>
    <t>the Diffie–Hellman key exchange</t>
  </si>
  <si>
    <t>kteis 'comb' and φέρω pherō 'carry'</t>
  </si>
  <si>
    <t>Grover Cleveland</t>
  </si>
  <si>
    <t>Tugh Temür</t>
  </si>
  <si>
    <t>from 1294 to 1307</t>
  </si>
  <si>
    <t xml:space="preserve"> What profession did Ronald Robinson and John Gallagher not share?</t>
  </si>
  <si>
    <t>What percentage of the population of Spain died of the plague in the 17th century?</t>
  </si>
  <si>
    <t>What does the secretary need to lead in the Legislative Assembly?</t>
  </si>
  <si>
    <t>one Commissioner for each of the 28 member states</t>
  </si>
  <si>
    <t>What must all research be according to the IPCC guidelines?</t>
  </si>
  <si>
    <t>How old most a person be to apply to be an MSP?</t>
  </si>
  <si>
    <t>Corona Mark II</t>
  </si>
  <si>
    <t>Why would course content funding be restricted by the courts?</t>
  </si>
  <si>
    <t>significantly increased</t>
  </si>
  <si>
    <t>When did OPEC start to readjust oil prices?</t>
  </si>
  <si>
    <t>nineteenth century</t>
  </si>
  <si>
    <t>What did the Dutch health authorities regard as unnecessary in Geraets-Smits v Stichting Ziekenfonds?</t>
  </si>
  <si>
    <t>Abu al-Qasim al-Zahrawi</t>
  </si>
  <si>
    <t>Pharmacists are healthcare professionals with specialised education and training who perform various roles to ensure optimal health outcomes for their patients through the quality use of medicines. Pharmacists may also be small-business proprietors, owning the pharmacy in which they practice. Since pharmacists know about the mode of action of a particular drug, and its metabolism and physiological effects on the human body in great detail, they play an important role in optimisation of a drug treatment for an individual.</t>
  </si>
  <si>
    <t>What part is added to the expansion gradient to resolve the issue in the counterflow cycle?</t>
  </si>
  <si>
    <t>When did Watt finish the development of his improvements to Newcomen's engine?</t>
  </si>
  <si>
    <t>1944</t>
  </si>
  <si>
    <t>economy</t>
  </si>
  <si>
    <t>an amending treaty</t>
  </si>
  <si>
    <t>Vendobionta lived during which period?</t>
  </si>
  <si>
    <t>In what country is Seville located?</t>
  </si>
  <si>
    <t>Who proposed that water displaced through the projectile's path carries the projectile to its target?</t>
  </si>
  <si>
    <t>On what type of exponentiation does the prime logarithm key exchange depend on?</t>
  </si>
  <si>
    <t>How many Victorians are Catholic?</t>
  </si>
  <si>
    <t>Hutchinson Hall was designed to look like what Oxford hall?</t>
  </si>
  <si>
    <t>What does computational simplicity theory most specifically seek to answer?</t>
  </si>
  <si>
    <t>Pneumatica was written by what Greek writer?</t>
  </si>
  <si>
    <t>What type of entrepreneurship leads to advancements in technology?</t>
  </si>
  <si>
    <t>What type of organization would need large quantities of pure oxygen?</t>
  </si>
  <si>
    <t>73</t>
  </si>
  <si>
    <t>a private member</t>
  </si>
  <si>
    <t>What helped spread Protestantism in France?</t>
  </si>
  <si>
    <t>When was the landmark water tower built?</t>
  </si>
  <si>
    <t>When did the North American French and Indian War begin?</t>
  </si>
  <si>
    <t xml:space="preserve"> What was the only region in Europe conquered by the Germanic tribes?</t>
  </si>
  <si>
    <t>centripetal</t>
  </si>
  <si>
    <t>8.8</t>
  </si>
  <si>
    <t>How many legions in five bases were along the Rhine by the Romans?</t>
  </si>
  <si>
    <t>connecting the same string multiple times to the same object through the use of a set-up that uses movable pulleys</t>
  </si>
  <si>
    <t>the San Andreas Fault</t>
  </si>
  <si>
    <t>Who is the hero who killed a dragon on the Drachenfels?</t>
  </si>
  <si>
    <t>embargo</t>
  </si>
  <si>
    <t>What is the exchange of heat associated with?</t>
  </si>
  <si>
    <t>What year did the university team up with Shimer College?</t>
  </si>
  <si>
    <t>What does the lobata have pair of?</t>
  </si>
  <si>
    <t>What drugs help T cells respond to signals correctly?</t>
  </si>
  <si>
    <t>gravitational</t>
  </si>
  <si>
    <t>Who wrote the paper that the "Millennial Northern Hemisphere temperature reconstruction" graph was based on?</t>
  </si>
  <si>
    <t>British blockade</t>
  </si>
  <si>
    <t>How many Victorians are live near a moneatery?</t>
  </si>
  <si>
    <t>magnitude</t>
  </si>
  <si>
    <t>a parliamentary majority</t>
  </si>
  <si>
    <t>What type of correlation was used previously to help date rock formations?</t>
  </si>
  <si>
    <t>What did policymakers create for the IPCC?</t>
  </si>
  <si>
    <t>immediate French withdrawal</t>
  </si>
  <si>
    <t>Where did French fur trappers travel?</t>
  </si>
  <si>
    <t>How is the Yale rowing crew ranked?</t>
  </si>
  <si>
    <t>Maria Skłodowska-Curie</t>
  </si>
  <si>
    <t>electromagnetic theory</t>
  </si>
  <si>
    <t>Which part of China had people ranked lower in the class system?</t>
  </si>
  <si>
    <t>What pollution process stimulates the growth of nitrates?</t>
  </si>
  <si>
    <t>What is the term for a disease that is not commonly present?</t>
  </si>
  <si>
    <t>What act set out the Parliament's powers as a devolved legislature?</t>
  </si>
  <si>
    <t>What percentage of Victorians are Christian?</t>
  </si>
  <si>
    <t>A vote clerk</t>
  </si>
  <si>
    <t>When was St. John's Cathedral constructed?</t>
  </si>
  <si>
    <t>that each side is capable of performing the obligations set out</t>
  </si>
  <si>
    <t>Mexico</t>
  </si>
  <si>
    <t>Mycobacterium tuberculosis</t>
  </si>
  <si>
    <t>Where are reserved matters stated in the Scotland Act?</t>
  </si>
  <si>
    <t>How many lakes are there in Warsaw?</t>
  </si>
  <si>
    <t>Who said that writing a good description of civil disobedience is hard?</t>
  </si>
  <si>
    <t>According to Ellen Churchill Semple what type of climate was unnecessary for humans to become fully human?</t>
  </si>
  <si>
    <t>sleep deprivation</t>
  </si>
  <si>
    <t>What portion of Berlin's population spoke French by 1700?</t>
  </si>
  <si>
    <t>dragonnades</t>
  </si>
  <si>
    <t>In what sector are jobs beginning to decrease?</t>
  </si>
  <si>
    <t>center of the curving path.</t>
  </si>
  <si>
    <t>In 1500 AD how many people were believed to have lived in the Amazon region?</t>
  </si>
  <si>
    <t xml:space="preserve"> The Asante and Lunda Empires were not in which region?</t>
  </si>
  <si>
    <t>the packets may be delivered according to a multiple access scheme</t>
  </si>
  <si>
    <t>single-tape</t>
  </si>
  <si>
    <t>What name comes from the English words Normans/Normanz?</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</si>
  <si>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</si>
  <si>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doctrine of transubstantiation during Mass</t>
  </si>
  <si>
    <t>Which Belgian footballer claimed that he should be allowed to transfer from one football club to another when his contract was fulfilled?</t>
  </si>
  <si>
    <t>What stretched across middle Europe in the last ice age?</t>
  </si>
  <si>
    <t>Who led New France reinforcements in 1765?</t>
  </si>
  <si>
    <t>In 1939, c. 1,300,000 people lived in Warsaw, but in 1945 – only 420,000. During the first years after the war, the population growth was c. 6%, so shortly the city started to suffer from the lack of flats and of areas for new houses. The first remedial measure was the Warsaw area enlargement (1951) –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 even though since 1990 there are no limitations to residency registration anymore.</t>
  </si>
  <si>
    <t>After what higher learning model was the school designed?</t>
  </si>
  <si>
    <t>What consists of one Metropolitan Statistical Area?</t>
  </si>
  <si>
    <t>How much resources weren't French placing in North America?</t>
  </si>
  <si>
    <t>up to n = 4 (or 216 + 1)</t>
  </si>
  <si>
    <t>Ersatzschulen</t>
  </si>
  <si>
    <t>tear huge areas of land into the sea.</t>
  </si>
  <si>
    <t xml:space="preserve">Dial up or dedicated async connections connected who? </t>
  </si>
  <si>
    <t>Who showed that blogging increases precipitation in the Amazon?</t>
  </si>
  <si>
    <t>What proceeded along the lines of unification of similar ideas?</t>
  </si>
  <si>
    <t>What is the process in which neutrophils move towards the site of inflammation called?</t>
  </si>
  <si>
    <t>What did historians do in the absence of census figures?</t>
  </si>
  <si>
    <t>What is located after Rüdesheim am Rhein and Koblenz?</t>
  </si>
  <si>
    <t>What do structural geologists do with measurements of fabric in crystals?</t>
  </si>
  <si>
    <t>What was the population of Stockholm?</t>
  </si>
  <si>
    <t>What are some disadvantages of hospital pharmacies?</t>
  </si>
  <si>
    <t>What kind of tuition is charged if you enroll in a Sonderungsverbot?</t>
  </si>
  <si>
    <t>What does the UN want to stabilize?</t>
  </si>
  <si>
    <t>well logs</t>
  </si>
  <si>
    <t>greenhouse gas concentrations in the atmosphere</t>
  </si>
  <si>
    <t>World Meteorological Organization</t>
  </si>
  <si>
    <t>What is the United States busiest commercial port?</t>
  </si>
  <si>
    <t>Polynomial time reductions are an example of what?</t>
  </si>
  <si>
    <t>What did lower material living standards lead to for most of human history?</t>
  </si>
  <si>
    <t>The war in North America officially ended with the signing of the Treaty of Paris on 10 February 1763, and war in the European theatre of the Seven Years' War was settled by the Treaty of Hubertusburg on 15 February 1763. The British offered France the choice of surrendering either its continental North American possessions east of the Mississippi or the Caribbean islands of Guadeloupe and Martinique, which had been occupied by the British. France chose to cede the former, but was able to negotiate the retention of Saint Pierre and Miquelon, two small islands in the Gulf of St. Lawrence, along with fishing rights in the area. They viewed the economic value of the Caribbean islands' sugar cane to be greater and easier to defend than the furs from the continent. The contemporaneous French philosopher Voltaire referred to Canada disparagingly as nothing more than a few acres of snow. The British, for their part, were happy to take New France, as defence of their North American colonies would no longer be an issue and also because they already had ample places from which to obtain sugar. Spain, which traded Florida to Britain to regain Cuba, also gained Louisiana, including New Orleans, from France in compensation for its losses. Great Britain and Spain also agreed that navigation on the Mississippi River was to be open to vessels of all nations.</t>
  </si>
  <si>
    <t>spontaneous</t>
  </si>
  <si>
    <t>To the east is the Colorado Desert and the Colorado River at the border with Arizona, and the Mojave Desert at the border with the state of Nevada. To the south is the Mexico–United States border.</t>
  </si>
  <si>
    <t>Where do pharmacists acquire more preparation following pharmacy school?</t>
  </si>
  <si>
    <t>half</t>
  </si>
  <si>
    <t>When dating rocks, what is the absolute isotopic date applied to?</t>
  </si>
  <si>
    <t>best teachers</t>
  </si>
  <si>
    <t xml:space="preserve">What was developed for the Air Force </t>
  </si>
  <si>
    <t>What discouraged trade under the Yuan?</t>
  </si>
  <si>
    <t>How many projects does the Centre currently realize a year?</t>
  </si>
  <si>
    <t>Why was it thought that  ctenophores were a poor diet for other animals?</t>
  </si>
  <si>
    <t>What are four examples of problems believed to be NP=intermediate?</t>
  </si>
  <si>
    <t>What symbol was employed until early in the 19th century?</t>
  </si>
  <si>
    <t>What is another word for centripetal force?</t>
  </si>
  <si>
    <t>Robert Nozick</t>
  </si>
  <si>
    <t>What is covered by the state in addition to tuition?</t>
  </si>
  <si>
    <t>What other terminology is considered much more destructive?</t>
  </si>
  <si>
    <t>Since forces are perceived as pushes or pulls, this can provide an intuitive understanding for describing forces. As with other physical concepts (e.g. temperature), the intuitive understanding of forces is quantified using precise operational definitions that are consistent with direct observations and compared to a standard measurement scale. Through experimentation, it is determined that laboratory measurements of forces are fully consistent with the conceptual definition of force offered by Newtonian mechanics.</t>
  </si>
  <si>
    <t>30%</t>
  </si>
  <si>
    <t>What was developed in the summer of 1961?</t>
  </si>
  <si>
    <t>What is the derivative of an object's changing momentum called?</t>
  </si>
  <si>
    <t>Oude Maas</t>
  </si>
  <si>
    <t>Hamburg merchants and traders</t>
  </si>
  <si>
    <t>.</t>
  </si>
  <si>
    <t>What second most populous city is north of Los Angeles?</t>
  </si>
  <si>
    <t>Commercial ventures are using handheld GPS and Google maps to undermine the indigenous tribes what??</t>
  </si>
  <si>
    <t>What are associated with normal forces?</t>
  </si>
  <si>
    <t>If the apparant force of two fermions is repulsive, what is the spin function?</t>
  </si>
  <si>
    <t>Amazonia or the Amazon jungle are no longer used to refer to what?</t>
  </si>
  <si>
    <t>1906</t>
  </si>
  <si>
    <t>School of Social Service Administration</t>
  </si>
  <si>
    <t>When did commodities readjust to oil prices?</t>
  </si>
  <si>
    <t>What are established at the end of each parliamentary session?</t>
  </si>
  <si>
    <t>How many plant species make up the total in the rainforest?</t>
  </si>
  <si>
    <t>making ARPANET technology public</t>
  </si>
  <si>
    <t>What is unique about  simultaneous hermaphrodites?</t>
  </si>
  <si>
    <t>Which languages rejected the Phags-pa script?</t>
  </si>
  <si>
    <t>yin-yang and wuxing philosophy</t>
  </si>
  <si>
    <t>Vosges Mountains,</t>
  </si>
  <si>
    <t>incapacitation</t>
  </si>
  <si>
    <t>colonizing, influencing, and annexing other parts of the world in order to gain political power</t>
  </si>
  <si>
    <t>Mayow</t>
  </si>
  <si>
    <t>Who acts as laborer, paymaster, and design team for a renovation project?</t>
  </si>
  <si>
    <t>What does southern California have a reputation for?</t>
  </si>
  <si>
    <t>help preserve society's tolerance</t>
  </si>
  <si>
    <t>In macroscopic open systems, non conservative forces act to do what?</t>
  </si>
  <si>
    <t>What city north of New York was settled by Huguenots?</t>
  </si>
  <si>
    <t>Who besides the Russians are often left out of the colonialism debat?</t>
  </si>
  <si>
    <t>When was the colony of New South Wales founded?</t>
  </si>
  <si>
    <t>Which journal was the joint statement published in?</t>
  </si>
  <si>
    <t>Type I hypersensitivity</t>
  </si>
  <si>
    <t>What can be viewed as a limited collection of instances together with a solution for every instance?</t>
  </si>
  <si>
    <t>The classification of tree decay is important to what?</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</si>
  <si>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</si>
  <si>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 xml:space="preserve"> Maududi believed that Islam needed what to not be established?</t>
  </si>
  <si>
    <t>When would a person be considered to be excising a constitutional impasse?</t>
  </si>
  <si>
    <t>When did the English High Court of Justice find that Microsoft’s use of the term "SkyDrive" did not infringe on Sky’s right to the "Sky" trademark?</t>
  </si>
  <si>
    <t>Many major classes of organic molecules in living organisms, such as proteins, nucleic acids, carbohydrates, and fats, contain oxygen, as do the major inorganic compounds that are constituents of animal shells, teeth, and bone. Most of the mass of living organisms is oxygen as it is a part of water, the major constituent of lifeforms. Oxygen is used in cellular respiration and released by photosynthesis, which uses the energy of sunlight to produce oxygen from water. It is too chemically reactive to remain a free element in air without being continuously replenished by the photosynthetic action of living organisms. Another form (allotrope) of oxygen, ozone (O
3), strongly absorbs UVB radiation and consequently the high-altitude ozone layer helps protect the biosphere from ultraviolet radiation, but is a pollutant near the surface where it is a by-product of smog. At even higher low earth orbit altitudes, sufficient atomic oxygen is present to cause erosion for spacecraft.</t>
  </si>
  <si>
    <t>What formation was created because the erosion ceased?</t>
  </si>
  <si>
    <t>What does the capabilities approach look at poverty as a form of?</t>
  </si>
  <si>
    <t>Where are neutrophils rarely found?</t>
  </si>
  <si>
    <t>What does Graham Twigg propose about the spread of disease?</t>
  </si>
  <si>
    <t xml:space="preserve"> In which century do most consider the beginning of imperialism?</t>
  </si>
  <si>
    <t>1263</t>
  </si>
  <si>
    <t>1,435 mm</t>
  </si>
  <si>
    <t>the defense of the St. Lawrence</t>
  </si>
  <si>
    <t>When was there a sharp rise in nationalism in Scotland?</t>
  </si>
  <si>
    <t>positive</t>
  </si>
  <si>
    <t>What are not the 3 sources of European Union law?</t>
  </si>
  <si>
    <t>Who does not have the right to set up an enterprise without unjustified restrictions?</t>
  </si>
  <si>
    <t>What region of the Rhine was changed by the Rhine Straightening program?</t>
  </si>
  <si>
    <t>What were the northern Alps flooded by?</t>
  </si>
  <si>
    <t>1896</t>
  </si>
  <si>
    <t>Madera</t>
  </si>
  <si>
    <t>How do private schools in Ireland differ from most?</t>
  </si>
  <si>
    <t>What type of value would the Basel function have if there were finite primes?</t>
  </si>
  <si>
    <t>When did France begin in earnest to rebuild its global empire?</t>
  </si>
  <si>
    <t>traditional private</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</si>
  <si>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</si>
  <si>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three bodies of water:</t>
  </si>
  <si>
    <t>As well as being subtracted, forces can also what?</t>
  </si>
  <si>
    <t>What part of the innate immune system directly attacks microbes?</t>
  </si>
  <si>
    <t>What wasn't the first British empire based on?</t>
  </si>
  <si>
    <t>logistical</t>
  </si>
  <si>
    <t>a Mediterranean climate</t>
  </si>
  <si>
    <t>method by which the medications are requested and received</t>
  </si>
  <si>
    <t>Which type of rock cannot be re-melted?</t>
  </si>
  <si>
    <t>Warszowa</t>
  </si>
  <si>
    <t>Who is the developer of the McKinsey concept?</t>
  </si>
  <si>
    <t>What can the problem of dividing an integer be reduced to?</t>
  </si>
  <si>
    <t>a practical Carnot cycle</t>
  </si>
  <si>
    <t>What impact did this win have on Abercrombie?</t>
  </si>
  <si>
    <t>sent small numbers of settlers to its colonies</t>
  </si>
  <si>
    <t>moist tropical</t>
  </si>
  <si>
    <t>What do you use to let idea strings switch direction?</t>
  </si>
  <si>
    <t>Mortgage bankers, accountants, and cost engineers</t>
  </si>
  <si>
    <t>Evita and The Wiz</t>
  </si>
  <si>
    <t>V8 and six cylinder</t>
  </si>
  <si>
    <t>The Los Angeles Rams are an example of what kind of sports team?</t>
  </si>
  <si>
    <t xml:space="preserve"> What type of practices did the Yuan introduce in government?</t>
  </si>
  <si>
    <t>night</t>
  </si>
  <si>
    <t>last 7000 years</t>
  </si>
  <si>
    <t>Sky Q Hub</t>
  </si>
  <si>
    <t>At what venue did Benjamin Netanyahu give a speech recently?</t>
  </si>
  <si>
    <t>According to the United States Census Bureau, the city has a total area of 874.3 square miles (2,264 km2), making Jacksonville the largest city in land area in the contiguous United States; of this, 86.66% (757.7 sq mi or 1,962 km2) is land and ; 13.34% (116.7 sq mi or 302 km2) is water. Jacksonville surrounds the town of Baldwin. Nassau County lies to the north, Baker County lies to the west, and Clay and St. Johns County lie to the south; the Atlantic Ocean lies to the east, along with the Jacksonville Beaches. The St. Johns River divides the city. The Trout River, a major tributary of the St. Johns River, is located entirely within Jacksonville.</t>
  </si>
  <si>
    <t>What do the simplest compression cylinders give during the engine cycle?</t>
  </si>
  <si>
    <t>The Tech Coast is a moniker that has gained use as a descriptor for the region's diversified technology and industrial base as well as its multitude of prestigious and world-renowned research universities and other public and private institutions. Amongst these include 5 University of California campuses (Irvine, Los Angeles, Riverside, Santa Barbara, and San Diego); 12 California State University campuses (Bakersfield, Channel Islands, Dominguez Hills, Fullerton, Los Angeles, Long Beach, Northridge, Pomona, San Bernardino, San Diego, San Marcos, and San Luis Obispo); and private institutions such as the California Institute of Technology, Chapman University, the Claremont Colleges (Claremont McKenna College, Harvey Mudd College, Pitzer College, Pomona College, and Scripps College), Loma Linda University, Loyola Marymount University, Occidental College, Pepperdine University, University of Redlands, University of San Diego, and the University of Southern California.</t>
  </si>
  <si>
    <t>Qur'an</t>
  </si>
  <si>
    <t>What covers most of the Amazon basin of Central America?</t>
  </si>
  <si>
    <t>until the second quarter of the 19th century</t>
  </si>
  <si>
    <t>What is the youngest rock to metamorphosize?</t>
  </si>
  <si>
    <t>What is the term for any large construction project?</t>
  </si>
  <si>
    <t>What has the university held since 1963 where large teams find items from a list?</t>
  </si>
  <si>
    <t>Where were the pro-Chinese riots?</t>
  </si>
  <si>
    <t>Why has the Muslim Brotherhood facilitated inexpensive mass marriage ceremonies?</t>
  </si>
  <si>
    <t>What do symbolic protests accomplish according to Julia Butterfly HIll?</t>
  </si>
  <si>
    <t>oceans</t>
  </si>
  <si>
    <t>Who realized that only some celestial bodies followed the same laws of motion?</t>
  </si>
  <si>
    <t>How many elements did Aristotle believe the terrestrial sphere to be made up of?</t>
  </si>
  <si>
    <t>are very badly disposed towards the French, and are entirely devoted to the English</t>
  </si>
  <si>
    <t>Zhu Yuanzhang</t>
  </si>
  <si>
    <t>What type of prime distribution is characterized about x/log x of numbers less than x?</t>
  </si>
  <si>
    <t>Who made fun of the Latin language?</t>
  </si>
  <si>
    <t>meeting of the Church's General Assembly</t>
  </si>
  <si>
    <t>What was the civil war against Ragibagh also called?</t>
  </si>
  <si>
    <t>Victoria Department of Education</t>
  </si>
  <si>
    <t>their dispersed population and distance from the Scottish Parliament in Edinburgh</t>
  </si>
  <si>
    <t>Name an extra that was added to the production of the compacts.</t>
  </si>
  <si>
    <t>Hospital pharmacies usually stock a larger range of medications, including more specialized medications</t>
  </si>
  <si>
    <t>What kind of system of infection involves inserting a hollow tube into a host cell?</t>
  </si>
  <si>
    <t>What year was the Dutch Rijkswaterstaat found?</t>
  </si>
  <si>
    <t>late 17th century</t>
  </si>
  <si>
    <t>What period did plates reverse directions to compress the Tethys floor?</t>
  </si>
  <si>
    <t>The "European Council"</t>
  </si>
  <si>
    <t>Who conceptualized the aeolipile?</t>
  </si>
  <si>
    <t>patient care skills</t>
  </si>
  <si>
    <t>a village</t>
  </si>
  <si>
    <t xml:space="preserve">Which findings suggested that the region was densely populated? </t>
  </si>
  <si>
    <t>During what period the drainage basin of the Amazon likely split?</t>
  </si>
  <si>
    <t>10 counties</t>
  </si>
  <si>
    <t>What was the centrifugal governor incapable of doing?</t>
  </si>
  <si>
    <t>legislative programme for the forthcoming year</t>
  </si>
  <si>
    <t>What has had a negative impact on the labor markets in the UN?</t>
  </si>
  <si>
    <t>a plug valve</t>
  </si>
  <si>
    <t>Voice in the Wilderness</t>
  </si>
  <si>
    <t>allowed agriculture and silviculture</t>
  </si>
  <si>
    <t>before Braddock's departure</t>
  </si>
  <si>
    <t>climate change in addition to deforestation</t>
  </si>
  <si>
    <t>dominating areas</t>
  </si>
  <si>
    <t>What pope as a native of Poland?</t>
  </si>
  <si>
    <t>When did Napoleon die?</t>
  </si>
  <si>
    <t>What complexity class is characterized by a computational tasks and efficient algorithms?</t>
  </si>
  <si>
    <t>The official record high temperature for Fresno is 115 °F (46.1 °C), set on July 8, 1905, while the official record low is 17 °F (−8 °C), set on January 6, 1913. The average windows for 100 °F (37.8 °C)+, 90 °F (32.2 °C)+, and freezing temperatures are June 1 thru September 13, April 26 thru October 9, and December 10 thru January 28, respectively, and no freeze occurred between in the 1983/1984 season. Annual rainfall has ranged from 23.57 inches (598.7 mm) in the “rain year” from July 1982 to June 1983 down to 4.43 inches (112.5 mm) from July 1933 to June 1934. The most rainfall in one month was 9.54 inches (242.3 mm) in November 1885 and the most rainfall in 24 hours 3.55 inches (90.2 mm) on November 18, 1885. Measurable precipitation falls on an average of 48 days annually. Snow is a rarity; the heaviest snowfall at the airport was 2.2 inches (0.06 m) on January 21, 1962.</t>
  </si>
  <si>
    <t>it ensured a high income and medical ethics were compatible with Confucian virtues</t>
  </si>
  <si>
    <t>What was Dalton's erroneous formula for water?</t>
  </si>
  <si>
    <t>Abu al-Rayhan al-Biruni</t>
  </si>
  <si>
    <t>Why does government exist according to anarchists?</t>
  </si>
  <si>
    <t>Soviet Union</t>
  </si>
  <si>
    <t>The rain forest died there would be little effect on what?</t>
  </si>
  <si>
    <t>What process do moderate and reformist Islamists not work within the boundaries of?</t>
  </si>
  <si>
    <t>Ted Fujita</t>
  </si>
  <si>
    <t>What type of combustion does the slow reaction of triplet oxygen prevent?</t>
  </si>
  <si>
    <t>lupus erythematosus</t>
  </si>
  <si>
    <t>What happened to the ground water in the Rhine during the Rhine straightening program?</t>
  </si>
  <si>
    <t>What county does the rapidly developing downtown Santa Ana include?</t>
  </si>
  <si>
    <t>What articles state that unless conferred, powers remain with member states?</t>
  </si>
  <si>
    <t>What is red in both the liquid and solid states?</t>
  </si>
  <si>
    <t>swimming-plates</t>
  </si>
  <si>
    <t xml:space="preserve"> What religion did the Yuan encourage, to support Buddhism?</t>
  </si>
  <si>
    <t>the Treaty on European Union (TEU) and the Treaty on the Functioning of the European Union (TFEU)</t>
  </si>
  <si>
    <t>What disagreement was made for trade with natives and British?</t>
  </si>
  <si>
    <t xml:space="preserve">Who analyzes rock samples from drill cores in the lab? </t>
  </si>
  <si>
    <t>the Alter Rhein</t>
  </si>
  <si>
    <t xml:space="preserve">Who killed Harold II? </t>
  </si>
  <si>
    <t>Which actions by EU institutions were not subject to judicial review?</t>
  </si>
  <si>
    <t>some of the Huguenots were nobles trying to establish separate centers of power in southern France</t>
  </si>
  <si>
    <t>Why is oxygen often transported in cryogenics?</t>
  </si>
  <si>
    <t>Who was subjected to a qualified minority vote of the Council for approval?</t>
  </si>
  <si>
    <t>the member state cannot enforce conflicting laws, and a citizen may rely on the Directive in such an action</t>
  </si>
  <si>
    <t>What percentage of Venice residents died of the plague in 1361?</t>
  </si>
  <si>
    <t>When did the middle school education movement occur?</t>
  </si>
  <si>
    <t>more equality in the income distribution</t>
  </si>
  <si>
    <t>Who was given a projection included in the final summary?</t>
  </si>
  <si>
    <t>constant flooding and strong sedimentation</t>
  </si>
  <si>
    <t>16,000</t>
  </si>
  <si>
    <t>the eggs and sperm mature at different times</t>
  </si>
  <si>
    <t>While the existence of these central government departments and the Six Ministries (which had been introduced since the Sui and Tang dynasties) gave a Sinicized image in the Yuan administration, the actual functions of these ministries also reflected how Mongolian priorities and policies reshaped and redirected those institutions. For example, the authority of the Yuan legal system, the Ministry of Justice, did not extend to legal cases involving Mongols and Semuren, who had separate courts of justice. Cases involving members of more than one ethnic group were decided by a mixed board consisting of Chinese and Mongols. Another example was the insignificance of the Ministry of War compared with native Chinese dynasties, as the real military authority in Yuan times resided in the Privy Council.</t>
  </si>
  <si>
    <t>When using a probabilistic algorithm, how is the probability that the number is composite expressed mathematically?</t>
  </si>
  <si>
    <t>How long has the Rhine coastline been in the same location?</t>
  </si>
  <si>
    <t>What wasn't the fort that was being built to be named?</t>
  </si>
  <si>
    <t>What are analog models often considered as compared to orogenic wedges?</t>
  </si>
  <si>
    <t>Łazienki Park</t>
  </si>
  <si>
    <t>How many prime numbers exist?</t>
  </si>
  <si>
    <t>between 1945 and 1970</t>
  </si>
  <si>
    <t>Cévennes region in the south</t>
  </si>
  <si>
    <t>Who are members of the sports club elected to represent?</t>
  </si>
  <si>
    <t>What is a parasite that always uses the same surface protein?</t>
  </si>
  <si>
    <t>married outside their immediate French communities</t>
  </si>
  <si>
    <t>Puritan ministers</t>
  </si>
  <si>
    <t>How long is Fresno Street?</t>
  </si>
  <si>
    <t>What sentence was Francis Heisler given when she was found guilty?</t>
  </si>
  <si>
    <t>between</t>
  </si>
  <si>
    <t>Hollywood</t>
  </si>
  <si>
    <t>Whose former headquarters was the WSE located until 2009?</t>
  </si>
  <si>
    <t>What did BSkyB name their interactive service?</t>
  </si>
  <si>
    <t>disadvantage low-income and under-represented minority applicants</t>
  </si>
  <si>
    <t>fluid inclusion data</t>
  </si>
  <si>
    <t xml:space="preserve">What is the scientific designation of oxygen? </t>
  </si>
  <si>
    <t>What was the first US state to have compulsory education?</t>
  </si>
  <si>
    <t>polynomial algebra</t>
  </si>
  <si>
    <t>French residents who chose to remain in the colony would be given freedom</t>
  </si>
  <si>
    <t>1185</t>
  </si>
  <si>
    <t>Jones et al. 1998, Pollack, Huang &amp; Shen 1998, Crowley &amp; Lowery 2000 and Briffa 2000</t>
  </si>
  <si>
    <t>highways</t>
  </si>
  <si>
    <t>Most of the previous understandings about motion and force were corrected by whom?</t>
  </si>
  <si>
    <t>each specific pathogen</t>
  </si>
  <si>
    <t>areas controlled by Russia</t>
  </si>
  <si>
    <t>Where was there a strength in British supply chain?</t>
  </si>
  <si>
    <t>sequenced delivery of data to the host</t>
  </si>
  <si>
    <t xml:space="preserve"> Where does HAMAS not want to establish an Islamic state?</t>
  </si>
  <si>
    <t>What kinds of energy did single-shot solutions create interest in?</t>
  </si>
  <si>
    <t>Ctenophores form an animal phylum that is more complex than sponges, about as complex as cnidarians (jellyfish, sea anemones, etc.), and less complex than bilaterians (which include almost all other animals). Unlike sponges, both ctenophores and cnidarians have: cells bound by inter-cell connections and carpet-like basement membranes; muscles; nervous systems; and some have sensory organs. Ctenophores are distinguished from all other animals by having colloblasts, which are sticky and adhere to prey, although a few ctenophore species lack them.</t>
  </si>
  <si>
    <t>Rankine cycle</t>
  </si>
  <si>
    <t>non-political Islam</t>
  </si>
  <si>
    <t>Why do animals use O2 for biological respiration?</t>
  </si>
  <si>
    <t>What is the most rainfall recorded in a 24 hour period in Fresno?</t>
  </si>
  <si>
    <t>What divides Downtown Fresno?</t>
  </si>
  <si>
    <t>What is the mesoglea situated along the underside of?</t>
  </si>
  <si>
    <t>When imperialism impacts social norms of a state, what is it called?</t>
  </si>
  <si>
    <t>French_and_Indian_War</t>
  </si>
  <si>
    <t>disastrous financial situation</t>
  </si>
  <si>
    <t>universities</t>
  </si>
  <si>
    <t>capturing three traders and killing 14 people</t>
  </si>
  <si>
    <t>How many miners died from racism violence in 1854?</t>
  </si>
  <si>
    <t>There was a 16th century Huguenot settlement near what modern day Florida city?</t>
  </si>
  <si>
    <t>patrimonial feudalism</t>
  </si>
  <si>
    <t>How do structural geologists observe the fabric within the rocks?</t>
  </si>
  <si>
    <t>Staten Island</t>
  </si>
  <si>
    <t>not equal</t>
  </si>
  <si>
    <t>Huguenot</t>
  </si>
  <si>
    <t>What business was incorporated in 1975?</t>
  </si>
  <si>
    <t>Theory of the Earth</t>
  </si>
  <si>
    <t>over large areas</t>
  </si>
  <si>
    <t>What are the specific divisors of all even numbers larger than 1?</t>
  </si>
  <si>
    <t>What singer was in the Hall of Fame?</t>
  </si>
  <si>
    <t>What do photocytes produce?</t>
  </si>
  <si>
    <t>What wasn't Marin's orders?</t>
  </si>
  <si>
    <t>value of the Caribbean islands' sugar</t>
  </si>
  <si>
    <t>Other than L.A. which other county do many people commute to?</t>
  </si>
  <si>
    <t>The principles of succession are dependent on what thought?</t>
  </si>
  <si>
    <t>What kind of school is a Sonderungsverbot?</t>
  </si>
  <si>
    <t>CYCLADES</t>
  </si>
  <si>
    <t>Cobham's thesis</t>
  </si>
  <si>
    <t>use of the name was incorrect all these services were managed by the same people within one department of KPN contributed to the confusion</t>
  </si>
  <si>
    <t>Japan</t>
  </si>
  <si>
    <t>dislodge the French</t>
  </si>
  <si>
    <t>Who wrote later papers studying problems solvable by Turning machines?</t>
  </si>
  <si>
    <t xml:space="preserve">Which historian was popular in the 21st century? </t>
  </si>
  <si>
    <t>Who was the medical report written for?</t>
  </si>
  <si>
    <t>Southern California is second to which island in terms of famous serf breaks?</t>
  </si>
  <si>
    <t xml:space="preserve"> Where did Kublai refuse to move the Mongol capital to?</t>
  </si>
  <si>
    <t>Another of the Egyptian groups which employed violence in their struggle for Islamic order was al-Gama'a al-Islamiyya (Islamic Group). Victims of their campaign against the Egyptian state in the 1990s included the head of the counter-terrorism police (Major General Raouf Khayrat), a parliamentary speaker (Rifaat al-Mahgoub), dozens of European tourists and Egyptian bystanders, and over 100 Egyptian police. Ultimately the campaign to overthrow the government was unsuccessful, and the major jihadi group, Jamaa Islamiya (or al-Gama'a al-Islamiyya), renounced violence in 2003. Other lesser known groups include the Islamic Liberation Party, Salvation from Hell and Takfir wal-Hijra, and these groups have variously been involved in activities such as attempted assassinations of political figures, arson of video shops and attempted takeovers of government buildings.</t>
  </si>
  <si>
    <t>cut throat competition</t>
  </si>
  <si>
    <t>Q or the finite field with p elements</t>
  </si>
  <si>
    <t>nearby open spaces</t>
  </si>
  <si>
    <t>What area was renamed Pinedale?</t>
  </si>
  <si>
    <t>What type of Turing machine is capable of multiple actions and extends into a variety of computational paths?</t>
  </si>
  <si>
    <t>What year did Audra McDonald perform the roles of Evita and The Wiz?</t>
  </si>
  <si>
    <t>Mediterranean</t>
  </si>
  <si>
    <t>What did Iran do on Yom Kippur on October 6, 1973?</t>
  </si>
  <si>
    <t>Vampire</t>
  </si>
  <si>
    <t>high risk of a conflict of interest and/or the avoidance of absolute powers</t>
  </si>
  <si>
    <t>What makes static friction go up or down in responce to contact characteristics between an object and the surface it is on?</t>
  </si>
  <si>
    <t>In the Philippines, the private sector has been a major provider of educational services, accounting for about 7.5% of primary enrollment, 32% of secondary enrollment and about 80% of tertiary enrollment. Private schools have proven to be efficient in resource utilization. Per unit costs in private schools are generally lower when compared to public schools. This situation is more evident at the tertiary level. Government regulations have given private education more flexibility and autonomy in recent years, notably by lifting the moratorium on applications for new courses, new schools and conversions, by liberalizing tuition fee policy for private schools, by replacing values education for third and fourth years with English, mathematics and natural science at the option of the school, and by issuing the revised Manual of Regulations for Private Schools in August 1992.</t>
  </si>
  <si>
    <t>protesters attempted to enter the test site</t>
  </si>
  <si>
    <t>three bodies of water</t>
  </si>
  <si>
    <t>Which noble helped establish the Huguenot settlement in Saarland?</t>
  </si>
  <si>
    <t>What former building is currently known as Grand 1401?</t>
  </si>
  <si>
    <t>What is the name of the desert city?</t>
  </si>
  <si>
    <t>conscientious lawbreakers must be punished</t>
  </si>
  <si>
    <t>economies had been caught between higher oil prices and lower prices for their own export commodities</t>
  </si>
  <si>
    <t>In his extensively detailed report, Céloron wrote, "All I can say is that the Natives of these localities are very badly disposed towards the French, and are entirely devoted to the English. I don't know in what way they could be brought back." Even before his return to Montreal, reports on the situation in the Ohio Country were making their way to London and Paris, each side proposing that action be taken. William Shirley, the expansionist governor of the Province of Massachusetts Bay, was particularly forceful, stating that British colonists would not be safe as long as the French were present. Conflicts between the colonies, accomplished through raiding parties that included Indian allies, had taken place for decades, leading to a brisk trade in European colonial captives from either side.</t>
  </si>
  <si>
    <t>What was the title of Philo's work?</t>
  </si>
  <si>
    <t>What kind of committee considered legislation on the development of the Edinburgh Tram Network?</t>
  </si>
  <si>
    <t>What does many workers willing to work for a lot of time competing for a job that only requires a few workers result in?</t>
  </si>
  <si>
    <t>Any subcontractor has a direct contractual relationship with who?</t>
  </si>
  <si>
    <t>By the late 19th century scientists realized that air could be liquefied, and its components isolated, by compressing and cooling it. Using a cascade method, Swiss chemist and physicist Raoul Pierre Pictet evaporated liquid sulfur dioxide in order to liquefy carbon dioxide, which in turn was evaporated to cool oxygen gas enough to liquefy it. He sent a telegram on December 22, 1877 to the French Academy of Sciences in Paris announcing his discovery of liquid oxygen. Just two days later, French physicist Louis Paul Cailletet announced his own method of liquefying molecular oxygen. Only a few drops of the liquid were produced in either case so no meaningful analysis could be conducted. Oxygen was liquified in stable state for the first time on March 29, 1883 by Polish scientists from Jagiellonian University, Zygmunt Wróblewski and Karol Olszewski.</t>
  </si>
  <si>
    <t>What famous civil rights leader called Harvard home?</t>
  </si>
  <si>
    <t>Who sets the judicial agenda in Victoria?</t>
  </si>
  <si>
    <t>What was Marin's orders?</t>
  </si>
  <si>
    <t>Yo Yo Ma</t>
  </si>
  <si>
    <t>On 1 February 2007, the eve of the publication of IPCC's major report on climate, a study was published suggesting that temperatures and sea levels have been rising at or above the maximum rates proposed during the last IPCC report in 2001. The study compared IPCC 2001 projections on temperature and sea level change with observations. Over the six years studied, the actual temperature rise was near the top end of the range given by IPCC's 2001 projection, and the actual sea level rise was above the top of the range of the IPCC projection.</t>
  </si>
  <si>
    <t>medication management system development, deployment and optimization</t>
  </si>
  <si>
    <t>to maintain their legitimacy</t>
  </si>
  <si>
    <t>prétendus réformés</t>
  </si>
  <si>
    <t>The word pharmacy is derived from its root word pharma which was a term used since the 15th–17th centuries. However, the original Greek roots from pharmakos imply sorcery or even poison. In addition to pharma responsibilities, the pharma offered general medical advice and a range of services that are now performed solely by other specialist practitioners, such as surgery and midwifery. The pharma (as it was referred to) often operated through a retail shop which, in addition to ingredients for medicines, sold tobacco and patent medicines. Often the place that did this was called an apothecary and several languages have this as the dominant term, though their practices are more akin to a modern pharmacy, in English the term apothecary would today be seen as outdated or only approproriate if herbal remedies were on offer to a large extent. The pharmas also used many other herbs not listed. The Greek word Pharmakeia (Greek: φαρμακεία) derives from pharmakon (φάρμακον), meaning "drug", "medicine" (or "poison").[n 1]</t>
  </si>
  <si>
    <t>as a liquid</t>
  </si>
  <si>
    <t>several hundred horsepower</t>
  </si>
  <si>
    <t>Almost all ctenophores are predators – there are no vegetarians and only one genus that is partly parasitic. If food is plentiful, they can eat 10 times their own weight per day. While Beroe preys mainly on other ctenophores, other surface-water species prey on zooplankton (planktonic animals) ranging in size from the microscopic, including mollusc and fish larvae, to small adult crustaceans such as copepods, amphipods, and even krill. Members of the genus Haeckelia prey on jellyfish and incorporate their prey's nematocysts (stinging cells) into their own tentacles instead of colloblasts. Ctenophores have been compared to spiders in their wide range of techniques from capturing prey – some hang motionless in the water using their tentacles as "webs", some are ambush predators like Salticid jumping spiders, and some dangle a sticky droplet at the end of a fine thread, as bolas spiders do. This variety explains the wide range of body forms in a phylum with rather few species. The two-tentacled "cydippid" Lampea feeds exclusively on salps, close relatives of sea-squirts that form large chain-like floating colonies, and juveniles of Lampea attach themselves like parasites to salps that are too large for them to swallow. Members of the cydippid genus Pleurobrachia and the lobate Bolinopsis often reach high population densities at the same place and time because they specialize in different types of prey: Pleurobrachia's long tentacles mainly capture relatively strong swimmers such as adult copepods, while Bolinopsis generally feeds on smaller, weaker swimmers such as rotifers and mollusc and crustacean larvae.</t>
  </si>
  <si>
    <t>at most one</t>
  </si>
  <si>
    <t>unpaired electrons</t>
  </si>
  <si>
    <t>In what year did Harvard Stadium become the first ever concrete reinforced stadium in the country?</t>
  </si>
  <si>
    <t>What museum preserves the memory of the crime?</t>
  </si>
  <si>
    <t>What monument is in memory of the largest insurrection of WWII?</t>
  </si>
  <si>
    <t>sum of divisors</t>
  </si>
  <si>
    <t>How many narrow gauge rail lines were built before 1900?</t>
  </si>
  <si>
    <t>net force</t>
  </si>
  <si>
    <t>The University is organized into eleven separate academic units—ten faculties and the Radcliffe Institute for Advanced Study—with campuses throughout the Boston metropolitan area: its 209-acre (85 ha) main campus is centered on Harvard Yard in Cambridge, approximately 3 miles (5 km) northwest of Boston; the business school and athletics facilities, including Harvard Stadium, are located across the Charles River in the Allston neighborhood of Boston and the medical, dental, and public health schools are in the Longwood Medical Area. Harvard's $37.6 billion financial endowment is the largest of any academic institution.</t>
  </si>
  <si>
    <t>Another example of scientific research which suggests that previous estimates by the IPCC, far from overstating dangers and risks, have actually understated them is a study on projected rises in sea levels. When the researchers' analysis was "applied to the possible scenarios outlined by the Intergovernmental Panel on Climate Change (IPCC), the researchers found that in 2100 sea levels would be 0.5–1.4 m [50–140 cm] above 1990 levels. These values are much greater than the 9–88 cm as projected by the IPCC itself in its Third Assessment Report, published in 2001". This may have been due, in part, to the expanding human understanding of climate.</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</si>
  <si>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</si>
  <si>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In the Great Internet Mersenne Prime Search hat was the prize for finding a prime with at least 150,000 digits?</t>
  </si>
  <si>
    <t>What doesn't introduce inequality to a country?</t>
  </si>
  <si>
    <t>How many casualties did British get?</t>
  </si>
  <si>
    <t>Miasma theory</t>
  </si>
  <si>
    <t>halve poverty</t>
  </si>
  <si>
    <t>According to Oxfam, the 58 richest people have wealth equal to how many average people?</t>
  </si>
  <si>
    <t>There is much net force when what is taken into consideration?</t>
  </si>
  <si>
    <t>How many rooms does the Katyn Historical Museum have?</t>
  </si>
  <si>
    <t>In addition to endowments and tuition, how do boarding schools cover their operating costs?</t>
  </si>
  <si>
    <t>he was defeated</t>
  </si>
  <si>
    <t>Final proposals for a Scottish Assembly were passed by the United States Parliament in what year?</t>
  </si>
  <si>
    <t>experience, ideology, and weapons</t>
  </si>
  <si>
    <t>Who never plotted the relationships between levels of income and inequality?</t>
  </si>
  <si>
    <t>Charlesfort</t>
  </si>
  <si>
    <t>harder</t>
  </si>
  <si>
    <t>relationship of the number to its corresponding value of Euler's totient function</t>
  </si>
  <si>
    <t>continuous input of sediment into the lake</t>
  </si>
  <si>
    <t>Who developed the lithium-ion battery?</t>
  </si>
  <si>
    <t>Laboratory measurements of forces are fully inconsistent with what?</t>
  </si>
  <si>
    <t>What does not hide constant factors or smaller terms?</t>
  </si>
  <si>
    <t>1700</t>
  </si>
  <si>
    <t xml:space="preserve">How many types of X.25 networks were there originally </t>
  </si>
  <si>
    <t>1313</t>
  </si>
  <si>
    <t>Dallas</t>
  </si>
  <si>
    <t>Who produced enough oxygen to study in 1819?</t>
  </si>
  <si>
    <t>Who specifically does HT target to maintain the opinion of?</t>
  </si>
  <si>
    <t>the Eternal Heaven</t>
  </si>
  <si>
    <t>What was the accepted length of the Rhine prior to 1932?</t>
  </si>
  <si>
    <t>Its counties of Los Angeles, Orange, San Diego, San Bernardino, and Riverside are the five most populous in the state and all are in the top 15 most populous counties in the United States.</t>
  </si>
  <si>
    <t>Annabel Goldie</t>
  </si>
  <si>
    <t>What was the insignificance of British win?</t>
  </si>
  <si>
    <t>How many Khitan Tumens were there?</t>
  </si>
  <si>
    <t>protests toward public policy</t>
  </si>
  <si>
    <t>Under which policy are labor unions discouraged?</t>
  </si>
  <si>
    <t>Why did Warsaw gain the title of the "Phoenix City"?</t>
  </si>
  <si>
    <t>anticlines and synclines</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</si>
  <si>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</si>
  <si>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 xml:space="preserve"> What kinds of literature were Social Darwinism and theories of race?</t>
  </si>
  <si>
    <t>What university were Zygumunt Olszewski and Karol Wroblewski from?</t>
  </si>
  <si>
    <t>What work from around 300 BC has significant theorems about prime numbers?</t>
  </si>
  <si>
    <t>1,600 mm</t>
  </si>
  <si>
    <t>In what year was World War I launched?</t>
  </si>
  <si>
    <t>Leukocytes (white blood cells) act like independent, single-celled organisms and are the second arm of the innate immune system. The innate leukocytes include the phagocytes (macrophages, neutrophils, and dendritic cells), mast cells, eosinophils, basophils, and natural killer cells. These cells identify and eliminate pathogens, either by attacking larger pathogens through contact or by engulfing and then killing microorganisms. Innate cells are also important mediators in the activation of the adaptive immune system.</t>
  </si>
  <si>
    <t>as irrational and backward</t>
  </si>
  <si>
    <t>before World War I</t>
  </si>
  <si>
    <t>against Prussia and its allies</t>
  </si>
  <si>
    <t>How quickly can fish larvae grow?</t>
  </si>
  <si>
    <t>illegal boycotts</t>
  </si>
  <si>
    <t>Which genus of ctenophores does not have cydipped-like larvae?</t>
  </si>
  <si>
    <t>Who captured Fort Beausejour?</t>
  </si>
  <si>
    <t>College</t>
  </si>
  <si>
    <t>defiant speech</t>
  </si>
  <si>
    <t>What are there no longer limitations on since 1990?</t>
  </si>
  <si>
    <t>Piłsudski</t>
  </si>
  <si>
    <t>the Charleston Orange district</t>
  </si>
  <si>
    <t>change cultural traditions, social customs, religious beliefs, etc</t>
  </si>
  <si>
    <t>What is the process of vaccination also known as?</t>
  </si>
  <si>
    <t>In which magazine did Oppenheimer defend the consensus approach?</t>
  </si>
  <si>
    <t>1927</t>
  </si>
  <si>
    <t>pharmacy practice science and applied information science</t>
  </si>
  <si>
    <t>Hilux</t>
  </si>
  <si>
    <t>What percentage of the student body was affected by grade inflation in 2004?</t>
  </si>
  <si>
    <t>UNEP</t>
  </si>
  <si>
    <t>Bolshevik leaders had effectively reestablished a polity with roughly the same extent as that empire by 1921, however with an internationalist ideology: Lenin in particular asserted the right to limited self-determination for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War II, the Soviet Union installed socialist regimes modeled on those it had installed in 1919–20 in the old Tsarist Empire in areas its forces occupied in Eastern Europe. The Soviet Union and the People’s Republic of China supported post–World War II communist movements in foreign nations and colonies to advance their own interests, but were not always successful.</t>
  </si>
  <si>
    <t>during the 1980s</t>
  </si>
  <si>
    <t>At the end of World War I, the Rhineland was subject to the Treaty of Versailles. This decreed that it would be occupied by the allies, until 1935 and after that, it would be a demilitarised zone, with the German army forbidden to enter. The Treaty of Versailles and this particular provision, in general, caused much resentment in Germany and is often cited as helping Adolf Hitler's rise to power. The allies left the Rhineland, in 1930 and the German army re-occupied it in 1936, which was enormously popular in Germany. Although the allies could probably have prevented the re-occupation, Britain and France were not inclined to do so, a feature of their policy of appeasement to Hitler.</t>
  </si>
  <si>
    <t>Each of the extended metropolitan areas has a population that exceeds what number?</t>
  </si>
  <si>
    <t>When was the Holland empire formed?</t>
  </si>
  <si>
    <t>When did the Rhine Straightening program begin?</t>
  </si>
  <si>
    <t>How many museums comprise Harvard Art Museums?</t>
  </si>
  <si>
    <t>What was causing New France to have no issues with resupplying?</t>
  </si>
  <si>
    <t>−2, −4</t>
  </si>
  <si>
    <t>performance</t>
  </si>
  <si>
    <t>1996</t>
  </si>
  <si>
    <t>When was the settlement which would become Boleslaw established?</t>
  </si>
  <si>
    <t>French Louisiana west of the Mississippi River (including New Orleans) to its ally Spain</t>
  </si>
  <si>
    <t>Where is Biraben from?</t>
  </si>
  <si>
    <t>What do power station steam turbines use as a cold sink in the absence of CHP?</t>
  </si>
  <si>
    <t>fish larvae and organisms that would otherwise have fed the fish</t>
  </si>
  <si>
    <t>What does the City Council divide itself into?</t>
  </si>
  <si>
    <t>Two thirds</t>
  </si>
  <si>
    <t>1013</t>
  </si>
  <si>
    <t>Where were French South Americans settled?</t>
  </si>
  <si>
    <t>565</t>
  </si>
  <si>
    <t>How many dairy cows are there in Australia?</t>
  </si>
  <si>
    <t xml:space="preserve"> What position in the government was Robert Gates fired from?</t>
  </si>
  <si>
    <t>What kind of disorders occur when part of the immune system isn't active?</t>
  </si>
  <si>
    <t>What has partical physics made to describe sub-atomic forces?</t>
  </si>
  <si>
    <t>What is the lowest court in the European Union?</t>
  </si>
  <si>
    <t>Who is a player on the Tampa Bay Buccaneers?</t>
  </si>
  <si>
    <t>$50,000</t>
  </si>
  <si>
    <t>a pharmacy practice residency</t>
  </si>
  <si>
    <t>Which animal that lives in the Amazon river may produce a deadly shock?</t>
  </si>
  <si>
    <t>younger than the fault</t>
  </si>
  <si>
    <t>What fields of study were advanced during the Yuan?</t>
  </si>
  <si>
    <t>distract Montcalm</t>
  </si>
  <si>
    <t xml:space="preserve">Gateways allowed private companies to do what </t>
  </si>
  <si>
    <t>project coordinator</t>
  </si>
  <si>
    <t>those involving orogenic wedges</t>
  </si>
  <si>
    <t>What is not needed for adaptive immune responses?</t>
  </si>
  <si>
    <t>perforin</t>
  </si>
  <si>
    <t>What are internet pharmacies also called?</t>
  </si>
  <si>
    <t>Who has a classification system for all North American companies?</t>
  </si>
  <si>
    <t>How many pieces of legislation has the Social Charter not become the basis for?</t>
  </si>
  <si>
    <t>What is the name of natural dam that connects the Rhine Valley?</t>
  </si>
  <si>
    <t>What responsibilities are pharmacy technicians limited to?</t>
  </si>
  <si>
    <t>In order to better understand the orientations of faults and folds, structural geologists do what with measurements of geological structures?</t>
  </si>
  <si>
    <t>Such protests are usually considered to be what type?</t>
  </si>
  <si>
    <t xml:space="preserve"> When was Geegen the senator?</t>
  </si>
  <si>
    <t>Battle of Sainte-Foy</t>
  </si>
  <si>
    <t>Widener</t>
  </si>
  <si>
    <t>Who was the least influential researcher working on the complexity posed by algorithmic problems?</t>
  </si>
  <si>
    <t>When did the last glacial start?</t>
  </si>
  <si>
    <t>During what word was Jacksonville a key supply point for the North?</t>
  </si>
  <si>
    <t>What has it now become possible to do when dating isotopes while using fossils?</t>
  </si>
  <si>
    <t xml:space="preserve">Which of the tributaries in Germany contributes most? </t>
  </si>
  <si>
    <t xml:space="preserve">DNIC allowed a host to do what? </t>
  </si>
  <si>
    <t>the third étude</t>
  </si>
  <si>
    <t>All the forces in what are based on three fundamental interactions?</t>
  </si>
  <si>
    <t>Along with wear, what development makes it difficult to seal the rotors in an engine that lacks pistons?</t>
  </si>
  <si>
    <t>The West saw themselves as what compared to the east?</t>
  </si>
  <si>
    <t>When did the Court of Justice deny that the Commission could only propose that there must some criminal sanctions?</t>
  </si>
  <si>
    <t xml:space="preserve"> What writing discouraged the name Great Yuan?</t>
  </si>
  <si>
    <t>Manchuria</t>
  </si>
  <si>
    <t>metamorphic rock</t>
  </si>
  <si>
    <t>Commission v Austria</t>
  </si>
  <si>
    <t>Where does oxygen rank by mass in the planet's biosphere?</t>
  </si>
  <si>
    <t>Scotland Act 1998</t>
  </si>
  <si>
    <t>Complexity theory classifies problems based on what primary attribute?</t>
  </si>
  <si>
    <t>What responds in small numbers to common molecules produced by microbes?</t>
  </si>
  <si>
    <t>In most jurisdictions (such as the United States), pharmacists are regulated separately from physicians. These jurisdictions also usually specify that only pharmacists may supply scheduled pharmaceuticals to the public, and that pharmacists cannot form business partnerships with physicians or give them "kickback" payments. However, the American Medical Association (AMA) Code of Ethics provides that physicians may dispense drugs within their office practices as long as there is no patient exploitation and patients have the right to a written prescription that can be filled elsewhere. 7 to 10 percent of American physicians practices reportedly dispense drugs on their own.</t>
  </si>
  <si>
    <t>On what street was the golf course built?</t>
  </si>
  <si>
    <t>direct effect or indirect effect on the laws of European Union member states</t>
  </si>
  <si>
    <t>Canadians, including their commanding officer</t>
  </si>
  <si>
    <t>Objects of constant density are proportional to volume by what force to define standard weights?.</t>
  </si>
  <si>
    <t>What language did the Court of Justice accept to be required to teach in a Dublin college in Groner v Minister for Education?</t>
  </si>
  <si>
    <t>What do bacterial surface proteins not bind to?</t>
  </si>
  <si>
    <t>While most Internet pharmacies sell prescription drugs and require a valid prescription, some Internet pharmacies sell prescription drugs without requiring a prescription. Many customers order drugs from such pharmacies to avoid the "inconvenience" of visiting a doctor or to obtain medications which their doctors were unwilling to prescribe. However, this practice has been criticized as potentially dangerous, especially by those who feel that only doctors can reliably assess contraindications, risk/benefit ratios, and an individual's overall suitability for use of a medication. There also have been reports of such pharmacies dispensing substandard products.</t>
  </si>
  <si>
    <t>submit to the punishment prescribed by law</t>
  </si>
  <si>
    <t xml:space="preserve"> Where did France lose a war in the 1940's?</t>
  </si>
  <si>
    <t>What was erected in South Africa by Duke Kent-Brown to protest Harvard?</t>
  </si>
  <si>
    <t>WHat does UserDatagram Protocol gaurentee</t>
  </si>
  <si>
    <t>Diatomic oxygen</t>
  </si>
  <si>
    <t>Who became king in 1643?</t>
  </si>
  <si>
    <t>severely reduced rainfall and increased temperatures</t>
  </si>
  <si>
    <t>the Romantic Rhine</t>
  </si>
  <si>
    <t>Where and when did the investigation of the plague pathogen begin?</t>
  </si>
  <si>
    <t xml:space="preserve"> When did Great Britain gain its colonies in North America?</t>
  </si>
  <si>
    <t>Committee of Independent Experts</t>
  </si>
  <si>
    <t>In what month is the university's scavenger hunt?</t>
  </si>
  <si>
    <t>What are phagocytes in tissues that only have contact with the internal environment called?</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</si>
  <si>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</si>
  <si>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What novel was written by LeGrande?</t>
  </si>
  <si>
    <t>Upper Lake</t>
  </si>
  <si>
    <t>What would change the rotational inertia of a body under Newton's First Law of Motion?</t>
  </si>
  <si>
    <t>Standard &amp; Poor</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</si>
  <si>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</si>
  <si>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free radical</t>
  </si>
  <si>
    <t>What do the top 400 richest Americans have less of than half of all Americans combined?</t>
  </si>
  <si>
    <t>numerous foundations were laid out by various researchers</t>
  </si>
  <si>
    <t>2p − 1, with p a prime</t>
  </si>
  <si>
    <t>In what year was the Interstate Highway System created?</t>
  </si>
  <si>
    <t>What is partially responsible for weakened immune response in older individuals?</t>
  </si>
  <si>
    <t>The acme of the horizontal engine was the Corliss steam engine, patented in 1849, which was a four-valve counter flow engine with separate steam admission and exhaust valves and automatic variable steam cutoff. When Corliss was given the Rumford medal the committee said that "no one invention since Watt's time has so enhanced the efficiency of the steam engine". In addition to using 30% less steam, it provided more uniform speed due to variable steam cut off, making it well suited to manufacturing, especially cotton spinning.</t>
  </si>
  <si>
    <t>sell more medications to the patient</t>
  </si>
  <si>
    <t>What makes the method of primality more efficient?</t>
  </si>
  <si>
    <t>Who established a treaty with King Charles the third of France?</t>
  </si>
  <si>
    <t>If one computer model turns out correct, by what year would there be a nearly complete loss of rainforest in the Amazon basin?</t>
  </si>
  <si>
    <t>legitimacy of a particular law</t>
  </si>
  <si>
    <t>government schools formerly reserved for white children</t>
  </si>
  <si>
    <t>How did the revocation restrict Huguenot travel?</t>
  </si>
  <si>
    <t>In which Illinois city is the Marine Biological Laboratory located?</t>
  </si>
  <si>
    <t>Nederrijn</t>
  </si>
  <si>
    <t>What can result in more equal distribution of income?</t>
  </si>
  <si>
    <t>When was Operation Market Garden?</t>
  </si>
  <si>
    <t>merchant ships</t>
  </si>
  <si>
    <t>Which machine allows the machine to have multiple possible past actions from a given state?</t>
  </si>
  <si>
    <t>emerging market</t>
  </si>
  <si>
    <t>What were later Yuan emperors disinterested in?</t>
  </si>
  <si>
    <t>What does the Urban Education Institute help run?</t>
  </si>
  <si>
    <t>$1,000,000</t>
  </si>
  <si>
    <t>Who does decompression oxygen sickness occur in?</t>
  </si>
  <si>
    <t>various allied groups from Central Asia and the western end of the empire</t>
  </si>
  <si>
    <t>Enrico Fermi</t>
  </si>
  <si>
    <t>How long ago was it when the water broke through the Purus Arch?</t>
  </si>
  <si>
    <t>hydrophilic amino acids</t>
  </si>
  <si>
    <t>What co-receptor makes recognition more difficult?</t>
  </si>
  <si>
    <t>Warsaw Escarpment</t>
  </si>
  <si>
    <t>When did Robert Hutchins become the first Heisman Trophy winner?</t>
  </si>
  <si>
    <t>Many locals and tourists frequent the southern California coast for its popular beaches, and the desert city of Palm Springs is popular for its resort feel and nearby open spaces.</t>
  </si>
  <si>
    <t>Why aren't the examples of Parisian architecture visible today?</t>
  </si>
  <si>
    <t>revolve a balance</t>
  </si>
  <si>
    <t>By sunlight, what compound did  Priestley concentrate on to make the gas he called "dephlogisticated air"?</t>
  </si>
  <si>
    <t>three</t>
  </si>
  <si>
    <t>What did Vendobionta's descendants change their cilia to?</t>
  </si>
  <si>
    <t>What extended as far north as 45°?</t>
  </si>
  <si>
    <t>Who designed the garden for the University Library?</t>
  </si>
  <si>
    <t>ozone layer</t>
  </si>
  <si>
    <t>1294</t>
  </si>
  <si>
    <t>Whom was Charles Lyell influenced by?</t>
  </si>
  <si>
    <t>organic molecules</t>
  </si>
  <si>
    <t>$40 per barrel</t>
  </si>
  <si>
    <t>41 °C</t>
  </si>
  <si>
    <t>What did Microsoft announce that it would rename Sky Drive to?</t>
  </si>
  <si>
    <t>Milton Friedman</t>
  </si>
  <si>
    <t>Which sessions had a majority attendance from non-governmental organizations?</t>
  </si>
  <si>
    <t>the computational model</t>
  </si>
  <si>
    <t>Sicily</t>
  </si>
  <si>
    <t>What type of hypersensitivity takes between two and three weeks to develop?</t>
  </si>
  <si>
    <t>Was the plan formalized?</t>
  </si>
  <si>
    <t>How long may the Amazon rainforest be threatened, according to some computer models?</t>
  </si>
  <si>
    <t>How did King Louis XV respond to British plans?</t>
  </si>
  <si>
    <t>$100,000</t>
  </si>
  <si>
    <t>macrophysical considerations that yield forces as arising from a macroscopic statistical average of microstates</t>
  </si>
  <si>
    <t>Where do ctenophora live?</t>
  </si>
  <si>
    <t>If q=9 and a=1,2,4,5,7, or 8, how many primes would be in a progression?</t>
  </si>
  <si>
    <t>Where do platycenida live?</t>
  </si>
  <si>
    <t xml:space="preserve">How are packets irregularly forwarded? </t>
  </si>
  <si>
    <t>At what temperature do weak and electromagnetic forces appear the same?</t>
  </si>
  <si>
    <t>exothermic reaction</t>
  </si>
  <si>
    <t>Where did two of Triton's daughters set out on a journey through?</t>
  </si>
  <si>
    <t>justice and prosperity</t>
  </si>
  <si>
    <t>In what century did the marine bays join the sea?</t>
  </si>
  <si>
    <t>Cisco Systems</t>
  </si>
  <si>
    <t>The two former deputies of Parliament are whom?</t>
  </si>
  <si>
    <t>The first buildings of the University of Oxford are known as what?</t>
  </si>
  <si>
    <t>Which Florida city has a smallest population?</t>
  </si>
  <si>
    <t>France's claim to the region was superior to that of the British</t>
  </si>
  <si>
    <t>What can be considered as a function of market price of skill?</t>
  </si>
  <si>
    <t>Research regarding metamorphic processes helps explain what about pressure?</t>
  </si>
  <si>
    <t>15 °C</t>
  </si>
  <si>
    <t>Anglican</t>
  </si>
  <si>
    <t>What type of climate stop reinforced from spreading across the continent?</t>
  </si>
  <si>
    <t>What is another word for the study of past and current life?</t>
  </si>
  <si>
    <t>Bauffet's Point</t>
  </si>
  <si>
    <t>How were British able to cut supplies to Louisbourg?</t>
  </si>
  <si>
    <t xml:space="preserve"> what do conquering people take away from native populations?</t>
  </si>
  <si>
    <t>What lies at 37° 8' 59.23" latitude?</t>
  </si>
  <si>
    <t>Why were Northern Chinese ranked higher?</t>
  </si>
  <si>
    <t>Who do most jurisdictions say can give scheduled drugs to the public?</t>
  </si>
  <si>
    <t>What two public agencies conflict under the defnintion of civil disobedience?</t>
  </si>
  <si>
    <t>20 million ounces</t>
  </si>
  <si>
    <t>Several University of Chicago professors</t>
  </si>
  <si>
    <t>How many teams did Los Angeles used to have?</t>
  </si>
  <si>
    <t>relatively equal distributions of wealth</t>
  </si>
  <si>
    <t>Marquis de la Jonquière</t>
  </si>
  <si>
    <t>number theory</t>
  </si>
  <si>
    <t>In what year did Huguenots begin to settle in South Africa?</t>
  </si>
  <si>
    <t>Some elements of the Brotherhood, though perhaps against orders, did engage in violence against the government, and its founder Al-Banna was assassinated in 1949 in retaliation for the assassination of Egypt's premier Mahmud Fami Naqrashi three months earlier. The Brotherhood has suffered periodic repression in Egypt and has been banned several times, in 1948 and several years later following confrontations with Egyptian president Gamal Abdul Nasser, who jailed thousands of members for several years.</t>
  </si>
  <si>
    <t>a two-page statement</t>
  </si>
  <si>
    <t>Who first wrote about the Rhine's discovery and border?</t>
  </si>
  <si>
    <t>Historically, forces were first quantitatively investigated in conditions of static equilibrium where several forces canceled each other out. Such experiments demonstrate the crucial properties that forces are additive vector quantities: they have magnitude and direction. 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The magnitude of the resultant varies from the difference of the magnitudes of the two forces to their sum, depending on the angle between their lines of action. However, if the forces are acting on an extended body, their respective lines of application must also be specified in order to account for their effects on the motion of the body.</t>
  </si>
  <si>
    <t>European liberalism</t>
  </si>
  <si>
    <t>Who founded the Ming dynasty?</t>
  </si>
  <si>
    <t>What was there a significant minority of in Warsaw?</t>
  </si>
  <si>
    <t>By the 6th century, the Rhine was within the borders of Francia. In the 9th, it formed part of the border between Middle and Western Francia, but in the 10th century, it was fully within the Holy Roman Empire, flowing through Swabia, Franconia and Lower Lorraine. The mouths of the Rhine, in the county of Holland, fell to the Burgundian Netherlands in the 15th century; Holland remained contentious territory throughout the European wars of religion and the eventual collapse of the Holy Roman Empire, when the length of the Rhine fell to the First French Empire and its client states. The Alsace on the left banks of the Upper Rhine was sold to Burgundy by Archduke Sigismund of Austria in 1469 and eventually fell to France in the Thirty Years' War. The numerous historic castles in Rhineland-Palatinate attest to the importance of the river as a commercial route.</t>
  </si>
  <si>
    <t>What is the term for the set of all unconnected graphs related to this decision problem?</t>
  </si>
  <si>
    <t>Who did Italy fight during the Thirty Years War?</t>
  </si>
  <si>
    <t>catastrophism</t>
  </si>
  <si>
    <t>Where does the North Sea discharge into?</t>
  </si>
  <si>
    <t>What class of ships is an example of small passenger liners?</t>
  </si>
  <si>
    <t>the Missouri Compromise</t>
  </si>
  <si>
    <t>£30m</t>
  </si>
  <si>
    <t>proportionally to the number of votes received</t>
  </si>
  <si>
    <t>Numbers of what race of students increased in public schools before 1954?</t>
  </si>
  <si>
    <t>How did the Huguenots defend themselves?</t>
  </si>
  <si>
    <t>What does double oxygen reacting slowly with most organic molecules prevent?</t>
  </si>
  <si>
    <t>energy content</t>
  </si>
  <si>
    <t>What type of outcomes can even stable markets lead to?</t>
  </si>
  <si>
    <t>What is the medieval Esteve Pharmacy used as at present?</t>
  </si>
  <si>
    <t>Germany started to build her own colonial empire</t>
  </si>
  <si>
    <t>During which years was the plague present in Islamic countries?</t>
  </si>
  <si>
    <t>zaju</t>
  </si>
  <si>
    <t>What was the name of the battle that marked the first Confederate loss in Florida?</t>
  </si>
  <si>
    <t>A liberal force that acts on a closed system has what kind of mechanical work?</t>
  </si>
  <si>
    <t>Ming</t>
  </si>
  <si>
    <t>What natural resources did the Chinese government have a monopoly on?</t>
  </si>
  <si>
    <t>When was the Parental Leave directive rejected?</t>
  </si>
  <si>
    <t>McCrary</t>
  </si>
  <si>
    <t>What box is required to view MPEG-3?</t>
  </si>
  <si>
    <t>The Hungarians performed this civil disobedience under the direction of what person?</t>
  </si>
  <si>
    <t>What is an example of a problem to which effective algorithms have provided a solution in spite of the intractability associated with the breadth of sizes?</t>
  </si>
  <si>
    <t>at least four passengers</t>
  </si>
  <si>
    <t>What device is used to treat various conditions such as carbon monoxide poisoning?</t>
  </si>
  <si>
    <t>Who receives higher salaries at private schools that charge higher tuition?</t>
  </si>
  <si>
    <t>When was the first measurement of the value of the Newton Universal Gravitation Constant?</t>
  </si>
  <si>
    <t>What is NSFNET</t>
  </si>
  <si>
    <t>What do all member states agree takes precedence over national law?</t>
  </si>
  <si>
    <t>What does cutting a key bed help an older rock form?</t>
  </si>
  <si>
    <t>What measurement of time is used in polynomial time reduction?</t>
  </si>
  <si>
    <t>What kind of organs do some sponges have?</t>
  </si>
  <si>
    <t>What was the South American portion of War of Austrian Succession?</t>
  </si>
  <si>
    <t>What is the effect of testosterone on the male immune system?</t>
  </si>
  <si>
    <t>divergent boundaries</t>
  </si>
  <si>
    <t>At what age did British Gas plc force their workers to retire?</t>
  </si>
  <si>
    <t>co-operation</t>
  </si>
  <si>
    <t>one of the poorest countries on earth</t>
  </si>
  <si>
    <t>The efficiency of a Rankine cycle is usually limited by the working fluid. Without the pressure reaching supercritical levels for the working fluid, the temperature range the cycle can operate over is quite small; in steam turbines, turbine entry temperatures are typically 565 °C (the creep limit of stainless steel) and condenser temperatures are around 30 °C. This gives a theoretical Carnot efficiency of about 63% compared with an actual efficiency of 42% for a modern coal-fired power station. This low turbine entry temperature (compared with a gas turbine) is why the Rankine cycle is often used as a bottoming cycle in combined-cycle gas turbine power stations.[citation needed]</t>
  </si>
  <si>
    <t>When did Honda, Toyota and Nissan open US assembly plants?</t>
  </si>
  <si>
    <t>catalytic cascade</t>
  </si>
  <si>
    <t>Having existing utility lines marked lessens the likelihood of what?</t>
  </si>
  <si>
    <t>What religion was Shi Tianze?</t>
  </si>
  <si>
    <t>to civilize the inferior</t>
  </si>
  <si>
    <t>cattle were brought across the river there.</t>
  </si>
  <si>
    <t>William of Orange</t>
  </si>
  <si>
    <t>antiparallel spins</t>
  </si>
  <si>
    <t>What was Old Briton's response to Celeron?</t>
  </si>
  <si>
    <t>smaller, weaker swimmers such as rotifers and mollusc and crustacean larvae</t>
  </si>
  <si>
    <t>1705</t>
  </si>
  <si>
    <t>Shen Kuo</t>
  </si>
  <si>
    <t>What was one of the Norman's major imports?</t>
  </si>
  <si>
    <t>Transform boundaries</t>
  </si>
  <si>
    <t>aerobic</t>
  </si>
  <si>
    <t>What was the goal of congress?</t>
  </si>
  <si>
    <t>1935</t>
  </si>
  <si>
    <t>was not covered in any newspapers</t>
  </si>
  <si>
    <t>Bohemond</t>
  </si>
  <si>
    <t>What does more education lead to when working?</t>
  </si>
  <si>
    <t>passing a stream of clean, dry air through one bed of a pair of identical zeolite molecular sieves, which absorbs the nitrogen</t>
  </si>
  <si>
    <t>French irregular forces</t>
  </si>
  <si>
    <t>Some computer models suggest the rain forest will become threatened after what?</t>
  </si>
  <si>
    <t>much land and housing</t>
  </si>
  <si>
    <t>1.7 billion years ago</t>
  </si>
  <si>
    <t>adopt mainstream Chinese culture</t>
  </si>
  <si>
    <t>What type of number generators make use of military gear?</t>
  </si>
  <si>
    <t>During who's tenure was the University of Chicago Hospitals system destroyed?</t>
  </si>
  <si>
    <t>refuse to enforce a decision</t>
  </si>
  <si>
    <t>In Nepalese private schools, what is the primary language of instruction?</t>
  </si>
  <si>
    <t>The interpretation of Islam promoted by this funding was the strict, conservative Saudi-based Wahhabism or Salafism. In its harshest form it preached that Muslims should not only "always oppose" infidels "in every way," but "hate them for their religion ... for Allah's sake," that democracy "is responsible for all the horrible wars of the 20th century," that Shia and other non-Wahhabi Muslims were infidels, etc. While this effort has by no means converted all, or even most Muslims to the Wahhabist interpretation of Islam, it has done much to overwhelm more moderate local interpretations, and has set the Saudi-interpretation of Islam as the "gold standard" of religion in minds of some or many Muslims.</t>
  </si>
  <si>
    <t>remote</t>
  </si>
  <si>
    <t>Bent Rhine</t>
  </si>
  <si>
    <t>Why was this short termed organization created?</t>
  </si>
  <si>
    <t>pharmacists cannot form business partnerships with physicians or give them "kickback" payments</t>
  </si>
  <si>
    <t>United States Senate Committee on Commerce, Science and Transportation</t>
  </si>
  <si>
    <t>What was Maria de la Quellerie's fathers name?</t>
  </si>
  <si>
    <t>How many sororities are apart of the university?</t>
  </si>
  <si>
    <t>the Court of Justice</t>
  </si>
  <si>
    <t xml:space="preserve"> Who was the director of the American Geographical Society in 1917?</t>
  </si>
  <si>
    <t>What is the name of the residential treatment program the university runs?</t>
  </si>
  <si>
    <t>Who do the contributing authors report to?</t>
  </si>
  <si>
    <t>What is the name of the Egyptian papyrus that suggests that they may have had knowledge of prime numbers?</t>
  </si>
  <si>
    <t>land and housing</t>
  </si>
  <si>
    <t>What is a major importance of Southern California in relation to California and the United States?</t>
  </si>
  <si>
    <t>It was only the orbit of the planet Mercury that Newton's Law of Gravitation seemed not to fully explain. Some astrophysicists predicted the existence of another planet (Vulcan) that would explain the discrepancies; however, despite some early indications, no such planet could be found. When Albert Einstein formulated his theory of general relativity (GR) he turned his attention to the problem of Mercury's orbit and found that his theory added a correction, which could account for the discrepancy. This was the first time that Newton's Theory of Gravity had been shown to be less correct than an alternative.</t>
  </si>
  <si>
    <t>Han Chinese</t>
  </si>
  <si>
    <t>What brand of tractor is manufactured in Broadmeadows?</t>
  </si>
  <si>
    <t>Who created ARPANET in the United States?</t>
  </si>
  <si>
    <t>There are 34 cities in southern California that have a population exceeding what number?</t>
  </si>
  <si>
    <t>What amount of bird species on earth are found in the Amazon rainforest?</t>
  </si>
  <si>
    <t>pertaining to a citizen's relation to the state and its laws</t>
  </si>
  <si>
    <t>A multi-tape Turing machine requires what type of time for a solution?</t>
  </si>
  <si>
    <t>Where in Australia is Victoria located?</t>
  </si>
  <si>
    <t>How many drugs approved by the FDA in 2013 were specialty drugs?</t>
  </si>
  <si>
    <t>Professional and labor organizations</t>
  </si>
  <si>
    <t>When was the first Roman war?</t>
  </si>
  <si>
    <t xml:space="preserve">How many joined the "network"? </t>
  </si>
  <si>
    <t>What is the metric term less used than the Newton?</t>
  </si>
  <si>
    <t>What is used to estimate emissions?</t>
  </si>
  <si>
    <t>The University of Chicago has been the site of some important experiments and academic movements. In economics, the university has played an important role in shaping ideas about the free market and is the namesake of the Chicago school of economics, the school of economic thought supported by Milton Friedman and other economists. The university's sociology department was the first independent sociology department in the United States and gave birth to the Chicago school of sociology. In physics, the university was the site of the Chicago Pile-1 (the first self-sustained man-made nuclear reaction, part of the Manhattan Project), of Robert Millikan's oil-drop experiment that calculated the charge of the electron, and of the development of radiocarbon dating by Willard F. Libby in 1947. The chemical experiment that tested how life originated on early Earth, the Miller–Urey experiment, was conducted at the university. REM sleep was discovered at the university in 1953 by Nathaniel Kleitman and Eugene Aserinsky.</t>
  </si>
  <si>
    <t>Kuznets curve hypothesis</t>
  </si>
  <si>
    <t>What desert is to the south near Arizona?</t>
  </si>
  <si>
    <t>What is the English translation of Kunskapsskolan?</t>
  </si>
  <si>
    <t>water pump</t>
  </si>
  <si>
    <t xml:space="preserve"> What were the Yuan armies too strong to stop?</t>
  </si>
  <si>
    <t>When did Germany invade Poland and in doing so start World War II?</t>
  </si>
  <si>
    <t>Where is the airport located?</t>
  </si>
  <si>
    <t>How much of Victoria's farmland grows hay?</t>
  </si>
  <si>
    <t>How many tree species were found in one square kilometer of Ecuadorian rainforest in 2001?</t>
  </si>
  <si>
    <t>Why is the seating of the debating chamber arranged as it is?</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</si>
  <si>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</si>
  <si>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What did ENR compile in 2004?</t>
  </si>
  <si>
    <t>In Gebhard v Consiglio...Milano, the requirements to be registered in Milan before being able to practice law would be allowed under what conditions?</t>
  </si>
  <si>
    <t>Eureka Stockade</t>
  </si>
  <si>
    <t>San Diego</t>
  </si>
  <si>
    <t>Hospitality Business/Financial Centre</t>
  </si>
  <si>
    <t>What group of people cannot be part of civil disobedience?</t>
  </si>
  <si>
    <t>the killer T cell and the helper T cell</t>
  </si>
  <si>
    <t>Catholic Church in France</t>
  </si>
  <si>
    <t>When did Kublai ban the international Mongol slave trade?</t>
  </si>
  <si>
    <t>tidal</t>
  </si>
  <si>
    <t>What can not be achieved by ensuring different representations can transformed into each other efficiently?</t>
  </si>
  <si>
    <t>Michael Oppenheimer, a long-time participant in the IPCC and coordinating lead author of the Fifth Assessment Report conceded in Science Magazine's State of the Planet 2008-2009 some limitations of the IPCC consensus approach and asks for concurring, smaller assessments of special problems instead of the large scale approach as in the previous IPCC assessment reports. It has become more important to provide a broader exploration of uncertainties. Others see as well mixed blessings of the drive for consensus within the IPCC process and ask to include dissenting or minority positions or to improve statements about uncertainties.</t>
  </si>
  <si>
    <t>Ludwig von Nassau-Saarbrücken</t>
  </si>
  <si>
    <t>Over 100 Egyptian police were victims of what group's campaign of terror?</t>
  </si>
  <si>
    <t>What is the lower thermal boundary layer called?</t>
  </si>
  <si>
    <t>In what year did Joseph Priestley recognize oxygen?</t>
  </si>
  <si>
    <t>What free TV platform was most popular in Europe at this time?</t>
  </si>
  <si>
    <t>the exploitation of the valuable assets and supplies</t>
  </si>
  <si>
    <t>the original message/data is reassembled in the correct order, based on the packet sequence number</t>
  </si>
  <si>
    <t>What force is due to attractive forces of interaction?</t>
  </si>
  <si>
    <t>Thomas Newcomen</t>
  </si>
  <si>
    <t>20th century</t>
  </si>
  <si>
    <t>1965</t>
  </si>
  <si>
    <t>Who won the Nobel Prize in 1905?</t>
  </si>
  <si>
    <t>present-day Waterford, Pennsylvania</t>
  </si>
  <si>
    <t>50 kilopascals</t>
  </si>
  <si>
    <t>What title did Latham Milton hold?</t>
  </si>
  <si>
    <t>the U.S.</t>
  </si>
  <si>
    <t>Any member</t>
  </si>
  <si>
    <t>The loss of biodiversity may be the result of what, according to environmentalists?</t>
  </si>
  <si>
    <t>osmotic pressure</t>
  </si>
  <si>
    <t>gain the support of the British and regain authority over his own people</t>
  </si>
  <si>
    <t>Rhind</t>
  </si>
  <si>
    <t>How long would the invasion of the Middle East have to last in order to develop renewable resources?</t>
  </si>
  <si>
    <t>During the mid-Eocene, it is believed that the drainage basin of the Amazon was split along the middle of the continent by the Purus Arch. Water on the eastern side flowed toward the Atlantic, while to the west water flowed toward the Pacific across the Amazonas Basin. As the Andes Mountains rose, however, a large basin was created that enclosed a lake; now known as the Solimões Basin. Within the last 5–10 million years, this accumulating water broke through the Purus Arch, joining the easterly flow toward the Atlantic.</t>
  </si>
  <si>
    <t>How does Victoria rank as to population density?</t>
  </si>
  <si>
    <t>reduce consumer costs</t>
  </si>
  <si>
    <t>about 1820</t>
  </si>
  <si>
    <t>Anarchists do not want to accept punishment for what reason?</t>
  </si>
  <si>
    <t>Napoleon</t>
  </si>
  <si>
    <t>Central Asian Muslims</t>
  </si>
  <si>
    <t>Germany doesn't have an imperialistic past until when?</t>
  </si>
  <si>
    <t>What year did Joseph Louis von Humboldt define the formula for water?</t>
  </si>
  <si>
    <t>almost a month</t>
  </si>
  <si>
    <t>exaggerating their seriousness</t>
  </si>
  <si>
    <t>What is the name of the function used for the smallest integer not greater than the number in question?</t>
  </si>
  <si>
    <t>procedural consequence</t>
  </si>
  <si>
    <t>Where is the home of the Sunnyside Country Club?</t>
  </si>
  <si>
    <t>What sorts of items are never displayed in the Esteve Pharmacy museum?</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</si>
  <si>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</si>
  <si>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When did Western governments support fledgling Islamists?</t>
  </si>
  <si>
    <t>kinematic measurements</t>
  </si>
  <si>
    <t>People of what nationality invented the HMS Dreadnought?</t>
  </si>
  <si>
    <t>Ruhr</t>
  </si>
  <si>
    <t>Finsteraarhorn, t</t>
  </si>
  <si>
    <t>study of sedimentary layers</t>
  </si>
  <si>
    <t>What does the neutralizing immune response mean for drugs based on smaller peptides and proteins?</t>
  </si>
  <si>
    <t>Of course, some complexity classes have complicated definitions that do not fit into this framework. Thus, a typical complexity class has a definition like the following:</t>
  </si>
  <si>
    <t>distributed computing</t>
  </si>
  <si>
    <t>What year did the university open a center in Hong Kong?</t>
  </si>
  <si>
    <t>How did the Camden 28 decide to submit themselves to the court after pleading guilty?</t>
  </si>
  <si>
    <t>Who is the President of Afghanistan?</t>
  </si>
  <si>
    <t>What was the price of a barrel of oil in 1970?</t>
  </si>
  <si>
    <t>Baillie-PSW,</t>
  </si>
  <si>
    <t>about half of Naples' 300,000 inhabitants</t>
  </si>
  <si>
    <t>How must legislation in member states which implements EU law must not be worded?</t>
  </si>
  <si>
    <t>What percentile of gross domestic product is construction comprised of?</t>
  </si>
  <si>
    <t>The Rhine forms an inland delta into which lake?</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</si>
  <si>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</si>
  <si>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was Maria Wola the first female recipient of?</t>
  </si>
  <si>
    <t>Where do pharmacists not go following pharmacy school?</t>
  </si>
  <si>
    <t>What cells mount a weak response if a pathogen is detected again?</t>
  </si>
  <si>
    <t>Almost all species are hermaphrodites, in other words they function as both males and females at the same time – except that in two species of the genus Ocryopsis individuals remain of the same single sex all their lives. The gonads are located in the parts of the internal canal network under the comb rows, and eggs and sperm are released via pores in the epidermis. Fertilization is external in most species, but platyctenids use internal fertilization and keep the eggs in brood chambers until they hatch. Self-fertilization has occasionally been seen in species of the genus Mnemiopsis, and it is thought that most of the hermaphroditic species are self-fertile.</t>
  </si>
  <si>
    <t>The embargo</t>
  </si>
  <si>
    <t xml:space="preserve">One key figure in the plans for what would come to be known as American Empire, was a geographer named Isiah Bowman. Bowman was the director of the American Geographical Society in 1914. Three years later in 1917, he was appointed to then President Woodrow Wilson's inquiry in 1917. The inquiry was the idea of President Wilson and the American delegation from the Paris Peace Conference. The point of this inquiry was to build a premise that would allow for U.S authorship of a 'new world' which was to be characterized by geographical order. As a result of his role in the inquiry, Isiah Bowman would come to be known as Wilson's geographer. </t>
  </si>
  <si>
    <t>syrenka</t>
  </si>
  <si>
    <t>Do adults or juveniles secretions luminesce brighter?</t>
  </si>
  <si>
    <t>What do current ctenophores have that fossils found did not have?</t>
  </si>
  <si>
    <t>Where are winter temperature ranges 90-60s?</t>
  </si>
  <si>
    <t>more like true larvae</t>
  </si>
  <si>
    <t>When there are many workers competing for a many jobs its considered as what?</t>
  </si>
  <si>
    <t>In 1755 what fort did British surrender?</t>
  </si>
  <si>
    <t>What other role do many pharmacists play?</t>
  </si>
  <si>
    <t>What happened after Henry Ware and Samuel Webber died?</t>
  </si>
  <si>
    <t>In recent years the characteristic that has strongly correlated with health in developed countries is income inequality. Creating an index of "Health and Social Problems" from nine factors, authors Richard Wilkinson and Kate Pickett found health and social problems "more common in countries with bigger income inequalities", and more common among states in the US with larger income inequalities. Other studies have confirmed this relationship. The UNICEF index of "child well-being in rich countries", studying 40 indicators in 22 countries, correlates with greater equality but not per capita income.</t>
  </si>
  <si>
    <t>What group is set up to scrutinize private bills submitted to the Spanish Parliament?</t>
  </si>
  <si>
    <t>What school option were parents of minority children given to convert to?</t>
  </si>
  <si>
    <t>not be directly connected to ARPANET</t>
  </si>
  <si>
    <t>What is inequality associated with lower levels of?</t>
  </si>
  <si>
    <t>power windows</t>
  </si>
  <si>
    <t>22,000 years ago</t>
  </si>
  <si>
    <t>University Athletic Association (UAA)</t>
  </si>
  <si>
    <t>What action was taken against Japan on December 25th to make them change their policy?</t>
  </si>
  <si>
    <t>1850s</t>
  </si>
  <si>
    <t>How would one abbreviate T(n)=8n2 + 16n = 40 in big O notatation?</t>
  </si>
  <si>
    <t>Thailand</t>
  </si>
  <si>
    <t>What is the Victoria state fish?</t>
  </si>
  <si>
    <t>Who should be concerned with the trend to under state the effects of climate change?</t>
  </si>
  <si>
    <t>What serves as a biological barrier by competing for space and food in the GI tract?</t>
  </si>
  <si>
    <t>How many volumes are contained in the library?</t>
  </si>
  <si>
    <t>of highest 'social efficiency</t>
  </si>
  <si>
    <t>Pakistan</t>
  </si>
  <si>
    <t>Who may members direct questions towards during General Question Time?</t>
  </si>
  <si>
    <t>the People’s Republic of China</t>
  </si>
  <si>
    <t>What are undergraduates required to take to satisfy the Chicago Core curriculum?</t>
  </si>
  <si>
    <t>value of the spin,</t>
  </si>
  <si>
    <t>When can oxygen gas produce a toxic condition?</t>
  </si>
  <si>
    <t>What did Ibn Sina, who lived from 1031-1095 base his hypothesis for land formation on?</t>
  </si>
  <si>
    <t>What are located in Northern downtown San Diego?</t>
  </si>
  <si>
    <t xml:space="preserve"> How was Kublai's administration running out of money?</t>
  </si>
  <si>
    <t>Medical University of Warsaw</t>
  </si>
  <si>
    <t>Theodor Fontane</t>
  </si>
  <si>
    <t>What do building inspectors do about utility lines?</t>
  </si>
  <si>
    <t>1806-07.</t>
  </si>
  <si>
    <t>When did the Archduke Sigismund of Austria die?</t>
  </si>
  <si>
    <t>How many miners died in the typhoid outbreak of 1854?</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</si>
  <si>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</si>
  <si>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Where do juvenile platyctenids live?</t>
  </si>
  <si>
    <t>it obscures the fact that Indians fought on both sides of the conflict</t>
  </si>
  <si>
    <t>punish the Miami people of Pickawillany</t>
  </si>
  <si>
    <t>What are the least important mediators in the activation of the adaptive immune system?</t>
  </si>
  <si>
    <t>Who did Abercrombie replace as captain in chief?</t>
  </si>
  <si>
    <t>Th1 immune responses</t>
  </si>
  <si>
    <t>What two areas in the Republic were first to grant rights to the Huguenots?</t>
  </si>
  <si>
    <t>Ranked positions</t>
  </si>
  <si>
    <t>Newton's Second Law asserts the direct proportionality of acceleration to force and the inverse proportionality of acceleration to mass. Accelerations can be defined through kinematic measurements. However, while kinematics are well-described through reference frame analysis in advanced physics, there are still deep questions that remain as to what is the proper definition of mass. General relativity offers an equivalence between space-time and mass, but lacking a coherent theory of quantum gravity, it is unclear as to how or whether this connection is relevant on microscales. With some justification, Newton's second law can be taken as a quantitative definition of mass by writing the law as an equality; the relative units of force and mass then are fixed.</t>
  </si>
  <si>
    <t>What was the outcome of living in the California Redwood tree?</t>
  </si>
  <si>
    <t>What year was the third assessment report published?</t>
  </si>
  <si>
    <t>Momus</t>
  </si>
  <si>
    <t>Other than the Automobile Club of Southern California, what other AAA Auto Club chose to simplify the divide?</t>
  </si>
  <si>
    <t>What did the European Community not originally focus on?</t>
  </si>
  <si>
    <t>Edinburgh</t>
  </si>
  <si>
    <t>In what year did Roger Rocka's Dinner Theater &amp; Good Company Players open?</t>
  </si>
  <si>
    <t>What subtle tool can be used in an informal imperialistic situation to expand a controlled area?</t>
  </si>
  <si>
    <t>What properties are there in crystals?</t>
  </si>
  <si>
    <t>one of the most influential</t>
  </si>
  <si>
    <t>English Premier League Football</t>
  </si>
  <si>
    <t>Where is Polonia's home venue located?</t>
  </si>
  <si>
    <t>October 1973</t>
  </si>
  <si>
    <t>reduce</t>
  </si>
  <si>
    <t>What is KMJ now referred to?</t>
  </si>
  <si>
    <t>uniquely determined</t>
  </si>
  <si>
    <t>After what year did marine locomotives cease to be used in Britain?</t>
  </si>
  <si>
    <t>members of the Organization of Arab Petroleum Exporting Countries</t>
  </si>
  <si>
    <t>How do other researchers believe Porifera evolved and developed its neural cells?</t>
  </si>
  <si>
    <t>kick back</t>
  </si>
  <si>
    <t>What type of venue is the Teatr Wielki?</t>
  </si>
  <si>
    <t>What do increased greenhouse gases cause?</t>
  </si>
  <si>
    <t>What is attributed to the income inequality in the United Nations?</t>
  </si>
  <si>
    <t>Competition amongst workers</t>
  </si>
  <si>
    <t>United Nations Environment Programme (UNEP) and the World Meteorological Organization (WMO)</t>
  </si>
  <si>
    <t>tax base dissipated</t>
  </si>
  <si>
    <t>The first item of business on Wednesdays is usually Time for Reflection, at which a speaker addresses members for up to four minutes, sharing a perspective on issues of faith. This contrasts with the formal style of "Prayers", which is the first item of business in meetings of the House of Commons. Speakers are drawn from across Scotland and are chosen to represent the balance of religious beliefs according to the Scottish census. Invitations to address Parliament in this manner are determined by the Presiding Officer on the advice of the parliamentary bureau. Faith groups can make direct representations to the Presiding Officer to nominate speakers.</t>
  </si>
  <si>
    <t>OC-48c</t>
  </si>
  <si>
    <t>What is the expression not used to denote worst case complexity as expressed by time taken?</t>
  </si>
  <si>
    <t>Uni in the USA</t>
  </si>
  <si>
    <t>With what body must a pharmacy technician register?</t>
  </si>
  <si>
    <t>X.25 and X.121 allowed what to happen?</t>
  </si>
  <si>
    <t>about 500</t>
  </si>
  <si>
    <t>What is a protein that is closely intertwined with circadian rhythms?</t>
  </si>
  <si>
    <t>At Millingen aan de Rijn where the Rhine splits, what does it change it's name to?</t>
  </si>
  <si>
    <t>What museum preserves the memory of independence?</t>
  </si>
  <si>
    <t>What does not often yield complexity classes that depend on the chosen machine model?</t>
  </si>
  <si>
    <t>Who was the first chair of the IPCC?</t>
  </si>
  <si>
    <t>the Privy Council</t>
  </si>
  <si>
    <t>What scientific field's theory has received contributions from the Rankine engine?</t>
  </si>
  <si>
    <t>computational power</t>
  </si>
  <si>
    <t>Who suggested that imperialism was the "lowest" form of capitalism?</t>
  </si>
  <si>
    <t>113</t>
  </si>
  <si>
    <t>a substance like wood gains overall weight in burning</t>
  </si>
  <si>
    <t>Who was made rich and prosperous prior to World War 1</t>
  </si>
  <si>
    <t>New Collegiate Division</t>
  </si>
  <si>
    <t>What is the tuititon used for at military academies?</t>
  </si>
  <si>
    <t>"Bricks for Warsaw"</t>
  </si>
  <si>
    <t xml:space="preserve"> Who did the Yuan's decrease in commerce help?</t>
  </si>
  <si>
    <t>In what year were Polymerase Chain Reactions first used by researchers?</t>
  </si>
  <si>
    <t>How many women were employed in construction in 2011?</t>
  </si>
  <si>
    <t>Who defeated Montcalm at Montreal?</t>
  </si>
  <si>
    <t>immunoglobulins</t>
  </si>
  <si>
    <t>What do self molecules bind to?</t>
  </si>
  <si>
    <t>antigen</t>
  </si>
  <si>
    <t xml:space="preserve"> What administrative division did Kublai leave modified?</t>
  </si>
  <si>
    <t>use the arrest as an opportunity</t>
  </si>
  <si>
    <t>In May 2002, where would you go to address the Parliament?</t>
  </si>
  <si>
    <t>six regiments to New France</t>
  </si>
  <si>
    <t>Shing-Tung Yau</t>
  </si>
  <si>
    <t>early 11th century</t>
  </si>
  <si>
    <t>What title was the Social Charter not set to be included into the Masstricht treaty under?</t>
  </si>
  <si>
    <t>Supreme Court case of FCC v. Pacifica Foundation</t>
  </si>
  <si>
    <t>What is nitrogen more water soluble than?</t>
  </si>
  <si>
    <t>How high is the natural sedimentation by the Rhine?</t>
  </si>
  <si>
    <t>mainstream Indian nationalist and secularist Indian National Congress</t>
  </si>
  <si>
    <t>What acceptance rate does the Early Action program have for 2019?</t>
  </si>
  <si>
    <t>How many square miles large was the region impacted by the 2010 drought?</t>
  </si>
  <si>
    <t>In what year did Newcomen's engine pump in a mine?</t>
  </si>
  <si>
    <t>by a fee per unit of information transmitted</t>
  </si>
  <si>
    <t>Metrolink</t>
  </si>
  <si>
    <t>What is trioxygen (O2) known as?</t>
  </si>
  <si>
    <t>When less workers are required, what happens to the job market?</t>
  </si>
  <si>
    <t>declare martial law</t>
  </si>
  <si>
    <t>combustible</t>
  </si>
  <si>
    <t>How long did plague last in the Ottoman empire?</t>
  </si>
  <si>
    <t xml:space="preserve"> What is the goal of non-Islamist groups like Hezbollah and Hamas?</t>
  </si>
  <si>
    <t>How many times less is the strenght of the weak field compared to the strong?</t>
  </si>
  <si>
    <t>What does ctenophora use for digestion and respiration?</t>
  </si>
  <si>
    <t>hemicycle</t>
  </si>
  <si>
    <t>unknown or unexplored territory</t>
  </si>
  <si>
    <t>drainage channels</t>
  </si>
  <si>
    <t>greater equality</t>
  </si>
  <si>
    <t>decrease in the price of skilled labor</t>
  </si>
  <si>
    <t>An evaporative cooling tower is also referred to as what kind of cooling tower?</t>
  </si>
  <si>
    <t>When was the heatwave in which Wimmera recorded its highest temperature?</t>
  </si>
  <si>
    <t>What rituals did Kublai follow to help his image?</t>
  </si>
  <si>
    <t>What is the major tributary of Lake Constance?</t>
  </si>
  <si>
    <t>What only exists outside of jawed vertebrates?</t>
  </si>
  <si>
    <t>Tethys</t>
  </si>
  <si>
    <t>$12</t>
  </si>
  <si>
    <t>over the winter of 1973–74</t>
  </si>
  <si>
    <t>innate immune system versus the adaptive immune system</t>
  </si>
  <si>
    <t>How do the yes/no answers of a complement problem of NP appear?</t>
  </si>
  <si>
    <t>"entrenched" provisions</t>
  </si>
  <si>
    <t>Pharmacists provide direct patient care services that optimizes the use of medication and promotes health, wellness, and disease prevention. Clinical pharmacists care for patients in all health care settings, but the clinical pharmacy movement initially began inside hospitals and clinics. Clinical pharmacists often collaborate with physicians and other healthcare professionals to improve pharmaceutical care. Clinical pharmacists are now an integral part of the interdisciplinary approach to patient care. They often participate in patient care rounds drug product selection.</t>
  </si>
  <si>
    <t>OAPEC proclaimed the embargo that curbed exports to various countries</t>
  </si>
  <si>
    <t>Who designed the garden for the Marek Library?</t>
  </si>
  <si>
    <t>What Nobel Memorial Prize in Economic Sciences winner is also a university alumni member?</t>
  </si>
  <si>
    <t>Eventually, the Normans merged with the natives, combining languages and traditions. In the course of the Hundred Years' War, the Norman aristocracy often identified themselves as English. The Anglo-Norman language became distinct from the Latin language, something that was the subject of some humour by Geoffrey Chaucer. The Anglo-Norman language was eventually absorbed into the Anglo-Saxon language of their subjects (see Old English) and influenced it, helping (along with the Norse language of the earlier Anglo-Norse settlers and the Latin used by the church) in the development of Middle English. It in turn evolved into Modern English.</t>
  </si>
  <si>
    <t>Public Bill Committees have been set up to do what?</t>
  </si>
  <si>
    <t>thousands of years</t>
  </si>
  <si>
    <t>What does a basic program also require?</t>
  </si>
  <si>
    <t>continued gender inequality in education</t>
  </si>
  <si>
    <t>What did the increase in skilled workers lead to?</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</si>
  <si>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</si>
  <si>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between P and PSPACE</t>
  </si>
  <si>
    <t>How does one obtain an indefinite definition of this language?</t>
  </si>
  <si>
    <t>Where did two of Oppman's daughters set out on a journey through?</t>
  </si>
  <si>
    <t>Who would the occupation alienate?</t>
  </si>
  <si>
    <t>In which etude of Neumes rythmiques do the primes 41, 43, 47 and 53 appear in?</t>
  </si>
  <si>
    <t>What have scientists proposed using to characterize plant platform status?</t>
  </si>
  <si>
    <t>How does Melbourne rank as to population?</t>
  </si>
  <si>
    <t>1.5 m (4 ft 11 in)</t>
  </si>
  <si>
    <t>In the shallow crust</t>
  </si>
  <si>
    <t>How is unregistered property held in informal form?</t>
  </si>
  <si>
    <t>How many parts does the consideration of a bill in Stage 3 have?</t>
  </si>
  <si>
    <t>What did Jacksonville suffer from following World War I?</t>
  </si>
  <si>
    <t>extremely high humidity</t>
  </si>
  <si>
    <t>Most went to Cuba,</t>
  </si>
  <si>
    <t>1720</t>
  </si>
  <si>
    <t>the spirit of protest should be maintained all the way</t>
  </si>
  <si>
    <t>increasing crime and poverty in the Hyde Park neighborhood</t>
  </si>
  <si>
    <t>11,000 years</t>
  </si>
  <si>
    <t>What does pharmacy legislation never mandate?</t>
  </si>
  <si>
    <t>What do mesoglea adapt to when relying on brackish water?</t>
  </si>
  <si>
    <t>Egyptians</t>
  </si>
  <si>
    <t>the United Nations Framework Convention on Climate Change (UNFCCC),</t>
  </si>
  <si>
    <t>Pierre Bayle</t>
  </si>
  <si>
    <t>What are environmentalists concerned about losing in the Amazon forest?</t>
  </si>
  <si>
    <t>several hundred</t>
  </si>
  <si>
    <t>Rhijn</t>
  </si>
  <si>
    <t>What was the BBN monopoly's reaction to Roberts?</t>
  </si>
  <si>
    <t>What do SAT solvers not usually handle when testing?</t>
  </si>
  <si>
    <t>economists with the Standard &amp; Poor's rating agency</t>
  </si>
  <si>
    <t>€25,000</t>
  </si>
  <si>
    <t>Where did one of Triton's daughters decide she wanted to hang out and stay?</t>
  </si>
  <si>
    <t>Why did Radcliffe College students stop residing at Sever Hall?</t>
  </si>
  <si>
    <t>What is the name of the border to the south?</t>
  </si>
  <si>
    <t>their finances</t>
  </si>
  <si>
    <t>participate in economic life "on a stable and continuous basis"</t>
  </si>
  <si>
    <t>What does the Islamic State lack from the international community?</t>
  </si>
  <si>
    <t>rotary</t>
  </si>
  <si>
    <t>religious freedom in the Polish–Lithuanian Commonwealth</t>
  </si>
  <si>
    <t xml:space="preserve"> Who was Kublai Khan's uncle?</t>
  </si>
  <si>
    <t>nuclear force</t>
  </si>
  <si>
    <t>materia medica</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</si>
  <si>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</si>
  <si>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What did most people not require regarding social advantages?</t>
  </si>
  <si>
    <t>£15–100,000</t>
  </si>
  <si>
    <t>Who was the worlds second largest wheat exporter to the middle east?</t>
  </si>
  <si>
    <t>What has crime rate been show to be correlated with in a society?</t>
  </si>
  <si>
    <t>While the concept of a "social market economy" was only introduced into EU law in 2007, free movement and trade were central to European development since the Treaty of Rome 1957. According to the standard theory of comparative advantage, two countries can both benefit from trade even if one of them has a less productive economy in all respects. Like in other regional organisations such as the North American Free Trade Association, or the World Trade Organisation, breaking down barriers to trade, and enhancing free movement of goods, services, labour and capital, is meant to reduce consumer prices. It was originally theorised that a free trade area had a tendency to give way to a customs union, which led to a common market, then monetary union, then union of monetary and fiscal policy, political and eventually a full union characteristic of a federal state. In Europe, however, those stages were considerably mixed, and it remains unclear whether the "endgame" should be the same as a state, traditionally understood. In practice free trade, without standards to ensure fair trade, can benefit some people and groups within countries (particularly big business) much more than others, but will burden people who lack bargaining power in an expanding market, particularly workers, consumers, small business, developing industries, and communities. The Treaty on the Functioning of the European Union articles 28 to 37 establish the principle of free movement of goods in the EU, while articles 45 to 66 require free movement of persons, services and capital. These so-called "four freedoms" were thought to be inhibited by physical barriers (e.g. customs), technical barriers (e.g. differing laws on safety, consumer or environmental standards) and fiscal barriers (e.g. different Value Added Tax rates). The tension in the law is that the free movement and trade is not supposed to spill over into a licence for unrestricted commercial profit. The Treaties limit free trade, to prioritise other values such as public health, consumer protection, labour rights, fair competition, and environmental improvement. Increasingly the Court of Justice has taken the view that the specific goals of free trade are underpinned by the general aims of the treaty for improvement of people's well being.</t>
  </si>
  <si>
    <t>Commission v France French</t>
  </si>
  <si>
    <t>a modern context</t>
  </si>
  <si>
    <t>Who believed that civil disobedience should only be used against governmental entities?</t>
  </si>
  <si>
    <t>When was it discovered that prime numbers could be applied to the creation of public key military algorithms?</t>
  </si>
  <si>
    <t>Stage 2 of the bill is where who is in charge of the bill?</t>
  </si>
  <si>
    <t>Who announced it would embargo oil shipments to the US?</t>
  </si>
  <si>
    <t>How are public schools funded?</t>
  </si>
  <si>
    <t>The Pleistocene epoch takes place during which period?</t>
  </si>
  <si>
    <t>drowned</t>
  </si>
  <si>
    <t>What major conquest did Tancred play a roll in?</t>
  </si>
  <si>
    <t>What did the Warsaw Confederation formally establish in 1573?</t>
  </si>
  <si>
    <t>commercial, scientific, and cultural</t>
  </si>
  <si>
    <t>Jacksonville has suffered less damage from hurricanes than most other east coast cities, although the threat does exist for a direct hit by a major hurricane. The city has only received one direct hit from a hurricane since 1871; however, Jacksonville has experienced hurricane or near-hurricane conditions more than a dozen times due to storms crossing the state from the Gulf of Mexico to the Atlantic Ocean, or passing to the north or south in the Atlantic and brushing past the area. The strongest effect on Jacksonville was from Hurricane Dora in 1964, the only recorded storm to hit the First Coast with sustained hurricane-force winds. The eye crossed St. Augustine with winds that had just barely diminished to 110 mph (180 km/h), making it a strong Category 2 on the Saffir-Simpson Scale. Jacksonville also suffered damage from 2008's Tropical Storm Fay which crisscrossed the state, bringing parts of Jacksonville under darkness for four days. Similarly, four years prior to this, Jacksonville was inundated by Hurricane Frances and Hurricane Jeanne, which made landfall south of the area. These tropical cyclones were the costliest indirect hits to Jacksonville. Hurricane Floyd in 1999 caused damage mainly to Jacksonville Beach. During Floyd, the Jacksonville Beach pier was severely damaged, and later demolished. The rebuilt pier was later damaged by Fay, but not destroyed. Tropical Storm Bonnie would cause minor damage in 2004, spawning a minor tornado in the process. On May 28, 2012, Jacksonville was hit by Tropical Storm Beryl, packing winds up to 70 miles per hour (113 km/h) which made landfall near Jacksonville Beach.</t>
  </si>
  <si>
    <t>What does the Treaty of Lisbon allow today?</t>
  </si>
  <si>
    <t>When was Middle and Western Francia formed?</t>
  </si>
  <si>
    <t>What does a writer for the International Crisis Group think the concept of political Islam is a creation of?</t>
  </si>
  <si>
    <t>How many chapters have coordinating lead authors?</t>
  </si>
  <si>
    <t>deselected as official party candidates during future elections</t>
  </si>
  <si>
    <t>condensers</t>
  </si>
  <si>
    <t>Donald Tusk</t>
  </si>
  <si>
    <t>1998</t>
  </si>
  <si>
    <t>What do anarchists feel they must accept as a consequence of their actions in breaking the law?</t>
  </si>
  <si>
    <t>What are weak and electromatic forces expressions of?</t>
  </si>
  <si>
    <t>What two resources are uncommonly consumed by alternate models and are typically known to vary?</t>
  </si>
  <si>
    <t>What is a net of projects and other legal exchanges?</t>
  </si>
  <si>
    <t>colonizing</t>
  </si>
  <si>
    <t>How much capital did Danish law require to start a company?</t>
  </si>
  <si>
    <t>Victorian schools are either publicly or privately funded. Public schools, also known as state or government schools, are funded and run directly by the Victoria Department of Education . Students do not pay tuition fees, but some extra costs are levied. Private fee-paying schools include parish schools run by the Roman Catholic Church and independent schools similar to British public schools. Independent schools are usually affiliated with Protestant churches. Victoria also has several private Jewish and Islamic primary and secondary schools. Private schools also receive some public funding. All schools must comply with government-set curriculum standards. In addition, Victoria has four government selective schools, Melbourne High School for boys, MacRobertson Girls' High School for girls, the coeducational schools John Monash Science School, Nossal High School and Suzanne Cory High School, and The Victorian College of the Arts Secondary School. Students at these schools are exclusively admitted on the basis of an academic selective entry test.</t>
  </si>
  <si>
    <t>What enables the Scottish Parliament to scrutinize the government?</t>
  </si>
  <si>
    <t>Magnetic stratigraphers</t>
  </si>
  <si>
    <t>Newtonian mechanics</t>
  </si>
  <si>
    <t>1347</t>
  </si>
  <si>
    <t>What does the magma chamber evolution explain?</t>
  </si>
  <si>
    <t>system to function</t>
  </si>
  <si>
    <t>Where did one of Oppman's daughters decide she wanted to hang out and stay?</t>
  </si>
  <si>
    <t>How many unmarried opposite-sex partnerships had kids?</t>
  </si>
  <si>
    <t>host computers (servers)at thousands of large companies, educational institutions, and government agencies</t>
  </si>
  <si>
    <t>Research by Harvard economist Robert Barro, found that there is "little overall relation between income inequality and rates of growth and investment". According to work by Barro in 1999 and 2000, high levels of inequality reduce growth in relatively poor countries but encourage growth in richer countries. A study of Swedish counties between 1960 and 2000 found a positive impact of inequality on growth with lead times of five years or less, but no correlation after ten years. Studies of larger data sets have found no correlations for any fixed lead time, and a negative impact on the duration of growth.</t>
  </si>
  <si>
    <t>What medical treatment is used to increase oxygen uptake in a patient?</t>
  </si>
  <si>
    <t>What specific groups are found within the Mexican-American population?</t>
  </si>
  <si>
    <t>terrorist groups</t>
  </si>
  <si>
    <t>What does pumping in regular seawater do to  its bulk?</t>
  </si>
  <si>
    <t>laboratory</t>
  </si>
  <si>
    <t>Kurt Vonnegut</t>
  </si>
  <si>
    <t>How did Turabi build a strong economic base?</t>
  </si>
  <si>
    <t>When is the Members Debate held?</t>
  </si>
  <si>
    <t>WMO</t>
  </si>
  <si>
    <t>Chevrolet Bel Air, and Ford Galaxie 500</t>
  </si>
  <si>
    <t>infinitely</t>
  </si>
  <si>
    <t>When was State Route 99 Freeway built?</t>
  </si>
  <si>
    <t>low ratio of organic matter to salt and water</t>
  </si>
  <si>
    <t>strong sedimentation in the western Rhine Delta</t>
  </si>
  <si>
    <t>In the 1890s, the University of Chicago, fearful that its vast resources would injure smaller schools by drawing away good students, affiliated with several regional colleges and universities: Des Moines College, Kalamazoo College, Butler University, and Stetson University. In 1896, the university affiliated with Shimer College in Mount Carroll, Illinois. Under the terms of the affiliation, the schools were required to have courses of study comparable to those at the university, to notify the university early of any contemplated faculty appointments or dismissals, to make no faculty appointment without the university's approval, and to send copies of examinations for suggestions. The University of Chicago agreed to confer a degree on any graduating senior from an affiliated school who made a grade of A for all four years, and on any other graduate who took twelve weeks additional study at the University of Chicago. A student or faculty member of an affiliated school was entitled to free tuition at the University of Chicago, and Chicago students were eligible to attend an affiliated school on the same terms and receive credit for their work. The University of Chicago also agreed to provide affiliated schools with books and scientific apparatus and supplies at cost; special instructors and lecturers without cost except travel expenses; and a copy of every book and journal published by the University of Chicago Press at no cost. The agreement provided that either party could terminate the affiliation on proper notice. Several University of Chicago professors disliked the program, as it involved uncompensated additional labor on their part, and they believed it cheapened the academic reputation of the university. The program passed into history by 1910.</t>
  </si>
  <si>
    <t xml:space="preserve">In cases of non shared medium how are packets delivered? </t>
  </si>
  <si>
    <t>Who stated a change of the length of the Rhine?</t>
  </si>
  <si>
    <t>Besides the North Sea and the Irish Channel, what else was lowered in the last cold phase?</t>
  </si>
  <si>
    <t>the European Court of Human Rights</t>
  </si>
  <si>
    <t>Under which policy are labor unions encouraged?</t>
  </si>
  <si>
    <t>MHC class I molecules</t>
  </si>
  <si>
    <t>When did Robert Koch discover the yellow fever virus?</t>
  </si>
  <si>
    <t>Who did the army siege belong to?</t>
  </si>
  <si>
    <t>suite of network protocols created by Digital Equipment Corporation</t>
  </si>
  <si>
    <t>photolysis of ozone by light of short wavelength</t>
  </si>
  <si>
    <t>Paul Revere was descended from Huguenot refugees, as was Henry Laurens, who signed the Articles of Confederation for South Carolina; Jack Jouett, who made the ride from Cuckoo Tavern to warn Thomas Jefferson and others that Tarleton and his men were on their way to arrest him for crimes against the king; Francis Marion, and a number of other leaders of the American Revolution and later statesmen. The last active Huguenot congregation in North America worships in Charleston, South Carolina, at a church that dates to 1844. The Huguenot Society of America maintains Manakin Episcopal Church in Virginia as an historic shrine with occasional services. The Society has chapters in numerous states, with the one in Texas being the largest.</t>
  </si>
  <si>
    <t>Alberto Calderón</t>
  </si>
  <si>
    <t>What is a quarter of Warsaw filled with?</t>
  </si>
  <si>
    <t>When did the Iranian government not get a resurgence?</t>
  </si>
  <si>
    <t xml:space="preserve">What principle relates to the formation of faults and the age of the sequences through which they cut? </t>
  </si>
  <si>
    <t>What happens when B cells and T cells are deactivated?</t>
  </si>
  <si>
    <t>What career doesn't Joseph Stiglitz have?</t>
  </si>
  <si>
    <t>mouth of the Monongahela River (the site of present-day Pittsburgh, Pennsylvania)</t>
  </si>
  <si>
    <t>Because of the danger inherent in concentrated oxygen, what is a concern about keeping it?</t>
  </si>
  <si>
    <t>Qwest</t>
  </si>
  <si>
    <t>Who wrote the paper "Reductibility Among Combinatorial Problems" in 1974?</t>
  </si>
  <si>
    <t>When was the National Highway Designated Act signed?</t>
  </si>
  <si>
    <t>Who explored Ohio territory in 1750?</t>
  </si>
  <si>
    <t>When was the colony destroyed?</t>
  </si>
  <si>
    <t>What type of heating element is often used in toy chamber engines?</t>
  </si>
  <si>
    <t>When did England formally end war on France?</t>
  </si>
  <si>
    <t>What year is the earliest traces of the color Crimson at Harvard?</t>
  </si>
  <si>
    <t>How many Medieval Warm Period reconstructions covered 1,000+ years?</t>
  </si>
  <si>
    <t>Who is a Nobel prize winning prior novelist?</t>
  </si>
  <si>
    <t>WBAI's broadcasting Some of George Carlin's comedy eventually led to what?</t>
  </si>
  <si>
    <t>decline of organized labor</t>
  </si>
  <si>
    <t>6,000 square kilometres</t>
  </si>
  <si>
    <t>it would undermine the law by encouraging general disobedience</t>
  </si>
  <si>
    <t>the physician has a financial self-interest in "diagnosing" as many conditions as possible</t>
  </si>
  <si>
    <t>Which species are ribbon-shaped planktonic animals?</t>
  </si>
  <si>
    <t>What changes macroscopic closed system energies?</t>
  </si>
  <si>
    <t>Oxford's Magdalen Tower</t>
  </si>
  <si>
    <t>individual state laws</t>
  </si>
  <si>
    <t>What former studio in Jacksonville has been converted to a modern film Museum?</t>
  </si>
  <si>
    <t>failed</t>
  </si>
  <si>
    <t>What flows out of the former bay Hollands Diep?</t>
  </si>
  <si>
    <t>in areas its forces occupied in Eastern Europe</t>
  </si>
  <si>
    <t>What does a country acquire as it develops?</t>
  </si>
  <si>
    <t>Immunology</t>
  </si>
  <si>
    <t>What forces should serve as a brake on wealth concentration?</t>
  </si>
  <si>
    <t xml:space="preserve"> What didn't happen as a result of the Russo-Japanese War?</t>
  </si>
  <si>
    <t>When was Geegen the emperor?</t>
  </si>
  <si>
    <t xml:space="preserve">What is a set up phase? </t>
  </si>
  <si>
    <t>What characteristics did the common ancestor of lagerstatten have?</t>
  </si>
  <si>
    <t>What did the American Philosophical Society produce in 1809?</t>
  </si>
  <si>
    <t>since 2001</t>
  </si>
  <si>
    <t>internal energies of the system</t>
  </si>
  <si>
    <t>The idea of acquired immunity in jawed vertebrates is the basis of what medical treatment?</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</si>
  <si>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</si>
  <si>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Western art from the Middle Ages to the present</t>
  </si>
  <si>
    <t>What German poet was descended from Huguenots?</t>
  </si>
  <si>
    <t>high-altitude ozone layer</t>
  </si>
  <si>
    <t>treatment</t>
  </si>
  <si>
    <t>How far from the Yard is the Quad located?</t>
  </si>
  <si>
    <t>Which month is the first in the year Parliament takes a two week vacation?</t>
  </si>
  <si>
    <t>relatively equal</t>
  </si>
  <si>
    <t>one that supports Th1</t>
  </si>
  <si>
    <t>Albert Einstein</t>
  </si>
  <si>
    <t>In front of the Presiding Officers' desk is the parliamentary mace, which is made from silver and inlaid with gold panned from Scottish rivers and inscribed with the words: Wisdom, Compassion, Justice and Integrity. The words There shall be a Scottish Parliament, which are the first words of the Scotland Act, are inscribed around the head of the mace, which has a formal ceremonial role in the meetings of Parliament, reinforcing the authority of the Parliament in its ability to make laws. Presented to the Scottish Parliament by the Queen upon its official opening in July 1999, the mace is displayed in a glass case suspended from the lid. At the beginning of each sitting in the chamber, the lid of the case is rotated so that the mace is above the glass, to symbolise that a full meeting of the Parliament is taking place.</t>
  </si>
  <si>
    <t>What is the gauge of the Victorian power lines?</t>
  </si>
  <si>
    <t>Longwood Medical and Academic Area</t>
  </si>
  <si>
    <t>1/6</t>
  </si>
  <si>
    <t>What led to Newcastle's fall from power as military advisor?</t>
  </si>
  <si>
    <t>Who elects the members of the European Parliament?</t>
  </si>
  <si>
    <t>its solution requires significant resources</t>
  </si>
  <si>
    <t xml:space="preserve"> Who was Iqbal a supporter of?</t>
  </si>
  <si>
    <t>orthogonal</t>
  </si>
  <si>
    <t>comb jelly</t>
  </si>
  <si>
    <t>How many Huguenot settled in the Lower Saxony territory of Germany?</t>
  </si>
  <si>
    <t>The Earth's crust</t>
  </si>
  <si>
    <t>punish the Miami people</t>
  </si>
  <si>
    <t>What is the eighth most populous city in the nation?</t>
  </si>
  <si>
    <t>What party is strongest in Melbourne's financial district?</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</si>
  <si>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</si>
  <si>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What lands weren't reserved for natives?</t>
  </si>
  <si>
    <t>1798</t>
  </si>
  <si>
    <t>What has the Court required to be less accessible?</t>
  </si>
  <si>
    <t>Goldbach's conjecture</t>
  </si>
  <si>
    <t>What is the hottest temperature record for Fresno?</t>
  </si>
  <si>
    <t>Until the early 1980s, industry was a major source of water pollution. Although many plants and factories can be found along the Rhine up into Switzerland, it is along the Lower Rhine that the bulk of them are concentrated, as the river passes the major cities of Cologne, Düsseldorf and Duisburg. Duisburg is the home of Europe's largest inland port and functions as a hub to the sea ports of Rotterdam, Antwerp and Amsterdam. The Ruhr, which joins the Rhine in Duisburg, is nowadays a clean river, thanks to a combination of stricter environmental controls, a transition from heavy industry to light industry and cleanup measures, such as the reforestation of Slag and brownfields. The Ruhr currently provides the region with drinking water. It contributes 70 m3/s (2,500 cu ft/s) to the Rhine. Other rivers in the Ruhr Area, above all, the Emscher, still carry a considerable degree of pollution.</t>
  </si>
  <si>
    <t>What did Vendobionta's descendants become?</t>
  </si>
  <si>
    <t xml:space="preserve">Level 3 communications launched what? </t>
  </si>
  <si>
    <t>a majority</t>
  </si>
  <si>
    <t>Who was the reader of the tribal council?</t>
  </si>
  <si>
    <t>What is another word for seafloor spreading?</t>
  </si>
  <si>
    <t>James Wolfe</t>
  </si>
  <si>
    <t>What did energy security do on an international level?</t>
  </si>
  <si>
    <t>Who never captured Fort Beausejour?</t>
  </si>
  <si>
    <t>Why has Bloc seen many improvements over the past decade?</t>
  </si>
  <si>
    <t>spring reaction force</t>
  </si>
  <si>
    <t>One country's authority over no others would constitute the original country as what?</t>
  </si>
  <si>
    <t>When Yesün Temür died in Shangdu in 1328, Tugh Temür was recalled to Khanbaliq by the Qipchaq commander El Temür. He was installed as the emperor (Emperor Wenzong) in Khanbaliq, while Yesün Temür's son Ragibagh succeeded to the throne in Shangdu with the support of Yesün Temür's favorite retainer Dawlat Shah. Gaining support from princes and officers in Northern China and some other parts of the dynasty, Khanbaliq-based Tugh Temür eventually won the civil war against Ragibagh known as the War of the Two Capitals. Afterwards, Tugh Temür abdicated in favour of his brother Kusala, who was backed by Chagatai Khan Eljigidey, and announced Khanbaliq's intent to welcome him. However, Kusala suddenly died only four days after a banquet with Tugh Temür. He was supposedly killed with poison by El Temür, and Tugh Temür then remounted the throne. Tugh Temür also managed to send delegates to the western Mongol khanates such as Golden Horde and Ilkhanate to be accepted as the suzerain of Mongol world. However, he was mainly a puppet of the powerful official El Temür during his latter three-year reign. El Temür purged pro-Kusala officials and brought power to warlords, whose despotic rule clearly marked the decline of the dynasty.</t>
  </si>
  <si>
    <t>How long as the U.S. government been actively engaged in efforts to counter Islamism?</t>
  </si>
  <si>
    <t>What does the current low level of population have a large impact on?</t>
  </si>
  <si>
    <t>In September 1760, and before any hostilities erupted, Governor Vaudreuil negotiated from Montreal a capitulation with General Amherst. Amherst granted Vaudreuil's request that any French residents who chose to remain in the colony would be given freedom to continue worshiping in their Roman Catholic tradition, continued ownership of their property, and the right to remain undisturbed in their homes. The British provided medical treatment for the sick and wounded French soldiers and French regular troops were returned to France aboard British ships with an agreement that they were not to serve again in the present war.</t>
  </si>
  <si>
    <t>the American Baptist Education Society</t>
  </si>
  <si>
    <t>Who took away the operating license from BSkyB?</t>
  </si>
  <si>
    <t>proteins</t>
  </si>
  <si>
    <t>What does the Presiding Officer try to achieve a balance of between speakers?</t>
  </si>
  <si>
    <t>The Stagg Presidential Center is set to be finished in what year?</t>
  </si>
  <si>
    <t>What did Stiglitz present in 2009 regarding global inequality?</t>
  </si>
  <si>
    <t>Why are there more poor people in the United States and Europe than China?</t>
  </si>
  <si>
    <t>accidental introduction of Beroe</t>
  </si>
  <si>
    <t>What can decelerate particles close to the speed of light?</t>
  </si>
  <si>
    <t>the basic channels</t>
  </si>
  <si>
    <t>terrorist organisation</t>
  </si>
  <si>
    <t>Who is known as the father of the hydrogen atom?</t>
  </si>
  <si>
    <t>the San Fernando Valley</t>
  </si>
  <si>
    <t>What type of regime ruled over Sudan for many years?</t>
  </si>
  <si>
    <t>When using a probalistic primality, how is the probability that the number is composite expressed mathematically?</t>
  </si>
  <si>
    <t>How accurate did Guo make the reformed lunisolar calendar?</t>
  </si>
  <si>
    <t>the object's weight</t>
  </si>
  <si>
    <t>The Rhine</t>
  </si>
  <si>
    <t>the thorough analysis of all medication (prescription, non-prescription, and herbals) currently being taken by an individual</t>
  </si>
  <si>
    <t>What other reason caused poor supply of New France from a difficult winter?</t>
  </si>
  <si>
    <t>What is the name of an integer in which addition, subtraction, and multiplication are defined?</t>
  </si>
  <si>
    <t>Each packet is labeled with a destination address, source address, and port numbers. It may also be labeled with the sequence number of the packet</t>
  </si>
  <si>
    <t>October 2011</t>
  </si>
  <si>
    <t>During what time frame were the core classes limited to only 15 students?</t>
  </si>
  <si>
    <t>In what borough is there a neighborhood called Huguenot?</t>
  </si>
  <si>
    <t>What gave way to the Chicago school of psychology?</t>
  </si>
  <si>
    <t>What did Ghandi decide to use so that everyone would have the same deal?</t>
  </si>
  <si>
    <t>How many rooms does the Warsaw Historical Museum have?</t>
  </si>
  <si>
    <t>homebound</t>
  </si>
  <si>
    <t>When was most of Sunnside developed?</t>
  </si>
  <si>
    <t>When was the first geological map of the entire earth created?</t>
  </si>
  <si>
    <t>The National Science Foundation Network</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</si>
  <si>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</si>
  <si>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What does Howard Zinn believe should be removed?</t>
  </si>
  <si>
    <t>British colonists would not be safe</t>
  </si>
  <si>
    <t>What term resulted from Dioscorides' book?</t>
  </si>
  <si>
    <t xml:space="preserve">Promoted research in 1985 led to what? </t>
  </si>
  <si>
    <t>What percentage of the population of Paris died of the plague in 1466?</t>
  </si>
  <si>
    <t>What is composed of 21%-50% O2 by volume?</t>
  </si>
  <si>
    <t>Hypersensitivity is an immune response that damages the body's own tissues. They are divided into four classes (Type I – IV) based on the mechanisms involved and the time course of the hypersensitive reaction. Type I hypersensitivity is an immediate or anaphylactic reaction, often associated with allergy. Symptoms can range from mild discomfort to death. Type I hypersensitivity is mediated by IgE, which triggers degranulation of mast cells and basophils when cross-linked by antigen. Type II hypersensitivity occurs when antibodies bind to antigens on the patient's own cells, marking them for destruction. This is also called antibody-dependent (or cytotoxic) hypersensitivity, and is mediated by IgG and IgM antibodies. Immune complexes (aggregations of antigens, complement proteins, and IgG and IgM antibodies) deposited in various tissues trigger Type III hypersensitivity reactions. Type IV hypersensitivity (also known as cell-mediated or delayed type hypersensitivity) usually takes between two and three days to develop. Type IV reactions are involved in many autoimmune and infectious diseases, but may also involve contact dermatitis (poison ivy). These reactions are mediated by T cells, monocytes, and macrophages.</t>
  </si>
  <si>
    <t>Which set of countries have higher economic mobility than the United States?</t>
  </si>
  <si>
    <t>The development of plate tectonics provided a physical basis for many observations of the solid Earth. Long linear regions of geologic features could be explained as plate boundaries. Mid-ocean ridges, high regions on the seafloor where hydrothermal vents and volcanoes exist, were explained as divergent boundaries, where two plates move apart. Arcs of volcanoes and earthquakes were explained as convergent boundaries, where one plate subducts under another. Transform boundaries, such as the San Andreas fault system, resulted in widespread powerful earthquakes. Plate tectonics also provided a mechanism for Alfred Wegener's theory of continental drift, in which the continents move across the surface of the Earth over geologic time. They also provided a driving force for crustal deformation, and a new setting for the observations of structural geology. The power of the theory of plate tectonics lies in its ability to combine all of these observations into a single theory of how the lithosphere moves over the convecting mantle.</t>
  </si>
  <si>
    <t>Himalayan glaciers</t>
  </si>
  <si>
    <t>What was French population in South America?</t>
  </si>
  <si>
    <t>How many tons of living plants are in the rainforest?</t>
  </si>
  <si>
    <t>How many firms were there in 2011?</t>
  </si>
  <si>
    <t>Where have some workers made more than $100,000?</t>
  </si>
  <si>
    <t>worked to radicalize the Islamist movement</t>
  </si>
  <si>
    <t>Los Angeles Area</t>
  </si>
  <si>
    <t>In what year did ENR compile data in nine market segments?</t>
  </si>
  <si>
    <t>Who's office did students occupy in a protest over rental policies in 1965?</t>
  </si>
  <si>
    <t>What forms of procurement happen within the construction industry?</t>
  </si>
  <si>
    <t>the electrostatic force (due to the electric field) and the magnetic force (due to the magnetic field).</t>
  </si>
  <si>
    <t>Deformational</t>
  </si>
  <si>
    <t>a glass case suspended from the lid</t>
  </si>
  <si>
    <t>In 1973 what was Nixon named as?</t>
  </si>
  <si>
    <t>Income not from the creation of wealth but by grabbing a smaller share of it is know to economists by what term?</t>
  </si>
  <si>
    <t>a diversion</t>
  </si>
  <si>
    <t>What naval base fell to the Normans?</t>
  </si>
  <si>
    <t>What is equal to 5% oxygen consumption?</t>
  </si>
  <si>
    <t>when Germany started to build her own colonial empire.</t>
  </si>
  <si>
    <t>the traditional old boy network</t>
  </si>
  <si>
    <t>Imperialism is synonymous with what other term?</t>
  </si>
  <si>
    <t>Where did Mongke Khan attack the Song dynasty?</t>
  </si>
  <si>
    <t>What type of scientist is Norman Cantor?</t>
  </si>
  <si>
    <t>Porifera</t>
  </si>
  <si>
    <t>over 2,</t>
  </si>
  <si>
    <t>350</t>
  </si>
  <si>
    <t>destroyed Fort Frontenac</t>
  </si>
  <si>
    <t>How were some modern economic inequalities destroyed?</t>
  </si>
  <si>
    <t>a statement</t>
  </si>
  <si>
    <t>civil disobedience is only justified against governmental entities.</t>
  </si>
  <si>
    <t>80 percent</t>
  </si>
  <si>
    <t>Harvard's 2,400 professors, lecturers, and instructors instruct 7,200 undergraduates and 14,000 graduate students. The school color is crimson, which is also the name of the Harvard sports teams and the daily newspaper, The Harvard Crimson. The color was unofficially adopted (in preference to magenta) by an 1875 vote of the student body, although the association with some form of red can be traced back to 1858, when Charles William Eliot, a young graduate student who would later become Harvard's 21st and longest-serving president (1869–1909), bought red bandanas for his crew so they could more easily be distinguished by spectators at a regatta.</t>
  </si>
  <si>
    <t>figures from the clergy</t>
  </si>
  <si>
    <t>What skin-related symptom appears from the pneumonic plague?</t>
  </si>
  <si>
    <t>What kind of company is Sky UK Limited?</t>
  </si>
  <si>
    <t>What did Watt add to the steam engine in 19th century?</t>
  </si>
  <si>
    <t>What issue is common in the financial planning field?</t>
  </si>
  <si>
    <t>Why was free movement not increasingly based on citizenship?</t>
  </si>
  <si>
    <t>sunlight</t>
  </si>
  <si>
    <t>First World War</t>
  </si>
  <si>
    <t>What working fluid is used in a mercury cycle?</t>
  </si>
  <si>
    <t>In Latin America what is the most revered skin color?</t>
  </si>
  <si>
    <t>What was the trend of female student population from 1970s and deyond?</t>
  </si>
  <si>
    <t>preventable financial problems</t>
  </si>
  <si>
    <t>What does the W and Z boson exchange create?</t>
  </si>
  <si>
    <t>What castle currently houses the Centre for Contemporary Art?</t>
  </si>
  <si>
    <t>Dornbirner Ach</t>
  </si>
  <si>
    <t>What makes ctenophores different from all other animals?</t>
  </si>
  <si>
    <t>Building a 617 m tall?</t>
  </si>
  <si>
    <t>When did the Huguenot movement start?</t>
  </si>
  <si>
    <t>Where did France win a war in the 1950's</t>
  </si>
  <si>
    <t>What can the growth elasticity of poverty depend on?</t>
  </si>
  <si>
    <t>How many species were found in the Burgess Shale?</t>
  </si>
  <si>
    <t>What does CBD stand for?</t>
  </si>
  <si>
    <t>It expanded</t>
  </si>
  <si>
    <t>What is the universal band that digital recievers will receive free to air channels on?</t>
  </si>
  <si>
    <t>Was was the plan for Langlades mission?</t>
  </si>
  <si>
    <t>To what countries did the 1919 Revolution want to bring independence to from Russia?</t>
  </si>
  <si>
    <t>A steep and steady decline</t>
  </si>
  <si>
    <t>sand</t>
  </si>
  <si>
    <t>What is the last major bend in the Rhine called?</t>
  </si>
  <si>
    <t>largest</t>
  </si>
  <si>
    <t>Giovanni Branca</t>
  </si>
  <si>
    <t>What happens if a Directive doe snot give expression to a "general principle"of EU law?</t>
  </si>
  <si>
    <t>Which job does not require that the member be a citizen of the UK?</t>
  </si>
  <si>
    <t>itself</t>
  </si>
  <si>
    <t xml:space="preserve">What did the oil crisis create a rift within? </t>
  </si>
  <si>
    <t>Singlet oxygen</t>
  </si>
  <si>
    <t>whether or not to plead guilty.</t>
  </si>
  <si>
    <t>British lace</t>
  </si>
  <si>
    <t>differences in value</t>
  </si>
  <si>
    <t>What was the incident over taxes at Ballarat called?</t>
  </si>
  <si>
    <t>How many people died from the Black Death in Northern  Africa?</t>
  </si>
  <si>
    <t>time complexity</t>
  </si>
  <si>
    <t>What is another name for a deformational event?</t>
  </si>
  <si>
    <t>the British</t>
  </si>
  <si>
    <t>How much did Denmark not require to start a company?</t>
  </si>
  <si>
    <t>technological superiority,</t>
  </si>
  <si>
    <t>Scandinavia and northern Europe,</t>
  </si>
  <si>
    <t>helmeted honeyeater</t>
  </si>
  <si>
    <t>aggressiveness</t>
  </si>
  <si>
    <t>in protest against the occupation of Prussia by Napoleon</t>
  </si>
  <si>
    <t>The SNP gave eight seats to the Liberal who?</t>
  </si>
  <si>
    <t>unreliable datagrams and associated end-to-end protocol mechanisms</t>
  </si>
  <si>
    <t>Photosynthesis uses which energy to for oxygen from water?</t>
  </si>
  <si>
    <t>Which book discussed the theory about low populations in the Amazon rainforest?</t>
  </si>
  <si>
    <t>Killer T cells are a sub-group of T cells that kill cells that are infected with viruses (and other pathogens), or are otherwise damaged or dysfunctional. As with B cells, each type of T cell recognizes a different antigen. Killer T cells are activated when their T cell receptor (TCR) binds to this specific antigen in a complex with the MHC Class I receptor of another cell. Recognition of this MHC:antigen complex is aided by a co-receptor on the T cell, called CD8. The T cell then travels throughout the body in search of cells where the MHC I receptors bear this antigen. When an activated T cell contacts such cells, it releases cytotoxins, such as perforin, which form pores in the target cell's plasma membrane, allowing ions, water and toxins to enter. The entry of another toxin called granulysin (a protease) induces the target cell to undergo apoptosis. T cell killing of host cells is particularly important in preventing the replication of viruses. T cell activation is tightly controlled and generally requires a very strong MHC/antigen activation signal, or additional activation signals provided by "helper" T cells (see below).</t>
  </si>
  <si>
    <t>$57,000</t>
  </si>
  <si>
    <t>How were TRANSPAC and TYMNET modified?</t>
  </si>
  <si>
    <t>What actor starred in The Men in Black?</t>
  </si>
  <si>
    <t>In what process is singlet oxygen usually formed?</t>
  </si>
  <si>
    <t>What had the Yuan used to print its money before bronze plates?</t>
  </si>
  <si>
    <t>Following the utilitarian principle of seeking the greatest good for the greatest number – economic inequality is problematic. A house that provides less utility to a millionaire as a summer home than it would to a homeless family of five, is an example of reduced "distributive efficiency" within society, that decreases marginal utility of wealth and thus the sum total of personal utility. An additional dollar spent by a poor person will go to things providing a great deal of utility to that person, such as basic necessities like food, water, and healthcare; while, an additional dollar spent by a much richer person will very likely go to luxury items providing relatively less utility to that person. Thus, the marginal utility of wealth per person ("the additional dollar") decreases as a person becomes richer. From this standpoint, for any given amount of wealth in society, a society with more equality will have higher aggregate utility. Some studies have found evidence for this theory, noting that in societies where inequality is lower, population-wide satisfaction and happiness tend to be higher.</t>
  </si>
  <si>
    <t>assassinated</t>
  </si>
  <si>
    <t>unions</t>
  </si>
  <si>
    <t>DECnet stands for what?</t>
  </si>
  <si>
    <t>What group's membership does not reflect the balance of parties in Parliament?</t>
  </si>
  <si>
    <t>What are some large pharmacy management companies?</t>
  </si>
  <si>
    <t>What are incompetent government's commitment to social justice not limited to?</t>
  </si>
  <si>
    <t>reasonably well</t>
  </si>
  <si>
    <t>What is the current status of the Haensch study?</t>
  </si>
  <si>
    <t>Who was the world's second largest oil producer?</t>
  </si>
  <si>
    <t>packets</t>
  </si>
  <si>
    <t>commensal flora</t>
  </si>
  <si>
    <t>very badly disposed towards the French, and are entirely devoted to the English</t>
  </si>
  <si>
    <t>How is the judicial branch of the EU an important factor in the development of EU law?</t>
  </si>
  <si>
    <t>architectural</t>
  </si>
  <si>
    <t>Maurus Servius Honoratus</t>
  </si>
  <si>
    <t>What type of Turing machine can be characterized by checking multiple possibilities at the same time?</t>
  </si>
  <si>
    <t>Why do polar water bodies support a higher amount of life?</t>
  </si>
  <si>
    <t>What did Dalton assume about OH?</t>
  </si>
  <si>
    <t>Proportionality is recognised one of the general principles of European Union law by the European Court of Justice since the 1950s. According to the general principle of proportionality the lawfulness of an action depends on whether it was appropriate and necessary to achieve the objectives legitimately pursued. When there is a choice between several appropriate measures the least onerous must be adopted, and any disadvantage caused must not be disproportionate to the aims pursued. The principle of proportionality is also recognised in Article 5 of the EC Treaty, stating that "any action by the Community shall not go beyond what is necessary to achieve the objectives of this Treaty".</t>
  </si>
  <si>
    <t>When do antibodies not circulate in?</t>
  </si>
  <si>
    <t>How many lines run out of Downtown Los Angeles?</t>
  </si>
  <si>
    <t>How are the largest global firms picked for the Top-40 list?</t>
  </si>
  <si>
    <t>What is the legislature of the European Union comprised of?</t>
  </si>
  <si>
    <t>the basis of the methodology used</t>
  </si>
  <si>
    <t>about four men attending Harvard College for every woman studying at Radcliffe</t>
  </si>
  <si>
    <t>What could the Supplemental Nutrition Assistance Program purchase?</t>
  </si>
  <si>
    <t>Demand for a Scottish Parliament declined in what year?</t>
  </si>
  <si>
    <t>Which country is the most dependent on Arab oil?</t>
  </si>
  <si>
    <t>What person argues that civil disobedience is used to describe everything?</t>
  </si>
  <si>
    <t>Greek</t>
  </si>
  <si>
    <t>What did Kent-Brown do to interrupt a speech by Harvard?</t>
  </si>
  <si>
    <t>A deterministic Turing machine</t>
  </si>
  <si>
    <t>In what year did the Reformed church of France get established?</t>
  </si>
  <si>
    <t>achievement-oriented</t>
  </si>
  <si>
    <t xml:space="preserve">What is the estimated death toll for Polish civilians? </t>
  </si>
  <si>
    <t>What do the academic bodies of the University of Chicago Medical Center consist of?</t>
  </si>
  <si>
    <t>About how many Walloons and Huguenots emigrated to England and Ireland in this era?</t>
  </si>
  <si>
    <t>When was Zhu Shijie ruler?</t>
  </si>
  <si>
    <t>imperialism</t>
  </si>
  <si>
    <t>What is a scientific experiment that can solve a problem by algorithms?</t>
  </si>
  <si>
    <t>Who is a man studying medicinal applicants of plants in Modern Greece?</t>
  </si>
  <si>
    <t>What cancer researchers were also apart of the university's faculty?</t>
  </si>
  <si>
    <t>What did LeGrande write about grammatical niceties?</t>
  </si>
  <si>
    <t>one</t>
  </si>
  <si>
    <t>What does the Islamic State have a surplus of from the international community?</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</si>
  <si>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</si>
  <si>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captured the mermaid</t>
  </si>
  <si>
    <t>When were fish larvae introduced into the Black Sea accidentally?</t>
  </si>
  <si>
    <t>What was the name of the first wooden church built in New Rochelle?</t>
  </si>
  <si>
    <t>What is one of the most dangerous occupations in the world?</t>
  </si>
  <si>
    <t>They arranged for Israel to pull back from the Sinai Peninsula and the Golan Heights</t>
  </si>
  <si>
    <t>How old is the North Sea?</t>
  </si>
  <si>
    <t>How do regimes fight against cultural imperialism?</t>
  </si>
  <si>
    <t>Crime rate has also been shown to be correlated with inequality in society. Most studies looking into the relationship have concentrated on homicides – since homicides are almost identically defined across all nations and jurisdictions. There have been over fifty studies showing tendencies for violence to be more common in societies where income differences are larger. Research has been conducted comparing developed countries with undeveloped countries, as well as studying areas within countries. Daly et al. 2001 found that among U.S States and Canadian Provinces there is a tenfold difference in homicide rates related to inequality. They estimated that about half of all variation in homicide rates can be accounted for by differences in the amount of inequality in each province or state. Fajnzylber et al. (2002) found a similar relationship worldwide. Among comments in academic literature on the relationship between homicides and inequality are:</t>
  </si>
  <si>
    <t>What is represented by non-binary notation in the encoding of mathematical objects?</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</si>
  <si>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</si>
  <si>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FMCG manufacturing, metal processing, steel and electronic manufacturing and food processing</t>
  </si>
  <si>
    <t>Who was the final Prime Minister of East Germany?</t>
  </si>
  <si>
    <t xml:space="preserve">What use was suggested for the system </t>
  </si>
  <si>
    <t>Despite the Presburger problem, and in view of intractability, what has been done to establish solutions in reasonable periods of time?</t>
  </si>
  <si>
    <t>How are the differences in engineering  recognized?</t>
  </si>
  <si>
    <t>28' is the minimum size of what?</t>
  </si>
  <si>
    <t>What is the sea level of the Irish Channel?</t>
  </si>
  <si>
    <t>How long has free movement and trade been central to European development?</t>
  </si>
  <si>
    <t>What were requests made to British?</t>
  </si>
  <si>
    <t>What was William Johnson's Iroquois name?</t>
  </si>
  <si>
    <t>What is one example of an instance that the qualitative answer to the traveling salesman fails to answer?</t>
  </si>
  <si>
    <t>extinction of the dinosaurs and the wetter climate</t>
  </si>
  <si>
    <t>at night</t>
  </si>
  <si>
    <t>What type of rules are expressly provided for in treaties?</t>
  </si>
  <si>
    <t xml:space="preserve">What did the 2007 IPCC report suggest had been decreasing? </t>
  </si>
  <si>
    <t>What function do compounds like phenol and acetone serve in the manufacture of many other substances?</t>
  </si>
  <si>
    <t>In what year did Priestley publish the findings of his experiments?</t>
  </si>
  <si>
    <t>Southern_California</t>
  </si>
  <si>
    <t>Vinogradov's</t>
  </si>
  <si>
    <t>packet switching</t>
  </si>
  <si>
    <t>Who asserted Russia's right to "self-determination?"</t>
  </si>
  <si>
    <t>How many public charter schools does the university run?</t>
  </si>
  <si>
    <t>n = 2</t>
  </si>
  <si>
    <t>Who was the university's 5th president?</t>
  </si>
  <si>
    <t>Where did Maududi exert the most impact?</t>
  </si>
  <si>
    <t>What shall not have the same legal value as the Treaties?</t>
  </si>
  <si>
    <t>What is the typical working fluid in a steam engine?</t>
  </si>
  <si>
    <t>From the mid-2000s, the university began a number of multimillion-dollar expansion projects. In 2008, the University of Chicago announced plans to establish the Milton Friedman Institute which attracted both support and controversy from faculty members and students. The institute will cost around $200 million and occupy the buildings of the Chicago Theological Seminary. During the same year, investor David G. Booth donated $300 million to the university's Booth School of Business, which is the largest gift in the university's history and the largest gift ever to any business school. In 2009, planning or construction on several new buildings, half of which cost $100 million or more, was underway. Since 2011, major construction projects have included the Jules and Gwen Knapp Center for Biomedical Discovery, a ten-story medical research center, and further additions to the medical campus of the University of Chicago Medical Center. In 2014 the University launched the public phase of a $4.5 billion fundraising campaign. In September 2015, the University received $100 million from The Pearson Family Foundation to establish The Pearson Institute for the Study and Resolution of Global Conflicts and The Pearson Global Forum at the Harris School of Public Policy Studies.</t>
  </si>
  <si>
    <t>Who was an important early figure in the Islamic revival in India?</t>
  </si>
  <si>
    <t>Who was Count Ludwig von Nassau-Saarbucken's father?</t>
  </si>
  <si>
    <t>8,646 sq mi</t>
  </si>
  <si>
    <t>What are two reasons a student would be able to get a scholarship for a public school?</t>
  </si>
  <si>
    <t>the difference in potential energy</t>
  </si>
  <si>
    <t>avoid the "inconvenience" of visiting a doctor or to obtain medications which their doctors were unwilling to prescribe</t>
  </si>
  <si>
    <t xml:space="preserve"> How long after a banquet with Tugh Temur did Kusala have a child?</t>
  </si>
  <si>
    <t>Those involved with the design and execution of the infrastructure</t>
  </si>
  <si>
    <t>In what year did Dewar experiment on liquid oxygen?</t>
  </si>
  <si>
    <t>build their own dedicated networks</t>
  </si>
  <si>
    <t>the network was enhanced</t>
  </si>
  <si>
    <t>One computer model of future climate change caused by greenhouse gas emissions shows that the Amazon rainforest could become unsustainable under conditions of severely reduced rainfall and increased temperatures, leading to an almost complete loss of rainforest cover in the basin by 2100. However, simulations of Amazon basin climate change across many different models are not consistent in their estimation of any rainfall response, ranging from weak increases to strong decreases. The result indicates that the rainforest could be threatened though the 21st century by climate change in addition to deforestation.</t>
  </si>
  <si>
    <t>The residual of what can be seen in front of hadrons?</t>
  </si>
  <si>
    <t>Above what horsepower are steam turbines usually more efficient than steam engines that use reciprocating pistons?</t>
  </si>
  <si>
    <t>Céloron</t>
  </si>
  <si>
    <t>Which people brought forward one of the earliest examples of Civil Disobedience?</t>
  </si>
  <si>
    <t>What tribe uses GPS devices to map lands?</t>
  </si>
  <si>
    <t>After the operators are warned by the escape of the firebox, what may they then do?</t>
  </si>
  <si>
    <t>Leukocytes (white blood cells)</t>
  </si>
  <si>
    <t>What is the region called that is the largest conurbation of the Rhine?</t>
  </si>
  <si>
    <t>What is the name of the region that is not defined by the eight or 10 county definitions?</t>
  </si>
  <si>
    <t>distributed adaptive message block switching</t>
  </si>
  <si>
    <t>A dollar spent by a poor person is likely to provide what for them?</t>
  </si>
  <si>
    <t>What war occured in the 1oth century?</t>
  </si>
  <si>
    <t>first half of the eighteenth century</t>
  </si>
  <si>
    <t>Low humidity and what lead to Jacksonville's storms?</t>
  </si>
  <si>
    <t>How many scalar equations were formed into a set by James Maxwell?</t>
  </si>
  <si>
    <t>What type of stations does Chico have?</t>
  </si>
  <si>
    <t>The concept of legal certainty is recognised one of the general principles of European Union law by the European Court of Justice since the 1960s. It is an important general principle of international law and public law, which predates European Union law. As a general principle in European Union law it means that the law must be certain, in that it is clear and precise, and its legal implications foreseeable, specially when applied to financial obligations. The adoption of laws which will have legal effect in the European Union must have a proper legal basis. Legislation in member states which implements European Union law must be worded so that it is clearly understandable by those who are subject to the law. In European Union law the general principle of legal certainty prohibits Ex post facto laws, i.e. laws should not take effect before they are published. The doctrine of legitimate expectation, which has its roots in the principles of legal certainty and good faith, is also a central element of the general principle of legal certainty in European Union law. The legitimate expectation doctrine holds that and that "those who act in good faith on the basis of law as it is or seems to be should not be frustrated in their expectations".</t>
  </si>
  <si>
    <t>University_of_Chicago</t>
  </si>
  <si>
    <t>Why are O molecules paramagnetic?</t>
  </si>
  <si>
    <t>carbon cycle</t>
  </si>
  <si>
    <t xml:space="preserve"> What was Sadat not seeking by releasing Islamists from prison?</t>
  </si>
  <si>
    <t>the university's off-campus rental policies</t>
  </si>
  <si>
    <t>Besides fats, fatty acids, and amino acids,what other organic compounds contain oxygen?</t>
  </si>
  <si>
    <t>1,100</t>
  </si>
  <si>
    <t>These five computer sales and service centers are seen as what?</t>
  </si>
  <si>
    <t>Amherst</t>
  </si>
  <si>
    <t>What two country's referendums curtailed a constitution for Europe?</t>
  </si>
  <si>
    <t>Where does the Rhine river's measurement begin?</t>
  </si>
  <si>
    <t>impetus</t>
  </si>
  <si>
    <t>in cellular respiration</t>
  </si>
  <si>
    <t>propose a range of preincident population figures</t>
  </si>
  <si>
    <t>How do the yes/no answers of an incompatible problem of of APPEAR?</t>
  </si>
  <si>
    <t>Where is the Autumn Jamboree hosted?</t>
  </si>
  <si>
    <t>the United Nations</t>
  </si>
  <si>
    <t>sport (including English Premier League Football), films, entertainment and news</t>
  </si>
  <si>
    <t>Where were French Catholics concentrated in France?</t>
  </si>
  <si>
    <t>How many layers of cells with a sandwiched jelly-like layer do complex animals have?</t>
  </si>
  <si>
    <t>The Knowledge School</t>
  </si>
  <si>
    <t>the "Social Chapter"</t>
  </si>
  <si>
    <t>In what office has Barack Obama recently served his last term?</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</si>
  <si>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</si>
  <si>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Germany and Austria</t>
  </si>
  <si>
    <t>What law was created in 1805?</t>
  </si>
  <si>
    <t>1275</t>
  </si>
  <si>
    <t>Which islands compise a larger number of electors?</t>
  </si>
  <si>
    <t>extended structure and forces that act on one part of an object might affect other parts of an object</t>
  </si>
  <si>
    <t>a somewhat larger number</t>
  </si>
  <si>
    <t>Triassic Period</t>
  </si>
  <si>
    <t>Basel,</t>
  </si>
  <si>
    <t>Liechtenstein</t>
  </si>
  <si>
    <t>Which duty do some people believe civil disobedients have?</t>
  </si>
  <si>
    <t>What was the name of Watt's partner?</t>
  </si>
  <si>
    <t>In what districts are the registration numbers for cars all of the same type?</t>
  </si>
  <si>
    <t>achievement-oriented motivations ("pull")</t>
  </si>
  <si>
    <t>Privy Council</t>
  </si>
  <si>
    <t xml:space="preserve">What does the name The Rhine come from? </t>
  </si>
  <si>
    <t>electric heating element</t>
  </si>
  <si>
    <t>What type of civil disobedience is commonly accepted?</t>
  </si>
  <si>
    <t>How did the plague infiltrate Alexandria?</t>
  </si>
  <si>
    <t>What building is the most interesting of the late 19th-century architecture?</t>
  </si>
  <si>
    <t>What is the only form kinetic energy can change into?</t>
  </si>
  <si>
    <t>tolerance</t>
  </si>
  <si>
    <t>common rules for coal and steel, and then atomic energy</t>
  </si>
  <si>
    <t>April through October</t>
  </si>
  <si>
    <t>disaster; he was defeated in the Battle of the Monongahela</t>
  </si>
  <si>
    <t>The number of new Huguenot colonists declined after what year?</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</si>
  <si>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</si>
  <si>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the 16th century</t>
  </si>
  <si>
    <t>Who patented the Woolf cooling cylinder?</t>
  </si>
  <si>
    <t>A formal design team may be assembled to do what?</t>
  </si>
  <si>
    <t>the building is ready to occupy</t>
  </si>
  <si>
    <t>How long did peat mining from the Roman times last for?</t>
  </si>
  <si>
    <t>What is one problem with internet pharmacies?</t>
  </si>
  <si>
    <t>metamorphic processes</t>
  </si>
  <si>
    <t>strong sedimentation</t>
  </si>
  <si>
    <t>Knaurs Lexikon</t>
  </si>
  <si>
    <t>The second item of business on Wednesdays is usually what?</t>
  </si>
  <si>
    <t>Even before the Norman Conquest of England, the Normans had come into contact with Wales. Edward the Confessor had set up the aforementioned Ralph as earl of Hereford and charged him with defending the Marches and warring with the Welsh. In these original ventures, the Normans failed to make any headway into Wales.</t>
  </si>
  <si>
    <t>economic stagnation</t>
  </si>
  <si>
    <t>Book of Exodus,</t>
  </si>
  <si>
    <t>John W. Weeks Bridge</t>
  </si>
  <si>
    <t>Quaternary</t>
  </si>
  <si>
    <t>When did BSkyB fail launching it's HDTV service?</t>
  </si>
  <si>
    <t>What was Hero of Alexandria's nationality?</t>
  </si>
  <si>
    <t>Which two importers did not claim that under French competition law, they were prevented from selling Picon beer under wholesale price?</t>
  </si>
  <si>
    <t>formalize a unified front in trade and negotiations with various Indians, since allegiance of the various tribes and nations was seen to be pivotal</t>
  </si>
  <si>
    <t>prime ideals</t>
  </si>
  <si>
    <t>Allan Bloom</t>
  </si>
  <si>
    <t>smaller trade relations with their neighbours</t>
  </si>
  <si>
    <t>public charter schools on the South Side of Chicago</t>
  </si>
  <si>
    <t>What was the ratio of British settler to English?</t>
  </si>
  <si>
    <t>When did BSkyB first announce their target goal?</t>
  </si>
  <si>
    <t>In 1755, six colonial governors in North America met with General Edward Braddock, the newly arrived British Army commander, and planned a four-way attack on the French. None succeeded and the main effort by Braddock was a disaster; he was defeated in the Battle of the Monongahela on July 9, 1755 and died a few days later. British operations in 1755, 1756 and 1757 in the frontier areas of Pennsylvania and New York all failed, due to a combination of poor management, internal divisions, and effective Canadian scouts, French regular forces, and Indian warrior allies. In 1755, the British captured Fort Beauséjour on the border separating Nova Scotia from Acadia; soon afterward they ordered the expulsion of the Acadians. Orders for the deportation were given by William Shirley, Commander-in-Chief, North America, without direction from Great Britain. The Acadians, both those captured in arms and those who had sworn the loyalty oath to His Britannic Majesty, were expelled. Native Americans were likewise driven off their land to make way for settlers from New England.</t>
  </si>
  <si>
    <t>What was the second meaning of a Chinese word for 'barracks'?</t>
  </si>
  <si>
    <t>pores in the epidermis</t>
  </si>
  <si>
    <t>What are the two bodies that make up the European Union's legislature?</t>
  </si>
  <si>
    <t>it developed into a major part of the Internet backbone</t>
  </si>
  <si>
    <t>What character in the play portrays civil disobedience?</t>
  </si>
  <si>
    <t>Cestida</t>
  </si>
  <si>
    <t>What does  oxygen therapy promote the body to take up?</t>
  </si>
  <si>
    <t>What occurs at the same rate of 1/200th of the entire atmospheric oxygen per year?</t>
  </si>
  <si>
    <t>integer factorization problem</t>
  </si>
  <si>
    <t>more specialized medications</t>
  </si>
  <si>
    <t>What country is the English Channel located in?</t>
  </si>
  <si>
    <t>Helper and regulatory T cells can only recognize antigens coupled to what kind of molecules?</t>
  </si>
  <si>
    <t>Untersee</t>
  </si>
  <si>
    <t>What individuals were responsible for authoring "On the Computational Complexity of Algorithms"?</t>
  </si>
  <si>
    <t>What is the name of the professional skateboarder that lives in southern California?</t>
  </si>
  <si>
    <t>Residential construction practices, technologies, and resources must conform to local building authority regulations and codes of practice. Materials readily available in the area generally dictate the construction materials used (e.g. brick versus stone, versus timber). Cost of construction on a per square meter (or per square foot) basis for houses can vary dramatically based on site conditions, local regulations, economies of scale (custom designed homes are often more expensive to build) and the availability of skilled tradespeople. As residential construction (as well as all other types of construction) can generate a lot of waste, careful planning again is needed here.</t>
  </si>
  <si>
    <t>What is a mechanism that can help plants block virus replication?</t>
  </si>
  <si>
    <t>What is more difficult that multiplication?</t>
  </si>
  <si>
    <t>Conservative Party</t>
  </si>
  <si>
    <t>What are three factors that directly effect how powerful a Turing machine may or may not be?</t>
  </si>
  <si>
    <t>What is European Union law?</t>
  </si>
  <si>
    <t>capturing prey</t>
  </si>
  <si>
    <t>How many species of Cestida were found in 1985?</t>
  </si>
  <si>
    <t>vocational schools</t>
  </si>
  <si>
    <t>In what year was Reguier de la Plancha born?</t>
  </si>
  <si>
    <t>Who bought the factory in 2005?</t>
  </si>
  <si>
    <t>People’s Republic of China</t>
  </si>
  <si>
    <t>What decreases with the increase of income inequality?</t>
  </si>
  <si>
    <t>How many seats does Australia have in the Senate?</t>
  </si>
  <si>
    <t>Who sets the agenda for the EU's work?</t>
  </si>
  <si>
    <t>Under normal conditions, what do two atoms of oxygen form?</t>
  </si>
  <si>
    <t>The battle ended inconclusively</t>
  </si>
  <si>
    <t>In 1973, Nixon named William E. Simon as the first Administrator of the Federal Energy Office, a short-term organization created to coordinate the response to the embargo. Simon allocated states the same amount of domestic oil for 1974 that each had consumed in 1972, which worked for states whose populations were not increasing. In other states, lines at gasoline stations were common. The American Automobile Association reported that in the last week of February 1974, 20% of American gasoline stations had no fuel.</t>
  </si>
  <si>
    <t>What is the name of Sky Q's broadband router?</t>
  </si>
  <si>
    <t>Red Army</t>
  </si>
  <si>
    <t>What is it estimated that about a third of all variation in homicide rates can be accounted for by?</t>
  </si>
  <si>
    <t>phlogiston theory</t>
  </si>
  <si>
    <t>private finance initiatives (PFIs)</t>
  </si>
  <si>
    <t>What is included in the data in connectionless mode?</t>
  </si>
  <si>
    <t>Who has a codified constitution?</t>
  </si>
  <si>
    <t>What is not a symptom of type I hypersensitivity?</t>
  </si>
  <si>
    <t>Which is the largest university press in the South Side?</t>
  </si>
  <si>
    <t>many of the Canadians, including their commanding officer, Joseph Coulon de Jumonville</t>
  </si>
  <si>
    <t>Why was Tanaghrisson rejecting British efforts?</t>
  </si>
  <si>
    <t>What did the Italian government not fail to do in Francovich v Italy?</t>
  </si>
  <si>
    <t>Which country faced a complete embargo in the EEC?</t>
  </si>
  <si>
    <t>What inventor built on to the findings of Philo of  Byzantium?</t>
  </si>
  <si>
    <t>El Temür</t>
  </si>
  <si>
    <t>What becomes more adept at producing vitamin D as a person ages?</t>
  </si>
  <si>
    <t>How high is Victoria's Mount Bogong?</t>
  </si>
  <si>
    <t>one-half mile</t>
  </si>
  <si>
    <t>What kind of problems are one of the main topics studied in computational complexity theory?</t>
  </si>
  <si>
    <t>primes</t>
  </si>
  <si>
    <t>the same in every inertial frame of reference</t>
  </si>
  <si>
    <t>When did the Last Glacial Maximum peak?</t>
  </si>
  <si>
    <t>What is considered as a potential advantage for wealth for some Americans?</t>
  </si>
  <si>
    <t>desire to prevent things that are indisputably bad</t>
  </si>
  <si>
    <t>The mechanism by which Y. pestis was usually transmitted</t>
  </si>
  <si>
    <t>Beginning how many years ago did the amazon rainforest extend 45 degrees south?</t>
  </si>
  <si>
    <t>committees</t>
  </si>
  <si>
    <t>How high do plague fevers run?</t>
  </si>
  <si>
    <t>a "unit"</t>
  </si>
  <si>
    <t>lower bounds</t>
  </si>
  <si>
    <t>Hamas has continued to be a major player in Palestine. From 2000 to 2007 it killed 542 people in 140 suicide bombing or "martyrdom operations". In the January 2006 legislative election—its first foray into the political process—it won the majority of the seats, and in 2007 it drove the PLO out of Gaza. Hamas has been praised by Muslims for driving Israel out of the Gaza Strip, but criticized for failure to achieve its demands in the 2008-9 and 2014 Gaza Wars despite heavy destruction and significant loss of life.</t>
  </si>
  <si>
    <t xml:space="preserve"> What has the United Nations not claimed ISIL to be?</t>
  </si>
  <si>
    <t>The Rhine first formed a boundary between Gaul and what else?</t>
  </si>
  <si>
    <t>Price controls</t>
  </si>
  <si>
    <t>the late 1980s</t>
  </si>
  <si>
    <t>What is the name of the longest bridge in Germany?</t>
  </si>
  <si>
    <t>Why is Kampinos's flora very rich in species?</t>
  </si>
  <si>
    <t>What is one of the largest music schools in Krakow?</t>
  </si>
  <si>
    <t>never ratified</t>
  </si>
  <si>
    <t>prime number theorem</t>
  </si>
  <si>
    <t>Where is the famous rock the Rhine flows around?</t>
  </si>
  <si>
    <t>Kabaty</t>
  </si>
  <si>
    <t>What does oxygen cause to form on metals?</t>
  </si>
  <si>
    <t>During what period was the Tethys floor discovered?</t>
  </si>
  <si>
    <t>state transitions</t>
  </si>
  <si>
    <t>Britain's imperialist ambitions can be seen as early as the sixteenth century. In 1599 the British East India Company was established and was chartered by Queen Elizabeth in the following year. With the establishment of trading posts in India, the British were able to maintain strength relative to others empires such as the Portuguese who already had set up trading posts in India. In 1767 political activity caused exploitation of the East India Company causing the plundering of the local economy, almost bringing the company into bankruptcy.</t>
  </si>
  <si>
    <t>What mountain range contains Lake Constance?</t>
  </si>
  <si>
    <t>Isel</t>
  </si>
  <si>
    <t>What, rather than Islamism, requires no explanation?</t>
  </si>
  <si>
    <t>What year was the German encyclopedia Knaurs Lexikon written?</t>
  </si>
  <si>
    <t>3600 revolutions per minute</t>
  </si>
  <si>
    <t>When are the new Sky Q products going to be available?</t>
  </si>
  <si>
    <t>Ediacaran eoandromeda can be regarded to represent what?</t>
  </si>
  <si>
    <t xml:space="preserve"> J. A. Hobson didn't want which races to develop the world?</t>
  </si>
  <si>
    <t>What year did the BankAmericard become successful?</t>
  </si>
  <si>
    <t>Both before and after the 1708 passage of the Foreign Protestants Naturalization Act, an estimated 50,000 Protestant Walloons and Huguenots fled to England, with many moving on to Ireland and elsewhere. In relative terms, this was one of the largest waves of immigration ever of a single ethnic community to Britain. Andrew Lortie (born André Lortie), a leading Huguenot theologian and writer who led the exiled community in London, became known for articulating their criticism of the Pope and the doctrine of transubstantiation during Mass.</t>
  </si>
  <si>
    <t>What type of numbers are always multiples of 2?</t>
  </si>
  <si>
    <t>Who described a steam turbine in 1629?</t>
  </si>
  <si>
    <t>As of February 2017, how many numbers has Goldbach's conjecture been proven to?</t>
  </si>
  <si>
    <t>Continual motion</t>
  </si>
  <si>
    <t>What are the agents detected by the immune system called?</t>
  </si>
  <si>
    <t>Complement proteins bind to what kind of molecules on the surface of microbes in order to elicit an immune response?</t>
  </si>
  <si>
    <t>AC and NC are complexity classes typically associated with what type of circuit?</t>
  </si>
  <si>
    <t>What commission was found to have abused power in 1980's?</t>
  </si>
  <si>
    <t>0.5%</t>
  </si>
  <si>
    <t>1852</t>
  </si>
  <si>
    <t>What was the name of the war that the Archduke Sigismund of Austria started?</t>
  </si>
  <si>
    <t>Besides England who else were particularly welcoming to those fleeing France?</t>
  </si>
  <si>
    <t>The transportation law allows personal aircraft to share the roadways with what?</t>
  </si>
  <si>
    <t>Pitt's plan called for what attacks?</t>
  </si>
  <si>
    <t>Mojave Desert</t>
  </si>
  <si>
    <t>in action-reaction pairs</t>
  </si>
  <si>
    <t>What is the ULCA mascot?</t>
  </si>
  <si>
    <t>sell prescription drugs without requiring a prescription</t>
  </si>
  <si>
    <t>What was the Bell System?</t>
  </si>
  <si>
    <t>political power</t>
  </si>
  <si>
    <t>What type of movies were produced in Jacksonville's 30 studios?</t>
  </si>
  <si>
    <t>Who is the vice-chair of the IPCC?</t>
  </si>
  <si>
    <t>the construction of military roads</t>
  </si>
  <si>
    <t>On August 15, 1971, the United States unilaterally pulled out of the Bretton Woods Accord. The US abandoned the Gold Exchange Standard whereby the value of the dollar had been pegged to the price of gold and all other currencies were pegged to the dollar, whose value was left to "float" (rise and fall according to market demand). Shortly thereafter, Britain followed, floating the pound sterling. The other industrialized nations followed suit with their respective currencies. Anticipating that currency values would fluctuate unpredictably for a time, the industrialized nations increased their reserves (by expanding their money supplies) in amounts far greater than before. The result was a depreciation of the dollar and other industrialized nations' currencies. Because oil was priced in dollars, oil producers' real income decreased. In September 1971, OPEC issued a joint communiqué stating that, from then on, they would price oil in terms of a fixed amount of gold.</t>
  </si>
  <si>
    <t xml:space="preserve"> What did European empires not rely on to supply them with resources?</t>
  </si>
  <si>
    <t>in 1932 what was the Rhine measurement changed to?</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</si>
  <si>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</si>
  <si>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tolerance of civil disobedience</t>
  </si>
  <si>
    <t>What does the Fogg Museum of Art cover?</t>
  </si>
  <si>
    <t>What do molecular biologists believe lagerstatten are closely related to?</t>
  </si>
  <si>
    <t>What is the legal boundary behind the High and Upper Rind?</t>
  </si>
  <si>
    <t>What do ctenophore use to capture their prey?</t>
  </si>
  <si>
    <t>Diocles of Carystus</t>
  </si>
  <si>
    <t>limiting aggregate demand</t>
  </si>
  <si>
    <t>What organization can only certain members belong to?</t>
  </si>
  <si>
    <t>The crisis reduced the demand for large cars. 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Japanese imports became mass-market leaders with unibody construction and front-wheel drive, which became de facto standards.</t>
  </si>
  <si>
    <t>Scotland Act</t>
  </si>
  <si>
    <t>western portions of the Great Lakes</t>
  </si>
  <si>
    <t>Which country today is a remnant of the Ottoman empire?</t>
  </si>
  <si>
    <t>What was developed by Carl von Hampson and William Linde?</t>
  </si>
  <si>
    <t>What type of wages does mechanization and automation lead to?</t>
  </si>
  <si>
    <t>What position did the tax collector that arrested Thoreau get?</t>
  </si>
  <si>
    <t>These books became a foundational text for what library?</t>
  </si>
  <si>
    <t>What theoretical device is attributed to Alan Turing?</t>
  </si>
  <si>
    <t>Where do a majority of consultant pharmacists tend to work?</t>
  </si>
  <si>
    <t>tens of thousands</t>
  </si>
  <si>
    <t>What were NTL's services rebranded as?</t>
  </si>
  <si>
    <t>militia support</t>
  </si>
  <si>
    <t>What kind of graph is an example of an input used in a decision problem?</t>
  </si>
  <si>
    <t>What kind of non-peer-reviewed sources does the IPCC use?</t>
  </si>
  <si>
    <t>The Unique Model predicts that exchanged particles are the fundamental means by what?</t>
  </si>
  <si>
    <t>What computational problem is commonly associated with prime factorization?</t>
  </si>
  <si>
    <t>roughly 500,000</t>
  </si>
  <si>
    <t>In what year did the warfare in France between Protestants and Catholics get it start?</t>
  </si>
  <si>
    <t>What percentage of the land cleared in the Amazon is used for growing livestock?</t>
  </si>
  <si>
    <t>In an atmospheric engine, what does air pressure push against?</t>
  </si>
  <si>
    <t>What is the "hand shake" between communication parties?</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</si>
  <si>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</si>
  <si>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How many Catholic schools got government assistance?</t>
  </si>
  <si>
    <t>How populous is Victoria compared to other Australian states?</t>
  </si>
  <si>
    <t>Who purhcased the remaining 4 pacakages available to broadcasters?</t>
  </si>
  <si>
    <t>What goal does Islamism have when it comes to society and government?</t>
  </si>
  <si>
    <t>appear to become lighter and seem to lose something in the process</t>
  </si>
  <si>
    <t>Who did the Yuan's increase in commerce help?</t>
  </si>
  <si>
    <t>the Financial crisis of 2007–08</t>
  </si>
  <si>
    <t>Where were British defeated in Canada?</t>
  </si>
  <si>
    <t>Who congratulated the SNP on their loss?</t>
  </si>
  <si>
    <t>very little</t>
  </si>
  <si>
    <t>over 100 billion dollars</t>
  </si>
  <si>
    <t>campaigns on Lake Ontario</t>
  </si>
  <si>
    <t>1698</t>
  </si>
  <si>
    <t>What element has an atomic symbol of O?</t>
  </si>
  <si>
    <t>lacked tentacles</t>
  </si>
  <si>
    <t xml:space="preserve">What is the most abundant mass element in the Earth's biosphere? </t>
  </si>
  <si>
    <t>What happened to the rate of flow in the Rhine during the Rhine straightening program?</t>
  </si>
  <si>
    <t>yin-yang and wuxing</t>
  </si>
  <si>
    <t>What was apolitical Islam?</t>
  </si>
  <si>
    <t>the Mexico–United States border</t>
  </si>
  <si>
    <t>What did some leaders of the British rebellion become?</t>
  </si>
  <si>
    <t>Saxon Garden</t>
  </si>
  <si>
    <t>Savanna and desert were replaced by what in the Amazon?</t>
  </si>
  <si>
    <t>offering a higher wage</t>
  </si>
  <si>
    <t>the IPCC from the WWF report</t>
  </si>
  <si>
    <t>How much of Afghanistan did the Taliban take over?</t>
  </si>
  <si>
    <t>avoid the "inconvenience" of visiting a doctor</t>
  </si>
  <si>
    <t>Who was the 4th to rule the Yuan dynasty?</t>
  </si>
  <si>
    <t>Starting in the late 1950s, American computer scientist Paul Baran developed the concept Distributed Adaptive Message Block Switching with the goal to provide a fault-tolerant, efficient routing method for telecommunication messages as part of a research program at the RAND Corporation, funded by the US Department of Defense. This concept contrasted and contradicted the theretofore established principles of pre-allocation of network bandwidth, largely fortified by the development of telecommunications in the Bell System. The new concept found little resonance among network implementers until the independent work of Donald Davies at the National Physical Laboratory (United Kingdom) (NPL) in the late 1960s. Davies is credited with coining the modern name packet switching and inspiring numerous packet switching networks in Europe in the decade following, including the incorporation of the concept in the early ARPANET in the United States.</t>
  </si>
  <si>
    <t>as soon as they enter into force</t>
  </si>
  <si>
    <t>What districts does downtown Santa Ana include?</t>
  </si>
  <si>
    <t>air conditioning</t>
  </si>
  <si>
    <t>What do radical Islamist organizations reject entirely?</t>
  </si>
  <si>
    <t>First Law</t>
  </si>
  <si>
    <t>What is the largest stadium in Australia?</t>
  </si>
  <si>
    <t>What are some other factors a pharmacist must monitor?</t>
  </si>
  <si>
    <t>How do you avoid problems when determining forces involved on an object from two or more sources?</t>
  </si>
  <si>
    <t>design-build, partnering and construction management</t>
  </si>
  <si>
    <t>Who was Bill Aiken's adopted mother?</t>
  </si>
  <si>
    <t>Who normally manages the environmental impact of the job?</t>
  </si>
  <si>
    <t>The views of Ali Shariati, ideologue of the Iranian Revolution, had resemblance with Mohammad Iqbal, ideological father of the State of Pakistan, but Khomeini's beliefs is perceived to be placed somewhere between beliefs of Sunni Islamic thinkers like Mawdudi and Qutb. He believed that complete imitation of the Prophet Mohammad and his successors such as Ali for restoration of Sharia law was essential to Islam, that many secular, Westernizing Muslims were actually agents of the West serving Western interests, and that the acts such as "plundering" of Muslim lands was part of a long-term conspiracy against Islam by the Western governments.</t>
  </si>
  <si>
    <t>pulmonary fibrosis</t>
  </si>
  <si>
    <t>When forces are from the presence of differnet objects, what law gives symmetry?</t>
  </si>
  <si>
    <t>200,000.</t>
  </si>
  <si>
    <t>What do the owners of more capital end up having?</t>
  </si>
  <si>
    <t>a piston</t>
  </si>
  <si>
    <t>Who was Margaret's husband?</t>
  </si>
  <si>
    <t>civilize</t>
  </si>
  <si>
    <t>Up to what age do students in the United Kingdom attend preparatory schools?</t>
  </si>
  <si>
    <t>social welfare</t>
  </si>
  <si>
    <t>How fast were the winds around St. Augustine in the 1964 hurricane?</t>
  </si>
  <si>
    <t>recover market share</t>
  </si>
  <si>
    <t>What book of the Bible discusses civil disobedience?</t>
  </si>
  <si>
    <t>Middleton Railway</t>
  </si>
  <si>
    <t>When was the Parental Leave directive created?</t>
  </si>
  <si>
    <t>Which Spanish officer established the settlement at St. Augustine?</t>
  </si>
  <si>
    <t>Where did Johnson start?</t>
  </si>
  <si>
    <t>gentrification of older neighbourhoods</t>
  </si>
  <si>
    <t>In the late 17th century, Robert Boyle proved that air is necessary for combustion. English chemist John Mayow (1641–1679) refined this work by showing that fire requires only a part of air that he called spiritus nitroaereus or just nitroaereus. In one experiment he found that placing either a mouse or a lit candle in a closed container over water caused the water to rise and replace one-fourteenth of the air's volume before extinguishing the subjects. From this he surmised that nitroaereus is consumed in both respiration and combustion.</t>
  </si>
  <si>
    <t>What literature did Fielding H. Garrison draw from that wasn't destroyed by Muslims?</t>
  </si>
  <si>
    <t>What are beroids more similar to than other bilaterians?</t>
  </si>
  <si>
    <t>What do people pleading no contest believe about defending themselves?</t>
  </si>
  <si>
    <t>1971</t>
  </si>
  <si>
    <t>eventually decrease</t>
  </si>
  <si>
    <t>opposition to the decisions of non-governmental agencies such as trade unions, banks, and private universities</t>
  </si>
  <si>
    <t>Are there any regions where the Treaty of European Union excludes from jurisdiction?</t>
  </si>
  <si>
    <t>What is often seen as a scientific abstraction modeling those computational tasks that admit an efficient algorithm?</t>
  </si>
  <si>
    <t>45°</t>
  </si>
  <si>
    <t xml:space="preserve">The University of Chicago is governed by a board of trustees. The Board of Trustees oversees the long-term development and plans of the university and manages fundraising efforts, and is composed of 50 members including the university President. Directly beneath the President are the Provost, fourteen Vice Presidents (including the Chief Financial Officer, Chief Investment Officer, and Dean of Students of the university), the Directors of Argonne National Laboratory and Fermilab, the Secretary of the university, and the Student Ombudsperson. As of August 2009[update], the Chairman of the Board of Trustees is Andrew Alper, and the President of the university is Robert Zimmer. In December 2013 it was announced that the Director of Argonne National Laboratory, Eric Isaacs, would become Provost. Isaacs was replaced as Provost in March 2016 by Daniel Diermeier. </t>
  </si>
  <si>
    <t>Who is the current CEO and chairmen of Goldman Sachs?</t>
  </si>
  <si>
    <t>What is one function that prime numbers have that 15 does not?</t>
  </si>
  <si>
    <t>Who was Warsaw under the administration of when it came under the rule of the Jewish Government?</t>
  </si>
  <si>
    <t>What were the structures built by Poland typical of?</t>
  </si>
  <si>
    <t>political focus</t>
  </si>
  <si>
    <t>autoimmune disorders</t>
  </si>
  <si>
    <t>Highly combustible materials that leave little residue, such as wood or coal, were thought to be made mostly of phlogiston; whereas non-combustible substances that corrode, such as iron, contained very little. Air did not play a role in phlogiston theory, nor were any initial quantitative experiments conducted to test the idea; instead, it was based on observations of what happens when something burns, that most common objects appear to become lighter and seem to lose something in the process. The fact that a substance like wood gains overall weight in burning was hidden by the buoyancy of the gaseous combustion products. Indeed, one of the first clues that the phlogiston theory was incorrect was that metals, too, gain weight in rusting (when they were supposedly losing phlogiston).</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</si>
  <si>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</si>
  <si>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When did the Red Army Uprising begin?</t>
  </si>
  <si>
    <t>2 millimeters</t>
  </si>
  <si>
    <t>Along with 15 sororities, how many fraternities does the U of C have?</t>
  </si>
  <si>
    <t>When did the the German army re-occupy Britain and France?</t>
  </si>
  <si>
    <t>the University of Chicago campus</t>
  </si>
  <si>
    <t>What lead to the UK to subscribe to the agreement on Social Policy?</t>
  </si>
  <si>
    <t>judged "wrong" by an individual conscience</t>
  </si>
  <si>
    <t>RSA</t>
  </si>
  <si>
    <t>City council</t>
  </si>
  <si>
    <t>use of a decentralized network with multiple paths between any two points, dividing user messages into message blocks, later called packets</t>
  </si>
  <si>
    <t>Algeria</t>
  </si>
  <si>
    <t xml:space="preserve"> When was the Single European Act made?</t>
  </si>
  <si>
    <t>legal system</t>
  </si>
  <si>
    <t>the deterministic sorting algorithm quicksort</t>
  </si>
  <si>
    <t>What is the second academic school of technology in Poland?</t>
  </si>
  <si>
    <t>Where was Halford Mackinder born?</t>
  </si>
  <si>
    <t>What causes the symptoms of inflammation?</t>
  </si>
  <si>
    <t>51.6% was not in favor of what?</t>
  </si>
  <si>
    <t>What does Yeke Mongghul Ulus mean?</t>
  </si>
  <si>
    <t>How sure did the statement say scientists were that temperatures would keep rising?</t>
  </si>
  <si>
    <t>Middle Rhine Valley</t>
  </si>
  <si>
    <t>Along with electric motors, what power sources overtook expansion engines in the 20th century?</t>
  </si>
  <si>
    <t>In which region tribe were large settlements discovered?</t>
  </si>
  <si>
    <t>Kublai Khan</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</si>
  <si>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</si>
  <si>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USSR's invasion</t>
  </si>
  <si>
    <t>How many troops were victorious for British in BAttle of Carillon?</t>
  </si>
  <si>
    <t>What does it mean when currencies are left to "float?"</t>
  </si>
  <si>
    <t>What is the term for the original Aboriginal people of Canberra?</t>
  </si>
  <si>
    <t>During what year were citizens or corporations said to not be able to bring claims against other non state parties?</t>
  </si>
  <si>
    <t>George W. Bush</t>
  </si>
  <si>
    <t>What political group began to gain support following the corruption scandal?</t>
  </si>
  <si>
    <t>entirely symbolic</t>
  </si>
  <si>
    <t xml:space="preserve">What is considered the epitome of the Rhine romanticism? </t>
  </si>
  <si>
    <t>value added by labor, capital and land</t>
  </si>
  <si>
    <t>What alumni wrote "The Good War"?</t>
  </si>
  <si>
    <t xml:space="preserve"> Where does Pamas originate?</t>
  </si>
  <si>
    <t>the currently known fundamental forces</t>
  </si>
  <si>
    <t xml:space="preserve">When rock folds deep in the Earth it can fold one of two ways, when it buckles downwards it creates what? </t>
  </si>
  <si>
    <t>What type of vehicle did Chrysler change to in 1977?</t>
  </si>
  <si>
    <t>75,000 to 100,000</t>
  </si>
  <si>
    <t>authorized a half-penny sales tax</t>
  </si>
  <si>
    <t>What is the Japanese name for the Yuan dynasty?</t>
  </si>
  <si>
    <t>any object can be, essentially uniquely, decomposed into its prime components</t>
  </si>
  <si>
    <t>How much land do farms crop rotate each year in Victoria?</t>
  </si>
  <si>
    <t>What question has not led to criticism?</t>
  </si>
  <si>
    <t>residual of the force</t>
  </si>
  <si>
    <t>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</si>
  <si>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When was the second oil crisis?</t>
  </si>
  <si>
    <t>What makes day length constant on Earth?</t>
  </si>
  <si>
    <t>What religion was Hugues Capet?</t>
  </si>
  <si>
    <t>What portion of bird species make up the world's total live in the rainforest?</t>
  </si>
  <si>
    <t>What are the 5 California University campuses?</t>
  </si>
  <si>
    <t>army of Germania Inferior</t>
  </si>
  <si>
    <t>What position in the government does Robert Gates hold?</t>
  </si>
  <si>
    <t>In what kind of system of particles are there no unbalanced iinternal forces?</t>
  </si>
  <si>
    <t>Shoreditch</t>
  </si>
  <si>
    <t>Baden-Württemberg</t>
  </si>
  <si>
    <t>What book did Darwin publish in 1830?</t>
  </si>
  <si>
    <t>The Bell System was created by who?</t>
  </si>
  <si>
    <t>What three different ways are used to measure space complexity?</t>
  </si>
  <si>
    <t>Camp Mercury nuclear test site</t>
  </si>
  <si>
    <t>Parliament Square, High Street and George IV Bridge</t>
  </si>
  <si>
    <t>Freeview</t>
  </si>
  <si>
    <t>What organization offers monetary awards for identifying primes with at least 150,000 digits?</t>
  </si>
  <si>
    <t>Who are FDA laws against importing medications not aimed at?</t>
  </si>
  <si>
    <t>about the year 2000</t>
  </si>
  <si>
    <t>5 to 15 years</t>
  </si>
  <si>
    <t>Drought and overpopulation are pushing to the force towards what?</t>
  </si>
  <si>
    <t>Besides Germany and Switzerland, where else is Lake Constance?</t>
  </si>
  <si>
    <t>What did the Gulf War inadvertently do in the early 1990s?</t>
  </si>
  <si>
    <t>Early Western texts referencing the East describe the people as being what?</t>
  </si>
  <si>
    <t>Although lacking historical connections to the Middle East, Japan was the country most dependent on Arab oil. 71% of its imported oil came from the Middle East in 1970. On November 7, 1973, the Saudi and Kuwaiti governments declared Japan a "nonfriendly" country to encourage it to change its noninvolvement policy. It received a 5% production cut in December, causing a panic. On November 22, Japan issued a statement "asserting that Israel should withdraw from all of the 1967 territories, advocating Palestinian self-determination, and threatening to reconsider its policy toward Israel if Israel refused to accept these preconditions". By December 25, Japan was considered an Arab-friendly state.</t>
  </si>
  <si>
    <t>Newton's Second Law of Motion</t>
  </si>
  <si>
    <t>What does the UGSS California Earthquake forecast model?</t>
  </si>
  <si>
    <t>What were the weekly carriage fees for the channels?</t>
  </si>
  <si>
    <t>When did the Poland area enlargement take place?</t>
  </si>
  <si>
    <t>There are other categories for what?</t>
  </si>
  <si>
    <t>How many members are on the Warsaw City Counil?</t>
  </si>
  <si>
    <t>Who normally instructs members how to vote?</t>
  </si>
  <si>
    <t>What was the catalyst that created greater interest in renewable resources?</t>
  </si>
  <si>
    <t>What are the first buildings the university built knows as today?</t>
  </si>
  <si>
    <t>What was Kublai Khan's relation to Ogedei Khan?</t>
  </si>
  <si>
    <t>Along with marine engines and industrial units, in what machines were marine locomotives popular?</t>
  </si>
  <si>
    <t>What are the two integer responses to a decision problem?</t>
  </si>
  <si>
    <t>For certain physical scenarios, it is impossible to model forces as being due to gradient of potentials. This is often due to macrophysical considerations that yield forces as arising from a macroscopic statistical average of microstates. For example, friction is caused by the gradients of numerous electrostatic potentials between the atoms, but manifests as a force model that is independent of any macroscale position vector. Nonconservative forces other than friction include other contact forces, tension, compression, and drag. However, for any sufficiently detailed description, all these forces are the results of conservative ones since each of these macroscopic forces are the net results of the gradients of microscopic potentials.</t>
  </si>
  <si>
    <t>2.5 billion years ago during the Great Oxygenation Event</t>
  </si>
  <si>
    <t>1759-60</t>
  </si>
  <si>
    <t>Working versions of 3D-printing building technology are already printing</t>
  </si>
  <si>
    <t>thermodynamic theory</t>
  </si>
  <si>
    <t>What is a chemical secreted by tumors that suppresses the immune response?</t>
  </si>
  <si>
    <t>The three page Kalven Report was issued in which year?</t>
  </si>
  <si>
    <t>What was used by the West to justify control over eastern territories?</t>
  </si>
  <si>
    <t>Who elects the members of the American Parliament?</t>
  </si>
  <si>
    <t>nonviolent</t>
  </si>
  <si>
    <t>bitstrings</t>
  </si>
  <si>
    <t>What development has the University of Biological Physics played a lead role in?</t>
  </si>
  <si>
    <t>What was Thoreau's punishment for not paying his taxes?</t>
  </si>
  <si>
    <t>satellite platform</t>
  </si>
  <si>
    <t>construction service firms (e.g., engineering, architecture) and construction managers</t>
  </si>
  <si>
    <t>Fort Beauséjour</t>
  </si>
  <si>
    <t>twice as much</t>
  </si>
  <si>
    <t>Where did the Normans carve out a principality before the First Crusade?</t>
  </si>
  <si>
    <t>Suleiman the Magnificent</t>
  </si>
  <si>
    <t>When was the European Convention on Human Rights established?</t>
  </si>
  <si>
    <t>the likelihood of damage to the existing electrical, water, sewage, phone, and cable facilities</t>
  </si>
  <si>
    <t>17,000</t>
  </si>
  <si>
    <t>What percentage of students enroll in public primary school in the Philippines?</t>
  </si>
  <si>
    <t>British</t>
  </si>
  <si>
    <t>When does a T cell identify pathogens?</t>
  </si>
  <si>
    <t>Where was the Charles Porter steam engine indicator shown?</t>
  </si>
  <si>
    <t>Ctenophora are less complex than which other phylum?</t>
  </si>
  <si>
    <t>380 years</t>
  </si>
  <si>
    <t>What must be announced publicly so you can still find a lawyer to represent you?</t>
  </si>
  <si>
    <t>Spain ceded Florida to the British in 1763 after the French and Indian War, and the British soon constructed the King's Road connecting St. Augustine to Georgia. The road crossed the St. Johns River at a narrow point, which the Seminole called Wacca Pilatka and the British called the Cow Ford or Cowford; these names ostensibly reflect the fact that cattle were brought across the river there. The British introduced the cultivation of sugar cane, indigo and fruits as well the export of lumber. As a result, the northeastern Florida area prospered economically more than it had under the Spanish. Britain ceded control of the territory back to Spain in 1783, after its defeat in the American Revolutionary War, and the settlement at the Cow Ford continued to grow. After Spain ceded the Florida Territory to the United States in 1821, American settlers on the north side of the Cow Ford decided to plan a town, laying out the streets and plats. They soon named the town Jacksonville, after Andrew Jackson. Led by Isaiah D. Hart, residents wrote a charter for a town government, which was approved by the Florida Legislative Council on February 9, 1832.</t>
  </si>
  <si>
    <t>Who is the university accredited by?</t>
  </si>
  <si>
    <t>religious</t>
  </si>
  <si>
    <t>alcohol and nightclubs</t>
  </si>
  <si>
    <t>What well-known archeologist believed the Amazon didn't have many inhabitants?</t>
  </si>
  <si>
    <t>In what decade did the Rankine cycle create 90% of electric power?</t>
  </si>
  <si>
    <t>geophysical surveys</t>
  </si>
  <si>
    <t>Are ctenophores predators, vegetarian or parasitic?</t>
  </si>
  <si>
    <t>What do partnering and construction management emphasize for the design-build process?</t>
  </si>
  <si>
    <t>What power is available to Australian private schools but generally not present in public schools?</t>
  </si>
  <si>
    <t>major division</t>
  </si>
  <si>
    <t>What ,theoretical machine did not confirm that a problem in P belies membership in the NX class?</t>
  </si>
  <si>
    <t>What is the name of the state that the megaregion expands to in the east?</t>
  </si>
  <si>
    <t>A probabilistic Turing machine</t>
  </si>
  <si>
    <t>What sport attracts most tourists to Jacksonville?</t>
  </si>
  <si>
    <t>Whose army liberated Warsaw in 1806?</t>
  </si>
  <si>
    <t xml:space="preserve">Where did scientists find their Y. pestis sample? </t>
  </si>
  <si>
    <t>France, Italy, Belgium, the Netherlands, Luxembourg and Germany</t>
  </si>
  <si>
    <t>1807</t>
  </si>
  <si>
    <t>What field involves the study of the immune system?</t>
  </si>
  <si>
    <t>indigenous territories</t>
  </si>
  <si>
    <t>Hugues Capet</t>
  </si>
  <si>
    <t>What is an object's mass proportional to at the surface of the Earth?</t>
  </si>
  <si>
    <t>Corliss</t>
  </si>
  <si>
    <t>Who was Ayurbarwada's son?</t>
  </si>
  <si>
    <t>N–S rift system</t>
  </si>
  <si>
    <t>Mustang I</t>
  </si>
  <si>
    <t>courts of member states and the Court of Justice of the European Union</t>
  </si>
  <si>
    <t>Other than Universal and Warner Brothers, what other company runs a major record company?</t>
  </si>
  <si>
    <t>For a field F containing 0 and 1, what would be the prime field?</t>
  </si>
  <si>
    <t>Where else is there a smaller Filipino population that in Jacksonville?</t>
  </si>
  <si>
    <t>inequality-associated effects</t>
  </si>
  <si>
    <t>The weak force only acts on which particles?</t>
  </si>
  <si>
    <t>What conservative international relations scholar is also a university alumni?</t>
  </si>
  <si>
    <t>How much gun powder was destroyed in attack?</t>
  </si>
  <si>
    <t>What department did Kublai create to train doctors?</t>
  </si>
  <si>
    <t xml:space="preserve"> Who were later Yuan emperors isolated with?</t>
  </si>
  <si>
    <t>What present-day company did BankAmericard turn into?</t>
  </si>
  <si>
    <t>during the Roman Empire</t>
  </si>
  <si>
    <t>gold rush</t>
  </si>
  <si>
    <t>What is the process by which pathogens evade the immune system by hiding inside the host cells called?</t>
  </si>
  <si>
    <t>Fort Frontenac</t>
  </si>
  <si>
    <t>When did the bubonic plague begin in Europe?</t>
  </si>
  <si>
    <t>How high is the highest point in Warsaw?</t>
  </si>
  <si>
    <t>Which plateau is the left part of Warsaw on?</t>
  </si>
  <si>
    <t>What is known as swing pressure adsorption?</t>
  </si>
  <si>
    <t>What ancient property do geologists study?</t>
  </si>
  <si>
    <t>What machine does not define BPP, ZPP, and RP?</t>
  </si>
  <si>
    <t>wetter</t>
  </si>
  <si>
    <t>pollution</t>
  </si>
  <si>
    <t>In an open system of particles, there are no internal what?</t>
  </si>
  <si>
    <t>What is one general concept that applies to elements of general xy?</t>
  </si>
  <si>
    <t>What type of treaty was the Lisbon Treaty?</t>
  </si>
  <si>
    <t>Salafism posits that democracy is responsible for what type of horrible events of the 21st century?</t>
  </si>
  <si>
    <t>"Wrecking amendments" are designed to encourage further what?</t>
  </si>
  <si>
    <t>What percentage of British children are educated at GSCE level in fee-paying schools?</t>
  </si>
  <si>
    <t xml:space="preserve"> What status has the Brotherhood obtained in the non-Islamic world?</t>
  </si>
  <si>
    <t>&gt;500 Da</t>
  </si>
  <si>
    <t>How long have the intrusive rocks in the southwestern US been around?</t>
  </si>
  <si>
    <t>more than $45,000</t>
  </si>
  <si>
    <t>value of the Caribbean islands' sugar cane to be greater and easier to defend than the furs from the continent</t>
  </si>
  <si>
    <t>over 2,000</t>
  </si>
  <si>
    <t>Which leaders did the Islamic extremists attack?</t>
  </si>
  <si>
    <t>loess</t>
  </si>
  <si>
    <t xml:space="preserve"> According to Lenin why must capitalistic countries not have an imperialistic policy?</t>
  </si>
  <si>
    <t>triplet oxygen</t>
  </si>
  <si>
    <t>time and space complexity</t>
  </si>
  <si>
    <t>Which hall was used as Parliament's principle committee room?</t>
  </si>
  <si>
    <t>deterministic algorithm</t>
  </si>
  <si>
    <t>What does the WG I Summary for Policymakers report say human activities are doing to greenhouse gases?</t>
  </si>
  <si>
    <t>Babai and Eugene Luks</t>
  </si>
  <si>
    <t>Geographical theories such as environmental determinism also suggested that tropical environments created uncivilized people in need of European guidance. For instance, American geographer Ellen Churchill Semple argued that even though human beings originated in the tropics they were only able to become fully human in the temperate zone. Tropicality can be paralleled with Edward Said’s Orientalism as the west’s construction of the east as the “other”. According to Siad, orientalism allowed Europe to establish itself as the superior and the norm, which justified its dominance over the essentialized Orient.</t>
  </si>
  <si>
    <t>Karp reductions and Levin reductions</t>
  </si>
  <si>
    <t>colloblasts</t>
  </si>
  <si>
    <t>How is registered property held in informal form?</t>
  </si>
  <si>
    <t>accept jail penitently</t>
  </si>
  <si>
    <t>What is not an important role of the immune system?</t>
  </si>
  <si>
    <t>What concept, originally discovered by Watt, was later discovered independently by Black?</t>
  </si>
  <si>
    <t>What route connects Fresno with the California Central Valley?</t>
  </si>
  <si>
    <t>When did Carl Wilhelm Scheele discover oxygen?</t>
  </si>
  <si>
    <t>After the German Invasion of Poland on 1 September 1939 began the Second World War, Warsaw was defended till September 27. Central Poland, including Warsaw, came under the rule of the General Government, a German Nazi colonial administration. All higher education institutions were immediately closed and Warsaw's entire Jewish population – several hundred thousand, some 30% of the city – herded into the Warsaw Ghetto. The city would become the centre of urban resistance to Nazi rule in occupied Europe. When the order came to annihilate the ghetto as part of Hitler's "Final Solution" on 19 April 1943, Jewish fighters launched the Warsaw Ghetto Uprising. Despite being heavily outgunned and outnumbered, the Ghetto held out for almost a month. When the fighting ended, almost all survivors were massacred, with only a few managing to escape or hide.</t>
  </si>
  <si>
    <t>What has the first timeline added to the timeline to expand it?</t>
  </si>
  <si>
    <t>Van Gend en Loos v Nederlandse Administratie der Belastingen</t>
  </si>
  <si>
    <t>Decision Time</t>
  </si>
  <si>
    <t>What was demonstrated for the first time in 1910?</t>
  </si>
  <si>
    <t>black earth</t>
  </si>
  <si>
    <t>What is not an example of a measurement within a complexity class that would create a bigger set of problems if the bounds were relaxed?</t>
  </si>
  <si>
    <t>The success of pathogens is predicated on their ability to do what?</t>
  </si>
  <si>
    <t>Iqbal worried that India's mostly Hindu population would do what to Muslim heritage and culture?</t>
  </si>
  <si>
    <t>Oxygen toxicity</t>
  </si>
  <si>
    <t>"Huguenot Street Historic District" in New Paltz</t>
  </si>
  <si>
    <t>Where is Audra McDonald from?</t>
  </si>
  <si>
    <t>revolution</t>
  </si>
  <si>
    <t>What crops were introduced or popularized in the Yuan?</t>
  </si>
  <si>
    <t>In what expression can one expect to find DTIME(n)</t>
  </si>
  <si>
    <t>Oedipus</t>
  </si>
  <si>
    <t>second scale shows the most recent eon with an expanded scale</t>
  </si>
  <si>
    <t>Ahai</t>
  </si>
  <si>
    <t>Arab</t>
  </si>
  <si>
    <t>When are inequalities in wealth justified, according to John Rawls?</t>
  </si>
  <si>
    <t>Christopher Gist</t>
  </si>
  <si>
    <t>multi-cultural city</t>
  </si>
  <si>
    <t>What does Huisgenoten translate to in French?</t>
  </si>
  <si>
    <t>By how many kilometers are shear waves separated when measuring the crust?</t>
  </si>
  <si>
    <t>ring theory</t>
  </si>
  <si>
    <t>What Khitan leader defected to the Mongols?</t>
  </si>
  <si>
    <t>nearly three hundred years</t>
  </si>
  <si>
    <t>Who demonstrated how to create a perfect number from a Mersenne prime?</t>
  </si>
  <si>
    <t>What party is favored in Northern and Southern Victoria?</t>
  </si>
  <si>
    <t>A construction project</t>
  </si>
  <si>
    <t>Whatare the electrostatic and magnetic force awritten as the sum of?</t>
  </si>
  <si>
    <t>What is each message labeled with?</t>
  </si>
  <si>
    <t>What does the currently flooded ditch still have visible?</t>
  </si>
  <si>
    <t>What platform helped BSkyB to avoid ending their analogue service?</t>
  </si>
  <si>
    <t>Ethernet attached hosts, and eventually TCP/IP and additional public universities in Michigan join the network</t>
  </si>
  <si>
    <t xml:space="preserve">What are the primary constitutional sources of the American Union? </t>
  </si>
  <si>
    <t xml:space="preserve"> How did the Yuan come to have the 8 schools of medicine?</t>
  </si>
  <si>
    <t>constant pressure</t>
  </si>
  <si>
    <t>What has made Jacksonville a major military and civilian court since the 1900s?</t>
  </si>
  <si>
    <t>κτείς kteis 'comb' and φέρω pherō 'carry'</t>
  </si>
  <si>
    <t>What is the law of thermodynamics associated with closed system heat exchange?</t>
  </si>
  <si>
    <t>What are some of the minor factors in the local economy?</t>
  </si>
  <si>
    <t>When was the Muslim Brotherhood founded?</t>
  </si>
  <si>
    <t>What type of defense is sometimes used in court by protestors?</t>
  </si>
  <si>
    <t>30,000</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</si>
  <si>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</si>
  <si>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Where are specialized cells not located?</t>
  </si>
  <si>
    <t>What part of the Earth is composed of mostly of silicates of iron and magnesium?</t>
  </si>
  <si>
    <t>rotary motion</t>
  </si>
  <si>
    <t>heavily impacted</t>
  </si>
  <si>
    <t>How many people lived in China in the 1300s?</t>
  </si>
  <si>
    <t>the Book of Exodus</t>
  </si>
  <si>
    <t>Like much of the south Atlantic region of the United States, Jacksonville has a humid subtropical climate (Köppen Cfa), with mild weather during winters and hot and humid weather during summers. Seasonal rainfall is concentrated in the warmest months from May through September, while the driest months are from November through April. Due to Jacksonville's low latitude and coastal location, the city sees very little cold weather, and winters are typically mild and sunny. Summers can be hot and wet, and summer thunderstorms with torrential but brief downpours are common.</t>
  </si>
  <si>
    <t>Holocene</t>
  </si>
  <si>
    <t>What happens to waste heat in the water?</t>
  </si>
  <si>
    <t>a protest that blocked heavy traffic</t>
  </si>
  <si>
    <t>Philip Roth</t>
  </si>
  <si>
    <t>267</t>
  </si>
  <si>
    <t>1989</t>
  </si>
  <si>
    <t>Arnhem</t>
  </si>
  <si>
    <t>Who is the 75th United States Secretary of the Treasury?</t>
  </si>
  <si>
    <t>What is sometimes more effective than civil disobedience at times?</t>
  </si>
  <si>
    <t>rock units</t>
  </si>
  <si>
    <t>What does Carnot mean?</t>
  </si>
  <si>
    <t>In an ideal moral society, what would no citizens be free from?</t>
  </si>
  <si>
    <t>nucleons in atomic nuclei</t>
  </si>
  <si>
    <t>How much of Victoria produced Australian peaches?</t>
  </si>
  <si>
    <t>What do those in political office refuse to sign when involved in civil disobedience?</t>
  </si>
  <si>
    <t>What does the substitution of equipment for labor raise for workers?</t>
  </si>
  <si>
    <t>increase its bulk and decrease its density</t>
  </si>
  <si>
    <t>How many French nobles were Huguenots?</t>
  </si>
  <si>
    <t>When is short-term active memory acquired?</t>
  </si>
  <si>
    <t>On what river does Warsaw stand?</t>
  </si>
  <si>
    <t>Of what length are engine cycle events when the simplest exhaust compression is used?</t>
  </si>
  <si>
    <t>Justinian plague</t>
  </si>
  <si>
    <t xml:space="preserve">How is the O2 molecule referred to in its ground state? </t>
  </si>
  <si>
    <t>Who revolted in the Ispah Rebellion?</t>
  </si>
  <si>
    <t xml:space="preserve">What was Zia-ul-Haq accused of using Islamization to legitimize? </t>
  </si>
  <si>
    <t>How are the certain costs which are difficult to avoid shared?</t>
  </si>
  <si>
    <t>Where is the border of Swiss and Austria?</t>
  </si>
  <si>
    <t>When did Germanic tribes cross the Rhine to migrate?</t>
  </si>
  <si>
    <t>What does TFEU article not state?</t>
  </si>
  <si>
    <t>empire-building</t>
  </si>
  <si>
    <t>There is increased wind from what direction in July?</t>
  </si>
  <si>
    <t>Eleutherian</t>
  </si>
  <si>
    <t>What is something that is often torn up and included in sedimentary rock?</t>
  </si>
  <si>
    <t>1960s</t>
  </si>
  <si>
    <t>30% less steam</t>
  </si>
  <si>
    <t>rainfall in the basin during the LGM was lower than for the present</t>
  </si>
  <si>
    <t>Thoreau's</t>
  </si>
  <si>
    <t>In what year did the plague begin in England?</t>
  </si>
  <si>
    <t>infinitely many</t>
  </si>
  <si>
    <t>What did local residents do when Forbes announced budget cuts in 2011?</t>
  </si>
  <si>
    <t>at larger distances.</t>
  </si>
  <si>
    <t>Reserved matters</t>
  </si>
  <si>
    <t>Who founded the Muslim Brotherhood?</t>
  </si>
  <si>
    <t>religious beliefs</t>
  </si>
  <si>
    <t>a combination of poor management, internal divisions, and effective Canadian scouts, French regular forces, and Indian warrior allies</t>
  </si>
  <si>
    <t>share recordings</t>
  </si>
  <si>
    <t>Interactive</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</si>
  <si>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</si>
  <si>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How are nuclear forces transmitted?</t>
  </si>
  <si>
    <t>What is resposible for speeding up or slowing down an object?</t>
  </si>
  <si>
    <t>How much success didn't this expedition with Braddock find?</t>
  </si>
  <si>
    <t>Neutrophils and macrophages</t>
  </si>
  <si>
    <t>What force is weaker than gravity over short distances?</t>
  </si>
  <si>
    <t>lab monitoring, adherence counseling, and assist patients with cost-containment strategies</t>
  </si>
  <si>
    <t>88%</t>
  </si>
  <si>
    <t>rose to higher political office</t>
  </si>
  <si>
    <t>granaries were ordered built</t>
  </si>
  <si>
    <t>the Hungarians under Ferenc Deák</t>
  </si>
  <si>
    <t>Which region did not invent the machine gun?</t>
  </si>
  <si>
    <t>extend networking benefits</t>
  </si>
  <si>
    <t>use in the ARPANET</t>
  </si>
  <si>
    <t>autocratic-bureaucratic</t>
  </si>
  <si>
    <t>vacuum</t>
  </si>
  <si>
    <t xml:space="preserve">What did Davies call his system </t>
  </si>
  <si>
    <t>Near Sankt Goarshausen</t>
  </si>
  <si>
    <t>public PAD service Telepad (using the DNIC 2049</t>
  </si>
  <si>
    <t>Transform</t>
  </si>
  <si>
    <t>What is controled by the market and economy?</t>
  </si>
  <si>
    <t>Jules Ferry thought that the "higher races" have a duty to what?</t>
  </si>
  <si>
    <t>granted the Protestants equality with Catholics under the throne and a degree of religious and political freedom within their domains</t>
  </si>
  <si>
    <t xml:space="preserve">How is packet mode communication implemented </t>
  </si>
  <si>
    <t>When will Ford start building electric cars?</t>
  </si>
  <si>
    <t>Assuming p is a prime other than 2 or 5, then according to Gluga's theorem, what type of decimal wil 1/p always be?</t>
  </si>
  <si>
    <t>The evolutionary strategy used by cicadas of the genus Magicicada make use of prime numbers. These insects spend most of their lives as grubs underground. They only pupate and then emerge from their burrows after 7, 13 or 17 years, at which point they fly about, breed, and then die after a few weeks at most. The logic for this is believed to be that the prime number intervals between emergences make it very difficult for predators to evolve that could specialize as predators on Magicicadas. If Magicicadas appeared at a non-prime number intervals, say every 12 years, then predators appearing every 2, 3, 4, 6, or 12 years would be sure to meet them. Over a 200-year period, average predator populations during hypothetical outbreaks of 14- and 15-year cicadas would be up to 2% higher than during outbreaks of 13- and 17-year cicadas. Though small, this advantage appears to have been enough to drive natural selection in favour of a prime-numbered life-cycle for these insects.</t>
  </si>
  <si>
    <t>an automobile radiator</t>
  </si>
  <si>
    <t>NASA's</t>
  </si>
  <si>
    <t>How many times did plague occur in Venice?</t>
  </si>
  <si>
    <t>What cells can't act independently?</t>
  </si>
  <si>
    <t>What year was the Northridge earthquake that caused $20 million in damage?</t>
  </si>
  <si>
    <t>Julia Butterfly Hill</t>
  </si>
  <si>
    <t>What actor starred in the Movie Saving Private Ryan?</t>
  </si>
  <si>
    <t>the Camisards</t>
  </si>
  <si>
    <t>What is not used for a precise definition of what it means to solve a problem using a given amount of time and space?</t>
  </si>
  <si>
    <t>March 1974</t>
  </si>
  <si>
    <t>When was REM sleep discovered?</t>
  </si>
  <si>
    <t>What did Kllbrandon's report in 1973 recommend establishing?</t>
  </si>
  <si>
    <t>What, along with a desire for more steam pressure, were early drivers looking to generate when they fastened engines down?</t>
  </si>
  <si>
    <t>What does Rajan feel hasn't created deep financial fault lines?</t>
  </si>
  <si>
    <t>according to a multiple access scheme</t>
  </si>
  <si>
    <t>In response to American aid to Israel, on October 16, 1973, OPEC raised the posted price of oil by 70%, to $5.11 a barrel. The following day, oil ministers agreed to the embargo, a cut in production by five percent from September's output and to continue to cut production in five percent monthly increments until their economic and political objectives were met. On October 19, Nixon requested Congress to appropriate $2.2 billion in emergency aid to Israel, including $1.5 billion in outright grants. George Lenczowski notes, "Military supplies did not exhaust Nixon's eagerness to prevent Israel's collapse...This [$2.2 billion] decision triggered a collective OPEC response." Libya immediately announced it would embargo oil shipments to the United States. Saudi Arabia and the other Arab oil-producing states joined the embargo on October 20, 1973. At their Kuwait meeting, OAPEC proclaimed the embargo that curbed exports to various countries and blocked all oil deliveries to the US as a "principal hostile country".</t>
  </si>
  <si>
    <t>crust and lithosphere</t>
  </si>
  <si>
    <t>Which Fresno district is the center for the LGBT community?</t>
  </si>
  <si>
    <t>What was Ban Ki-Moon not the Secretary General of?</t>
  </si>
  <si>
    <t>What did Christianity in US curriculum focus on before it was changed?</t>
  </si>
  <si>
    <t>Some elements of the Brotherhood did not direct what action against the government?</t>
  </si>
  <si>
    <t>What is the process that asks a more specific question about all possible algorithms that could not be used to solve the same problem?</t>
  </si>
  <si>
    <t>thaw and fall-winter snow covers</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</si>
  <si>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</si>
  <si>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precise operational definitions</t>
  </si>
  <si>
    <t>What grew on a global scale as a result of non-imperialism?</t>
  </si>
  <si>
    <t>How was the ctenophore mnemiopsis leidyi introduced into The Black Sea and the Sea of Azov?</t>
  </si>
  <si>
    <t>The Rhine was not known to Herodotus and first enters the historical period in the 1st century BC in Roman-era geography. At that time, it formed the boundary between Gaul and Germania. The Upper Rhine had been part of the areal of the late Hallstatt culture since the 6th century BC, and by the 1st century BC, the areal of the La Tène culture covered almost its entire length, forming a contact zone with the Jastorf culture, i.e. the locus of early Celtic-Germanic cultural contact. In Roman geography, the Rhine formed the boundary between Gallia and Germania by definition; e.g. Maurus Servius Honoratus, Commentary on the Aeneid of Vergil (8.727) (Rhenus) fluvius Galliae, qui Germanos a Gallia dividit "(The Rhine is a) river of Gaul, which divides the Germanic people from Gaul."</t>
  </si>
  <si>
    <t>When was the Latin version of the word Norman first recorded?</t>
  </si>
  <si>
    <t>In Schmidberger v Austria, the Court of Justice came to the conclusion that Austria didn't infringe upon article 34 by failing to ban a what?</t>
  </si>
  <si>
    <t>What was formed when the government merged in 1967?</t>
  </si>
  <si>
    <t>Who was one of the earliest examples of Civil Disobedience against?</t>
  </si>
  <si>
    <t>Excessive bureaucratic red tape is one of the reasons for what type of ownership?</t>
  </si>
  <si>
    <t>What are shorter growth spells associated with?</t>
  </si>
  <si>
    <t>In what year was the Haensch study released?</t>
  </si>
  <si>
    <t>What did Gasquet's book blame the plague on?</t>
  </si>
  <si>
    <t>greater tendency to take on debts</t>
  </si>
  <si>
    <t>aerobic exercise</t>
  </si>
  <si>
    <t>What was the source of the Rhine during the current last Ice Age?</t>
  </si>
  <si>
    <t>marine triple expansion engines</t>
  </si>
  <si>
    <t>Who is the President of the IPCC?</t>
  </si>
  <si>
    <t>diverges</t>
  </si>
  <si>
    <t>Jingshi Dadian</t>
  </si>
  <si>
    <t>By what process can active immunity be generated in an artificial manner?</t>
  </si>
  <si>
    <t>How many Huguenots were killed during this purge?</t>
  </si>
  <si>
    <t>How many cylinders does the Energiprojekt AB engine have?</t>
  </si>
  <si>
    <t>rainfall in the basin during the LGM was lower</t>
  </si>
  <si>
    <t>Albany</t>
  </si>
  <si>
    <t>democracy</t>
  </si>
  <si>
    <t>One in five</t>
  </si>
  <si>
    <t>negotiated between endpoints</t>
  </si>
  <si>
    <t>the treatment</t>
  </si>
  <si>
    <t>Formal</t>
  </si>
  <si>
    <t>EXPTIME</t>
  </si>
  <si>
    <t>from 1321 to 1323</t>
  </si>
  <si>
    <t>What is the desert of southern California popular for?</t>
  </si>
  <si>
    <t>free</t>
  </si>
  <si>
    <t>What is used to describe the weakness of gravity?</t>
  </si>
  <si>
    <t>What was Jacksonville referred to as after the consolidation?</t>
  </si>
  <si>
    <t>How many ministries of the Scottish government does a committee typically correspond to?</t>
  </si>
  <si>
    <t>Who published an error regarding the Himalayan glaciers?</t>
  </si>
  <si>
    <t xml:space="preserve">What happens to the GDP growth of a country if the income share of the top 20 percent increases, according to IMF staff economists? </t>
  </si>
  <si>
    <t>What is necessary to disobey?</t>
  </si>
  <si>
    <t>Spain</t>
  </si>
  <si>
    <t>What do the juveniles behave like in the genus Beroe?</t>
  </si>
  <si>
    <t>What is the expression used to identify any given series of solutions capable of being solved within time on a deterministic Turing machine?</t>
  </si>
  <si>
    <t>elimination of French power</t>
  </si>
  <si>
    <t>the United Nations Environment Programme (UNEP) and the World Meteorological Organization (WMO)</t>
  </si>
  <si>
    <t>What could inflammation do during sleep periods?</t>
  </si>
  <si>
    <t>The perceived British policy of being hands off of its Muslim population has resulted in what derogatory term for France?</t>
  </si>
  <si>
    <t>clean them</t>
  </si>
  <si>
    <t>silicates (in silicate minerals)</t>
  </si>
  <si>
    <t>Who constructed an experiment where stones and rocks were rolled down an incline?</t>
  </si>
  <si>
    <t xml:space="preserve">What is the name of the Pulitzer Prize novelist who was also a university alumni? </t>
  </si>
  <si>
    <t>high humidity</t>
  </si>
  <si>
    <t>sharia</t>
  </si>
  <si>
    <t>What part does fishing play in Victoria's economy play?</t>
  </si>
  <si>
    <t>What country has the most factories that pollute the Rhine?</t>
  </si>
  <si>
    <t>ghost of le roi Huguet</t>
  </si>
  <si>
    <t>Half</t>
  </si>
  <si>
    <t>What summary says that human activity is responsible for the earths cooling?</t>
  </si>
  <si>
    <t>Which side is SR 99 built on?</t>
  </si>
  <si>
    <t>Was the plan informalized?</t>
  </si>
  <si>
    <t>How much did BSkyB pay to give up their rights for Premier League?</t>
  </si>
  <si>
    <t>the Rumford medal</t>
  </si>
  <si>
    <t>less than a year</t>
  </si>
  <si>
    <t>The Yuan undertook extensive public works. Among Kublai Khan's top engineers and scientists was the astronomer Guo Shoujing, who was tasked with many public works projects and helped the Yuan reform the lunisolar calendar to provide an accuracy of 365.2425 days of the year, which was only 26 seconds off the modern Gregorian calendar's measurement. Road and water communications were reorganized and improved. To provide against possible famines, granaries were ordered built throughout the empire. The city of Beijing was rebuilt with new palace grounds that included artificial lakes, hills and mountains, and parks. During the Yuan period, Beijing became the terminus of the Grand Canal of China, which was completely renovated. These commercially oriented improvements encouraged overland and maritime commerce throughout Asia and facilitated direct Chinese contacts with Europe. Chinese travelers to the West were able to provide assistance in such areas as hydraulic engineering. Contacts with the West also brought the introduction to China of a major food crop, sorghum, along with other foreign food products and methods of preparation.</t>
  </si>
  <si>
    <t>How populous is Melbourne compared to other Australian states?</t>
  </si>
  <si>
    <t>government-owned</t>
  </si>
  <si>
    <t>Inter-network routing was what kind of system?</t>
  </si>
  <si>
    <t>What do Magnetic stratigraphers use isotopes to study?</t>
  </si>
  <si>
    <t>oppidum Ubiorum</t>
  </si>
  <si>
    <t>What is the annual construction industry revenue in 2014?</t>
  </si>
  <si>
    <t>Reduction essentially takes one problem and converts into what?</t>
  </si>
  <si>
    <t>employ limited coercion</t>
  </si>
  <si>
    <t>Filipino</t>
  </si>
  <si>
    <t>Who ranked Warsaw as the 32nd most liveable city in the world?</t>
  </si>
  <si>
    <t>over 100</t>
  </si>
  <si>
    <t>What is the average private school fee worldwide?</t>
  </si>
  <si>
    <t>early 1960s</t>
  </si>
  <si>
    <t>Though trained as a lawyer, what profession did Maududi pursue instead?</t>
  </si>
  <si>
    <t>Combs are called what?</t>
  </si>
  <si>
    <t>When finally Edward the Confessor returned from his father's refuge in 1041, at the invitation of his half-brother Harthacnut, he brought with him a Norman-educated mind. He also brought many Norman counsellors and fighters, some of whom established an English cavalry force. This concept never really took root, but it is a typical example of the attitudes of Edward. He appointed Robert of Jumièges archbishop of Canterbury and made Ralph the Timid earl of Hereford. He invited his brother-in-law Eustace II, Count of Boulogne to his court in 1051, an event which resulted in the greatest of early conflicts between Saxon and Norman and ultimately resulted in the exile of Earl Godwin of Wessex.</t>
  </si>
  <si>
    <t>graduate and undergraduate students elected to represent members from their respective academic unit</t>
  </si>
  <si>
    <t>What year saw the earliest recorded use of steam engines?</t>
  </si>
  <si>
    <t xml:space="preserve">Who operated the vBSN network </t>
  </si>
  <si>
    <t>attacked the British</t>
  </si>
  <si>
    <t>tripartite division</t>
  </si>
  <si>
    <t>Treaty of Rome 1957 and the Maastricht Treaty 1992</t>
  </si>
  <si>
    <t>When a second body exerts a force F on a first body, what happens to the second body?</t>
  </si>
  <si>
    <t>New Rochelle</t>
  </si>
  <si>
    <t>Los Angeles is in the lower part of what?</t>
  </si>
  <si>
    <t>Which projections suggested that temperatures would rise, but that sea levels would decrease?</t>
  </si>
  <si>
    <t>for draining the surrounding land and polders</t>
  </si>
  <si>
    <t>What has the Court required to be more accessible?</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</si>
  <si>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</si>
  <si>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Where does the cold water mix with Lake Constance?</t>
  </si>
  <si>
    <t>What is one thing that rebellion must have in Black's Law Dictionary?</t>
  </si>
  <si>
    <t>When can the European Court of Justice uphold measures?</t>
  </si>
  <si>
    <t>the lawfulness of an action depends on whether it was appropriate and necessary to achieve the objectives legitimately pursued</t>
  </si>
  <si>
    <t>What did Priestley name the gas his experiment produced?</t>
  </si>
  <si>
    <t>Kuznets</t>
  </si>
  <si>
    <t>Which company had a short legal battle with the European Commission?</t>
  </si>
  <si>
    <t>In the mid 20th century, who did not concur that 1 should be the first prime number?</t>
  </si>
  <si>
    <t>Peace of Westphalia</t>
  </si>
  <si>
    <t>living organisms</t>
  </si>
  <si>
    <t>arrested</t>
  </si>
  <si>
    <t>What compromises a large number of MSPs?</t>
  </si>
  <si>
    <t>What percentage of the population of Poland was Jewish in 1897?</t>
  </si>
  <si>
    <t>When did the earliest examples of civil disobedience as a whole occur?</t>
  </si>
  <si>
    <t>wealth condensation</t>
  </si>
  <si>
    <t>What ocean has the Transverse and Peninsular Ranges?</t>
  </si>
  <si>
    <t>Elie Metchnikoff</t>
  </si>
  <si>
    <t>In some countries over how many steps can it take to build on government land?</t>
  </si>
  <si>
    <t>Where is the principle of proportionality recognized in the EC treaty?</t>
  </si>
  <si>
    <t>Why might a physician never diagnose a large number of conditions?</t>
  </si>
  <si>
    <t>3D printing technology</t>
  </si>
  <si>
    <t>How is lap provided by overlapping the admission side port?</t>
  </si>
  <si>
    <t>crust</t>
  </si>
  <si>
    <t>What kind of needlework was used in the creation of the Bayeux Tapestry?</t>
  </si>
  <si>
    <t>How long is the Upper Rhine Plain?</t>
  </si>
  <si>
    <t>7 February 2009</t>
  </si>
  <si>
    <t>Parris Island</t>
  </si>
  <si>
    <t>late 1870s</t>
  </si>
  <si>
    <t>Who can enforce the American Union law when members states provide lesser rights?</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</si>
  <si>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</si>
  <si>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What are the least commonly ascribed attributes of L in relation to P?</t>
  </si>
  <si>
    <t>After al-Nimeiry was overthrown in 1985 the party did poorly in national elections, but in 1989 it was able to overthrow the elected post-al-Nimeiry government with the help of the military. Turabi was noted for proclaiming his support for the democratic process and a liberal government before coming to power, but strict application of sharia law, torture and mass imprisonment of the opposition, and an intensification of the long-running war in southern Sudan, once in power. The NIF regime also harbored Osama bin Laden for a time (before 9/11), and worked to unify Islamist opposition to the American attack on Iraq in the 1991 Gulf War.</t>
  </si>
  <si>
    <t>Which organization faithfully summaarized the WGI report?</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</si>
  <si>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</si>
  <si>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In what century was the Yarrow-Schlick-Tweedy balancing system used?</t>
  </si>
  <si>
    <t xml:space="preserve">What did Paul Baran develop </t>
  </si>
  <si>
    <t>Does BSkyB carry any control over the picture quality of a channel?</t>
  </si>
  <si>
    <t>What was Tugh Temur known for?</t>
  </si>
  <si>
    <t>What is the term for the set of all connected graphs related to this decision problem?</t>
  </si>
  <si>
    <t>In literature, author of the New York Times bestseller Before I Fall Lauren Oliver, Pulitzer Prize winning novelist Philip Roth, Canadian-born Pulitzer Prize and Nobel Prize for Literature winning writer Saul Bellow, political philosopher, literary critic and author of the New York Times bestseller "The Closing of the American Mind" Allan Bloom, ''The Good War" author Studs Terkel, American writer, essayist, filmmaker, teacher, and political activist Susan Sontag, analytic philosopher and Stanford University Professor of Comparative Literature Richard Rorty, and American writer and satirist Kurt Vonnegut are notable alumni.</t>
  </si>
  <si>
    <t>If you were to take a train west or south out of the city of Fresno, which railroad would you take?</t>
  </si>
  <si>
    <t>What was Warner correct about?</t>
  </si>
  <si>
    <t>What project did Harvard halt due to the financial crisis?</t>
  </si>
  <si>
    <t>What did Article 65 not agree upon?</t>
  </si>
  <si>
    <t>Which entity did not develop the principles of European Union law?</t>
  </si>
  <si>
    <t>Academy of the Pavilion of the Star of Literature</t>
  </si>
  <si>
    <t>What cells do not play a role in long-term active memory?</t>
  </si>
  <si>
    <t>In what other way can disobedience be applied to international organizations and governments?</t>
  </si>
  <si>
    <t>Diffie–Hellman</t>
  </si>
  <si>
    <t>Which directive mentioned was created in 1994?</t>
  </si>
  <si>
    <t>the mantle</t>
  </si>
  <si>
    <t>When did Japan release a statement to tell Israelis to withdraw from the Palestine?</t>
  </si>
  <si>
    <t>until after the end of the Mexican War</t>
  </si>
  <si>
    <t>human papillomavirus</t>
  </si>
  <si>
    <t>Sir Galileo Galilei corrected the previous misunderstandings about what?</t>
  </si>
  <si>
    <t>Iberia</t>
  </si>
  <si>
    <t>the continuous input of sediment into the lake will silt up the lake</t>
  </si>
  <si>
    <t>self-consistent unification models that would combine all four fundamental interactions</t>
  </si>
  <si>
    <t xml:space="preserve"> When did the Ottoman Empire rise?</t>
  </si>
  <si>
    <t>Who gained control of Florida after the conclusion of the Revolutionary War?</t>
  </si>
  <si>
    <t>The tallest building in Downtown Jacksonville's skyline is the Bank of America Tower, constructed in 1990 as the Barnett Center. It has a height of 617 ft (188 m) and includes 42 floors. Other notable structures include the 37-story Wells Fargo Center (with its distinctive flared base making it the defining building in the Jacksonville skyline), originally built in 1972-74 by the Independent Life and Accident Insurance Company, and the 28 floor Riverplace Tower which, when completed in 1967, was the tallest precast, post-tensioned concrete structure in the world.</t>
  </si>
  <si>
    <t>What inertia exists because of Newton's Fourth Law of Motion?</t>
  </si>
  <si>
    <t>proportionally to the number of votes received in the second vote of the ballot using the d'Hondt method</t>
  </si>
  <si>
    <t>bourgeois</t>
  </si>
  <si>
    <t>irrational and backward</t>
  </si>
  <si>
    <t>In what year did Fresno experience the most rainfall?</t>
  </si>
  <si>
    <t>mining licence fees</t>
  </si>
  <si>
    <t>When did the Court of Justice rule that the Commission could only propose that there must be some criminal sanctions?</t>
  </si>
  <si>
    <t>What department in the U.S. spearheaded the efforts to support Islamism?</t>
  </si>
  <si>
    <t>What percentage of electricity was made by steam turbine in the 1990s?</t>
  </si>
  <si>
    <t>large</t>
  </si>
  <si>
    <t>Founded by the American Baptist Education Society with a donation from oil magnate and wealthiest man in history John D. Rockefeller, the University of Chicago was incorporated in 1890; William Rainey Harper became the university's first president in 1891, and the first classes were held in 1892. Both Harper and future president Robert Maynard Hutchins advocated for Chicago's curriculum to be based upon theoretical and perennial issues rather than on applied sciences and commercial utility. With Harper's vision in mind, the University of Chicago also became one of the 14 founding members of the Association of American Universities, an international organization of leading research universities, in 1900.</t>
  </si>
  <si>
    <t>When was Greek and Indian literature destroyed by conquests?</t>
  </si>
  <si>
    <t>tree growth</t>
  </si>
  <si>
    <t>De Materia Medica</t>
  </si>
  <si>
    <t xml:space="preserve"> What was Tugh Temur not known for?</t>
  </si>
  <si>
    <t>0.52</t>
  </si>
  <si>
    <t xml:space="preserve"> How old was Toghun Temur when he became senator?</t>
  </si>
  <si>
    <t>The fact that not all fossils may be found globally at the same time causes the principle to become what?</t>
  </si>
  <si>
    <t>When did the German army reoccupy Rhineland?</t>
  </si>
  <si>
    <t>34%</t>
  </si>
  <si>
    <t>The parties that hold the minority of seats in Parliament form what?</t>
  </si>
  <si>
    <t>Who did BSkyB compete with initially?</t>
  </si>
  <si>
    <t>Who was Guy's Rival?</t>
  </si>
  <si>
    <t>Western medicine was also practiced in China by the Nestorian Christians of the Yuan court, where it was sometimes labeled as huihui or Muslim medicine. The Nestorian physician Jesus the Interpreter founded the Office of Western Medicine in 1263 during the reign of Kublai. Huihui doctors staffed at two imperial hospitals were responsible for treating the imperial family and members of the court. Chinese physicians opposed Western medicine because its humoral system contradicted the yin-yang and wuxing philosophy underlying traditional Chinese medicine. No Chinese translation of Western medical works is known, but it is possible that the Chinese had access to Avicenna's The Canon of Medicine.</t>
  </si>
  <si>
    <t>1924</t>
  </si>
  <si>
    <t>poverty</t>
  </si>
  <si>
    <t>When did colonial governors meet with General Edward Braddock about attack on the french?</t>
  </si>
  <si>
    <t>1568–1609</t>
  </si>
  <si>
    <t>What is the ability to recognize and adapt to new specific pathogens called?</t>
  </si>
  <si>
    <t>extremist militant</t>
  </si>
  <si>
    <t>What channel came before Sky Travel?</t>
  </si>
  <si>
    <t>formal</t>
  </si>
  <si>
    <t>How many members are on the Miasta City Council?</t>
  </si>
  <si>
    <t>Along with Canada and the United Kingdom, what country generally doesn't refer to universities as private schools?</t>
  </si>
  <si>
    <t>What cultures were part of Kublai's administration?</t>
  </si>
  <si>
    <t>Early Western texts referencing the North describe the people as being what?</t>
  </si>
  <si>
    <t>What is the lake known as which was created by the rise of the Andes Mountains?</t>
  </si>
  <si>
    <t>Along with giving the offender his "just deserts", achieving crime control via incapacitation and deterrence is a major goal of criminal punishment. Brownlee argues, "Bringing in deterrence at the level of justification detracts from the law’s engagement in a moral dialogue with the offender as a rational person because it focuses attention on the threat of punishment and not the moral reasons to follow this law." Leonard Hubert Hoffmann writes, "In deciding whether or not to impose punishment, the most important consideration would be whether it would do more harm than good. This means that the objector has no right not to be punished. It is a matter for the state (including the judges) to decide on utilitarian grounds whether to do so or not."</t>
  </si>
  <si>
    <t>What is Las Vegas one of in the United States?</t>
  </si>
  <si>
    <t xml:space="preserve">What did the US withdraw from in 1971? </t>
  </si>
  <si>
    <t>The biodiversity of plant species is the highest on Earth with one 2001 study finding a quarter square kilometer (62 acres) of Ecuadorian rainforest supports more than 1,100 tree species. A study in 1999 found one square kilometer (247 acres) of Amazon rainforest can contain about 90,790 tonnes of living plants. The average plant biomass is estimated at 356 ± 47 tonnes per hectare. To date, an estimated 438,000 species of plants of economic and social interest have been registered in the region with many more remaining to be discovered or catalogued. The total number of tree species in the region is estimated at 16,000.</t>
  </si>
  <si>
    <t>North County</t>
  </si>
  <si>
    <t xml:space="preserve">What distinct quality of combustion was  absent from philogiston theory? </t>
  </si>
  <si>
    <t>What did the Kyoto Protocol try to address?</t>
  </si>
  <si>
    <t>What did cellular theory claim was in an organism's humors?</t>
  </si>
  <si>
    <t>a customs union, and the principle of non-discrimination</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</si>
  <si>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</si>
  <si>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French irregular forces (Canadian scouts and Indians)</t>
  </si>
  <si>
    <t>Colorado River</t>
  </si>
  <si>
    <t>What territory was ceded to France?</t>
  </si>
  <si>
    <t>Who planted the alfalfa fields?</t>
  </si>
  <si>
    <t>The University of Warsaw was established in 1816, when the partitions of Poland separated Warsaw from the oldest and most influential Polish academic center, in Kraków. Warsaw University of Technology is the second academic school of technology in the country, and one of the largest in East-Central Europe, employing 2,000 professors. Other institutions for higher education include the Medical University of Warsaw, the largest medical school in Poland and one of the most prestigious, the National Defence University, highest military academic institution in Poland, the Fryderyk Chopin University of Music the oldest and largest music school in Poland, and one of the largest in Europe, the Warsaw School of Economics, the oldest and most renowned economic university in the country, and the Warsaw University of Life Sciences the largest agricultural university founded in 1818.</t>
  </si>
  <si>
    <t>mosaics</t>
  </si>
  <si>
    <t xml:space="preserve"> When did Eastern forces invade Iraq?</t>
  </si>
  <si>
    <t>the poor soil</t>
  </si>
  <si>
    <t>Along with admission, exhaust and compression, what is an event in the engine cycle?</t>
  </si>
  <si>
    <t>Ibn Sina</t>
  </si>
  <si>
    <t>local administrative structure</t>
  </si>
  <si>
    <t>Who did the Normans team up with in Anatolia?</t>
  </si>
  <si>
    <t>When was ambulatory care pharmacy approved as its own certification?</t>
  </si>
  <si>
    <t>Political advantage is an attribute of which state policies?</t>
  </si>
  <si>
    <t xml:space="preserve">What is CO? </t>
  </si>
  <si>
    <t>What uses Point Tehachapi and the Conception Mountains as the northern boundary?</t>
  </si>
  <si>
    <t xml:space="preserve">What is used in photosynthesis and released by cellular respiration? </t>
  </si>
  <si>
    <t>the Conservative</t>
  </si>
  <si>
    <t>What did the Huguenots who settled in Cork contribute?</t>
  </si>
  <si>
    <t>mannerist architecture</t>
  </si>
  <si>
    <t>n2 + 1</t>
  </si>
  <si>
    <t>2 millimeters (0.079 in)</t>
  </si>
  <si>
    <t>What city has the largest inland port in Europe?</t>
  </si>
  <si>
    <t>What was the name of the locomotive that debuted in 1808?</t>
  </si>
  <si>
    <t>Why were Western Chinese ranked higher?</t>
  </si>
  <si>
    <t>Whose hypothesis states the the solution to a problem is solvable with reasonable resources assuming it allows for monoinomial time algorithm?</t>
  </si>
  <si>
    <t>How many Huguenots were there in Northern France during this time?</t>
  </si>
  <si>
    <t>The National Science Foundation Network (NSFNET) was a program of coordinated, evolving projects sponsored by the National Science Foundation (NSF) beginning in 1985 to promote advanced research and education networking in the United States. NSFNET was also the name given to several nationwide backbone networks operating at speeds of 56 kbit/s, 1.5 Mbit/s (T1), and 45 Mbit/s (T3) that were constructed to support NSF's networking initiatives from 1985-1995. Initially created to link researchers to the nation's NSF-funded supercomputing centers, through further public funding and private industry partnerships it developed into a major part of the Internet backbone.</t>
  </si>
  <si>
    <t>northwestern Canada</t>
  </si>
  <si>
    <t>adding the two force magnitudes or subtracting one from the other</t>
  </si>
  <si>
    <t>elected MSPs</t>
  </si>
  <si>
    <t>What was a major source of water pollution after the early 1980s?</t>
  </si>
  <si>
    <t>making peace with Israel</t>
  </si>
  <si>
    <t>Where does the European Union law not apply?</t>
  </si>
  <si>
    <t>What type of musical instruments did the Yuan bring to China?</t>
  </si>
  <si>
    <t>Name the other way that the Plowshares organization temporarily closed?</t>
  </si>
  <si>
    <t>What is the most likely effect of breathing oxygen?</t>
  </si>
  <si>
    <t>What is a pathogen that does not use antigenic variation?</t>
  </si>
  <si>
    <t>North and West Africa, as well as South-East Asia, with other conquests in Central and East Africa, as well as the South Pacific</t>
  </si>
  <si>
    <t xml:space="preserve"> Who did the Ottoman empire ally with in WWII?</t>
  </si>
  <si>
    <t>the low total pressures used</t>
  </si>
  <si>
    <t>the study of sedimentary layers</t>
  </si>
  <si>
    <t>What was happening to subscriber numbers in other areas of europe?</t>
  </si>
  <si>
    <t>During the mid-Eocene</t>
  </si>
  <si>
    <t>static equilibrium</t>
  </si>
  <si>
    <t>What topic do private bills typically have?</t>
  </si>
  <si>
    <t>Vicodin, generically known as hydrocodone</t>
  </si>
  <si>
    <t>What was the name of Theodore Roosevelt’s policy of imperialism?</t>
  </si>
  <si>
    <t>In what year did the plague begin in the Middle East?</t>
  </si>
  <si>
    <t>rising inequality</t>
  </si>
  <si>
    <t>appeal to constitutional defects</t>
  </si>
  <si>
    <t>supporting function</t>
  </si>
  <si>
    <t>What religion's schools were integrated into New Zealand public schools between 1979 and 1984?</t>
  </si>
  <si>
    <t>Parliament Square</t>
  </si>
  <si>
    <t>Who was on Celery's expedition?</t>
  </si>
  <si>
    <t>Who is the chairman of Microsoft as well as the NBA commissioner?</t>
  </si>
  <si>
    <t>From where would scientists like measure vegetation radiance?</t>
  </si>
  <si>
    <t>What did the Treaties not seek to do since its foundation?</t>
  </si>
  <si>
    <t>What are the laws of physics of Galileo, in reference to objest in motion and rest?</t>
  </si>
  <si>
    <t>centrifugal governor</t>
  </si>
  <si>
    <t>What cells help breed cells that are infected with viruses?</t>
  </si>
  <si>
    <t>Which entities were originally concerned with preventing violation of human rights?</t>
  </si>
  <si>
    <t>ash tree</t>
  </si>
  <si>
    <t>Who can enforce European Union law?</t>
  </si>
  <si>
    <t>When was Phags-pa script invented?</t>
  </si>
  <si>
    <t>Southern California</t>
  </si>
  <si>
    <t>What does the statocyst split to connect with?</t>
  </si>
  <si>
    <t>Who reports on the size of havy equipment and construction coompanies?</t>
  </si>
  <si>
    <t>What was later formulated into 3 vector equations?</t>
  </si>
  <si>
    <t>What is the second level of territorial division in Warsaw?</t>
  </si>
  <si>
    <t>How much water flows out of the Pannerdens Kanaal?</t>
  </si>
  <si>
    <t>Virgin Media</t>
  </si>
  <si>
    <t>the fern</t>
  </si>
  <si>
    <t>The Maroons are apart of what association?</t>
  </si>
  <si>
    <t>What does the average temperatures exceed in the summer?</t>
  </si>
  <si>
    <t>What is the civil disobedience called where people refuse to be released?</t>
  </si>
  <si>
    <t>What engines were used throughout most of the 20th century to propel ships?</t>
  </si>
  <si>
    <t>passive</t>
  </si>
  <si>
    <t xml:space="preserve">What ideas did the report in 1964 state? </t>
  </si>
  <si>
    <t>Archduke Sigismund of Austria</t>
  </si>
  <si>
    <t>What is another type of public key cryptography algorithm?</t>
  </si>
  <si>
    <t>employ consultant pharmacists and/or provide consulting services</t>
  </si>
  <si>
    <t>What is another country that doesn't permit physicians to give out drugs from within their practice?</t>
  </si>
  <si>
    <t>What year was the University of Economics established?</t>
  </si>
  <si>
    <t>What does matter actually have that Newtonian mechanics doesn't address?</t>
  </si>
  <si>
    <t>metamorphic</t>
  </si>
  <si>
    <t>What government set standards do only select schools have to meet?</t>
  </si>
  <si>
    <t>Charles L. Hutchinson</t>
  </si>
  <si>
    <t>manage the pharmacy department</t>
  </si>
  <si>
    <t>British merchants or fur-traders, Céloron informed them of the French claims on the territory and told them to leave.</t>
  </si>
  <si>
    <t>What has successfully dealt with ozone depletion?</t>
  </si>
  <si>
    <t>King Ethelred II</t>
  </si>
  <si>
    <t>ice-sheets</t>
  </si>
  <si>
    <t>all spheres of life</t>
  </si>
  <si>
    <t>What was developed from Watt's measurements on an atmospheric concept?</t>
  </si>
  <si>
    <t>Which animal living in the Amazon River produces a mild shock?</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</si>
  <si>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</si>
  <si>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Who was influenced by early Medieval ideas?</t>
  </si>
  <si>
    <t>the Tower District</t>
  </si>
  <si>
    <t>What is a trait of sequential hermaphrodites?</t>
  </si>
  <si>
    <t>When did the Iranian government enjoy something of a resurgence?</t>
  </si>
  <si>
    <t>graph isomorphism</t>
  </si>
  <si>
    <t>"zip" the mouth shut when the animal is not feeding</t>
  </si>
  <si>
    <t>Antigone</t>
  </si>
  <si>
    <t xml:space="preserve">Packet Switching had a goal of creating what? </t>
  </si>
  <si>
    <t>On-site sensing is being used by indigenous tribes for what</t>
  </si>
  <si>
    <t>another problem</t>
  </si>
  <si>
    <t>Principles of Geology</t>
  </si>
  <si>
    <t>The earlier they surrendered to the Mongols, the higher they were placed</t>
  </si>
  <si>
    <t>What is a mechanical barrier in insects that protects the insect?</t>
  </si>
  <si>
    <t>Rates of sea-level rise</t>
  </si>
  <si>
    <t>the Parliamentary Bureau</t>
  </si>
  <si>
    <t>How long does the Members Debate last?</t>
  </si>
  <si>
    <t>phagocytic cells</t>
  </si>
  <si>
    <t>63 days</t>
  </si>
  <si>
    <t>threatened "Old Briton" with severe consequences if he continued to trade with the British</t>
  </si>
  <si>
    <t>1815</t>
  </si>
  <si>
    <t>the mass of the system</t>
  </si>
  <si>
    <t>What is the name given to the input string of a computational solution?</t>
  </si>
  <si>
    <t>What did Joseph Haas say in his email?</t>
  </si>
  <si>
    <t>What causes the topographic gradients to collapse?</t>
  </si>
  <si>
    <t>The IPCC does not carry out research nor does it monitor climate related data. Lead authors of IPCC reports assess the available information about climate change based on published sources. According to IPCC guidelines, authors should give priority to peer-reviewed sources. Authors may refer to non-peer-reviewed sources (the "grey literature"), provided that they are of sufficient quality. Examples of non-peer-reviewed sources include model results, reports from government agencies and non-governmental organizations, and industry journals. Each subsequent IPCC report notes areas where the science has improved since the previous report and also notes areas where further research is required.</t>
  </si>
  <si>
    <t>a seal</t>
  </si>
  <si>
    <t>What body has stated that physicians can't dispense drugs under specific conditions?</t>
  </si>
  <si>
    <t>In a steam turbine, what are rotors mounted on?</t>
  </si>
  <si>
    <t>zoning and building code requirements</t>
  </si>
  <si>
    <t>Structural geologists</t>
  </si>
  <si>
    <t>What type of goals are usually done skirting the law?</t>
  </si>
  <si>
    <t>Climate fluctuations during the last 34 million years</t>
  </si>
  <si>
    <t>What avenue is to the west of the golf course?</t>
  </si>
  <si>
    <t>thaw</t>
  </si>
  <si>
    <t>from 4 August 1915 until November 1918</t>
  </si>
  <si>
    <t>What was considered to be a major milestone?</t>
  </si>
  <si>
    <t>Braddock</t>
  </si>
  <si>
    <t>66 million years ago</t>
  </si>
  <si>
    <t>Along with English and mathematics, what subject replaced values education for fourth year students?</t>
  </si>
  <si>
    <t>in 1041</t>
  </si>
  <si>
    <t>When was the Royal Society of Edinburgh founded?</t>
  </si>
  <si>
    <t>Of what form are Sophie Germain primes?</t>
  </si>
  <si>
    <t>Cape of Good Hope</t>
  </si>
  <si>
    <t>In what state is oxygen shipped in bulk?</t>
  </si>
  <si>
    <t>ring R</t>
  </si>
  <si>
    <t>The expedition was a disaster</t>
  </si>
  <si>
    <t>What is the name of the bridge that joins parts of the campus of the Charles River?</t>
  </si>
  <si>
    <t>What way do some people perform civil disobedience in a constructive way?</t>
  </si>
  <si>
    <t>Why did Toghun Temur dismiss Toghtogha?</t>
  </si>
  <si>
    <t>What is another function that primes have that the number 15 does not?</t>
  </si>
  <si>
    <t>What net loss did the Conservatives suffer?</t>
  </si>
  <si>
    <t>the US expansion Westward could be viewed as what type of colonialism?</t>
  </si>
  <si>
    <t>Iran was which size oil exporter?</t>
  </si>
  <si>
    <t>client</t>
  </si>
  <si>
    <t>Where does the 8 county megaregion extend from?</t>
  </si>
  <si>
    <t>What are the less complex mechanisms used to do?</t>
  </si>
  <si>
    <t>Mongol peace</t>
  </si>
  <si>
    <t>What French City was New Rochelle named after?</t>
  </si>
  <si>
    <t>What is the area called near the Rhine Gorge with castles from the middle ages?</t>
  </si>
  <si>
    <t>rebelled against what they deem to be unfair</t>
  </si>
  <si>
    <t>What are Harvard's Pell grant reserves?</t>
  </si>
  <si>
    <t>What is known for adapting and evolving slowly?</t>
  </si>
  <si>
    <t>a restaurant</t>
  </si>
  <si>
    <t>What area has a population of 17,786,914?</t>
  </si>
  <si>
    <t>What was sent on December 29, 1877?</t>
  </si>
  <si>
    <t>How many French family names are commonly used in the Netherlands?</t>
  </si>
  <si>
    <t>What is the name of the commuter rail system?</t>
  </si>
  <si>
    <t>In what colony was the town of Delft?</t>
  </si>
  <si>
    <t>Since about the year 2000, a growing number of Internet pharmacies have been established worldwide. Many of these pharmacies are similar to community pharmacies, and in fact, many of them are actually operated by brick-and-mortar community pharmacies that serve consumers online and those that walk in their door. The primary difference is the method by which the medications are requested and received. Some customers consider this to be more convenient and private method rather than traveling to a community drugstore where another customer might overhear about the drugs that they take. Internet pharmacies (also known as online pharmacies) are also recommended to some patients by their physicians if they are homebound.</t>
  </si>
  <si>
    <t>What play showed an early depiction of civil disobedience?</t>
  </si>
  <si>
    <t>St. Lawrence River valley</t>
  </si>
  <si>
    <t>General Pharmaceutical Council (GPhC)</t>
  </si>
  <si>
    <t>KMJ-TV</t>
  </si>
  <si>
    <t>Sakya sect</t>
  </si>
  <si>
    <t>For what certificate does the legislature conduct examinations?</t>
  </si>
  <si>
    <t>rapidly raising population and traffic in cities along SR 99</t>
  </si>
  <si>
    <t>Since what year did the university offer a doctorate in Cinema &amp; Media studies?</t>
  </si>
  <si>
    <t xml:space="preserve">2 differences betwen X.25 and ARPNET CITA technologies </t>
  </si>
  <si>
    <t>How did Yale introduce a new era in football?</t>
  </si>
  <si>
    <t>55.1%</t>
  </si>
  <si>
    <t>When was the Office of Western Medicine founded?</t>
  </si>
  <si>
    <t>Port of Long Beach</t>
  </si>
  <si>
    <t>If there is no radio or 10BASE5, how are the packets delivered?</t>
  </si>
  <si>
    <t>What publication was written by Stephen Eilmann?</t>
  </si>
  <si>
    <t>San Joaquin Valley Railroad</t>
  </si>
  <si>
    <t>Why do oceanic plates and mantle convection currents move in opposite directions?</t>
  </si>
  <si>
    <t>That the plague was caused by bad air</t>
  </si>
  <si>
    <t>"pull"</t>
  </si>
  <si>
    <t>What did the civil war leave the state of Afghanistan's economy in?</t>
  </si>
  <si>
    <t>What goods were sold in a pharma?</t>
  </si>
  <si>
    <t>What is an example of an enzyme that can transform skin cells into tumors when expressed at high levels?</t>
  </si>
  <si>
    <t>a complete list of primes up to  is known</t>
  </si>
  <si>
    <t>How many full time teachers does Victoria have?</t>
  </si>
  <si>
    <t>How much did the statement predict global surface temperature would increase by 2100?</t>
  </si>
  <si>
    <t>strong,</t>
  </si>
  <si>
    <t>Which historic empire used cultural imperialism to sway local elites?</t>
  </si>
  <si>
    <t>What do all other animal phyla lack?</t>
  </si>
  <si>
    <t>1950s</t>
  </si>
  <si>
    <t>Who does the Presiding Officer submit the final bill to?</t>
  </si>
  <si>
    <t>1775–1795</t>
  </si>
  <si>
    <t>final</t>
  </si>
  <si>
    <t>What sort of motion did Watt's steam engine continuously produce?</t>
  </si>
  <si>
    <t>Can packets ever collide in route?</t>
  </si>
  <si>
    <t>Where is it hard to identify the remains of salmon in?</t>
  </si>
  <si>
    <t>plug valve</t>
  </si>
  <si>
    <t>Who was divided by the church?</t>
  </si>
  <si>
    <t>How many school vouchers were issued by Sweden in 2008?</t>
  </si>
  <si>
    <t>What happens in a phase 2 contract?</t>
  </si>
  <si>
    <t>horizontal</t>
  </si>
  <si>
    <t>Until the oil shock how had the price of gold been?</t>
  </si>
  <si>
    <t>What type of hermaphrodite produces egg and sperm at different times?</t>
  </si>
  <si>
    <t xml:space="preserve"> What was Zia-ul-Haq supported for using Islamization to legitimize?</t>
  </si>
  <si>
    <t>Compared to Smeaton's improvements on Newcomen's engine, how much steam did Watt's engine use?</t>
  </si>
  <si>
    <t>Romantic Rhine</t>
  </si>
  <si>
    <t>majority of the seats</t>
  </si>
  <si>
    <t xml:space="preserve">Packet Switching contrast with what other principal </t>
  </si>
  <si>
    <t>epidemiological account of the plague</t>
  </si>
  <si>
    <t>How many total volumes are in the Harvard library system?</t>
  </si>
  <si>
    <t>unidirectional</t>
  </si>
  <si>
    <t>Who took Isaacs place as Provost in 2016?</t>
  </si>
  <si>
    <t>What does the bathocyroe and ocyropsis do to escape danger?</t>
  </si>
  <si>
    <t>What toxin induces apoptosis in the target cell?</t>
  </si>
  <si>
    <t>What planet did astrophysisist predict to explain the problems with Mercury?</t>
  </si>
  <si>
    <t>What electroweak theory has not been developed?</t>
  </si>
  <si>
    <t>shortened form of the masculine name of Slavic origin Warcisław</t>
  </si>
  <si>
    <t>lack of understanding of the legal ramifications,</t>
  </si>
  <si>
    <t>What should fall under article 56 according to several governments?</t>
  </si>
  <si>
    <t>Society of St Pius X</t>
  </si>
  <si>
    <t>Who rejected the path of violence?</t>
  </si>
  <si>
    <t>In the US how many contractors were employed in construction as of 2011?</t>
  </si>
  <si>
    <t>What are the bodies of cilia also called?</t>
  </si>
  <si>
    <t>What did Graham Twigg publish in 1984?</t>
  </si>
  <si>
    <t>thousands</t>
  </si>
  <si>
    <t>incompetent, inefficient, or neglectful governments</t>
  </si>
  <si>
    <t>What is the polish word for concerts?</t>
  </si>
  <si>
    <t>What government set standards do all schools have to meet?</t>
  </si>
  <si>
    <t>What is AlO?</t>
  </si>
  <si>
    <t>If there is no dissent, the Presiding Officer says what?</t>
  </si>
  <si>
    <t>Warsaw's sidewalks and sanitation facilities are some examples of things which have what?</t>
  </si>
  <si>
    <t>How is time not required to solve a problem calculated?</t>
  </si>
  <si>
    <t>Lippe</t>
  </si>
  <si>
    <t>What changes the way a mineral is deposited?</t>
  </si>
  <si>
    <t xml:space="preserve">Case complexities provide three likelihoods of what differing variable that remains the same size? </t>
  </si>
  <si>
    <t>When was the defeat of Napoleonic France?</t>
  </si>
  <si>
    <t>Minister of the Interior</t>
  </si>
  <si>
    <t>the Sonia Shankman Orthogenic School</t>
  </si>
  <si>
    <t>What is heralded by the sounding of the division bell?</t>
  </si>
  <si>
    <t>What's Thomas Piketty's job?</t>
  </si>
  <si>
    <t>1 or 0</t>
  </si>
  <si>
    <t>How many cylinders does the compound engine have?</t>
  </si>
  <si>
    <t>What is a lower rate of social goods an effect of?</t>
  </si>
  <si>
    <t>Many construction companies are now placing more emphasis on what?</t>
  </si>
  <si>
    <t>What type of immune systems are found in all plants and animals?</t>
  </si>
  <si>
    <t xml:space="preserve">What did Tymnet connect </t>
  </si>
  <si>
    <t>adaptive immune system</t>
  </si>
  <si>
    <t>addresses</t>
  </si>
  <si>
    <t>What is an examine of work that a centrifugal governor-equipped steam engine wasn't suitable for?</t>
  </si>
  <si>
    <t>What type of combustible materials were considered to have little philogiston?</t>
  </si>
  <si>
    <t>Great Elector Frederick William</t>
  </si>
  <si>
    <t>What does not depend on the immune system's ability to distinguish between the self and others?</t>
  </si>
  <si>
    <t>Other than land laws, what else were the Californios dissatisfied with?</t>
  </si>
  <si>
    <t>business</t>
  </si>
  <si>
    <t>What is the scale used to measure the strength of hurricanes called?</t>
  </si>
  <si>
    <t>Who claims that public companies can also be part of civil disobedience?</t>
  </si>
  <si>
    <t>What does the Atlantic Ocean flow into?</t>
  </si>
  <si>
    <t>What is Warsaw's Riding Museum one of?</t>
  </si>
  <si>
    <t>What brought the downfall of Jacksonville filmmaking?</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</si>
  <si>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</si>
  <si>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Los Angeles Times</t>
  </si>
  <si>
    <t>Where was the Summer Theatre located?</t>
  </si>
  <si>
    <t>carbon related emissions</t>
  </si>
  <si>
    <t>patent valve</t>
  </si>
  <si>
    <t>othering</t>
  </si>
  <si>
    <t>Throughout the 18th century, Enlightenment ideas of the power of reason and free will became widespread among Congregationalist ministers, putting those ministers and their congregations in tension with more traditionalist, Calvinist parties.:1–4 When the Hollis Professor of Divinity David Tappan died in 1803 and the president of Harvard Joseph Willard died a year later, in 1804, a struggle broke out over their replacements. Henry Ware was elected to the chair in 1805, and the liberal Samuel Webber was appointed to the presidency of Harvard two years later, which signaled the changing of the tide from the dominance of traditional ideas at Harvard to the dominance of liberal, Arminian ideas (defined by traditionalists as Unitarian ideas).:4–5:24</t>
  </si>
  <si>
    <t>What did Virgin Media concentrate on instead of offering linear channels?</t>
  </si>
  <si>
    <t xml:space="preserve"> What relationship with Israel is Sadat against?</t>
  </si>
  <si>
    <t>Many known complexity classes are suspected to be unequal</t>
  </si>
  <si>
    <t>angle is the rotational equivalent for position</t>
  </si>
  <si>
    <t>What was the first true engine that was commercially successful?</t>
  </si>
  <si>
    <t xml:space="preserve"> Who would have been the highest-ranked class?</t>
  </si>
  <si>
    <t>Tehachapis</t>
  </si>
  <si>
    <t>Other theories of the word's origin can be generally classed as what?</t>
  </si>
  <si>
    <t>What responses protect the lungs by mechanically ejecting pathogens from the respiratory system?</t>
  </si>
  <si>
    <t>€5,000</t>
  </si>
  <si>
    <t>Like many cities in Central and Eastern Europe, infrastructure in Warsaw suffered considerably during its time as an Eastern Bloc economy –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</si>
  <si>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What is the original meaning of the word Norman?</t>
  </si>
  <si>
    <t>What church runs some private schools in Victoria?</t>
  </si>
  <si>
    <t>In what year did Louis XIV start to deny Protestants the ability to work in certain professions?</t>
  </si>
  <si>
    <t>the prime number intervals between emergences make it very difficult for predators to evolve that could specialize as predators on Magicicadas</t>
  </si>
  <si>
    <t>What do low levels of inequality prevent beyond economic prosperity?</t>
  </si>
  <si>
    <t>freight services</t>
  </si>
  <si>
    <t>seven-eighths</t>
  </si>
  <si>
    <t>population-wide satisfaction and happiness</t>
  </si>
  <si>
    <t>40 km</t>
  </si>
  <si>
    <t>Which country did Japan force into an alliance?</t>
  </si>
  <si>
    <t>the European Council</t>
  </si>
  <si>
    <t>February 1082</t>
  </si>
  <si>
    <t>artifact of the potential field</t>
  </si>
  <si>
    <t>What do weak labor movement correlate with?</t>
  </si>
  <si>
    <t>What type of practices did the Yuan reintroduce in government?</t>
  </si>
  <si>
    <t>The first vote of the ballot uses what method to tally the votes?</t>
  </si>
  <si>
    <t>How didn't Celeron feel about Native relations?</t>
  </si>
  <si>
    <t>By August 2010 how many trade schools did Victoria have?</t>
  </si>
  <si>
    <t>steam turbine</t>
  </si>
  <si>
    <t>Which companies never agreed to terminate their court proceedings against each other?</t>
  </si>
  <si>
    <t>RNA interference</t>
  </si>
  <si>
    <t>What produces a lot of sedimentation that flows into the surrounding rivers?</t>
  </si>
  <si>
    <t>University of Chicago Laboratory Schools</t>
  </si>
  <si>
    <t>The UK and France had non interruptions in their oil supply as they did not allow which country to use their airfield?</t>
  </si>
  <si>
    <t>1859</t>
  </si>
  <si>
    <t>How much are CO2 levels expected to increase under the business as usual scenario?</t>
  </si>
  <si>
    <t>emissions per person</t>
  </si>
  <si>
    <t>What was the name of France's primary colony in the New World?</t>
  </si>
  <si>
    <t>When did the first French language bible appear?</t>
  </si>
  <si>
    <t>What is the process of removing trees from a forest known as?</t>
  </si>
  <si>
    <t>1598</t>
  </si>
  <si>
    <t xml:space="preserve">How would one write T(n) = 7n2 + 15n + 40 in big O notation? </t>
  </si>
  <si>
    <t>to people who give services "for remuneration"</t>
  </si>
  <si>
    <t>How many miles south of San Jose is the north - south midway point located?</t>
  </si>
  <si>
    <t>What are some of the most well known experiments in patterns of faulting?</t>
  </si>
  <si>
    <t>Uighurs</t>
  </si>
  <si>
    <t>How many total judges are there in the EU?</t>
  </si>
  <si>
    <t>Urarina</t>
  </si>
  <si>
    <t>courtyard adjoining the Assembly Hall</t>
  </si>
  <si>
    <t>Where are health and social problems most common?</t>
  </si>
  <si>
    <t>What types of organizations are on a decline in the US which adversely effects economic immobility?</t>
  </si>
  <si>
    <t>Federal Minister of the Interior</t>
  </si>
  <si>
    <t>their business is chronically understaffed</t>
  </si>
  <si>
    <t>automobiles</t>
  </si>
  <si>
    <t>Science</t>
  </si>
  <si>
    <t>second</t>
  </si>
  <si>
    <t>What is the name of a uniflow engine that takes in steam in hot areas and exhausts it in passing?</t>
  </si>
  <si>
    <t>What is one straightforward case of a probabilistic test?</t>
  </si>
  <si>
    <t>the Battle of Bạch Đằng</t>
  </si>
  <si>
    <t>Apologie</t>
  </si>
  <si>
    <t>Committee on Commerce, Science and Transportation</t>
  </si>
  <si>
    <t>In what kind of chamber do species in the genus Ocryopsis keep their eggs until they hatch?</t>
  </si>
  <si>
    <t>What theory least best describes gravity?</t>
  </si>
  <si>
    <t>Who is known for working on portfolio capture theory?</t>
  </si>
  <si>
    <t>Who went to Radcliffe and was trained there as students in its early days?</t>
  </si>
  <si>
    <t>What shows the location of drill cores?</t>
  </si>
  <si>
    <t>William E. Simon</t>
  </si>
  <si>
    <t>Orange Counties</t>
  </si>
  <si>
    <t>The Scottish Parliament may legislate as it pleases as long as the powers aren't already reserved by where?</t>
  </si>
  <si>
    <t>Lyell's book failed to publicize what view?</t>
  </si>
  <si>
    <t>What is the name of the river that lies completely outside of Jacksonville?</t>
  </si>
  <si>
    <t>For how many years was evidence shown that humans shaped the the Amazon?</t>
  </si>
  <si>
    <t>steeper tax</t>
  </si>
  <si>
    <t>During what decade did the campus start to look more modern?</t>
  </si>
  <si>
    <t>autocratic-bureaucratic system</t>
  </si>
  <si>
    <t>deterministic Turing machines</t>
  </si>
  <si>
    <t>golf</t>
  </si>
  <si>
    <t>When was the Special Report on Renewable Energy Sources and Climate Change Mitigation (SRREN) issued?</t>
  </si>
  <si>
    <t>submit to the punishment</t>
  </si>
  <si>
    <t>What can the non-elected members from the Scottish Government not do?</t>
  </si>
  <si>
    <t>village</t>
  </si>
  <si>
    <t>What school was Walter Camp a captain for the football team?</t>
  </si>
  <si>
    <t>What happened to the rate of deforestation in the Amazon region of Brazil between 2004 and 2014?</t>
  </si>
  <si>
    <t>What prohibition agent was also an alumni at the university?</t>
  </si>
  <si>
    <t>At what building do Olympic athletes train?</t>
  </si>
  <si>
    <t>What type of role that Islamism seeks makes it not a controversial concept?</t>
  </si>
  <si>
    <t>lymphocytes</t>
  </si>
  <si>
    <t>Unlike animals, plants lack phagocytic cells, but many plant immune responses involve systemic chemical signals that are sent through a plant. Individual plant cells respond to molecules associated with pathogens known as Pathogen-associated molecular patterns or PAMPs. When a part of a plant becomes infected, the plant produces a localized hypersensitive response, whereby cells at the site of infection undergo rapid apoptosis to prevent the spread of the disease to other parts of the plant. Systemic acquired resistance (SAR) is a type of defensive response used by plants that renders the entire plant resistant to a particular infectious agent. RNA silencing mechanisms are particularly important in this systemic response as they can block virus replication.</t>
  </si>
  <si>
    <t>Zhongtong. Ariq Böke</t>
  </si>
  <si>
    <t>Time and space are both examples of what type of resource?</t>
  </si>
  <si>
    <t>an increase in the input size</t>
  </si>
  <si>
    <t>How has British art survived in Normandy?</t>
  </si>
  <si>
    <t>When were competition rules included in the Treaty of Rome?</t>
  </si>
  <si>
    <t>24-year tenure</t>
  </si>
  <si>
    <t>Where did the French send a large number of settlers?</t>
  </si>
  <si>
    <t>How much area does the University Library garden cover?</t>
  </si>
  <si>
    <t>Scottish rivers</t>
  </si>
  <si>
    <t>Who is currently the Vice President of Council?</t>
  </si>
  <si>
    <t>Since 1978 how many courses have students in the Ethical Reasoning program needed to take?</t>
  </si>
  <si>
    <t>If Parliament agrees in a vote to the general principle of a bill, what does it then proceed to?</t>
  </si>
  <si>
    <t>anti-colonial movements</t>
  </si>
  <si>
    <t>for a system to function</t>
  </si>
  <si>
    <t>most seats in the Legislative Assembly</t>
  </si>
  <si>
    <t>zeta function</t>
  </si>
  <si>
    <t>260</t>
  </si>
  <si>
    <t>How many species of bird and mammals are there in the Amazon region?</t>
  </si>
  <si>
    <t>How many were killed by plague in Naples in 1656?</t>
  </si>
  <si>
    <t>What are public schools allowed to do to retain talented students?</t>
  </si>
  <si>
    <t>How many acres of land is the State House situated on?</t>
  </si>
  <si>
    <t>To accept jail penitently as an accession to 'the rules' is to switch suddenly to a spirit of subservience</t>
  </si>
  <si>
    <t>How many were killed by plague in Italy in the 17th century?</t>
  </si>
  <si>
    <t>the concept of force</t>
  </si>
  <si>
    <t>What campaign did the Communist regime initiate after WWII?</t>
  </si>
  <si>
    <t>What is an expression that can be used to illustrate the suspected inequality of complexity classes?</t>
  </si>
  <si>
    <t>In the laboratory, stratigraphers analyze samples of stratigraphic sections that can be returned from the field, such as those from drill cores. Stratigraphers also analyze data from geophysical surveys that show the locations of stratigraphic units in the subsurface. Geophysical data and well logs can be combined to produce a better view of the subsurface, and stratigraphers often use computer programs to do this in three dimensions. Stratigraphers can then use these data to reconstruct ancient processes occurring on the surface of the Earth, interpret past environments, and locate areas for water, coal, and hydrocarbon extraction.</t>
  </si>
  <si>
    <t>small renovations</t>
  </si>
  <si>
    <t>co-chair of TAR WGI</t>
  </si>
  <si>
    <t>The smallest party in Parliament sits in the middle of what?</t>
  </si>
  <si>
    <t>Lobates have eight comb-rows, originating at the aboral pole and usually not extending beyond the body to the lobes; in species with (four) auricles, the cilia edging the auricles are extensions of cilia in four of the comb rows. Most lobates are quite passive when moving through the water, using the cilia on their comb rows for propulsion, although Leucothea has long and active auricles whose movements also contribute to propulsion. Members of the lobate genera Bathocyroe and Ocyropsis can escape from danger by clapping their lobes, so that the jet of expelled water drives them backwards very quickly. Unlike cydippids, the movements of lobates' combs are coordinated by nerves rather than by water disturbances created by the cilia, yet combs on the same row beat in the same Mexican wave style as the mechanically coordinated comb rows of cydippids and beroids. This may have enabled lobates to grow larger than cydippids and to have shapes that are less egg-like.</t>
  </si>
  <si>
    <t>Which member state declined to sign the Social Charter?</t>
  </si>
  <si>
    <t>Which parliament has seating arranged in a straight line?</t>
  </si>
  <si>
    <t>What are xenoliths made out of?</t>
  </si>
  <si>
    <t>What action did the US plan to take in 2004 due to rising oil prices?</t>
  </si>
  <si>
    <t>Who was the first Warsaw President?</t>
  </si>
  <si>
    <t>How many women older than eighteen are there for every 100 men?</t>
  </si>
  <si>
    <t>Edict of Nantes</t>
  </si>
  <si>
    <t>What does the Aboral use its comb rows as?</t>
  </si>
  <si>
    <t>fertility</t>
  </si>
  <si>
    <t>encourage investment</t>
  </si>
  <si>
    <t>What service is a VideoGuard UK equipped receiver dedicated to decrypt?</t>
  </si>
  <si>
    <t>to punish the Miami people of Pickawillany</t>
  </si>
  <si>
    <t>19 of 28 newly FDA approved medications</t>
  </si>
  <si>
    <t>When did Warsaw start to rebuild?</t>
  </si>
  <si>
    <t>When was the Riemann hypothesis proposed?</t>
  </si>
  <si>
    <t>What water abruptly falls into the depths due to the greater density of warmer water?</t>
  </si>
  <si>
    <t>What type of venue is the Autumn Wielki?</t>
  </si>
  <si>
    <t>Newtonian mechanisms are the definition of what?</t>
  </si>
  <si>
    <t>recalled and replaced by Jeffery Amherst, victor at Louisbourg.</t>
  </si>
  <si>
    <t>conflict between France and Great Britain</t>
  </si>
  <si>
    <t>What is one avenue being compensated for by having committees serve such a large role?</t>
  </si>
  <si>
    <t>two-thirds of its population</t>
  </si>
  <si>
    <t>The addition of new rock units, both depositionally and intrusively, often occurs during deformation. Faulting and other deformational processes result in the creation of topographic gradients, causing material on the rock unit that is increasing in elevation to be eroded by hillslopes and channels. These sediments are deposited on the rock unit that is going down. Continual motion along the fault maintains the topographic gradient in spite of the movement of sediment, and continues to create accommodation space for the material to deposit. Deformational events are often also associated with volcanism and igneous activity. Volcanic ashes and lavas accumulate on the surface, and igneous intrusions enter from below. Dikes, long, planar igneous intrusions, enter along cracks, and therefore often form in large numbers in areas that are being actively deformed. This can result in the emplacement of dike swarms, such as those that are observable across the Canadian shield, or rings of dikes around the lava tube of a volcano.</t>
  </si>
  <si>
    <t>the American delegation from the Paris Peace Conference</t>
  </si>
  <si>
    <t>Piranha did not actually do what?</t>
  </si>
  <si>
    <t>What year did Ireland agree to the changes in Treaty of Lisbon?</t>
  </si>
  <si>
    <t>economic activity</t>
  </si>
  <si>
    <t>Song dynasty</t>
  </si>
  <si>
    <t>What compounds can be masked with the molecules of the host cell in order for a virus to evade detection?</t>
  </si>
  <si>
    <t>binary alphabet</t>
  </si>
  <si>
    <t>What are the two major subsystems of the immune system?</t>
  </si>
  <si>
    <t>Several commemorative events take place every year. Gatherings of thousands of people on the banks of the Vistula on Midsummer’s Night for a festival called Wianki (Polish for Wreaths) have become a tradition and a yearly event in the programme of cultural events in Warsaw. The festival traces its roots to a peaceful pagan ritual where maidens would float their wreaths of herbs on the water to predict when they would be married, and to whom. By the 19th century this tradition had become a festive event, and it continues today. The city council organize concerts and other events. Each Midsummer’s Eve, apart from the official floating of wreaths, jumping over fires, looking for the fern flower, there are musical performances, dignitaries' speeches, fairs and fireworks by the river bank.</t>
  </si>
  <si>
    <t>Many Han Chinese and Khitan defected to the Mongols to fight against the Jin. Two Han Chinese leaders, Shi Tianze, Liu Heima (劉黑馬, Liu Ni), and the Khitan Xiao Zhala (蕭札剌) defected and commanded the 3 Tumens in the Mongol army. Liu Heima and Shi Tianze served Ogödei Khan. Liu Heima and Shi Tianxiang led armies against Western Xia for the Mongols. There were 4 Han Tumens and 3 Khitan Tumens, with each Tumen consisting of 10,000 troops. The three Khitan Generals Shimobeidier (石抹孛迭兒), Tabuyir (塔不已兒) and Xiaozhacizhizizhongxi (蕭札刺之子重喜) commanded the three Khitan Tumens and the four Han Generals Zhang Rou, Yan Shi, Shi Tianze, and Liu Heima commanded the four Han tumens under Ogödei Khan.</t>
  </si>
  <si>
    <t>The fundamental theorem of arithmetic continues to hold in unique factorization domains. An example of such a domain is the Gaussian integers Z[i], that is, the set of complex numbers of the form a + bi where i denotes the imaginary unit and a and b are arbitrary integers. Its prime elements are known as Gaussian primes. Not every prime (in Z) is a Gaussian prime: in the bigger ring Z[i], 2 factors into the product of the two Gaussian primes (1 + i) and (1 − i). Rational primes (i.e. prime elements in Z) of the form 4k + 3 are Gaussian primes, whereas rational primes of the form 4k + 1 are not.</t>
  </si>
  <si>
    <t>What is another name for any given measure of input associated with a problem?</t>
  </si>
  <si>
    <t>Where are the variant forms of the name of the Rhine in ancient languages derived from?</t>
  </si>
  <si>
    <t>Georgia</t>
  </si>
  <si>
    <t>438,000</t>
  </si>
  <si>
    <t>What architect was prominent in Jacksonville prior to the fire?</t>
  </si>
  <si>
    <t>How often does the European Council meet?</t>
  </si>
  <si>
    <t>Latin</t>
  </si>
  <si>
    <t>Who normally supervises a construction job?</t>
  </si>
  <si>
    <t>Where was war fought?</t>
  </si>
  <si>
    <t>What kind of statement is made in the effort of establishing the time and space requirements needed to enhance the ultimate number of problems solved?</t>
  </si>
  <si>
    <t>message routing methodology</t>
  </si>
  <si>
    <t>the Song Emperor to Quzhou</t>
  </si>
  <si>
    <t>What are sometimes present in the plug's firebox crown?</t>
  </si>
  <si>
    <t>What leader led the Dutch Revolt and wrote Apologie?</t>
  </si>
  <si>
    <t>encourage growth</t>
  </si>
  <si>
    <t>115.7 metres</t>
  </si>
  <si>
    <t>12th</t>
  </si>
  <si>
    <t>What did Gou use for astronomy?</t>
  </si>
  <si>
    <t>What other entity was established at the same time as the European Convention on Human Rights?</t>
  </si>
  <si>
    <t>In what year was Scott and Duncan's research published?</t>
  </si>
  <si>
    <t>northern</t>
  </si>
  <si>
    <t>Near Sargans</t>
  </si>
  <si>
    <t>Yale</t>
  </si>
  <si>
    <t>difference in potential energy</t>
  </si>
  <si>
    <t>Lake Constance</t>
  </si>
  <si>
    <t>During the Second World War</t>
  </si>
  <si>
    <t>Greens</t>
  </si>
  <si>
    <t>neofundamentalist</t>
  </si>
  <si>
    <t>progressive</t>
  </si>
  <si>
    <t>Switzerland</t>
  </si>
  <si>
    <t>What year did BSkyB acquire Sky Italia?</t>
  </si>
  <si>
    <t>Which diseases do many scientists believe contributed to plague pandemic?</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</si>
  <si>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</si>
  <si>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[256kn + 1, 256k(n + 1) − 1]</t>
  </si>
  <si>
    <t>Who concluded that the rising income inequality gap was getting better?</t>
  </si>
  <si>
    <t>What was written by Ghandi in 1819?</t>
  </si>
  <si>
    <t>two main classes</t>
  </si>
  <si>
    <t>sediment load</t>
  </si>
  <si>
    <t>What would be higher if there were fewer people?</t>
  </si>
  <si>
    <t>Under normal conditions, T cells and antibodies produce what kind of peptides?</t>
  </si>
  <si>
    <t>over 100%</t>
  </si>
  <si>
    <t>reduced wages</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</si>
  <si>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</si>
  <si>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What region of China is Hebei part of?</t>
  </si>
  <si>
    <t xml:space="preserve">What is the French name for the Rhine? </t>
  </si>
  <si>
    <t>because one can include arbitrarily many instances of 1 in any factorization</t>
  </si>
  <si>
    <t>What are two of the three major cities located in southern California?</t>
  </si>
  <si>
    <t>Who discovered Y. pestis?</t>
  </si>
  <si>
    <t>able to vote on domestic legislation that applies only to England, Wales and Northern Ireland</t>
  </si>
  <si>
    <t>Which group keep the eggs are fertilized and kept inside the parent's body until they hatch?</t>
  </si>
  <si>
    <t>Main Quadrangles</t>
  </si>
  <si>
    <t>the balance of parties across Parliament</t>
  </si>
  <si>
    <t>What system not often define classes like IP and AM/</t>
  </si>
  <si>
    <t>The former administrative building of the Lothian Regional Council on George V Bridge was used for what?</t>
  </si>
  <si>
    <t>Bell Northern Research developed TRANSPAC as a joint venture between which two companies?</t>
  </si>
  <si>
    <t>When was the University Library founded?</t>
  </si>
  <si>
    <t>How many rows of statocysts are there?</t>
  </si>
  <si>
    <t>How did RAND use this network?</t>
  </si>
  <si>
    <t>What is the name of the two-tentacled cydippid that feedsentirely on salps called?</t>
  </si>
  <si>
    <t>turning the whole climate science assessment process into a moderated "living" Wikipedia-IPCC</t>
  </si>
  <si>
    <t>Closing speakers are given between 5 and how many minutes?</t>
  </si>
  <si>
    <t>What country did the Normans invade in 1169?</t>
  </si>
  <si>
    <t xml:space="preserve"> Who had Toghtogha tried to defend?</t>
  </si>
  <si>
    <t>Wenzong</t>
  </si>
  <si>
    <t>an educational process</t>
  </si>
  <si>
    <t>Who won the Pullitzer Prize as well as the Nobel Prize?</t>
  </si>
  <si>
    <t>Who pays Australian pharmacists for doing Home Medicines Reviews?</t>
  </si>
  <si>
    <t>Besides constant flooding, why else was there regulation of the Rhine?</t>
  </si>
  <si>
    <t>What device is used to recycle the boiler water in most jet engines?</t>
  </si>
  <si>
    <t>94 pounds</t>
  </si>
  <si>
    <t>What conjecture holds that there is an infinite amount of twin primes?</t>
  </si>
  <si>
    <t>What do sponges use their colloblasts to catch?</t>
  </si>
  <si>
    <t>Hyde Park</t>
  </si>
  <si>
    <t xml:space="preserve">Big O notation provides autonomy to upper and lower bounds with relationship to what? </t>
  </si>
  <si>
    <t>high temperature and pressure physical experiments</t>
  </si>
  <si>
    <t>What organization runs the waste management in Victoria?</t>
  </si>
  <si>
    <t>The Taliban was so similar to other moments that they could be more accurately described as being what?</t>
  </si>
  <si>
    <t>Pitt</t>
  </si>
  <si>
    <t>the fight against apartheid</t>
  </si>
  <si>
    <t>Starting in what year has Harvard topped the Academic Rankings of World Universities?</t>
  </si>
  <si>
    <t>What do professional athletes seek to boost from breathing oxygen?</t>
  </si>
  <si>
    <t>What other European Protestant leader was educated at the University of Paris?</t>
  </si>
  <si>
    <t>What cell never reacts with self peptides?</t>
  </si>
  <si>
    <t>What did Microsoft announce that it would rename OneDrive for Business to?</t>
  </si>
  <si>
    <t>What did a 1969 study by Perotti examine?</t>
  </si>
  <si>
    <t>property tax policy</t>
  </si>
  <si>
    <t>What type of manufacturing plant is Victoria getting soon?</t>
  </si>
  <si>
    <t>stream capture</t>
  </si>
  <si>
    <t>Which gas makes up 20.8% of the Earth's atmosphere?</t>
  </si>
  <si>
    <t>steam pump</t>
  </si>
  <si>
    <t>In what year was the university's 5th president granted his position?</t>
  </si>
  <si>
    <t>What ended Turkish imperial Ambitions?</t>
  </si>
  <si>
    <t>What mathematician was also apart of the university's faculty?</t>
  </si>
  <si>
    <t>the majority of the seats</t>
  </si>
  <si>
    <t>In what state is Yale located?</t>
  </si>
  <si>
    <t>Where can the entire sedimentary sequence of the Grand Canyon be seen in less than the length of a meter?</t>
  </si>
  <si>
    <t>Puritan</t>
  </si>
  <si>
    <t>When was the European portion of the Seven Years War incomplete?</t>
  </si>
  <si>
    <t>antigens</t>
  </si>
  <si>
    <t>Establishing "natural borders" on the Rhine</t>
  </si>
  <si>
    <t>property damage</t>
  </si>
  <si>
    <t>Southern California's distinctive regions are divided culturally, politically and what other trait?</t>
  </si>
  <si>
    <t>Amazon rainforest</t>
  </si>
  <si>
    <t>fish larvae and organisms</t>
  </si>
  <si>
    <t>when did the English High court find Microsoft's use of the term "SkyDrive" infringed on Sky's right?</t>
  </si>
  <si>
    <t>Charles W. Eliot, president 1869–1909, eliminated the favored position of Christianity from the curriculum while opening it to student self-direction. While Eliot was the most crucial figure in the secularization of American higher education, he was motivated not by a desire to secularize education, but by Transcendentalist Unitarian convictions. Derived from William Ellery Channing and Ralph Waldo Emerson, these convictions were focused on the dignity and worth of human nature, the right and ability of each person to perceive truth, and the indwelling God in each person.</t>
  </si>
  <si>
    <t>How many more flows carry insignificant amounts of water?</t>
  </si>
  <si>
    <t>Cobham's</t>
  </si>
  <si>
    <t>about one-eighth</t>
  </si>
  <si>
    <t>oxygen masks</t>
  </si>
  <si>
    <t>Under which courts is most EU law applied?</t>
  </si>
  <si>
    <t>What have CT scans lead to for doctors and their patients?</t>
  </si>
  <si>
    <t>Some civil disobedience defendants choose to make a defiant speech, or a speech explaining their actions, in allocution. In U.S. v. Burgos-Andujar, a defendant who was involved in a movement to stop military exercises by trespassing on U.S. Navy property argued to the court in allocution that "the ones who are violating the greater law are the members of the Navy". As a result, the judge increased her sentence from 40 to 60 days. This action was upheld because, according to the U.S. Court of Appeals for the First Circuit, her statement suggested a lack of remorse, an attempt to avoid responsibility for her actions, and even a likelihood of repeating her illegal actions. Some of the other allocution speeches given by the protesters complained about mistreatment from government officials.</t>
  </si>
  <si>
    <t>What president eliminated the Christian position in the curriculum?</t>
  </si>
  <si>
    <t>"cydippids" are not monophyletic</t>
  </si>
  <si>
    <t>fifty percent</t>
  </si>
  <si>
    <t>Who led the Mongolian Borjigin clan?</t>
  </si>
  <si>
    <t>What is a derogatory term for the Christian academies that arose in the wake of school desegregation?</t>
  </si>
  <si>
    <t>productivity gap between highly-paid professions and lower-paid professions</t>
  </si>
  <si>
    <t>What type of valve is used by recent safety valves?</t>
  </si>
  <si>
    <t>may be of interest to a particular area such as a member's own constituency</t>
  </si>
  <si>
    <t>Where does the Rhine river's measurement end?</t>
  </si>
  <si>
    <t>In 1940, what percentage of the population in Fresno was Asian?</t>
  </si>
  <si>
    <t>What is the profession of Jake Rosenfield?</t>
  </si>
  <si>
    <t>algebraic aspects</t>
  </si>
  <si>
    <t xml:space="preserve">What did DECnet phase 2 become </t>
  </si>
  <si>
    <t>How many homes did the Alta Vista Tract have five years after Billings &amp; Meyering acquired it?</t>
  </si>
  <si>
    <t>DC electricity</t>
  </si>
  <si>
    <t>What do larger fortunes generate?</t>
  </si>
  <si>
    <t>In a type III secretion system, proteins are transported to the host cell in order to do what?</t>
  </si>
  <si>
    <t>moral</t>
  </si>
  <si>
    <t>What types of programs help to redistribute wealth?</t>
  </si>
  <si>
    <t>When large groups of people all boycott a system or don't pay taxes it can be considered?</t>
  </si>
  <si>
    <t>1884</t>
  </si>
  <si>
    <t>the Fourth Intercolonial War and the Great War for the Empire</t>
  </si>
  <si>
    <t xml:space="preserve"> By the late 19th century, which country had the smallest empire ever to exist in the world?</t>
  </si>
  <si>
    <t>Who went to Fort Dusquesne in July 1755?</t>
  </si>
  <si>
    <t>the dukes</t>
  </si>
  <si>
    <t>ease with which people, youth in particular, can obtain controlled substances</t>
  </si>
  <si>
    <t>None</t>
  </si>
  <si>
    <t>the European Court</t>
  </si>
  <si>
    <t xml:space="preserve">What field of computer science analyzes all possible algorithms in aggregate to determine the resource requirements needed to solve to a given problem?  </t>
  </si>
  <si>
    <t>Macroeconomic</t>
  </si>
  <si>
    <t>were not restored</t>
  </si>
  <si>
    <t xml:space="preserve"> What did Basset analyze after coming to his conclusions?</t>
  </si>
  <si>
    <t>How much of the sun is made up of oxygen?</t>
  </si>
  <si>
    <t>“capability deprivation”</t>
  </si>
  <si>
    <t>What does following the rules help to preserve with a protest?</t>
  </si>
  <si>
    <t>the early 1950s</t>
  </si>
  <si>
    <t>law of supply and demand</t>
  </si>
  <si>
    <t>the Monarch</t>
  </si>
  <si>
    <t>Who did Kublai make the ruler of Korea?</t>
  </si>
  <si>
    <t>Another cause is the rate at which income is taxed coupled with the progressivity of the tax system. A progressive tax is a tax by which the tax rate increases as the taxable base amount increases. In a progressive tax system, the level of the top tax rate will often have a direct impact on the level of inequality within a society, either increasing it or decreasing it, provided that income does not change as a result of the change in tax regime. Additionally, steeper tax progressivity applied to social spending can result in a more equal distribution of income across the board. The difference between the Gini index for an income distribution before taxation and the Gini index after taxation is an indicator for the effects of such taxation.</t>
  </si>
  <si>
    <t>When was the Bolelsaw Duchy reincorporated into the Polish Crown?</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</si>
  <si>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</si>
  <si>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Who is currently the President of the Council?</t>
  </si>
  <si>
    <t>Prophet Mohammad</t>
  </si>
  <si>
    <t>In what year did Pearson Friedman donate $300 million to the Booth School of Business?</t>
  </si>
  <si>
    <t xml:space="preserve"> Who reigned over the Ottoman empire when it was at its most weak.</t>
  </si>
  <si>
    <t>What was the most important discovery that led to the understanding that Earth's lithosphere is separated into tectonic plates?</t>
  </si>
  <si>
    <t>The second law contradicts what belief?</t>
  </si>
  <si>
    <t>What type of commutative ring does the Lasker–Noether theorem express every ideal as an intersection of primary ideals in?</t>
  </si>
  <si>
    <t>What did the richest 40 Americans have as children that helped them be successful adults?</t>
  </si>
  <si>
    <t>ozone</t>
  </si>
  <si>
    <t>What would income differentials be if individual contributions weren't relevant to the social product?</t>
  </si>
  <si>
    <t>When is the Wianki festival held?</t>
  </si>
  <si>
    <t>The laws of physics change from being at rest when travelling in a what?</t>
  </si>
  <si>
    <t>Lagos and Quiberon Bay.</t>
  </si>
  <si>
    <t>In Britain, Norman art primarily survives as stonework or metalwork, such as capitals and baptismal fonts. In southern Italy, however, Norman artwork survives plentifully in forms strongly influenced by its Greek, Lombard, and Arab forebears. Of the royal regalia preserved in Palermo, the crown is Byzantine in style and the coronation cloak is of Arab craftsmanship with Arabic inscriptions. Many churches preserve sculptured fonts, capitals, and more importantly mosaics, which were common in Norman Italy and drew heavily on the Greek heritage. Lombard Salerno was a centre of ivorywork in the 11th century and this continued under Norman domination. Finally should be noted the intercourse between French Crusaders traveling to the Holy Land who brought with them French artefacts with which to gift the churches at which they stopped in southern Italy amongst their Norman cousins. For this reason many south Italian churches preserve works from France alongside their native pieces.</t>
  </si>
  <si>
    <t>non-deterministic Turing machine</t>
  </si>
  <si>
    <t>a closed system</t>
  </si>
  <si>
    <t>What country became a leader in importing large cars?</t>
  </si>
  <si>
    <t>Cambrian sessile frond-like fossil Stromatoveris</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</si>
  <si>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</si>
  <si>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Mongols and Semuren</t>
  </si>
  <si>
    <t>1234</t>
  </si>
  <si>
    <t>Conservative forces include what?</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</si>
  <si>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</si>
  <si>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Ranging from about 1 millimeter (0.039 in) to 1.5 meters (4.9 ft) in size, ctenophores are the largest non-colonial animals that use cilia ("hairs") as their main method of locomotion. Most species have eight strips, called comb rows, that run the length of their bodies and bear comb-like bands of cilia, called "ctenes," stacked along the comb rows so that when the cilia beat, those of each comb touch the comb below. The name "ctenophora" means "comb-bearing", from the Greek κτείς (stem-form κτεν-) meaning "comb" and the Greek suffix -φορος meaning "carrying".</t>
  </si>
  <si>
    <t>The issues of conflicting territorial claims between British and French colonies</t>
  </si>
  <si>
    <t xml:space="preserve">Stephen Eildmann cites the oldest known example of civil disobedience in what part of the bible? </t>
  </si>
  <si>
    <t>What are higher doses of anti-inflammatory drugs used with?</t>
  </si>
  <si>
    <t>How many months did it take Pierre Bayle to write his multi-volume series Historical and Critical Dictionary?</t>
  </si>
  <si>
    <t>The principle of faunal succession was developed 100 years before whose theory of evolution?</t>
  </si>
  <si>
    <t>What suffered considerably for Warsaw when it had an Eastern Bloc economy?</t>
  </si>
  <si>
    <t>the World Meteorological Organization (WMO) and the United Nations Environment Programme (UNEP)</t>
  </si>
  <si>
    <t>How fast does septicemic kill most people left untreated?</t>
  </si>
  <si>
    <t>the Old Rhine Bridge at Constance</t>
  </si>
  <si>
    <t>In order to be considered in the top percentile, a person would need to amass how much money each year?</t>
  </si>
  <si>
    <t>A decrease in greenhouse gases may lead to a complete loss of what?</t>
  </si>
  <si>
    <t>When B cells and T cells begin to replicate, what do some of their offspring cells become?</t>
  </si>
  <si>
    <t>Trotsky thought what was needed for a true Russian revolution.</t>
  </si>
  <si>
    <t>about 2.5 billion years ago</t>
  </si>
  <si>
    <t>the Mughal state</t>
  </si>
  <si>
    <t xml:space="preserve"> What was Kublai's least favorite sect of Tibetan Buddhism?</t>
  </si>
  <si>
    <t>Glenn T. Seaborg</t>
  </si>
  <si>
    <t>unanimity</t>
  </si>
  <si>
    <t>What gender is less willing to travel or relocate for work?</t>
  </si>
  <si>
    <t>case law by the Court of Justice</t>
  </si>
  <si>
    <t>the interconnection of national X.25 networks</t>
  </si>
  <si>
    <t>crust and rigid uppermost portion of the upper mantle</t>
  </si>
  <si>
    <t>What type of sanctions has the US directed at Iran?</t>
  </si>
  <si>
    <t>win an acquittal and avoid imprisonment or a fine</t>
  </si>
  <si>
    <t>When the recovery between the widening gap between the richest citizens and rest of the nation slow?</t>
  </si>
  <si>
    <t>1754–1763</t>
  </si>
  <si>
    <t>What gene converts calcitriol into calcidiol?</t>
  </si>
  <si>
    <t>more efficient solutions</t>
  </si>
  <si>
    <t>The BBC's documentary presented evidence that the Amazon had been a pristine wilderness for at least how long?</t>
  </si>
  <si>
    <t>Open Door Policy</t>
  </si>
  <si>
    <t>Gaussian integers Z[i]</t>
  </si>
  <si>
    <t>When did building activity occur on St. Kazimierz Church?</t>
  </si>
  <si>
    <t>John Mayow</t>
  </si>
  <si>
    <t>John Houghton</t>
  </si>
  <si>
    <t>What has been the main reason for the shift to the view that income inequality helps growth?</t>
  </si>
  <si>
    <t>Pickawillany</t>
  </si>
  <si>
    <t>stratigraphic correlation</t>
  </si>
  <si>
    <t>Climate Change</t>
  </si>
  <si>
    <t>Who lived in a tree to prevent it from being cut down as a form of civil disobedience?</t>
  </si>
  <si>
    <t>weightlessness</t>
  </si>
  <si>
    <t>How did Celeron feel about Native languages?</t>
  </si>
  <si>
    <t>during the compression stage relatively little work is required to drive the pump</t>
  </si>
  <si>
    <t xml:space="preserve">What did Davies want to build </t>
  </si>
  <si>
    <t>environmental degradation</t>
  </si>
  <si>
    <t>1788</t>
  </si>
  <si>
    <t>What test is especially useful for numbers of the form 2p - 1?</t>
  </si>
  <si>
    <t>When was the IPCC Trust Fund founded?</t>
  </si>
  <si>
    <t>What do bacteria use to move proteins from the host to the pathogen?</t>
  </si>
  <si>
    <t>What type of assistance to out of town students is the Muslim Brotherhood known for?</t>
  </si>
  <si>
    <t xml:space="preserve"> What is Cultural Imperialism never referred to as?</t>
  </si>
  <si>
    <t>US$100,000</t>
  </si>
  <si>
    <t>DATAPAC was developed by Bell Northern Research</t>
  </si>
  <si>
    <t>What was the name given to the undergraduate college's liberal-arts curriculum?</t>
  </si>
  <si>
    <t>Henry David Thoreau</t>
  </si>
  <si>
    <t>What is the minimum percent of alcohol content a German law requires all spirits and liqueurs to have?</t>
  </si>
  <si>
    <t>map out their ancestral lands</t>
  </si>
  <si>
    <t>What did the Italian government fail to do in Francovich v Italy?</t>
  </si>
  <si>
    <t>Rhine</t>
  </si>
  <si>
    <t>(Exodus 1: 15-19)</t>
  </si>
  <si>
    <t>Pierre Pictet</t>
  </si>
  <si>
    <t>four-course rate average</t>
  </si>
  <si>
    <t>Around roughly how many students enroll yearly in creative and performing arts classes?</t>
  </si>
  <si>
    <t>In what century did the North Sea discharge into the Nederrijn river?</t>
  </si>
  <si>
    <t>a few</t>
  </si>
  <si>
    <t>5% production cut</t>
  </si>
  <si>
    <t>What does the ctenophora use to swim?</t>
  </si>
  <si>
    <t>Who owns the rail lines in Victoria?</t>
  </si>
  <si>
    <t>a way of continuing their protest</t>
  </si>
  <si>
    <t>How is oxygen produced from carbon dioxide on the other planets of the solar system?</t>
  </si>
  <si>
    <t>Who explained that reference frames subject to constant deceleration?</t>
  </si>
  <si>
    <t>2.666 million</t>
  </si>
  <si>
    <t>Along with public schools, what type of school was recognized under the South African Schools Act?</t>
  </si>
  <si>
    <t>What scientist told the French Academy of Sciences that he had found how to liquefy oxygen?</t>
  </si>
  <si>
    <t>What rule did some native live under?</t>
  </si>
  <si>
    <t>Which two codes were the roles of pharmacists destroyed?</t>
  </si>
  <si>
    <t>What happens when an antigen fails to bind to an immune receptor?</t>
  </si>
  <si>
    <t>What pushes businesses to increase pressures on workers?</t>
  </si>
  <si>
    <t>quotient</t>
  </si>
  <si>
    <t>the Los Angeles Times</t>
  </si>
  <si>
    <t>disease</t>
  </si>
  <si>
    <t>In what era did some members of this community emigrate to the US?</t>
  </si>
  <si>
    <t>How did Celeron feel about Native relations?</t>
  </si>
  <si>
    <t>A method to lessen the magnitude of this heating and cooling was invented in 1804 by British engineer Arthur Woolf, who patented his Woolf high-pressure compound engine in 1805. In the compound engine, high-pressure steam from the boiler expands in a high-pressure (HP) cylinder and then enters one or more subsequent lower-pressure (LP) cylinders. The complete expansion of the steam now occurs across multiple cylinders and as less expansion now occurs in each cylinder less heat is lost by the steam in each. This reduces the magnitude of cylinder heating and cooling, increasing the efficiency of the engine. By staging the expansion in multiple cylinders, torque variability can be reduced. To derive equal work from lower-pressure steam requires a larger cylinder volume as this steam occupies a greater volume. Therefore, the bore, and often the stroke, are increased in low-pressure cylinders resulting in larger cylinders.</t>
  </si>
  <si>
    <t>The Free Movement of Workers Regulation articles 1 to 7 set out the main provisions on equal treatment of workers. First, articles 1 to 4 generally require that workers can take up employment, conclude contracts, and not suffer discrimination compared to nationals of the member state. In a famous case, the Belgian Football Association v Bosman, a Belgian footballer named Jean-Marc Bosman claimed that he should be able to transfer from R.F.C. de Liège to USL Dunkerque when his contract finished, regardless of whether Dunkerque could afford to pay Liège the habitual transfer fees. The Court of Justice held "the transfer rules constitute[d] an obstacle to free movement" and were unlawful unless they could be justified in the public interest, but this was unlikely. In Groener v Minister for Education the Court of Justice accepted that a requirement to speak Gaelic to teach in a Dublin design college could be justified as part of the public policy of promoting the Irish language, but only if the measure was not disproportionate. By contrast in Angonese v Cassa di Risparmio di Bolzano SpA a bank in Bolzano, Italy, was not allowed to require Mr Angonese to have a bilingual certificate that could only be obtained in Bolzano. The Court of Justice, giving "horizontal" direct effect to TFEU article 45, reasoned that people from other countries would have little chance of acquiring the certificate, and because it was "impossible to submit proof of the required linguistic knowledge by any other means", the measure was disproportionate. Second, article 7(2) requires equal treatment in respect of tax. In Finanzamt Köln Altstadt v Schumacker the Court of Justice held that it contravened TFEU art 45 to deny tax benefits (e.g. for married couples, and social insurance expense deductions) to a man who worked in Germany, but was resident in Belgium when other German residents got the benefits. By contrast in Weigel v Finanzlandesdirektion für Vorarlberg the Court of Justice rejected Mr Weigel's claim that a re-registration charge upon bringing his car to Austria violated his right to free movement. Although the tax was "likely to have a negative bearing on the decision of migrant workers to exercise their right to freedom of movement", because the charge applied equally to Austrians, in absence of EU legislation on the matter it had to be regarded as justified. Third, people must receive equal treatment regarding "social advantages", although the Court has approved residential qualifying periods. In Hendrix v Employee Insurance Institute the Court of Justice held that a Dutch national was not entitled to continue receiving incapacity benefits when he moved to Belgium, because the benefit was "closely linked to the socio-economic situation" of the Netherlands. Conversely, in Geven v Land Nordrhein-Westfalen the Court of Justice held that a Dutch woman living in the Netherlands, but working between 3 and 14 hours a week in Germany, did not have a right to receive German child benefits, even though the wife of a man who worked full-time in Germany but was resident in Austria could. The general justifications for limiting free movement in TFEU article 45(3) are "public policy, public security or public health", and there is also a general exception in article 45(4) for "employment in the public service".</t>
  </si>
  <si>
    <t>What is the busiest container port in the United States?</t>
  </si>
  <si>
    <t>What was the defeat of the Arab troops at the hand of the Israeli troops during the Six-Day War?</t>
  </si>
  <si>
    <t>The Scotland Act 1998</t>
  </si>
  <si>
    <t>the restriction modification system</t>
  </si>
  <si>
    <t>individual</t>
  </si>
  <si>
    <t>What was the name of the imperialistic policy in China?</t>
  </si>
  <si>
    <t>What is the escape of the steam unlikely to accomplish in all but the smallest boilers?</t>
  </si>
  <si>
    <t>Who recorded "Walking in Fresno?"</t>
  </si>
  <si>
    <t>business districts</t>
  </si>
  <si>
    <t>What is the most important item for civil disobedience to follow through?</t>
  </si>
  <si>
    <t>What is impossible for the complexity classes RP, BPP, PP, BQP, MA, and PH?</t>
  </si>
  <si>
    <t>vitamin D.</t>
  </si>
  <si>
    <t>plan for an invasion of Western Europe</t>
  </si>
  <si>
    <t>by intermediate network nodes asynchronously using first-in, first-out buffering, but may be forwarded according to some scheduling discipline for fair queuing</t>
  </si>
  <si>
    <t>What UN secretary went to Harvard?</t>
  </si>
  <si>
    <t>What tradition were the Saint-Evroul monks known for?</t>
  </si>
  <si>
    <t>What native chief travelled to French fort and helped Marin?</t>
  </si>
  <si>
    <t>In 1096, Crusaders passing by the siege of Amalfi were joined by Bohemond of Taranto and his nephew Tancred with an army of Italo-Normans. Bohemond was the de facto leader of the Crusade during its passage through Asia Minor. After the successful Siege of Antioch in 1097, Bohemond began carving out an independent principality around that city. Tancred was instrumental in the conquest of Jerusalem and he worked for the expansion of the Crusader kingdom in Transjordan and the region of Galilee.[citation needed]</t>
  </si>
  <si>
    <t>Can a packet be sent incomplete?</t>
  </si>
  <si>
    <t xml:space="preserve">What does a quantity surveyor do with a design? </t>
  </si>
  <si>
    <t>canalisation projects</t>
  </si>
  <si>
    <t>Noetherian commutative ring</t>
  </si>
  <si>
    <t>The term "imperialism" is often conflated with "colonialism", however many scholars have argued that each have their own distinct definition. Imperialism and colonialism have been used in order to describe one's superiority, domination and influence upon a person or group of people. Robert Young writes that while imperialism operates from the center, is a state policy and is developed for ideological as well as financial reasons, colonialism is simply the development for settlement or commercial intentions. Colonialism in modern usage also tends to imply a degree of geographic separation between the colony and the imperial power. Particularly, Edward Said distinguishes the difference between imperialism and colonialism by stating; "imperialism involved 'the practice, the theory and the attitudes of a dominating metropolitan center ruling a distant territory', while colonialism refers to the 'implanting of settlements on a distant territory.' Contiguous land empires such as the Russian or Ottoman are generally excluded from discussions of colonialism.:116 Thus it can be said that imperialism includes some form of colonialism, but colonialism itself does not automatically imply imperialism, as it lacks a political focus.[further explanation needed]</t>
  </si>
  <si>
    <t>What does the EU's legitimacy not rest on?</t>
  </si>
  <si>
    <t>theretofore established principles of pre-allocation of network bandwidth</t>
  </si>
  <si>
    <t>Who suggested that imperialism was the "highest" form of capitalism?</t>
  </si>
  <si>
    <t>What is the number of Constituency MSPs?</t>
  </si>
  <si>
    <t>their disastrous financial situation</t>
  </si>
  <si>
    <t>What may be possible for multiple Kuznets' cycles to be in at any given time?</t>
  </si>
  <si>
    <t xml:space="preserve"> Humans in tropical environments were not considered what?</t>
  </si>
  <si>
    <t>wealth</t>
  </si>
  <si>
    <t>southern Suriname</t>
  </si>
  <si>
    <t xml:space="preserve">What is a connection identifier </t>
  </si>
  <si>
    <t>missionaries</t>
  </si>
  <si>
    <t>Katyń Museum</t>
  </si>
  <si>
    <t>Who discovered this and where did they come from?</t>
  </si>
  <si>
    <t>What needs to be larger to get the same work out of lower pressure steam?</t>
  </si>
  <si>
    <t>Louisiana west of the Mississippi River</t>
  </si>
  <si>
    <t>Who wrote that imperialism is the highest stage of capitalism?</t>
  </si>
  <si>
    <t>What was free movement increasingly based on?</t>
  </si>
  <si>
    <t xml:space="preserve">The business allowed for private companies to do what </t>
  </si>
  <si>
    <t xml:space="preserve">Global internet was help funded by what foundation? </t>
  </si>
  <si>
    <t>they are ‘directly applicable in all Member States’</t>
  </si>
  <si>
    <t>Where are Jersey and Guernsey</t>
  </si>
  <si>
    <t>the oxygen cycle</t>
  </si>
  <si>
    <t>Where have herbivorous fishes been seen feeding on gelatinous zooplankton?</t>
  </si>
  <si>
    <t>disappearance of a strong ally and counterweight to British expansion</t>
  </si>
  <si>
    <t>What is one issue that adds to the complexity of a pharmacist's job?</t>
  </si>
  <si>
    <t>What animal sometimes swims in the Rhine?</t>
  </si>
  <si>
    <t>How many species of trees can be found in the Amazon rainforest?</t>
  </si>
  <si>
    <t>Stadtholder William III of Orange, who later became King of England, emerged as the strongest opponent of king Louis XIV after the French attacked the Dutch Republic in 1672. William formed the League of Augsburg as a coalition to oppose Louis and the French state. Consequently, many Huguenots considered the wealthy and Calvinist Dutch Republic, which led the opposition to Louis XIV, as the most attractive country for exile after the revocation of the Edict of Nantes. They also found many French-speaking Calvinist churches there.</t>
  </si>
  <si>
    <t>1973</t>
  </si>
  <si>
    <t>the sixteenth century</t>
  </si>
  <si>
    <t>What was the Australian public X.75 network operated by Telstra?</t>
  </si>
  <si>
    <t>What happened to schools after Chinese independence in 1957?</t>
  </si>
  <si>
    <t>A prime number (or a prime) is a natural number greater than 1 that has no positive divisors other than 1 and itself. A natural number greater than 1 that is not a prime number is called a composite number. For example, 5 is prime because 1 and 5 are its only positive integer factors, whereas 6 is composite because it has the divisors 2 and 3 in addition to 1 and 6. The fundamental theorem of arithmetic establishes the central role of primes in number theory: any integer greater than 1 can be expressed as a product of primes that is unique up to ordering. The uniqueness in this theorem requires excluding 1 as a prime because one can include arbitrarily many instances of 1 in any factorization, e.g., 3, 1 · 3, 1 · 1 · 3, etc. are all valid factorizations of 3.</t>
  </si>
  <si>
    <t>What principle highlights the significance of real numbers?</t>
  </si>
  <si>
    <t>If law breaking is not done in a public manor it is not considered what term?</t>
  </si>
  <si>
    <t>the AKS primality test</t>
  </si>
  <si>
    <t>RSA algorithm</t>
  </si>
  <si>
    <t>When did the second edition of Gasquet's book come out?</t>
  </si>
  <si>
    <t>arbitrary</t>
  </si>
  <si>
    <t>problem in C is harder than X</t>
  </si>
  <si>
    <t>How many people were lost in Algiers during 1620-21?</t>
  </si>
  <si>
    <t>What kind of education is offered in public schools in Australia?</t>
  </si>
  <si>
    <t>each six months</t>
  </si>
  <si>
    <t xml:space="preserve"> What are colonial powers praised for?</t>
  </si>
  <si>
    <t>Rhine Valley</t>
  </si>
  <si>
    <t>liquid</t>
  </si>
  <si>
    <t>What is the name of the latest epoch?</t>
  </si>
  <si>
    <t>territory east of the Mississippi to Great Britain</t>
  </si>
  <si>
    <t>to set up an insurance fund for employees to claim unpaid wages if their employers had gone insolvent, as the Insolvency Protection Directive required</t>
  </si>
  <si>
    <t>What is the name of one impressive continuation of the Fermat primality test?</t>
  </si>
  <si>
    <t>obesity, alcoholism, and drug use</t>
  </si>
  <si>
    <t>extra-legal</t>
  </si>
  <si>
    <t xml:space="preserve">What is it called when a pathogen spends most of its lifecycle outside of host cells? </t>
  </si>
  <si>
    <t>What did John Mayow prove that air is necessary for?</t>
  </si>
  <si>
    <t>Where is the mouth located on an Aboral?</t>
  </si>
  <si>
    <t>the division of functions and tasks between the hosts at the edge of the network and the network core.</t>
  </si>
  <si>
    <t>propose a range of preincident population figures from as high as 7 million to as low as 4 million</t>
  </si>
  <si>
    <t>town of the Ubii</t>
  </si>
  <si>
    <t>To calculate instant angular acceleration of a rigid body what would you use?</t>
  </si>
  <si>
    <t>Who suggested that the investigation was legitimate?</t>
  </si>
  <si>
    <t>What proclamation abolished protestantism in France?</t>
  </si>
  <si>
    <t>Who does the wage gap between genders provide an advantage?</t>
  </si>
  <si>
    <t xml:space="preserve">What is contained in a large packet header? </t>
  </si>
  <si>
    <t>What is a requirement of online pharmacies that issue drugs without a prescription?</t>
  </si>
  <si>
    <t>Lucas–Lehmer</t>
  </si>
  <si>
    <t>issues which may be of interest to a particular area such as a member's own constituency</t>
  </si>
  <si>
    <t>Which Senator was a strong advocate for the Pico Act?</t>
  </si>
  <si>
    <t>Imperial</t>
  </si>
  <si>
    <t>What compounds in the stomach protect against ingested pathogens?</t>
  </si>
  <si>
    <t>Bills</t>
  </si>
  <si>
    <t>In what month in 1349 did the second wave of the plague reach England?</t>
  </si>
  <si>
    <t>What does the acronym FISS stand for?</t>
  </si>
  <si>
    <t>Advanced Steam movement</t>
  </si>
  <si>
    <t>biomass</t>
  </si>
  <si>
    <t>via the ballast tanks of ships</t>
  </si>
  <si>
    <t>What are the exceptions in the constitutions that fall under state responsibility?</t>
  </si>
  <si>
    <t>in regional cities</t>
  </si>
  <si>
    <t>Where does the Ijssel branch flow?</t>
  </si>
  <si>
    <t>NP-complete knapsack</t>
  </si>
  <si>
    <t>What major commercial airports are located in Los Angeles?</t>
  </si>
  <si>
    <t>reflective of individual contributions</t>
  </si>
  <si>
    <t>What does "villes de surete" translate to in English?</t>
  </si>
  <si>
    <t>Fresno</t>
  </si>
  <si>
    <t>Vγ9/Vδ2</t>
  </si>
  <si>
    <t>What letter did Washington present to  Saint-Pierre ?</t>
  </si>
  <si>
    <t>What was the oil crisis called</t>
  </si>
  <si>
    <t>The Premier of Victoria is the leader of the political party or coalition with the most seats in the Legislative Assembly. The Premier is the public face of government and, with cabinet, sets the legislative and political agenda. Cabinet consists of representatives elected to either house of parliament. It is responsible for managing areas of government that are not exclusively the Commonwealth's, by the Australian Constitution, such as education, health and law enforcement. The current Premier of Victoria is Daniel Andrews.</t>
  </si>
  <si>
    <t>the Seine</t>
  </si>
  <si>
    <t>non-combustible substances that corrode</t>
  </si>
  <si>
    <t>What was the name of the Florida Huguenot colony?</t>
  </si>
  <si>
    <t>In what year was Kaffa founded?</t>
  </si>
  <si>
    <t>Robert Zimmer</t>
  </si>
  <si>
    <t>somewhat strong "colonial" coloration</t>
  </si>
  <si>
    <t>What city has districts with no powiat entitlements?</t>
  </si>
  <si>
    <t>What is happening to the number of government schools in rural India?</t>
  </si>
  <si>
    <t>What are two methods for identifying plane-polarized light in the lab?</t>
  </si>
  <si>
    <t>Who argued for including the graph in the final report?</t>
  </si>
  <si>
    <t>What were two of Fresno's most beautiful architectural buildings that are now demolished?</t>
  </si>
  <si>
    <t>green</t>
  </si>
  <si>
    <t>the energy of sunlight</t>
  </si>
  <si>
    <t>How much support is there for the US approach to economic development?</t>
  </si>
  <si>
    <t>Jacksonville, like most large cities in the United States, suffered from negative effects of rapid urban sprawl after World War II. The construction of highways led residents to move to newer housing in the suburbs. After World War II, the government of the city of Jacksonville began to increase spending to fund new public building projects in the boom that occurred after the war. Mayor W. Haydon Burns' Jacksonville Story resulted in the construction of a new city hall, civic auditorium, public library and other projects that created a dynamic sense of civic pride. However, the development of suburbs and a subsequent wave of middle class "white flight" left Jacksonville with a much poorer population than before. The city's most populous ethnic group, non-Hispanic white, declined from 75.8% in 1970 to 55.1% by 2010.</t>
  </si>
  <si>
    <t>combination of poor management, internal divisions, and effective Canadian scouts, French regular forces, and Indian warrior allies</t>
  </si>
  <si>
    <t>"push" motivations</t>
  </si>
  <si>
    <t>Qutb</t>
  </si>
  <si>
    <t>the army and the populace</t>
  </si>
  <si>
    <t>Half of Paris's population of 100,000 people</t>
  </si>
  <si>
    <t>Who is responsible for running the National Greenhouse Gas Inventories Programme?</t>
  </si>
  <si>
    <t>a series of strikes by coal miners and railroad workers</t>
  </si>
  <si>
    <t>What organization was responsible for setting up the IPCC?</t>
  </si>
  <si>
    <t>In the most basic sense what did a Turing machine emulate?</t>
  </si>
  <si>
    <t>the name was incorrect</t>
  </si>
  <si>
    <t>by those who feel that only doctors can reliably assess contraindications, risk/benefit ratios, and an individual's overall suitability for use of a medication</t>
  </si>
  <si>
    <t>removing its economic foundation</t>
  </si>
  <si>
    <t>What is the edge of the Vistula plateau called?</t>
  </si>
  <si>
    <t>What did the university undergo during Hutchins 33 year tenure?</t>
  </si>
  <si>
    <t>Force</t>
  </si>
  <si>
    <t>All Recognized Student Organizations, from the University of Chicago Scavenger Hunt to Model UN, in addition to academic teams, sports club, arts groups, and more are funded by The University of Chicago Student Government. Student Government is made up of graduate and undergraduate students elected to represent members from their respective academic unit. It is led by an Executive Committee, chaired by a President with the assistance of two Vice Presidents, one for Administration and the other for Student Life, elected together as a slate by the student body each spring. Its annual budget is greater than $2 million.</t>
  </si>
  <si>
    <t>During what time period did income inequality increase in the United States?</t>
  </si>
  <si>
    <t>its continental North American possessions east of the Mississippi or the Caribbean islands</t>
  </si>
  <si>
    <t>How many crank rotations are there in an engine cycle?</t>
  </si>
  <si>
    <t>Why does competition among workers drive down wages?</t>
  </si>
  <si>
    <t>What is most of Poland's modern growth based on?</t>
  </si>
  <si>
    <t>races of highest 'social efficiency'"</t>
  </si>
  <si>
    <t>What does the First Company Law Directive article 11 require?</t>
  </si>
  <si>
    <t>What does Colonia Agrippina's original name translate into?</t>
  </si>
  <si>
    <t>Innate</t>
  </si>
  <si>
    <t>What proclamation officially ended limited Huguenot autonomy?</t>
  </si>
  <si>
    <t>Park Ujazdowski</t>
  </si>
  <si>
    <t>What country initially received the largest number of Huguenot refugees?</t>
  </si>
  <si>
    <t>curving parabolic path</t>
  </si>
  <si>
    <t>Who is VideoGuard owned by?</t>
  </si>
  <si>
    <t>predators</t>
  </si>
  <si>
    <t>What two types of activity are associated with the Canadian shield?</t>
  </si>
  <si>
    <t>the Scottish Government</t>
  </si>
  <si>
    <t>late 19th century.</t>
  </si>
  <si>
    <t>What would the polynomial hierarchy collapse if graph isomorphism is NQ-complete?</t>
  </si>
  <si>
    <t>South Pacific</t>
  </si>
  <si>
    <t>What name is given to any prime number larger than 1?</t>
  </si>
  <si>
    <t>general number field sieve</t>
  </si>
  <si>
    <t>Who is also known at the father of the hydrogen bomb?</t>
  </si>
  <si>
    <t>With two-cylinder compounds used in railway work, the pistons are connected to the cranks as with a two-cylinder simple at 90° out of phase with each other (quartered). When the double expansion group is duplicated, producing a 4-cylinder compound, the individual pistons within the group are usually balanced at 180°, the groups being set at 90° to each other. In one case (the first type of Vauclain compound), the pistons worked in the same phase driving a common crosshead and crank, again set at 90° as for a two-cylinder engine. With the 3-cylinder compound arrangement, the LP cranks were either set at 90° with the HP one at 135° to the other two, or in some cases all three cranks were set at 120°.[citation needed]</t>
  </si>
  <si>
    <t>Due to its electronegativity, oxygen forms chemical bonds with almost all other elements to give corresponding oxides. The surface of most metals, such as aluminium and titanium, are oxidized in the presence of air and become coated with a thin film of oxide that passivates the metal and slows further corrosion. Many oxides of the transition metals are non-stoichiometric compounds, with slightly less metal than the chemical formula would show. For example, the mineral FeO (wüstite) is written as Fe
1 − xO, where x is usually around 0.05.</t>
  </si>
  <si>
    <t>Ogród Saski</t>
  </si>
  <si>
    <t>rural areas in the United Kingdom</t>
  </si>
  <si>
    <t>What does DCB stand for?</t>
  </si>
  <si>
    <t>The Taliban were spawned by the thousands of madrasahs the Deobandi movement established for impoverished Afghan refugees and supported by governmental and religious groups in neighboring Pakistan. The Taliban differed from other Islamist movements to the point where they might be more properly described as Islamic fundamentalist or neofundamentalist, interested in spreading "an idealized and systematized version of conservative tribal village customs" under the label of Sharia to an entire country. Their ideology was also described as being influenced by Wahhabism, and the extremist jihadism of their guest Osama bin Laden.</t>
  </si>
  <si>
    <t>Who was the leader when the Franks entered the Euphrates valley?</t>
  </si>
  <si>
    <t>comb jellies</t>
  </si>
  <si>
    <t>What is an example of a steam-powered automobile?</t>
  </si>
  <si>
    <t>What was the English title of Polo's book?</t>
  </si>
  <si>
    <t>Who dominated Western Europe for 380 years?</t>
  </si>
  <si>
    <t>host interface to X.25 and the terminal interface to X.29</t>
  </si>
  <si>
    <t>The FSO Car Factory was established in 1951. A number of vehicles have been assembled there over the decades, including the Warszawa, Syrena, Fiat 125p (under license from Fiat, later renamed FSO 125p when the license expired) and the Polonez. The last two models listed were also sent abroad and assembled in a number of other countries, including Egypt and Colombia. In 1995 the factory was purchased by the South Korean car manufacturer Daewoo, which assembled the Tico, Espero, Nubia, Tacuma, Leganza, Lanos and Matiz there for the European market. In 2005 the factory was sold to AvtoZAZ, a Ukrainian car manufacturer which assembled there the Chevrolet Aveo. The license for the production of the Aveo expired in February 2011 and has since not been renewed. Currently the company is defunct.</t>
  </si>
  <si>
    <t>between Han and Jurchen</t>
  </si>
  <si>
    <t>Michael E. Mann, Raymond S. Bradley and Malcolm K. Hughes</t>
  </si>
  <si>
    <t>According to Ellen Churchill Semple what type of climate was necessary for humans to become fully human?</t>
  </si>
  <si>
    <t>Further south the Southeast interior was dominated by Siouan-speaking Catawba, Muskogee-speaking Creek and Choctaw, and the Iroquoian-speaking Cherokee tribes. When war broke out, the French used their trading connections to recruit fighters from tribes in western portions of the Great Lakes region (an area not directly subject to the conflict between the French and British), including the Huron, Mississauga, Ojibwa, Winnebago, and Potawatomi. The British were supported in the war by the Iroquois Six Nations, and also by the Cherokee – until differences sparked the Anglo-Cherokee War in 1758. In 1758 the Pennsylvania government successfully negotiated the Treaty of Easton, in which a number of tribes in the Ohio Country promised neutrality in exchange for land concessions and other considerations. Most of the other northern tribes sided with the French, their primary trading partner and supplier of arms. The Creek and Cherokee were subject to diplomatic efforts by both the French and British to gain either their support or neutrality in the conflict. It was not uncommon for small bands to participate on the "other side" of the conflict from formally negotiated agreements, as most tribes were decentralized and bands made their own decisions about warfare.</t>
  </si>
  <si>
    <t>What does not change macroscopic closed systems?</t>
  </si>
  <si>
    <t>Einstein</t>
  </si>
  <si>
    <t>What was the topic of the error?</t>
  </si>
  <si>
    <t>Where are many hospital pharmacies located?</t>
  </si>
  <si>
    <t>EU Regulations are the same as Treaty provisions in this sense, because as TFEU article 288 states, they are ‘directly applicable in all Member States’</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</si>
  <si>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</si>
  <si>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some 1.7 million victims</t>
  </si>
  <si>
    <t>Which graph was prominently featured in the second assessment report?</t>
  </si>
  <si>
    <t>What percentage of Scotland's voting population failed to actually vote?</t>
  </si>
  <si>
    <t>the actual sea level rise was above the top of the range</t>
  </si>
  <si>
    <t>What kind of French art is kept at the Arthur M. Sackler Museum?</t>
  </si>
  <si>
    <t>a computer</t>
  </si>
  <si>
    <t>Who does not have the final say in who ultimately has the competence to define the EU's competence?</t>
  </si>
  <si>
    <t>tuition fees</t>
  </si>
  <si>
    <t>captured</t>
  </si>
  <si>
    <t>In which English town did the most Walloons live?</t>
  </si>
  <si>
    <t xml:space="preserve">In what century was quantum mechanics made? </t>
  </si>
  <si>
    <t>all</t>
  </si>
  <si>
    <t>Which two treaties provide more formal institutions of the Canadian Union?</t>
  </si>
  <si>
    <t>successfully preventing it from being cut down</t>
  </si>
  <si>
    <t>Because of their soft, gelatinous bodies, ctenophores are extremely rare as fossils, and fossils that have been interpreted as ctenophores have been found only in lagerstätten, places where the environment was exceptionally suited to preservation of soft tissue. Until the mid-1990s only two specimens good enough for analysis were known, both members of the crown group, from the early Devonian (Emsian) period. Three additional putative species were then found in the Burgess Shale and other Canadian rocks of similar age, about 505 million years ago in the mid-Cambrian period. All three apparently lacked tentacles but had between 24 and 80 comb rows, far more than the 8 typical of living species. They also appear to have had internal organ-like structures unlike anything found in living ctenophores. One of the fossil species first reported in 1996 had a large mouth, apparently surrounded by a folded edge that may have been muscular. Evidence from China a year later suggests that such ctenophores were widespread in the Cambrian, but perhaps very different from modern species – for example one fossil's comb-rows were mounted on prominent vanes. The Ediacaran Eoandromeda could putatively represent a comb jelly.</t>
  </si>
  <si>
    <t>tallest precast, post-tensioned concrete structure</t>
  </si>
  <si>
    <t>What is economic liberalism one of the causes of?</t>
  </si>
  <si>
    <t>waste</t>
  </si>
  <si>
    <t>4 weeks paid holidays each year</t>
  </si>
  <si>
    <t>loss of soil fertility and weed invasion</t>
  </si>
  <si>
    <t>risen</t>
  </si>
  <si>
    <t>What shape are tentilla typically?</t>
  </si>
  <si>
    <t>Who was added to party as Washington went on the way?</t>
  </si>
  <si>
    <t>How much was the combined wealth of the "10 Million dollar millionaires" in 2008?</t>
  </si>
  <si>
    <t>informed Céloron that they owned the Ohio Country and that they would trade with the British regardless of the French</t>
  </si>
  <si>
    <t>Salmonella</t>
  </si>
  <si>
    <t>Fußach</t>
  </si>
  <si>
    <t>retractable tentacles fringed with tentilla</t>
  </si>
  <si>
    <t>What is the major tributary of the Rhine?</t>
  </si>
  <si>
    <t>Oswego</t>
  </si>
  <si>
    <t>What isn't the confusion of the French and Indian war?</t>
  </si>
  <si>
    <t>electromagnetic</t>
  </si>
  <si>
    <t>finances</t>
  </si>
  <si>
    <t>Abilene was a prime investor in what project?</t>
  </si>
  <si>
    <t>Whose occupation did the Egyptians resist in the 2003 Rose Revolution?</t>
  </si>
  <si>
    <t>magnitude and direction</t>
  </si>
  <si>
    <t>existing level of inequality</t>
  </si>
  <si>
    <t>technological changes and globalization</t>
  </si>
  <si>
    <t>After the Oligocene period, under what period did the amazon rainforest begin to expand?</t>
  </si>
  <si>
    <t>What British for was Jacksonville the site of?</t>
  </si>
  <si>
    <t>What components raise steam temperature above its saturated vapor point?</t>
  </si>
  <si>
    <t>When was a zoological garden established in the Powsin Park?</t>
  </si>
  <si>
    <t>What is the complex "two-signal" activation of T cells referred to?</t>
  </si>
  <si>
    <t>Milton Latham</t>
  </si>
  <si>
    <t>the natural specificity</t>
  </si>
  <si>
    <t>Who was President of the IPCC before Hoesung Lee?</t>
  </si>
  <si>
    <t>Prime numbers have influenced many artists and writers. The French composer Olivier Messiaen used prime numbers to create ametrical music through "natural phenomena". In works such as La Nativité du Seigneur (1935) and Quatre études de rythme (1949–50), he simultaneously employs motifs with lengths given by different prime numbers to create unpredictable rhythms: the primes 41, 43, 47 and 53 appear in the third étude, "Neumes rythmiques". According to Messiaen this way of composing was "inspired by the movements of nature, movements of free and unequal durations".</t>
  </si>
  <si>
    <t>From what landmark within Fresno does the Tower Theatre get its name?</t>
  </si>
  <si>
    <t>What are intermediate forwarding nodes?</t>
  </si>
  <si>
    <t>When did the name black death officially take root in England?</t>
  </si>
  <si>
    <t>Presburger arithmetic</t>
  </si>
  <si>
    <t>wave speeds</t>
  </si>
  <si>
    <t>Social Darwinism</t>
  </si>
  <si>
    <t>an Eastern Bloc city</t>
  </si>
  <si>
    <t>Who selects and hires the best ideas and appropriate contractors?</t>
  </si>
  <si>
    <t>When Céloron's expedition arrived at Logstown, the Native Americans in the area informed Céloron that they owned the Ohio Country and that they would trade with the British regardless of the French. Céloron continued south until his expedition reached the confluence of the Ohio and the Miami rivers, which lay just south of the village of Pickawillany, the home of the Miami chief known as "Old Briton". Céloron threatened "Old Briton" with severe consequences if he continued to trade with the British. "Old Briton" ignored the warning. Disappointed, Céloron returned to Montreal in November 1749.</t>
  </si>
  <si>
    <t>What secretes pathogens that enhance the host's immune response?</t>
  </si>
  <si>
    <t>What can occur from breathing 100% O2?</t>
  </si>
  <si>
    <t>What report had the correct date?</t>
  </si>
  <si>
    <t>What type of languages flourished in the Yuan?</t>
  </si>
  <si>
    <t>What percentage of private school students go to Catholic schools?</t>
  </si>
  <si>
    <t>The rate of clearing of forest from 2000 to 2005 was how many square miles per year?</t>
  </si>
  <si>
    <t>129</t>
  </si>
  <si>
    <t>fault-tolerant, efficient routing method</t>
  </si>
  <si>
    <t>What would not create a conflict between a problem X and problem C within the context of reduction?</t>
  </si>
  <si>
    <t>unit-dose, or a single dose of medicine</t>
  </si>
  <si>
    <t>What are some other factors a pharmacist can't monitor?</t>
  </si>
  <si>
    <t>greater than 1</t>
  </si>
  <si>
    <t>In the modern industrialized world, construction usually involves the translation of designs into reality. A formal design team may be assembled to plan the physical proceedings, and to integrate those proceedings with the other parts. The design usually consists of drawings and specifications, usually prepared by a design team including Architect, civil engineers, mechanical engineers, electrical engineers, structural engineers, fire protection engineers, planning consultants, architectural consultants, and archaeological consultants. The design team is most commonly employed by (i.e. in contract with) the property owner. Under this system, once the design is completed by the design team, a number of construction companies or construction management companies may then be asked to make a bid for the work, either based directly on the design, or on the basis of drawings and a bill of quantities provided by a quantity surveyor. Following evaluation of bids, the owner typically awards a contract to the most cost efficient bidder.</t>
  </si>
  <si>
    <t>Who was William the Silent's father?</t>
  </si>
  <si>
    <t>What Chinese system did Kublai's government compromise with?</t>
  </si>
  <si>
    <t>Of what mathematical nature is the Basel problem?</t>
  </si>
  <si>
    <t>a cubic interpolation formula</t>
  </si>
  <si>
    <t>In the United States, what is a usual turbine speed with 60 Hertz of power?</t>
  </si>
  <si>
    <t>Lead fusible plugs</t>
  </si>
  <si>
    <t>electronic consoles</t>
  </si>
  <si>
    <t>Over how may species of trees can be found in the Caucasian Garden?</t>
  </si>
  <si>
    <t>What year did consolidation cause Jacksonville to become part of Duval County?</t>
  </si>
  <si>
    <t>compensation pools</t>
  </si>
  <si>
    <t>What was normal British defense?</t>
  </si>
  <si>
    <t>unwilling to risk large convoys to aid the limited forces it had in New France</t>
  </si>
  <si>
    <t xml:space="preserve">How did user of Tymnet connect </t>
  </si>
  <si>
    <t>How many residents of Seville died of plague in 1649?</t>
  </si>
  <si>
    <t>What areas did French recruit natives from?</t>
  </si>
  <si>
    <t>Which organization only has the responsibility for writing climate assessment reports?</t>
  </si>
  <si>
    <t>What must the adoption of laws which will have legal effect in the EU have?</t>
  </si>
  <si>
    <t>European Council</t>
  </si>
  <si>
    <t>What defenses respond to pathogens in a specific way?</t>
  </si>
  <si>
    <t>How many kilometers is Vistula from the Carpathian Mountains?</t>
  </si>
  <si>
    <t>deterministic algorithms</t>
  </si>
  <si>
    <t>VA, the Indian Health Service, and NIH</t>
  </si>
  <si>
    <t>independent schools</t>
  </si>
  <si>
    <t>oxygen chambers</t>
  </si>
  <si>
    <t>1281</t>
  </si>
  <si>
    <t>rate of flow was increased</t>
  </si>
  <si>
    <t>What was the Pinedale Assembly Center?</t>
  </si>
  <si>
    <t>What type of income is the vast majority of the population not dependent on?</t>
  </si>
  <si>
    <t>What else was avoided by pharmas?</t>
  </si>
  <si>
    <t>the Ancient Greeks</t>
  </si>
  <si>
    <t>As in the House of Commons, a number of qualifications apply to being an MSP. Such qualifications were introduced under the House of Commons Disqualification Act 1975 and the British Nationality Act 1981. Specifically, members must be over the age of 18 and must be a citizen of the United Kingdom, the Republic of Ireland, one of the countries in the Commonwealth of Nations, a citizen of a British overseas territory, or a European Union citizen resident in the UK. Members of the police and the armed forces are disqualified from sitting in the Scottish Parliament as elected MSPs, and similarly, civil servants and members of foreign legislatures are disqualified. An individual may not sit in the Scottish Parliament if he or she is judged to be insane under the terms of the Mental Health (Care and Treatment) (Scotland) Act 2003.</t>
  </si>
  <si>
    <t>In experiments, a bridge of what element can be built between poles of a magnet?</t>
  </si>
  <si>
    <t>How much less steam did the Rumford engine use compared to the Watt engine?</t>
  </si>
  <si>
    <t>Who makes formal appointment or dismissal decisions?</t>
  </si>
  <si>
    <t>early months of 1754</t>
  </si>
  <si>
    <t>DVB-S2</t>
  </si>
  <si>
    <t>There are plenty of experiments that can distinguish whether it is the vehicle that s at rest or what?</t>
  </si>
  <si>
    <t>good</t>
  </si>
  <si>
    <t>distributive efficiency</t>
  </si>
  <si>
    <t>heavily concentrated along the St. Lawrence River valley, with some also in Acadia</t>
  </si>
  <si>
    <t>In the range between 1980 and 1990, what did demand for grow?</t>
  </si>
  <si>
    <t>What fits the framework of complexity classes?</t>
  </si>
  <si>
    <t>sent Dieskau to Fort St. Frédéric to meet that threat</t>
  </si>
  <si>
    <t>San Fernando Valley</t>
  </si>
  <si>
    <t>seaborne</t>
  </si>
  <si>
    <t>What has Islamism been increasingly interdependent with following the Arab Spring?</t>
  </si>
  <si>
    <t>Who did a morphologically analysis in 1985 that concluded cydippids are not monophyletic?</t>
  </si>
  <si>
    <t>How many vector equations did Heaviside and Gibbs reformilate Maxwell's 20 scalar equtions into?</t>
  </si>
  <si>
    <t>Who was Genghis's 3rd son?</t>
  </si>
  <si>
    <t>What types of waves do seismologists use to image the interior of the Earth?</t>
  </si>
  <si>
    <t>What expedition did George Maniaces lead in the 10th century?</t>
  </si>
  <si>
    <t>not to grant a consent search</t>
  </si>
  <si>
    <t>What did the prosecution propose in Ghandi's trial?</t>
  </si>
  <si>
    <t>What party is favored in Bedigo and Geelong?</t>
  </si>
  <si>
    <t>Elector of Brandenburg and Duke of Prussia</t>
  </si>
  <si>
    <t>What do the strains of y. pestis suggest abut the plague?</t>
  </si>
  <si>
    <t>Pollution of water by nitrates and phosphates will encourage the growth of what?</t>
  </si>
  <si>
    <t>What Classification system is newer than the North American Industry Classification System?</t>
  </si>
  <si>
    <t>1763–1775</t>
  </si>
  <si>
    <t>pathogens or pathogen-infected cells</t>
  </si>
  <si>
    <t>When was the Royal University of Prussia established?</t>
  </si>
  <si>
    <t>through various associations</t>
  </si>
  <si>
    <t>For many native populations, the elimination of French power in North America meant the disappearance of a strong ally and counterweight to British expansion, leading to their ultimate dispossession. The Ohio Country was particularly vulnerable to legal and illegal settlement due to the construction of military roads to the area by Braddock and Forbes. Although the Spanish takeover of the Louisiana territory (which was not completed until 1769) had modest repercussions, the British takeover of Spanish Florida resulted in the westward migration of tribes that did not want to do business with the British, and a rise in tensions between the Choctaw and the Creek, historic enemies whose divisions the British at times exploited. The change of control in Florida also prompted most of its Spanish Catholic population to leave. Most went to Cuba, including the entire governmental records from St. Augustine, although some Christianized Yamasee were resettled to the coast of Mexico.</t>
  </si>
  <si>
    <t>sharia rather than the building of Islamic institutions,</t>
  </si>
  <si>
    <t>What are some conditions that make the availability of skilled tradespeople vary?</t>
  </si>
  <si>
    <t>What do MSPs who are not in the chamber when the division bell rings return to do?</t>
  </si>
  <si>
    <t>only three divisions</t>
  </si>
  <si>
    <t>'tuition-free</t>
  </si>
  <si>
    <t>Immunodeficiencies</t>
  </si>
  <si>
    <t>What did the French promises to protect Rollo and his men from?</t>
  </si>
  <si>
    <t>major business districts</t>
  </si>
  <si>
    <t>What is the largest ctenophore?</t>
  </si>
  <si>
    <t>What has the presence of hox genes been the focus of for many years?</t>
  </si>
  <si>
    <t>When did the the Pleistocene begin?</t>
  </si>
  <si>
    <t xml:space="preserve">Who has the Islamic Liberation Party attempted to assassinate? </t>
  </si>
  <si>
    <t>blockade French ports</t>
  </si>
  <si>
    <t>When did Zhu publish 'Jade Mirror of the Four Unknowns'?</t>
  </si>
  <si>
    <t>How many soldiers were in each Tumen?</t>
  </si>
  <si>
    <t>1469</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</si>
  <si>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</si>
  <si>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1777</t>
  </si>
  <si>
    <t>Liberal Party</t>
  </si>
  <si>
    <t>Cypiddids are not what?</t>
  </si>
  <si>
    <t>What type of measurements result under Schrodinger equations when using operators instead of Newtonian variables?</t>
  </si>
  <si>
    <t>What goal do many of these protests have?</t>
  </si>
  <si>
    <t>What district of Warsaw chose the President between 1994 and 1999?</t>
  </si>
  <si>
    <t>about 9.81 meters per second squared</t>
  </si>
  <si>
    <t>7.8%</t>
  </si>
  <si>
    <t>What amendment to the United States Constitution governs government funding of religious schools?</t>
  </si>
  <si>
    <t>Who was responsible for the new building projects in Jacksonville?</t>
  </si>
  <si>
    <t>Genghis Khan united the Mongol and Turkic tribes of the steppes and became Great Khan in 1206. He and his successors expanded the Mongol empire across Asia. Under the reign of Genghis' third son, Ögedei Khan, the Mongols destroyed the weakened Jin dynasty in 1234, conquering most of northern China. Ögedei offered his nephew Kublai a position in Xingzhou, Hebei. Kublai was unable to read Chinese but had several Han Chinese teachers attached to him since his early years by his mother Sorghaghtani. He sought the counsel of Chinese Buddhist and Confucian advisers. Möngke Khan succeeded Ögedei's son, Güyük,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</si>
  <si>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BSkyB launched its HDTV service, Sky+ HD, on 22 May 2006. Prior to its launch, BSkyB claimed that 40,000 people had registered to receive the HD service. In the week before the launch, rumours started to surface that BSkyB was having supply issues with its set top box (STB) from manufacturer Thomson. On Thursday 18 May 2006, and continuing through the weekend before launch, people were reporting that BSkyB had either cancelled or rescheduled its installation. Finally, the BBC reported that 17,000 customers had yet to receive the service due to failed deliveries. On 31 March 2012, Sky announced the total number of homes with Sky+HD was 4,222,000.</t>
  </si>
  <si>
    <t>What are some of the rejected general principles of European Union law?</t>
  </si>
  <si>
    <t>In what year did the second wave of the plague hit the Netherlands?</t>
  </si>
  <si>
    <t>Who does the largest economy in the United States belong to?</t>
  </si>
  <si>
    <t>What is an important factor contributing to inequality for individuals?</t>
  </si>
  <si>
    <t>nullification</t>
  </si>
  <si>
    <t>In July 1977, General Zia-ul-Haq overthrew Prime Minister Zulfiqar Ali Bhutto's regime in Pakistan. Ali Bhutto, a leftist in democratic competition with Islamists, had announced banning alcohol and nightclubs within six months, shortly before he was overthrown. Zia-ul-Haq was much more committed to Islamism, and "Islamization" or implementation of Islamic law, became a cornerstone of his eleven-year military dictatorship and Islamism became his "official state ideology". Zia ul Haq was an admirer of Mawdudi and Mawdudi's party Jamaat-e-Islami became the "regime's ideological and political arm". In Pakistan this Islamization from above was "probably" more complete "than under any other regime except those in Iran and Sudan," but Zia-ul-Haq was also criticized by many Islamists for imposing "symbols" rather than substance, and using Islamization to legitimize his means of seizing power. Unlike neighboring Iran, Zia-ul-Haq's policies were intended to "avoid revolutionary excess", and not to strain relations with his American and Persian Gulf state allies. Zia-ul-Haq was killed in 1988 but Islamization remains an important element in Pakistani society.</t>
  </si>
  <si>
    <t>The John W. Weeks Bridge</t>
  </si>
  <si>
    <t>What problem would have polynomial time hierarchy that would collapse to its second level?</t>
  </si>
  <si>
    <t>What is held ever February at the university?</t>
  </si>
  <si>
    <t>The Kronenberg Palace had been an exceptional example of what type of architecture?</t>
  </si>
  <si>
    <t>soluble components (molecules)</t>
  </si>
  <si>
    <t>What is not a form of immunological memory?</t>
  </si>
  <si>
    <t>economic inequality</t>
  </si>
  <si>
    <t>different viewpoints</t>
  </si>
  <si>
    <t>killed many of the Canadians</t>
  </si>
  <si>
    <t>the North Sea</t>
  </si>
  <si>
    <t>How fast do objects fall on Earth?</t>
  </si>
  <si>
    <t>experimentation</t>
  </si>
  <si>
    <t>Despite their soft, gelatinous bodies, fossils thought to represent ctenophores, apparently with no tentacles but many more comb-rows than modern forms, have been found in lagerstätten as far back as the early Cambrian, about 515 million years ago. The position of the ctenophores in the evolutionary family tree of animals has long been debated, and the majority view at present, based on molecular phylogenetics, is that cnidarians and bilaterians are more closely related to each other than either is to ctenophores. A recent molecular phylogenetics analysis concluded that the common ancestor of all modern ctenophores was cydippid-like, and that all the modern groups appeared relatively recently, probably after the Cretaceous–Paleogene extinction event 66 million years ago. Evidence accumulating since the 1980s indicates that the "cydippids" are not monophyletic, in other words do not include all and only the descendants of a single common ancestor, because all the other traditional ctenophore groups are descendants of various cydippids.</t>
  </si>
  <si>
    <t>How many men did Duquesne send to relieve  Saint-Pierre ?</t>
  </si>
  <si>
    <t>What is the German term for segregating students based on their parents' wealth?</t>
  </si>
  <si>
    <t>Bethencourt</t>
  </si>
  <si>
    <t>Man and Culture in a Counterfeit Paradise</t>
  </si>
  <si>
    <t>1640</t>
  </si>
  <si>
    <t>Can a packet be lost and if so, then where does it go?</t>
  </si>
  <si>
    <t>the Art Deco style</t>
  </si>
  <si>
    <t>a maze of semantical problems and grammatical niceties</t>
  </si>
  <si>
    <t>What kind of solutions are one of the central objects of study in computational complexity theory?</t>
  </si>
  <si>
    <t>women</t>
  </si>
  <si>
    <t>When was Francis Aidan Gasquet born?</t>
  </si>
  <si>
    <t>yellow fever virus</t>
  </si>
  <si>
    <t>In 1749 the British government gave land to the Ohio Company of Virginia for the purpose of developing trade and settlements in the Ohio Country. The grant required that it settle 100 families in the territory, and construct a fort for their protection. But, as the territory was also claimed by Pennsylvania, both colonies began pushing for action to improve their respective claims. In 1750 Christopher Gist, acting on behalf of both Virginia and the company, explored the Ohio territory and opened negotiations with the Indian tribes at Logstown. He completed the 1752 Treaty of Logstown in which the local Indians, through their "Half-King" Tanacharison and an Iroquois representative, agreed to terms that included permission to build a "strong house" at the mouth of the Monongahela River (the site of present-day Pittsburgh, Pennsylvania). By the late 17th century, the Iroquois had pushed many tribes out of the Ohio Valley, and kept it as hunting ground by right of conquest.</t>
  </si>
  <si>
    <t>Legislative Council</t>
  </si>
  <si>
    <t>The Main Quadrangles were a piece of a master plan conceived by how many Oxford University trustees?</t>
  </si>
  <si>
    <t>conscientious lawbreakers</t>
  </si>
  <si>
    <t>How did Hobson argue to rid the world of imperialism?</t>
  </si>
  <si>
    <t>identify, recruit</t>
  </si>
  <si>
    <t>Tower District</t>
  </si>
  <si>
    <t>productivity gap</t>
  </si>
  <si>
    <t>to enable people to pursue their life goals in any country through free movement</t>
  </si>
  <si>
    <t>What percentage of Australia's veal is comes from Victoria?</t>
  </si>
  <si>
    <t>Who represents the Scottish Parliament at home and abroad in an official capacity?</t>
  </si>
  <si>
    <t>What Mongolian system did Kublai's government uncompromise with?</t>
  </si>
  <si>
    <t>What was Berlin the most diverse of in Poland?</t>
  </si>
  <si>
    <t>What city served as Prussia's capital in 1313?</t>
  </si>
  <si>
    <t>demographics and economic ties</t>
  </si>
  <si>
    <t>What did Polo call the Yuan semi-capital?</t>
  </si>
  <si>
    <t>Despite being relatively unaffected by the embargo, the UK nonetheless faced an oil crisis of its own - a series of strikes by coal miners and railroad workers over the winter of 1973–74 became a major factor in the change of government. Heath asked the British to heat only one room in their houses over the winter. The UK, Germany, Italy, Switzerland and Norway banned flying, driving and boating on Sundays. Sweden rationed gasoline and heating oil. The Netherlands imposed prison sentences for those who used more than their ration of electricity.</t>
  </si>
  <si>
    <t>their respective lines of application</t>
  </si>
  <si>
    <t>Is the output of a functional solution typically characterized by a simple or complex answer?</t>
  </si>
  <si>
    <t>What answer denotes that a solution has accepted an input string?</t>
  </si>
  <si>
    <t>Some civil disobedients feel it is incumbent upon them to accept punishment because of their belief in the validity of the social contract, which is held to bind all to obey the laws that a government meeting certain standards of legitimacy has established, or else suffer the penalties set out in the law. Other civil disobedients who favor the existence of government still don't believe in the legitimacy of their particular government, or don't believe in the legitimacy of a particular law it has enacted. And still other civil disobedients, being anarchists, don't believe in the legitimacy of any government, and therefore see no need to accept punishment for a violation of criminal law that does not infringe the rights of others.</t>
  </si>
  <si>
    <t>What do seismologists use to map the Earth's crust?</t>
  </si>
  <si>
    <t>Along with nuclear, geothermal and internal combustion engine waste heat, what sort of energy might supply the heat for a steam engine?</t>
  </si>
  <si>
    <t>many other herbs not listed</t>
  </si>
  <si>
    <t>Who refined Robert Mayow's work?</t>
  </si>
  <si>
    <t>General Pharmaceutical Council (GPhC) register</t>
  </si>
  <si>
    <t>In what year did plague disease spread to Central Asia?</t>
  </si>
  <si>
    <t>What type of graph is an example of an output used in a decision problem?</t>
  </si>
  <si>
    <t>What channel replaced Sky Travel?</t>
  </si>
  <si>
    <t>304,016</t>
  </si>
  <si>
    <t>What happened to other currencies value when the US abandoned oil?</t>
  </si>
  <si>
    <t>What was the name of the first self-sustained man-made nuclear reaction?</t>
  </si>
  <si>
    <t>What banks are usually sparsely populated and lack industrialization?</t>
  </si>
  <si>
    <t>On what railroad was Darlington used?</t>
  </si>
  <si>
    <t>buried lead plates</t>
  </si>
  <si>
    <t>In what century was Eleutherian gunpowder mills founded?</t>
  </si>
  <si>
    <t>What was Norman Cantor's theory about the plague?</t>
  </si>
  <si>
    <t>basic design typical of Eastern bloc countries</t>
  </si>
  <si>
    <t>Centrum</t>
  </si>
  <si>
    <t>While Qutb's ideas became increasingly radical during his imprisonment prior to his execution in 1966, the leadership of the Brotherhood, led by Hasan al-Hudaybi, remained moderate and interested in political negotiation and activism. Fringe or splinter movements inspired by the final writings of Qutb in the mid-1960s (particularly the manifesto Milestones, a.k.a. Ma'alim fi-l-Tariq) did, however, develop and they pursued a more radical direction. By the 1970s, the Brotherhood had renounced violence as a means of achieving its goals.</t>
  </si>
  <si>
    <t>Pauli repulsion</t>
  </si>
  <si>
    <t>What role did Michael Oppenheimer have in the IPCC's reports?</t>
  </si>
  <si>
    <t>Creon, the current King of Thebes, who is trying to stop her from giving her brother Polynices a proper burial</t>
  </si>
  <si>
    <t>The Rhine-Meuse Delta is a tidal delta, shaped not only by the sedimentation of the rivers, but also by tidal currents. This meant that high tide formed a serious risk because strong tidal currents could tear huge areas of land into the sea. Before the construction of the Delta Works, tidal influence was palpable up to Nijmegen, and even today, after the regulatory action of the Delta Works, the tide acts far inland. At the Waal, for example, the most landward tidal influence can be detected between Brakel and Zaltbommel.</t>
  </si>
  <si>
    <t>What do job types and levels of experience show in the results?</t>
  </si>
  <si>
    <t>Who came up with the term Black Death?</t>
  </si>
  <si>
    <t>What was one occupation of the native English?</t>
  </si>
  <si>
    <t>Who made Ralph earl?</t>
  </si>
  <si>
    <t>What revolution was fought in the 1899's?</t>
  </si>
  <si>
    <t>Who named "Bauffet's Point" at Davenports Neck?</t>
  </si>
  <si>
    <t>1688–1692</t>
  </si>
  <si>
    <t>2013 Economics Nobel prize winner Robert J. Shiller said that rising inequality in the United States and elsewhere is the most important problem. Increasing inequality harms economic growth. High and persistent unemployment, in which inequality increases, has a negative effect on subsequent long-run economic growth. Unemployment can harm growth not only because it is a waste of resources, but also because it generates redistributive pressures and subsequent distortions, drives people to poverty, constrains liquidity limiting labor mobility, and erodes self-esteem promoting social dislocation, unrest and conflict. Policies aiming at controlling unemployment and in particular at reducing its inequality-associated effects support economic growth.</t>
  </si>
  <si>
    <t>tectonic subsidence</t>
  </si>
  <si>
    <t>It is expected that the continuous input of sediment into the lake will silt up the lake</t>
  </si>
  <si>
    <t>August 1944</t>
  </si>
  <si>
    <t>How many research institutes does the university run on campus?</t>
  </si>
  <si>
    <t>What describes the proportionality of acceleration to force and mass?</t>
  </si>
  <si>
    <t>What was the first Sacramento station called?</t>
  </si>
  <si>
    <t>At what pressure is nuclear power heated in the Rankine cycle?</t>
  </si>
  <si>
    <t>Warsaw lies in east-central Poland about 300 km (190 mi) from the Carpathian Mountains and about 260 km (160 mi) from the Baltic Sea, 523 km (325 mi) east of Berlin, Germany. The city straddles the Vistula River. It is located in the heartland of the Masovian Plain, and its average elevation is 100 metres (330 ft) above sea level. The highest point on the left side of the city lies at a height of 115.7 metres (379.6 ft) ("Redutowa" bus depot, district of Wola), on the right side – 122.1 metres (400.6 ft) ("Groszówka" estate, district of Wesoła, by the eastern border). The lowest point lies at a height 75.6 metres (248.0 ft) (at the right bank of the Vistula, by the eastern border of Warsaw). There are some hills (mostly artificial) located within the confines of the city – e.g. Warsaw Uprising Hill (121 metres (397.0 ft)), Szczęśliwice hill (138 metres (452.8 ft) – the highest point of Warsaw in general).</t>
  </si>
  <si>
    <t>refuse to sign bail</t>
  </si>
  <si>
    <t>rat population was insufficient to account for a bubonic plague pandemic</t>
  </si>
  <si>
    <t>Who wrote the book titled "Before I Fall" which was a University bestseller?</t>
  </si>
  <si>
    <t>What does high levels of inequality do to growth in rich countries?</t>
  </si>
  <si>
    <t>zeta</t>
  </si>
  <si>
    <t>How many tonnes of potatoes does Victoria produce?</t>
  </si>
  <si>
    <t>2p − 1, where p is an arbitrary prime</t>
  </si>
  <si>
    <t>the mainstream Indian nationalist and secularist Indian National Congress</t>
  </si>
  <si>
    <t>Shia terrorist groups</t>
  </si>
  <si>
    <t>What country did Saudi Arabia invade in 1979?</t>
  </si>
  <si>
    <t>Presiding Officer</t>
  </si>
  <si>
    <t>high cost of medications and drug-related technology</t>
  </si>
  <si>
    <t>4,222,000</t>
  </si>
  <si>
    <t>What does not play a role in the immune response to viruses?</t>
  </si>
  <si>
    <t>of marginal significance</t>
  </si>
  <si>
    <t>What is the newer, more widely accepted theory behind the spread of the plague?</t>
  </si>
  <si>
    <t>. The Electronic Frontier Foundation</t>
  </si>
  <si>
    <t>The Hawaiian Islands are made up almost entirely of what?</t>
  </si>
  <si>
    <t>Edgar Atheling</t>
  </si>
  <si>
    <t>What causes Pauli repulsion?</t>
  </si>
  <si>
    <t>Huguon</t>
  </si>
  <si>
    <t>How have American entrepreneurships been criticized since the crisis?</t>
  </si>
  <si>
    <t>What chemical catalysts can be used in electrocatalytic O2 evolution?</t>
  </si>
  <si>
    <t>Wahhabi/Salafi jihadist extremist militant</t>
  </si>
  <si>
    <t>The historian Frederick W. Mote wrote that the usage of the term "social classes" for this system was misleading and that the position of people within the four-class system was not an indication of their actual social power and wealth, but just entailed "degrees of privilege" to which they were entitled institutionally and legally, so a person's standing within the classes was not a guarantee of their standing, since there were rich and well socially standing Chinese while there were less rich Mongol and Semu than there were Mongol and Semu who lived in poverty and were ill treated.</t>
  </si>
  <si>
    <t>What is the mayor of Warsaw called?</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</si>
  <si>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</si>
  <si>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plain Vistula terraces</t>
  </si>
  <si>
    <t>pump water out of the mesoglea</t>
  </si>
  <si>
    <t>elementary particles</t>
  </si>
  <si>
    <t>Channel Islands</t>
  </si>
  <si>
    <t>Which country's imports became the de facto mass market leaders?</t>
  </si>
  <si>
    <t>What was extent of Celeron's expedition?</t>
  </si>
  <si>
    <t>unsuccessful</t>
  </si>
  <si>
    <t>covert lawbreaking</t>
  </si>
  <si>
    <t>1.3 million</t>
  </si>
  <si>
    <t>What was the unemployment rate as of 2011?</t>
  </si>
  <si>
    <t>What kind of area do the genus Beroe juveniles live in that's different than their parents?</t>
  </si>
  <si>
    <t>By what means is bulk oxygen shipped?</t>
  </si>
  <si>
    <t>In 1066</t>
  </si>
  <si>
    <t>What did Warsz own?</t>
  </si>
  <si>
    <t>Scottish Government.</t>
  </si>
  <si>
    <t>To what can the use of prolonged breathing of oxygen at 60 kPa lead?</t>
  </si>
  <si>
    <t>Where did the headquarters relocate from?</t>
  </si>
  <si>
    <t>How many scientists called to change the IPCC in Feb 2010?</t>
  </si>
  <si>
    <t>NSF installed one of the first in February 1999?</t>
  </si>
  <si>
    <t>What does Kuznets' curve predict about income inequality given time?</t>
  </si>
  <si>
    <t>What areas did French reject natives from?</t>
  </si>
  <si>
    <t>Besides Africa, where did Germany have imperial interests?</t>
  </si>
  <si>
    <t>Along with geothermal and nuclear, what is a notable non-combustion heat source?</t>
  </si>
  <si>
    <t>Historical and Critical Dictionary</t>
  </si>
  <si>
    <t>Where was the Roman Catholic Priest Guyard de Moulin from?</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</si>
  <si>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</si>
  <si>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What is one thing that market segments publish?</t>
  </si>
  <si>
    <t>What is consultant pharmacy mainly concerned with?</t>
  </si>
  <si>
    <t>The plan that the delegates agreed to was never ratified</t>
  </si>
  <si>
    <t>What is packet switching?</t>
  </si>
  <si>
    <t>What land wasn't ceded to Spain?</t>
  </si>
  <si>
    <t>labor inputs (workers)</t>
  </si>
  <si>
    <t>What kind of press coverage is there when defendants plead not guilty?</t>
  </si>
  <si>
    <t>April through October, 6am to 10pm and November through March, 6am to 7pm</t>
  </si>
  <si>
    <t>What does the Riemann hypothesis state the source of irregularity in the distribution of math zeroes from?</t>
  </si>
  <si>
    <t>How wide is the second east-west shipping route?</t>
  </si>
  <si>
    <t>AD 14</t>
  </si>
  <si>
    <t>What applies to equally to constant velocity motion as it does to rest.</t>
  </si>
  <si>
    <t>What was the Song dynasty's capital?</t>
  </si>
  <si>
    <t>51.6%</t>
  </si>
  <si>
    <t>entire length of the lake</t>
  </si>
  <si>
    <t>What do government schools have to do to be able to teach English?</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</si>
  <si>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</si>
  <si>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January 1979</t>
  </si>
  <si>
    <t>By whom is European Law applied by?</t>
  </si>
  <si>
    <t>At what time is the Harvard-Yale rivalry set aside?</t>
  </si>
  <si>
    <t>comb jelly.</t>
  </si>
  <si>
    <t>What must the integer m be greater than or equal to when performing trial division?</t>
  </si>
  <si>
    <t>Which tribes did Genghis Khan unite?</t>
  </si>
  <si>
    <t>What hormones are independent from the immune system?</t>
  </si>
  <si>
    <t>20</t>
  </si>
  <si>
    <t>That there currently exists no known integer factorization problem underpins what commonly used system?</t>
  </si>
  <si>
    <t>Normans came into Scotland, building castles and founding noble families who would provide some future kings, such as Robert the Bruce, as well as founding a considerable number of the Scottish clans. King David I of Scotland, whose elder brother Alexander I had married Sybilla of Normandy, was instrumental in introducing Normans and Norman culture to Scotland, part of the process some scholars call the "Davidian Revolution". Having spent time at the court of Henry I of England (married to David's sister Maud of Scotland), and needing them to wrestle the kingdom from his half-brother Máel Coluim mac Alaxandair, David had to reward many with lands. The process was continued under David's successors, most intensely of all under William the Lion. The Norman-derived feudal system was applied in varying degrees to most of Scotland. Scottish families of the names Bruce, Gray, Ramsay, Fraser, Ogilvie, Montgomery, Sinclair, Pollock, Burnard, Douglas and Gordon to name but a few, and including the later royal House of Stewart, can all be traced back to Norman ancestry.</t>
  </si>
  <si>
    <t>pathogen</t>
  </si>
  <si>
    <t>NP complete problems contain the lowest likelihood of being located in what problem class?</t>
  </si>
  <si>
    <t>natural specificity</t>
  </si>
  <si>
    <t>"cellular" and "humoral"</t>
  </si>
  <si>
    <t>prevent cut throat competition</t>
  </si>
  <si>
    <t xml:space="preserve">What came after this oil crisis? </t>
  </si>
  <si>
    <t>The adaptive immune system must distinguish between what types of molecules?</t>
  </si>
  <si>
    <t xml:space="preserve">Xenoliths are picked up by what and deposited into the matrix of igneous rocks? </t>
  </si>
  <si>
    <t>What was the Italian title of Polo's book?</t>
  </si>
  <si>
    <t>had promised</t>
  </si>
  <si>
    <t>would do more harm than good</t>
  </si>
  <si>
    <t>at the Cape of Good Hope</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</si>
  <si>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</si>
  <si>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What river is considered to be not so clean nowadays?</t>
  </si>
  <si>
    <t>Ofcom</t>
  </si>
  <si>
    <t>What is the maximum distance between a patient's home and the nearest pharmacy that allows a physician to give out medication?</t>
  </si>
  <si>
    <t>When were plans for the Harris Friedman Institute announced?</t>
  </si>
  <si>
    <t>How long did Julia Butterfly Hill live in a tree?</t>
  </si>
  <si>
    <t xml:space="preserve"> When did Hamas keep the PLO in Gaza?</t>
  </si>
  <si>
    <t>Charles Richard</t>
  </si>
  <si>
    <t>What did salmon used to be regarded as in marine food chains?</t>
  </si>
  <si>
    <t>In the fall quarter of 2014, the University of Chicago enrolled 5,792 students in the College, 3,468 students in its four graduate divisions, 5,984 students in its professional schools, and 15,244 students overall. In the 2012 Spring Quarter, international students comprised almost 19% of the overall study body, over 26% of students were domestic ethnic minorities, and about 44% of enrolled students were female. Admissions to the University of Chicago is highly selective. The middle 50% band of SAT scores for the undergraduate class of 2015, excluding the writing section, was 1420–1530, the average MCAT score for entering students in the Pritzker School of Medicine in 2011 was 36, and the median LSAT score for entering students in the Law School in 2011 was 171. In 2015, the College of the University of Chicago had an acceptance rate of 7.8% for the Class of 2019, the lowest in the college's history.</t>
  </si>
  <si>
    <t>thought of themselves as better</t>
  </si>
  <si>
    <t>an artifact</t>
  </si>
  <si>
    <t>What weren't the casualties of battle?</t>
  </si>
  <si>
    <t>Who was the first American to travel to Amazon River</t>
  </si>
  <si>
    <t>After the 1940s, the Gothic style on campus began to give way to modern styles. In 1955, Eero Saarinen was contracted to develop a second master plan, which led to the construction of buildings both north and south of the Midway, including the Laird Bell Law Quadrangle (a complex designed by Saarinen); a series of arts buildings; a building designed by Ludwig Mies van der Rohe for the university's School of Social Service Administration;, a building which is to become the home of the Harris School of Public Policy Studies by Edward Durrell Stone, and the Regenstein Library, the largest building on campus, a brutalist structure designed by Walter Netsch of the Chicago firm Skidmore, Owings &amp; Merrill. Another master plan, designed in 1999 and updated in 2004, produced the Gerald Ratner Athletics Center (2003), the Max Palevsky Residential Commons (2001), South Campus Residence Hall and dining commons (2009), a new children's hospital, and other construction, expansions, and restorations. In 2011, the university completed the glass dome-shaped Joe and Rika Mansueto Library, which provides a grand reading room for the university library and prevents the need for an off-campus book depository.</t>
  </si>
  <si>
    <t>Name the British economist, theorist and philosopher who is also an author and alumni?</t>
  </si>
  <si>
    <t>What idea by Charles Lyell was widely accepted at the time of publication?</t>
  </si>
  <si>
    <t>When was the FSO Car Factory founded?</t>
  </si>
  <si>
    <t>What is the name of the movement that seeks renewed use of combustion power in the modern era?</t>
  </si>
  <si>
    <t>How wide is the Moselle?</t>
  </si>
  <si>
    <t>Prime</t>
  </si>
  <si>
    <t>hopes for campaigns on Lake Ontario, and endangered the Oswego garrison</t>
  </si>
  <si>
    <t>requested by governments</t>
  </si>
  <si>
    <t>Northern Europe and the Mid-Atlantic</t>
  </si>
  <si>
    <t>Who is the UK's smallest digital subscription television company?</t>
  </si>
  <si>
    <t>What type of garden does Roeding Park have?</t>
  </si>
  <si>
    <t>What is the name brand of the personal video recorder that BSkyB offers?</t>
  </si>
  <si>
    <t>Where did the first Huguenot colonists settle?</t>
  </si>
  <si>
    <t>between AD 0–1250</t>
  </si>
  <si>
    <t>abstract</t>
  </si>
  <si>
    <t>How much lower did researchers suggest sea levels would be in 2100 as compared to 1990?</t>
  </si>
  <si>
    <t>What are sedimentary layers used to investigate?</t>
  </si>
  <si>
    <t>Gasquet</t>
  </si>
  <si>
    <t>In what year did Harvard and Radcliffe admissions merge?</t>
  </si>
  <si>
    <t>Prime_number</t>
  </si>
  <si>
    <t>What nationality was Louis XIII originally?</t>
  </si>
  <si>
    <t>What would be a Kuwaiti response to US actions be?</t>
  </si>
  <si>
    <t>What is not effected by natural light and dark cycles?</t>
  </si>
  <si>
    <t xml:space="preserve"> Western Imperialism united the globe according to which theory?</t>
  </si>
  <si>
    <t>Channel 4 HD</t>
  </si>
  <si>
    <t>The 1989 Scottish Constitutional Convention provided very little basis for the structure of what?</t>
  </si>
  <si>
    <t>Dolby Digital</t>
  </si>
  <si>
    <t>international recognition</t>
  </si>
  <si>
    <t>How many horsepower was Watt's engine?</t>
  </si>
  <si>
    <t>the vehicle and everything inside of it is at rest:</t>
  </si>
  <si>
    <t>What did the benefits agency think sports channels on a TV bill meant?</t>
  </si>
  <si>
    <t>Warsaw's first stock exchange was established in 1817 and continued trading until World War II. It was re-established in April 1991, following the end of the post-war communist control of the country and the reintroduction of a free-market economy. Today, the Warsaw Stock Exchange (WSE) is, according to many indicators, the largest market in the region, with 374 companies listed and total capitalization of 162 584 mln EUR as of 31 August 2009. From 1991 until 2000, the stock exchange was, ironically, located in the building previously used as the headquarters of the Polish United Workers' Party (PZPR).</t>
  </si>
  <si>
    <t>What city has a population of 1.7 million people?</t>
  </si>
  <si>
    <t>most isolated areas</t>
  </si>
  <si>
    <t>MSPs</t>
  </si>
  <si>
    <t>Newtonian equations.</t>
  </si>
  <si>
    <t>What hasn't given the American economy a tendency to go "from bubble to bubble"?</t>
  </si>
  <si>
    <t>Creon</t>
  </si>
  <si>
    <t>A vertical force pointing northeast can be split into how many forces?</t>
  </si>
  <si>
    <t>Formal imperialism</t>
  </si>
  <si>
    <t>What denomination is the Diocesan School for Girls in Auckland affiliated with?</t>
  </si>
  <si>
    <t xml:space="preserve"> When did Mongke Khan kill Great Khan?</t>
  </si>
  <si>
    <t>There are 13 natural reserves in Warsaw – among others, Bielany Forest, Kabaty Woods, Czerniaków Lake. About 15 kilometres (9 miles) from Warsaw, the Vistula river's environment changes strikingly and features a perfectly preserved ecosystem, with a habitat of animals that includes the otter, beaver and hundreds of bird species. There are also several lakes in Warsaw – mainly the oxbow lakes, like Czerniaków Lake, the lakes in the Łazienki or Wilanów Parks, Kamionek Lake. There are lot of small lakes in the parks, but only a few are permanent – the majority are emptied before winter to clean them of plants and sediments.</t>
  </si>
  <si>
    <t>Where, along with toys, are oscillating cylinder port faces typically used?</t>
  </si>
  <si>
    <t>48.8 °C</t>
  </si>
  <si>
    <t>What did Thoreau ask a public figure the taxman to do?</t>
  </si>
  <si>
    <t>detailed treatment with statistical mechanics</t>
  </si>
  <si>
    <t>adjustable spring-loaded valve</t>
  </si>
  <si>
    <t>lack of net force</t>
  </si>
  <si>
    <t>What Fields Medal winning Mathematician is a faculty member at Harvard?</t>
  </si>
  <si>
    <t>rational and progressive</t>
  </si>
  <si>
    <t>What does not induce a proper hierarchy on the classes defined by constraining the respective resources?</t>
  </si>
  <si>
    <t>When did the series of strikes happen?</t>
  </si>
  <si>
    <t>What was the experiment that tested early life on Mars called?</t>
  </si>
  <si>
    <t>mid-Eocene</t>
  </si>
  <si>
    <t>What kinds of growth did Kublai encourage?</t>
  </si>
  <si>
    <t>What device is a dry cooling tower similar to?</t>
  </si>
  <si>
    <t>When was oil priced based on pound sterling?</t>
  </si>
  <si>
    <t xml:space="preserve">What South African Vice Consul did Harvard students blockade the speech of? </t>
  </si>
  <si>
    <t>What does a pathogen do when it encounters a T-cell?</t>
  </si>
  <si>
    <t>In what year was the Kalven Report issued?</t>
  </si>
  <si>
    <t>What is another word for long, planar igneous intrusions?</t>
  </si>
  <si>
    <t>What company has veto over the presence of channels on their EPG?</t>
  </si>
  <si>
    <t>How much of the Noord River flows into the North Sea?</t>
  </si>
  <si>
    <t>(1036.20 km)</t>
  </si>
  <si>
    <t>What does someone diagnosed as a maniac need to decide  when dealing with police?</t>
  </si>
  <si>
    <t>OPEC did what to the prices of oil on October 16th?</t>
  </si>
  <si>
    <t>Telnet Used what  Interface technology</t>
  </si>
  <si>
    <t>Forces that act on one part of an object do not act on what?</t>
  </si>
  <si>
    <t>By the late 19th century, which country had the largest empire ever to exist in the world?</t>
  </si>
  <si>
    <t>often damaging</t>
  </si>
  <si>
    <t>What is St. John's Castle the most interesting example of?</t>
  </si>
  <si>
    <t>How do cestids swim?</t>
  </si>
  <si>
    <t>1560</t>
  </si>
  <si>
    <t>Where is Bielany Forest located?</t>
  </si>
  <si>
    <t>WHat is the name of the FMCG agency for external border security?</t>
  </si>
  <si>
    <t>What theatre was the best example of Leon monumental theatre"?</t>
  </si>
  <si>
    <t>Norway</t>
  </si>
  <si>
    <t xml:space="preserve">DEC originally had 3 layers but evolved into how many layers </t>
  </si>
  <si>
    <t>Why did Hutchins eliminate hospitals from the university?</t>
  </si>
  <si>
    <t>the first major work to challenge the bubonic plague theory directly</t>
  </si>
  <si>
    <t xml:space="preserve"> Who described Kublai's China to Asia?</t>
  </si>
  <si>
    <t>The time required to output an answer on a deterministic Turing machine is expressed as what?</t>
  </si>
  <si>
    <t>62</t>
  </si>
  <si>
    <t>What does the steam generated by a nuclear power plant drive?</t>
  </si>
  <si>
    <t>What year is the oldest pharmacy said to have been lost?</t>
  </si>
  <si>
    <t>Lord Loudoun</t>
  </si>
  <si>
    <t>azote</t>
  </si>
  <si>
    <t>Pathogen-associated molecular patterns</t>
  </si>
  <si>
    <t>What is the highest range a student would pay when boarding  in a Scottish school?</t>
  </si>
  <si>
    <t>What is the name of the shortest suspension bridge in Germany?</t>
  </si>
  <si>
    <t>Immune_system</t>
  </si>
  <si>
    <t>When did the Ottoman Empire fall?</t>
  </si>
  <si>
    <t>FeO</t>
  </si>
  <si>
    <t>Which country did Rewe-Zentrale AG wish to import from?</t>
  </si>
  <si>
    <t>Velamen parallelum</t>
  </si>
  <si>
    <t>Even in large firms, architects, interior designers, engineers, developers, construction managers, and general contractors were more likely to be what?</t>
  </si>
  <si>
    <t>What was result of French attack of trading centre?</t>
  </si>
  <si>
    <t>What are other complexity measures not used in complexity theory?</t>
  </si>
  <si>
    <t>nerves rather than by water disturbances created by the cilia</t>
  </si>
  <si>
    <t>Cells of the site of an infection in a plant undergo what process to prevent spread of the disease?</t>
  </si>
  <si>
    <t>What Book of the Bible is knowledge of the law traced back to?</t>
  </si>
  <si>
    <t>352 votes</t>
  </si>
  <si>
    <t>Who was the Karluk Kara-Khanid ruler ranked above?</t>
  </si>
  <si>
    <t>also known in English as Amazonia or the Amazon Jungle,</t>
  </si>
  <si>
    <t>What is the slowest growing area in the pharmaceutical industry?</t>
  </si>
  <si>
    <t>Who used the church to unify themselves?</t>
  </si>
  <si>
    <t>Roman Catholic</t>
  </si>
  <si>
    <t>flax cultivation</t>
  </si>
  <si>
    <t>Niels Jerne</t>
  </si>
  <si>
    <t>What percent of untreated victims of the plague die within 8 days?</t>
  </si>
  <si>
    <t xml:space="preserve">WHat were features of Apple Talk </t>
  </si>
  <si>
    <t>history of arms</t>
  </si>
  <si>
    <t>12th century</t>
  </si>
  <si>
    <t>What does heat prevent from changing in the crystallization process?</t>
  </si>
  <si>
    <t>How many cities in southern California have over 200,000 residents?</t>
  </si>
  <si>
    <t>How much gold did Victoria produce in 1860?</t>
  </si>
  <si>
    <t>Other than the San Jacinto Fault, and the Elsinore Fault, name one other fault.</t>
  </si>
  <si>
    <t>yes</t>
  </si>
  <si>
    <t>value added</t>
  </si>
  <si>
    <t>What kind of rail system is Metro Trains Melbourne?</t>
  </si>
  <si>
    <t>After which decade did modern styles give way to Gothic styles on campus?</t>
  </si>
  <si>
    <t>1206</t>
  </si>
  <si>
    <t>What does less education lead to when working?</t>
  </si>
  <si>
    <t>Israel</t>
  </si>
  <si>
    <t xml:space="preserve">What is Circuit Switching? </t>
  </si>
  <si>
    <t>What is the name of the movement that seeks renewed use of steam power in the modern era?</t>
  </si>
  <si>
    <t>eggs and sperm mature at different times</t>
  </si>
  <si>
    <t xml:space="preserve"> How many Protestants are there in the Cevennes mountain region?</t>
  </si>
  <si>
    <t>Where was Francis Heisler taken after the protest?</t>
  </si>
  <si>
    <t>construction of highways</t>
  </si>
  <si>
    <t>High altitude as well as what contributes to Jacksonville's lack of cold-weather question work</t>
  </si>
  <si>
    <t>Why do the island archipelagos comprise a smaller number of electors?</t>
  </si>
  <si>
    <t>The frequent availability of what substance allowed land-based steam engines to exhaust a great deal of steam?</t>
  </si>
  <si>
    <t>When was the Peel Boundary Fault discovered?</t>
  </si>
  <si>
    <t>What kind of rock samples are analyzed by an electron microprobe?</t>
  </si>
  <si>
    <t>What do tumors express that are also found on normal cells?</t>
  </si>
  <si>
    <t>Treaty on European Union (TEU) and the Treaty on the Functioning of the European Union (TFEU)</t>
  </si>
  <si>
    <t>The magnitude of the resultant varies from the similarities of what?</t>
  </si>
  <si>
    <t xml:space="preserve"> Who was the first democratically elected president outside of Egypt?</t>
  </si>
  <si>
    <t>What function is used by algorithms to define measurements like time or space?</t>
  </si>
  <si>
    <t>What did Paul Baran develop in the late 1950's</t>
  </si>
  <si>
    <t>Old Rhine Bridge</t>
  </si>
  <si>
    <t>When was the Royal University of Warsaw established?</t>
  </si>
  <si>
    <t>community-based</t>
  </si>
  <si>
    <t>cytotoxic natural killer cells and CTLs</t>
  </si>
  <si>
    <t>How many miles across the Atlantic Ocean does Saharan dust travel?</t>
  </si>
  <si>
    <t>How did the Yuan come to have the 4 schools of medicine?</t>
  </si>
  <si>
    <t>How many factors of health and social problems did Wilkinson and PIckett identify?</t>
  </si>
  <si>
    <t>How many inhabitants did Betty Meggers believe could occupy each square kilometre of the Amazon?</t>
  </si>
  <si>
    <t>algorithms have been written that solve the problem in reasonable times in most cases</t>
  </si>
  <si>
    <t>receptors</t>
  </si>
  <si>
    <t>solve any problem in C</t>
  </si>
  <si>
    <t>In what districts are the registration numbers for boats all of the same type?</t>
  </si>
  <si>
    <t>How long was Warsaw the capital of the Polish-Lithuanian Commonwealth?</t>
  </si>
  <si>
    <t>Indirect civil disobedience</t>
  </si>
  <si>
    <t>0.2 inhabitants per square kilometre</t>
  </si>
  <si>
    <t>What makes the tentilla of euplokamis different from other cysippids?</t>
  </si>
  <si>
    <t>427,652</t>
  </si>
  <si>
    <t>the late 1960s</t>
  </si>
  <si>
    <t>Taihō Code (701) and re-stated in the Yōrō Code</t>
  </si>
  <si>
    <t>Who captured Port Beausejour?</t>
  </si>
  <si>
    <t>What meetings are closed to the public?</t>
  </si>
  <si>
    <t>sorcery</t>
  </si>
  <si>
    <t>Who refused to act until Washington approved plans?</t>
  </si>
  <si>
    <t>What does increased oxygen concentrations in the patient's lungs displace?</t>
  </si>
  <si>
    <t>shipping</t>
  </si>
  <si>
    <t>What was a similar view about the Asian continent called?</t>
  </si>
  <si>
    <t>What mineral is written as Fe1 - oX?</t>
  </si>
  <si>
    <t>A static equilibrium between three sources is a way of doing what?</t>
  </si>
  <si>
    <t>Boston metropolitan area</t>
  </si>
  <si>
    <t>China</t>
  </si>
  <si>
    <t>Marshall Cohen</t>
  </si>
  <si>
    <t>probabilistic</t>
  </si>
  <si>
    <t>What did Thoreau believe about talking to police officers?</t>
  </si>
  <si>
    <t>the qu</t>
  </si>
  <si>
    <t>When was the Rhine measurement corrected back to the original?</t>
  </si>
  <si>
    <t>a single MHC:antigen molecule</t>
  </si>
  <si>
    <t>a citizen may rely on the Directive in such an action (so called "vertical" direct effect)</t>
  </si>
  <si>
    <t xml:space="preserve"> What did Mongols refuse to worship?</t>
  </si>
  <si>
    <t>Access can be via a dial-up terminal to a PAD, or, by linking a permanent X.25 node to the network</t>
  </si>
  <si>
    <t>100–150 species</t>
  </si>
  <si>
    <t>What was the goal of this Roman disobedience?</t>
  </si>
  <si>
    <t>Saffir-Simpson</t>
  </si>
  <si>
    <t>What type of protest falls under civil disobedience without aggression?</t>
  </si>
  <si>
    <t xml:space="preserve"> How many provinces did the Ottoman empire not contain in the 17th century?</t>
  </si>
  <si>
    <t>removed in a condenser</t>
  </si>
  <si>
    <t>What can result in creating a poverty trap?</t>
  </si>
  <si>
    <t>What are taken from the laboratory into the field?</t>
  </si>
  <si>
    <t>The University of Chicago Library system encompasses six libraries that contain a total of 9.8 million volumes, the 11th most among library systems in the United States. The university's main library is the Regenstein Library, which contains one of the largest collections of print volumes in the United States. The Joe and Rika Mansueto Library, built in 2011, houses a large study space and an automatic book storage and retrieval system. The John Crerar Library contains more than 1.3 million volumes in the biological, medical and physical sciences and collections in general science and the philosophy and history of science, medicine, and technology. The university also operates a number of special libraries, including the D'Angelo Law Library, the Social Service Administration Library, and the Eckhart Library for mathematics and computer science, which closed temporarily for renovation on July 8, 2013. Harper Memorial Library no longer contains any volumes; however it is, in addition to the Regenstein Library, a 24-hour study space on campus.</t>
  </si>
  <si>
    <t>extinction of the dinosaurs</t>
  </si>
  <si>
    <t>2</t>
  </si>
  <si>
    <t>Which country is not badly hit by the embargo?</t>
  </si>
  <si>
    <t>necessity defense</t>
  </si>
  <si>
    <t>The British Empire</t>
  </si>
  <si>
    <t>participant in the IPCC and coordinating lead author of the Fifth Assessment Report</t>
  </si>
  <si>
    <t>When did Western forces invade Iraq?</t>
  </si>
  <si>
    <t>Where can complexity classes RPP, BPP, PPP, BQP, MA, and PH be located?</t>
  </si>
  <si>
    <t>a lot of waste</t>
  </si>
  <si>
    <t>What does pumping water into the mesoglea do?</t>
  </si>
  <si>
    <t>What time frame does the Six Years War cover?</t>
  </si>
  <si>
    <t>How many students did the University enroll in its five graduate divisions in 2014?</t>
  </si>
  <si>
    <t>What type of clerk sits behind the Presiding Officer?</t>
  </si>
  <si>
    <t>What type of number generators make use of prime numbers?</t>
  </si>
  <si>
    <t>all health care settings</t>
  </si>
  <si>
    <t>As of 1970, how many private schools were in New Zealand?</t>
  </si>
  <si>
    <t>steam</t>
  </si>
  <si>
    <t>high-speed interconnection</t>
  </si>
  <si>
    <t>What does catastrophism believe is still occurring today?</t>
  </si>
  <si>
    <t>Who helped designed the Main Quadrangles?</t>
  </si>
  <si>
    <t>deforestation and ecocide</t>
  </si>
  <si>
    <t>What is Cnidaria sometimes categorized as instead of Ctenophora?</t>
  </si>
  <si>
    <t>three epicenters</t>
  </si>
  <si>
    <t>the metric slug</t>
  </si>
  <si>
    <t>90</t>
  </si>
  <si>
    <t>"citizenship"</t>
  </si>
  <si>
    <t>electric motors</t>
  </si>
  <si>
    <t>Pedro Menéndez de Avilés</t>
  </si>
  <si>
    <t>Lavoisier</t>
  </si>
  <si>
    <t xml:space="preserve">What comedian is also a university graduate? </t>
  </si>
  <si>
    <t>Who refused to act until Loudoun disapproved plans?</t>
  </si>
  <si>
    <t>the Red Turban Rebellion</t>
  </si>
  <si>
    <t>increasingly expected to be compensated for their patient care skills</t>
  </si>
  <si>
    <t>The point at which different radiometric isotopes stop diffusing into and out of the crystal lattice is called what?</t>
  </si>
  <si>
    <t>the Main Quadrangles</t>
  </si>
  <si>
    <t>hormones</t>
  </si>
  <si>
    <t xml:space="preserve">What values are negotiable? </t>
  </si>
  <si>
    <t>the Seljuk Turks</t>
  </si>
  <si>
    <t>in the condenser</t>
  </si>
  <si>
    <t>another customer might overhear about the drugs that they take</t>
  </si>
  <si>
    <t>David Suzuki,</t>
  </si>
  <si>
    <t>this multiplier</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</si>
  <si>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</si>
  <si>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When was ambulatory care pharmacy rejected as its own certification?</t>
  </si>
  <si>
    <t>What nation did the most Huguenots flee to from France?</t>
  </si>
  <si>
    <t>When were most of the places of religious worship destroyed in Warsaw?</t>
  </si>
  <si>
    <t>1892</t>
  </si>
  <si>
    <t>3,60</t>
  </si>
  <si>
    <t>factories</t>
  </si>
  <si>
    <t>When was the confederation of the Rhine?</t>
  </si>
  <si>
    <t>ignored the warning</t>
  </si>
  <si>
    <t>300</t>
  </si>
  <si>
    <t>Francis Aidan Gasquet</t>
  </si>
  <si>
    <t>L</t>
  </si>
  <si>
    <t>What dilemma is a good example of perjury?</t>
  </si>
  <si>
    <t>Who expounded the Three Laws of Motion?</t>
  </si>
  <si>
    <t>drug choice, dose, route, frequency, and duration of therapy</t>
  </si>
  <si>
    <t>flax</t>
  </si>
  <si>
    <t>What is the rarest cause of poor immune function in developing countries?</t>
  </si>
  <si>
    <t>How many of Jacksonville city's residents are older than eighteen?</t>
  </si>
  <si>
    <t>What has often been studied in unicellular eukaryotes?</t>
  </si>
  <si>
    <t>What is often misunderstood as the cause of matter rigidity?</t>
  </si>
  <si>
    <t>What determines whether the tentacles are on the balancers or not?</t>
  </si>
  <si>
    <t>California State Automobile Association</t>
  </si>
  <si>
    <t>that a delay costs money, and in cases of bottlenecks, the delay can be extremely expensive</t>
  </si>
  <si>
    <t>201,000,000 sq mi of rainforest cover what?</t>
  </si>
  <si>
    <t>Water on the west side flowed below the basin and towards which ocean?</t>
  </si>
  <si>
    <t>historical era</t>
  </si>
  <si>
    <t>The tentacles of cydippid ctenophores are typically fringed with tentilla ("little tentacles"), although a few genera have simple tentacles without these sidebranches. The tentacles and tentilla are densely covered with microscopic colloblasts that capture prey by sticking to it. Colloblasts are specialized mushroom-shaped cells in the outer layer of the epidermis, and have three main components: a domed head with vesicles (chambers) that contain adhesive; a stalk that anchors the cell in the lower layer of the epidermis or in the mesoglea; and a spiral thread that coils round the stalk and is attached to the head and to the root of the stalk. The function of the spiral thread is uncertain, but it may absorb stress when prey tries to escape, and thus prevent the collobast from being torn apart. In addition to colloblasts, members of the genus Haeckelia, which feed mainly on jellyfish, incorporate their victims' stinging nematocytes into their own tentacles – some cnidaria-eating nudibranchs similarly incorporate nematocytes into their bodies for defense. The tentilla of Euplokamis differ significantly from those of other cydippids: they contain striated muscle, a cell type otherwise unknown in the phylum Ctenophora; and they are coiled when relaxed, while the tentilla of all other known ctenophores elongate when relaxed. Euplokamis' tentilla have three types of movement that are used in capturing prey: they may flick out very quickly (in 40 to 60 milliseconds); they can wriggle, which may lure prey by behaving like small planktonic worms; and they coil round prey. The unique flicking is an uncoiling movement powered by contraction of the striated muscle. The wriggling motion is produced by smooth muscles, but of a highly specialized type. Coiling around prey is accomplished largely by the return of the tentilla to their inactive state, but the coils may be tightened by smooth muscle.</t>
  </si>
  <si>
    <t>When did the Frankish identity emerge?</t>
  </si>
  <si>
    <t>Brownlee argues that sometimes people behave in what way to have their issue heard?</t>
  </si>
  <si>
    <t>1910 to 1940</t>
  </si>
  <si>
    <t xml:space="preserve"> Who was Ogedei's husband?</t>
  </si>
  <si>
    <t>graduate and undergraduate students</t>
  </si>
  <si>
    <t>mucus</t>
  </si>
  <si>
    <t>constitutional impasse</t>
  </si>
  <si>
    <t xml:space="preserve">What part do events in Victoria's economy  play? </t>
  </si>
  <si>
    <t>Northern</t>
  </si>
  <si>
    <t>What part of the Rhine flows through North Rhine-Westphalia?</t>
  </si>
  <si>
    <t>What century did the French adopt the Germanic vocalism Rin-?</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</si>
  <si>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</si>
  <si>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dendritic cells</t>
  </si>
  <si>
    <t>Many of whose key figures returned to parliament?</t>
  </si>
  <si>
    <t>32,463</t>
  </si>
  <si>
    <t>In what year did the Protestant Reformation arrive in France?</t>
  </si>
  <si>
    <t>Who was Iqbal a critic of?</t>
  </si>
  <si>
    <t>At the time, countries such as Spain didn't have a crime against what?</t>
  </si>
  <si>
    <t>ITV Digital</t>
  </si>
  <si>
    <t xml:space="preserve"> Which area of China did Japan conquer in 1935?</t>
  </si>
  <si>
    <t>Who first proved Bertrands prime?</t>
  </si>
  <si>
    <t>What is the name of the famous rock that the Rhine flows into?</t>
  </si>
  <si>
    <t>How many people died of the plague in Ottoman society in the 19th century?</t>
  </si>
  <si>
    <t>What does cytokine TGF-β encourage the activity of?</t>
  </si>
  <si>
    <t>Mohamed Morsi</t>
  </si>
  <si>
    <t>Along with road vehicles, locomotives and ships, on what vehicles were steam engines used during cultivation?</t>
  </si>
  <si>
    <t>What was the purpose of CSNET</t>
  </si>
  <si>
    <t>declare martial law and sent the state militia to maintain order</t>
  </si>
  <si>
    <t>Charles W. Eliot</t>
  </si>
  <si>
    <t>How much did the IPCC Third Assessment Report say sea levels will rise from 1990 to 2100?</t>
  </si>
  <si>
    <t>When did the UK formally subscribe to the Agreement on Social Policy?</t>
  </si>
  <si>
    <t>marginally more than normal</t>
  </si>
  <si>
    <t>microorganisms</t>
  </si>
  <si>
    <t>The Rhine is the longest river in Germany. It is here that the Rhine encounters some more of its main tributaries, such as the Neckar, the Main and, later, the Moselle, which contributes an average discharge of more than 300 m3/s (11,000 cu ft/s). Northeastern France drains to the Rhine via the Moselle; smaller rivers drain the Vosges and Jura Mountains uplands. Most of Luxembourg and a very small part of Belgium also drain to the Rhine via the Moselle. As it approaches the Dutch border, the Rhine has an annual mean discharge of 2,290 m3/s (81,000 cu ft/s) and an average width of 400 m (1,300 ft).</t>
  </si>
  <si>
    <t>Continual motion along the fault</t>
  </si>
  <si>
    <t>What is the magnitude of force divided by when external force is added?</t>
  </si>
  <si>
    <t>Who owns the California High Speed Rail?</t>
  </si>
  <si>
    <t>For a long time it was believed that what was heavily populated?</t>
  </si>
  <si>
    <t>an attempt to emphasize academics over athletics</t>
  </si>
  <si>
    <t>Who came up with the theory of relativity?</t>
  </si>
  <si>
    <t>What defined the differences between the ARPANET and SITA HLN and X.25?</t>
  </si>
  <si>
    <t>what computers can and cannot do</t>
  </si>
  <si>
    <t>"Bold New City of the South"</t>
  </si>
  <si>
    <t>killer cell immunoglobulin receptors (KIR)</t>
  </si>
  <si>
    <t>Which basin does the dust falls over into?</t>
  </si>
  <si>
    <t>What century did the name of the Rhine come from?</t>
  </si>
  <si>
    <t>Who wrote "The Hidden Prosperity of the Poor"?</t>
  </si>
  <si>
    <t>glass case</t>
  </si>
  <si>
    <t>"Old Briton" ignored the warning</t>
  </si>
  <si>
    <t>What have the Treaties sought to enable since its foundation?</t>
  </si>
  <si>
    <t>lung</t>
  </si>
  <si>
    <t>Who produces a list of requirements for a project, giving an overall view of the project's goals?</t>
  </si>
  <si>
    <t>Where was the measurment for the standard gravity on Earth taken?</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</si>
  <si>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blood–brain barrier, blood–cerebrospinal fluid barrier, and similar fluid–brain barriers separate the peripheral immune system from the neuroimmune system which protects the brain.</t>
  </si>
  <si>
    <t>How did the 2001 IPCC report compare to reality on temperature levels?</t>
  </si>
  <si>
    <t>What organization built homes in the neighborhood in the 1930s?</t>
  </si>
  <si>
    <t>Which study suggests that previous estimates were overstated?</t>
  </si>
  <si>
    <t>What was the USSR and the US more worried about?</t>
  </si>
  <si>
    <t>What has caused Oxfam's findings to be questioned?</t>
  </si>
  <si>
    <t>Maududi believed that Islam needed what to be established?</t>
  </si>
  <si>
    <t>Scientists disagree with how the Amazon rainforest changed over time with some arguing that it was reduced to isolated refugia seperated by what?</t>
  </si>
  <si>
    <t>the City of Edinburgh Council</t>
  </si>
  <si>
    <t>a University of North Florida team</t>
  </si>
  <si>
    <t>Deabolis</t>
  </si>
  <si>
    <t>What type of steam engines produced most power up to the early 20th century?</t>
  </si>
  <si>
    <t>King of England</t>
  </si>
  <si>
    <t>toward the center of the curving path</t>
  </si>
  <si>
    <t>How many bits are often in the primes used for RSA private key cryptography algorithms?</t>
  </si>
  <si>
    <t>In which case did the Court state that Austria was not allowed to hold places in Austrian schools exclusively for Austrian students?</t>
  </si>
  <si>
    <t>300 men</t>
  </si>
  <si>
    <t>Pattern recognition receptors</t>
  </si>
  <si>
    <t>What does  a list of top 250 transportation markets published show?</t>
  </si>
  <si>
    <t xml:space="preserve">What completed the triad </t>
  </si>
  <si>
    <t>Arthur H. Compton</t>
  </si>
  <si>
    <t>a setup phase in each involved node</t>
  </si>
  <si>
    <t>kilogram-force</t>
  </si>
  <si>
    <t>7</t>
  </si>
  <si>
    <t xml:space="preserve"> What was the civil war against Ragibagh never called?</t>
  </si>
  <si>
    <t>other parts of an object</t>
  </si>
  <si>
    <t>How many students were enrolled in public schools in Victoria?</t>
  </si>
  <si>
    <t>occupancy permit</t>
  </si>
  <si>
    <t>How wide is the Rhine in Germany?</t>
  </si>
  <si>
    <t>one (or more</t>
  </si>
  <si>
    <t>Who is seen as the ultimate climate change authority?</t>
  </si>
  <si>
    <t>How is income determined in a market with variously skilled workers?</t>
  </si>
  <si>
    <t>Xingu</t>
  </si>
  <si>
    <t>What denomination insists that students must also be a member of the founding church?</t>
  </si>
  <si>
    <t>The urban renewal project was intended to help the residents of what neighborhood?</t>
  </si>
  <si>
    <t>What theory best explains gravity?</t>
  </si>
  <si>
    <t>40%</t>
  </si>
  <si>
    <t>What forms Lake Constance into an inland delta?</t>
  </si>
  <si>
    <t xml:space="preserve"> After 1945, what challenged the British empire?</t>
  </si>
  <si>
    <t>1773 or earlier</t>
  </si>
  <si>
    <t>HO</t>
  </si>
  <si>
    <t>How many natural reserves are in Warsaw?</t>
  </si>
  <si>
    <t>the abuse of dominant position</t>
  </si>
  <si>
    <t>the Turing machine</t>
  </si>
  <si>
    <t>What country does the Moselle take the Rhine to?</t>
  </si>
  <si>
    <t>What type of farmers have opposed many of the transportation projects in the Amazon?</t>
  </si>
  <si>
    <t>Their local rivals, Polonia Warsaw, have significantly fewer supporters, yet they managed to win Ekstraklasa Championship in 2000. They also won the country’s championship in 1946, and won the cup twice as well. Polonia's home venue is located at Konwiktorska Street, a ten-minute walk north from the Old Town. Polonia was relegated from the country's top flight in 2013 because of their disastrous financial situation. They are now playing in the 4th league (5th tier in Poland) -the bottom professional league in the National – Polish Football Association (PZPN) structure.</t>
  </si>
  <si>
    <t>The Amazon represents less than half of the planets remaining what?</t>
  </si>
  <si>
    <t>up to 1.5 meters (4.9 ft) long</t>
  </si>
  <si>
    <t>the Commission</t>
  </si>
  <si>
    <t>Which party is strongest in Victoria's lower house?</t>
  </si>
  <si>
    <t>over fifty</t>
  </si>
  <si>
    <t>Antoine Lavoisier</t>
  </si>
  <si>
    <t>How many floors are there in the building that was completed in 1967?</t>
  </si>
  <si>
    <t>the Mingo</t>
  </si>
  <si>
    <t>suspect's talking to criminal investigators</t>
  </si>
  <si>
    <t>What three sectors of public works are there?</t>
  </si>
  <si>
    <t>phlogiston</t>
  </si>
  <si>
    <t>Who established the amount of prime numbers in existence?</t>
  </si>
  <si>
    <t>Who is the Bungie founder and developer of the dance video game?</t>
  </si>
  <si>
    <t>What did Hagen find after he was thrown into the river?</t>
  </si>
  <si>
    <t>Sui and Tang dynasties</t>
  </si>
  <si>
    <t>In what year did the Walker Museum create and incorporate the U of C as a coed institution?</t>
  </si>
  <si>
    <t>Science Magazine's</t>
  </si>
  <si>
    <t>Who wrote Freakonomics and is also an anthropologist?</t>
  </si>
  <si>
    <t>Vγ9/Vδ2 T cells</t>
  </si>
  <si>
    <t>What did the Velvet revolution hope to accomplish in India?</t>
  </si>
  <si>
    <t>Greater Sacramento</t>
  </si>
  <si>
    <t>specialty pharmacies</t>
  </si>
  <si>
    <t>In what body of water is the Harvard - Yale Regatta held?</t>
  </si>
  <si>
    <t>How much was BSkyB going to pay for the Primier League rights?</t>
  </si>
  <si>
    <t>Nearly 3,000</t>
  </si>
  <si>
    <t>What will concentrated oxygen greatly speed up?</t>
  </si>
  <si>
    <t>Various species of lizards secrete what?</t>
  </si>
  <si>
    <t>wet</t>
  </si>
  <si>
    <t>How did war start?</t>
  </si>
  <si>
    <t>Evidence indicates that Cydippids are not what?</t>
  </si>
  <si>
    <t>How many of Berlin's inhabitants spoke English in 1933?</t>
  </si>
  <si>
    <t>How many French Catholics were there in 1598?</t>
  </si>
  <si>
    <t>What was the population of Europe in 1665?</t>
  </si>
  <si>
    <t>NSF was a major milestone for what?</t>
  </si>
  <si>
    <t>colonizing, influencing, and annexing</t>
  </si>
  <si>
    <t>trade magazine for the construction industry</t>
  </si>
  <si>
    <t>US/Canada</t>
  </si>
  <si>
    <t>What does the acronym FIS stand for?</t>
  </si>
  <si>
    <t>Matthew Murray</t>
  </si>
  <si>
    <t>Who was the main proponent of the cellular theory of immunity?</t>
  </si>
  <si>
    <t>applied mathematics</t>
  </si>
  <si>
    <t>There's a UNESCO World Heritage site in the Rhine Gorge between the Koblenz and what?</t>
  </si>
  <si>
    <t>antigen presentation</t>
  </si>
  <si>
    <t>more wealth</t>
  </si>
  <si>
    <t>Dutch Cape Colony</t>
  </si>
  <si>
    <t>What has been the main reason for the shift to the view that income inequality harms growth?</t>
  </si>
  <si>
    <t>more positive</t>
  </si>
  <si>
    <t>What term do Islamists think should be applied to them?</t>
  </si>
  <si>
    <t>roughly 260 kilometres</t>
  </si>
  <si>
    <t>Where is southern Hollywood located?</t>
  </si>
  <si>
    <t>What researcher first used the word oxygen ?</t>
  </si>
  <si>
    <t>turbulent history of the city and country</t>
  </si>
  <si>
    <t>What increases with age?</t>
  </si>
  <si>
    <t>What is the axis of Vistula which divides it into two parts?</t>
  </si>
  <si>
    <t>High pressure steam engines were small enough that they could be used in what application?</t>
  </si>
  <si>
    <t>On the Computational Complexity of Algorithms</t>
  </si>
  <si>
    <t>What doesn't it take a country with high inequality longer to achieve?</t>
  </si>
  <si>
    <t>How many full time janitors does Victoria have?</t>
  </si>
  <si>
    <t>How did peace start?</t>
  </si>
  <si>
    <t>What dilemma is a good example of moral civil disobedience?</t>
  </si>
  <si>
    <t>What increased demand for cars with six cylinder engines?</t>
  </si>
  <si>
    <t>New Orangery</t>
  </si>
  <si>
    <t>What is consultant pharmacy not concerned with?</t>
  </si>
  <si>
    <t xml:space="preserve"> What movements did not pursue a more radical direction?</t>
  </si>
  <si>
    <t>prevent the installation of pagan images</t>
  </si>
  <si>
    <t>Which country besides the Cuba did the United states try to annex in 1898?</t>
  </si>
  <si>
    <t>Yangzi River basin</t>
  </si>
  <si>
    <t>How do members vote when there is a division?</t>
  </si>
  <si>
    <t>inputs</t>
  </si>
  <si>
    <t>What is the term for a task that generally lends itself to being solved by a computer?</t>
  </si>
  <si>
    <t>Who preferred the Brookhaven section?</t>
  </si>
  <si>
    <t>industry</t>
  </si>
  <si>
    <t>The Social Chapter is a chapter of the 1997 Treaty of Amsterdam covering social policy issues in European Union law. The basis for the Social Chapter was developed in 1989 by the "social partners" representatives, namely UNICE, the employers' confederation, the European Trade Union Confederation (ETUC) and CEEP, the European Centre of Public Enterprises. A toned down version was adopted as the Social Charter at the 1989 Strasbourg European Council. The Social Charter declares 30 general principles, including on fair remuneration of employment, health and safety at work, rights of disabled and elderly, the rights of workers, on vocational training and improvements of living conditions. The Social Charter became the basis for European Community legislation on these issues in 40 pieces of legislation.</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</si>
  <si>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</si>
  <si>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What was the most important of these cities or towns?</t>
  </si>
  <si>
    <t>Following the conquest of Dali in 1253, the former ruling Duan dynasty were appointed as governors-general, recognized as imperial officials by the Yuan, Ming, and Qing-era governments, principally in the province of Yunnan. Succession for the Yuan dynasty, however, was an intractable problem, later causing much strife and internal struggle. This emerged as early as the end of Kublai's reign. Kublai originally named his eldest son, Zhenjin, as the Crown Prince, but he died before Kublai in 1285. Thus, Zhenjin's third son, with the support of his mother Kökejin and the minister Bayan, succeeded the throne and ruled as Temür Khan, or Emperor Chengzong, from 1294 to 1307. Temür Khan decided to maintain and continue much of the work begun by his grandfather. He also made peace with the western Mongol khanates as well as neighboring countries such as Vietnam, which recognized his nominal suzerainty and paid tributes for a few decades. However, the corruption in the Yuan dynasty began during the reign of Temür Khan.</t>
  </si>
  <si>
    <t>From 2004 to 2005 Harvard reduced the number of students earning Latin honors from 90% to what?</t>
  </si>
  <si>
    <t>Who financed the original board of trustees?</t>
  </si>
  <si>
    <t>Upon learning of a French scounting party in the area, what did Washington do?</t>
  </si>
  <si>
    <t>Who was appointed as second in command to Lor Loudoun in 1756?</t>
  </si>
  <si>
    <t>The Higher Learning Commission</t>
  </si>
  <si>
    <t>In what sort of places are rivers used?</t>
  </si>
  <si>
    <t>617 ft (</t>
  </si>
  <si>
    <t>What vote on a bill takes place in Stage 3?</t>
  </si>
  <si>
    <t>This debate has proved difficult</t>
  </si>
  <si>
    <t>Samuel P. Huntington</t>
  </si>
  <si>
    <t>When AT&amp;T financed the project, what technology did they use?</t>
  </si>
  <si>
    <t>When did internet pharmacies begin to come into being?</t>
  </si>
  <si>
    <t>The Mongol rulers patronized the Yuan printing industry. Chinese printing technology was transferred to the Mongols through Kingdom of Qocho and Tibetan intermediaries. Some Yuan documents such as Wang Zhen's Nong Shu were printed with earthenware movable type, a technology invented in the 12th century. However, most published works were still produced through traditional block printing techniques. The publication of a Taoist text inscribed with the name of Töregene Khatun, Ögedei's wife, is one of the first printed works sponsored by the Mongols. In 1273, the Mongols created the Imperial Library Directorate, a government-sponsored printing office. The Yuan government established centers for printing throughout China. Local schools and government agencies were funded to support the publishing of books.</t>
  </si>
  <si>
    <t>Because he published his findings first</t>
  </si>
  <si>
    <t>Diepoldsau</t>
  </si>
  <si>
    <t>What populations occupied the foreign territory between the modern Baden and Württemberg?</t>
  </si>
  <si>
    <t>Which county is developing its business center?</t>
  </si>
  <si>
    <t>Some of the income went to the purchase of arms which exacerbated political tension especially in which area?</t>
  </si>
  <si>
    <t>Who kept the full records on climate research?</t>
  </si>
  <si>
    <t>What is not the main judicial body of the EU?</t>
  </si>
  <si>
    <t>the Quaternary period</t>
  </si>
  <si>
    <t>What isn't required by customers to get Sky+ functions if they do not subscribe to BSkyB's channels?</t>
  </si>
  <si>
    <t>What is a complex net of contracts and other legal obligations?</t>
  </si>
  <si>
    <t>When was Japan accepted as an Arab-friendly state?</t>
  </si>
  <si>
    <t>NSF was engineered and operated by who?</t>
  </si>
  <si>
    <t>debating chamber</t>
  </si>
  <si>
    <t>What is another plague thought to have spread the same way?</t>
  </si>
  <si>
    <t>Which theorem states that all large even integers can be expressed as a sum of three primes?</t>
  </si>
  <si>
    <t>The U of C has ties to several dependent institutions, including?</t>
  </si>
  <si>
    <t>What type of electric engines produced most power up to the early 20th century?</t>
  </si>
  <si>
    <t>between 1268 and 1273</t>
  </si>
  <si>
    <t>an Islamic state</t>
  </si>
  <si>
    <t>fire</t>
  </si>
  <si>
    <t>How many wars did the Romans have along the Rhine?</t>
  </si>
  <si>
    <t>New Orleans</t>
  </si>
  <si>
    <t>every two years when the Harvard and Yale Track and Field teams come together to compete against a combined Oxford University and Cambridge University team</t>
  </si>
  <si>
    <t>Who owned RAND Company?</t>
  </si>
  <si>
    <t>How long is a boudin?</t>
  </si>
  <si>
    <t>When was Radcliffe's curriculum secularized?</t>
  </si>
  <si>
    <t>What helps scientists to date fossils?</t>
  </si>
  <si>
    <t>The capabilities approach – sometimes called the human development approach – looks at income inequality and poverty as form of “capability deprivation”. Unlike neoliberalism, which “defines well-being as utility maximization”, economic growth and income are considered a means to an end rather than the end itself. Its goal is to “wid[en] people’s choices and the level of their achieved well-being” through increasing functionings (the things a person values doing), capabilities (the freedom to enjoy functionings) and agency (the ability to pursue valued goals).</t>
  </si>
  <si>
    <t xml:space="preserve">When did Great Britain claim Australia? </t>
  </si>
  <si>
    <t>What are ancient processes used to do?</t>
  </si>
  <si>
    <t>What is the term for a mathematical model that theoretically represents a general computing machine?</t>
  </si>
  <si>
    <t>What was discovered in 2006 in regard to O4?</t>
  </si>
  <si>
    <t>all possible algorithms</t>
  </si>
  <si>
    <t>decisions of non-governmental agencies</t>
  </si>
  <si>
    <t>Gender</t>
  </si>
  <si>
    <t>How many total female judges are there in the EU?</t>
  </si>
  <si>
    <t>What has happened to the public education sector when managed by the government?</t>
  </si>
  <si>
    <t>Highways built in the Amazon rainforest were built primarily for what kind of farmers?</t>
  </si>
  <si>
    <t>1776</t>
  </si>
  <si>
    <t>hold the majority of seats</t>
  </si>
  <si>
    <t>make a defiant speech, or a speech explaining their actions,</t>
  </si>
  <si>
    <t>What does not fall outside the scope of article 56 according to the Court of Justice?</t>
  </si>
  <si>
    <t>Where is the lowest point of Warsaw located?</t>
  </si>
  <si>
    <t>India</t>
  </si>
  <si>
    <t>Can a packet be sent empty?  If so, is it billable?</t>
  </si>
  <si>
    <t>What is the total make up of fish species living in the Amazon?</t>
  </si>
  <si>
    <t>biomolecules</t>
  </si>
  <si>
    <t>What did Toyota rebrand its Forte as?</t>
  </si>
  <si>
    <t>USSR</t>
  </si>
  <si>
    <t>What does the respiratory tract secrete in order to promote infection?</t>
  </si>
  <si>
    <t>When was the deportation of Canadians?</t>
  </si>
  <si>
    <t>Baran developed the concept of distributed adaptive message block switching during his research at the RAND Corporation for the US Air Force into survivable communications networks, first presented to the Air Force in the summer of 1961 as briefing B-265, later published as RAND report P-2626 in 1962, and finally in report RM 3420 in 1964. Report P-2626 described a general architecture for a large-scale, distributed, survivable communications network. The work focuses on three key ideas: use of a decentralized network with multiple paths between any two points, dividing user messages into message blocks, later called packets, and delivery of these messages by store and forward switching.</t>
  </si>
  <si>
    <t>Defining the East as a negative vision of itself</t>
  </si>
  <si>
    <t>multi-stage centrifugal pumps</t>
  </si>
  <si>
    <t>~74,000 (BP = Before Present)</t>
  </si>
  <si>
    <t>Between which two streets along Kearney Boulevard were wealthy African-Americans at one time residing?</t>
  </si>
  <si>
    <t>New South Wales</t>
  </si>
  <si>
    <t>1806-07</t>
  </si>
  <si>
    <t>When was there a armed protest at Eureka Stockade about mining taxes?</t>
  </si>
  <si>
    <t>By which Commission is the University of Chicago Press accredited?</t>
  </si>
  <si>
    <t>lack of a Parliament of Scotland</t>
  </si>
  <si>
    <t>In a progressive tax, what increases as the taxable base amount decreases?</t>
  </si>
  <si>
    <t>As of February 2011, how many numbers has Goldbach's conjecture been proven to?</t>
  </si>
  <si>
    <t>Increased rainfall and decreased temperatures may make what unsustainable?</t>
  </si>
  <si>
    <t>events and festivals</t>
  </si>
  <si>
    <t>The creation of topographic gradients causes what?</t>
  </si>
  <si>
    <t>protect the King's land in the Ohio Valley</t>
  </si>
  <si>
    <t>sorcery or even poison</t>
  </si>
  <si>
    <t>What can the IPCC's report deadlines cause to be omitted?</t>
  </si>
  <si>
    <t>protect their tribal lands from commercial interests</t>
  </si>
  <si>
    <t xml:space="preserve"> What did the Mongol elites wish Buyantu do?</t>
  </si>
  <si>
    <t>What is the force that causes rigid strength in structures?</t>
  </si>
  <si>
    <t>required education of children as Catholics</t>
  </si>
  <si>
    <t>What percentage of oxygen is usually supplied by a medical mask?</t>
  </si>
  <si>
    <t>anti-democratic Islamist movements</t>
  </si>
  <si>
    <t>In what year did the Mongol conquest of China begin?</t>
  </si>
  <si>
    <t>When are Killer T cells deactivated?</t>
  </si>
  <si>
    <t>2020</t>
  </si>
  <si>
    <t>What removed a hierarchical structure?</t>
  </si>
  <si>
    <t>What title did Sioux give Johnson?</t>
  </si>
  <si>
    <t>Eugene Fama</t>
  </si>
  <si>
    <t>Along what geographic feature are nine residential houses located?</t>
  </si>
  <si>
    <t>absolute ages</t>
  </si>
  <si>
    <t>What is the only form potential energy can change into?</t>
  </si>
  <si>
    <t>IN which etude of Neumes rythmiques does the prime 19 appear in?</t>
  </si>
  <si>
    <t>In what part of the now US was New France?</t>
  </si>
  <si>
    <t>turbo-electric transmission,</t>
  </si>
  <si>
    <t>College sports are also popular in southern California. The UCLA Bruins and the USC Trojans both field teams in NCAA Division I in the Pac-12 Conference, and there is a longtime rivalry between the schools.</t>
  </si>
  <si>
    <t>1.4 and 5.8 °C</t>
  </si>
  <si>
    <t xml:space="preserve">What is Donald Davies credited with </t>
  </si>
  <si>
    <t>a lower level of economic utility in society</t>
  </si>
  <si>
    <t>Scottish Parliament</t>
  </si>
  <si>
    <t>What did the ongoing Alpine orogeny cause before the Eocene?</t>
  </si>
  <si>
    <t xml:space="preserve"> bassett doesn't focus on what to illustrate his idea?</t>
  </si>
  <si>
    <t>Where was Jean de Rely from?</t>
  </si>
  <si>
    <t>What is a deterministic Turing machine with an extra supply of random ribbons?</t>
  </si>
  <si>
    <t>the same</t>
  </si>
  <si>
    <t>near the mouth to the opposite end</t>
  </si>
  <si>
    <t>refusals to pay taxes</t>
  </si>
  <si>
    <t>multi-cultural</t>
  </si>
  <si>
    <t>It is always possible to model forces as being due to what?</t>
  </si>
  <si>
    <t>slash and burn</t>
  </si>
  <si>
    <t>the university's School of Social Service Administration</t>
  </si>
  <si>
    <t>What spurred increased support for government reform?</t>
  </si>
  <si>
    <t>2006</t>
  </si>
  <si>
    <t>What amount of money did Kent-Brown have invested in Harvard?</t>
  </si>
  <si>
    <t>fourteen</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</si>
  <si>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Bạch Đằng (1288). The Chinese region of Fujian was the original home of the Chinese Tran (Chen) clan before they migrated under Trần Kinh (陳京, Chén Jīng) to Dai Viet and whose descendants established the Trần dynasty which ruled Vietnam Đại Việt, and certain members of the clan could still speak Chinese such as when a Yuan dynasty envoy had a meeting with the Chinese-speaking Trần prince Trần Quốc Tuấn (later King Trần Hưng Đạo)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</si>
  <si>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because he or she can then sell more medications to the patient</t>
  </si>
  <si>
    <t>the clergy</t>
  </si>
  <si>
    <t>nonviolent protest</t>
  </si>
  <si>
    <t>Asians represent what fraction of Hmong?</t>
  </si>
  <si>
    <t>In what year did student decide to occupy the president's office?</t>
  </si>
  <si>
    <t>When do juvenile develop into adults?</t>
  </si>
  <si>
    <t>gene CYP27B1</t>
  </si>
  <si>
    <t xml:space="preserve">Where was the packet switching used in the 1980s? </t>
  </si>
  <si>
    <t>secular leanings</t>
  </si>
  <si>
    <t>Unemployment</t>
  </si>
  <si>
    <t>What occurs after a dive in which a diver decompresses too quickly?</t>
  </si>
  <si>
    <t>Cameron</t>
  </si>
  <si>
    <t>1285</t>
  </si>
  <si>
    <t>Quebec</t>
  </si>
  <si>
    <t>Burlington Northern Santa Fe Railway and Union Pacific Railroad</t>
  </si>
  <si>
    <t>Who thought that the Yuan's social class system should be called social classes?</t>
  </si>
  <si>
    <t>What type of cells engulf or eat pathogens and foreign particles?</t>
  </si>
  <si>
    <t>The Rankine cycle and most practical steam engines have a water pump to recycle or top up the boiler water, so that they may be run continuously. Utility and industrial boilers commonly use multi-stage centrifugal pumps; however, other types are used. Another means of supplying lower-pressure boiler feed water is an injector, which uses a steam jet usually supplied from the boiler. Injectors became popular in the 1850s but are no longer widely used, except in applications such as steam locomotives.</t>
  </si>
  <si>
    <t>healthcare</t>
  </si>
  <si>
    <t>Why would one want to give a speech?</t>
  </si>
  <si>
    <t>latent heat</t>
  </si>
  <si>
    <t>temperate zone</t>
  </si>
  <si>
    <t xml:space="preserve">How were high speed connections maintained and who were they monitored by? </t>
  </si>
  <si>
    <t>international students</t>
  </si>
  <si>
    <t>When has Toyota said it will change its Victoria plant into a plane factory?</t>
  </si>
  <si>
    <t>struggle, famine, and bitterness</t>
  </si>
  <si>
    <t>In response to American aid to Israel</t>
  </si>
  <si>
    <t>different classifications of workers</t>
  </si>
  <si>
    <t xml:space="preserve"> What aspect of Western medicine did the Chinese like?</t>
  </si>
  <si>
    <t>Which set of countries have lower economic mobility than the United States?</t>
  </si>
  <si>
    <t>8.4%</t>
  </si>
  <si>
    <t>What does rebellion require in Christian Bay's encyclopedia?</t>
  </si>
  <si>
    <t>connect host computers (servers)at thousands of large companies, educational institutions, and government agencies</t>
  </si>
  <si>
    <t>Orthogonal force vectors can can four-dimensional with what?</t>
  </si>
  <si>
    <t>Who conquered the Canary Island in the 14th century?</t>
  </si>
  <si>
    <t>What did Ghandi think that using your conscience accomplished?</t>
  </si>
  <si>
    <t>What is the population of the Greater Los Angeles Area?</t>
  </si>
  <si>
    <t>What do some theories claim about civil disobedience?</t>
  </si>
  <si>
    <t>What water runs out of the sea and out of the former marine bay?</t>
  </si>
  <si>
    <t xml:space="preserve">What keeps the sensitivity of the immune system at the same levels? </t>
  </si>
  <si>
    <t>Where did Ribault erect the flag claiming the land for France?</t>
  </si>
  <si>
    <t>What did Neoclassical economics view the inequality in the distribution of income as being from?</t>
  </si>
  <si>
    <t>9000 BP</t>
  </si>
  <si>
    <t>Arthur Woolf</t>
  </si>
  <si>
    <t>late antiquity</t>
  </si>
  <si>
    <t>Brooklyn</t>
  </si>
  <si>
    <t>Emperor Ningzong</t>
  </si>
  <si>
    <t>RNA interference pathway</t>
  </si>
  <si>
    <t>What office was held by George W. Bush?</t>
  </si>
  <si>
    <t>Southern California is home to Los Angeles International Airport, the second-busiest airport in the United States by passenger volume (see World's busiest airports by passenger traffic) and the third by international passenger volume (see Busiest airports in the United States by international passenger traffic); San Diego International Airport the busiest single runway airport in the world; Van Nuys Airport, the world's busiest general aviation airport; major commercial airports at Orange County, Bakersfield, Ontario, Burbank and Long Beach; and numerous smaller commercial and general aviation airports.</t>
  </si>
  <si>
    <t>11 million</t>
  </si>
  <si>
    <t>Which border does the megaregion extend over?</t>
  </si>
  <si>
    <t>M. Theo Kearney</t>
  </si>
  <si>
    <t>many middle eastern scientists</t>
  </si>
  <si>
    <t>What theatre was the best example of "Polish monumental theatre"?</t>
  </si>
  <si>
    <t>How long is the Maria Fold?</t>
  </si>
  <si>
    <t>In what year was Charleston, North Carolina founded?</t>
  </si>
  <si>
    <t>Ergänzungsschulen</t>
  </si>
  <si>
    <t>Dewar</t>
  </si>
  <si>
    <t>What is the study of small sets of proteins?</t>
  </si>
  <si>
    <t>3,468</t>
  </si>
  <si>
    <t>a Latin monastery at Sant'Eufemia</t>
  </si>
  <si>
    <t>When did the UK not subscribe to the Agreement on the Social Policy?</t>
  </si>
  <si>
    <t>economist</t>
  </si>
  <si>
    <t>creative plea</t>
  </si>
  <si>
    <t>In what year did the scavenger hunt begin?</t>
  </si>
  <si>
    <t>peer tuitions and the school's financial endowment</t>
  </si>
  <si>
    <t>Civil disobedience has been argued in more recent times to have suffered from what?</t>
  </si>
  <si>
    <t>What is a secondary goal of pleading not guilty?</t>
  </si>
  <si>
    <t>March 2003</t>
  </si>
  <si>
    <t>Who assimilted the Roman language?</t>
  </si>
  <si>
    <t>What was presented to the Scottish Parliament by the Queen in 1989?</t>
  </si>
  <si>
    <t>carbohydrates</t>
  </si>
  <si>
    <t>How well did the Mongol Emperors know Chinese?</t>
  </si>
  <si>
    <t>A specific algorithm demonstrating T(n) represents what measure of time complexity?</t>
  </si>
  <si>
    <t>the Ohio Company</t>
  </si>
  <si>
    <t>What is the name of the United Kingdom operation for BSkyB?</t>
  </si>
  <si>
    <t>electrical generator</t>
  </si>
  <si>
    <t>OpenTV</t>
  </si>
  <si>
    <t>University President Robert Maynard Hutchins de-emphasized varsity athletics</t>
  </si>
  <si>
    <t>unity of God</t>
  </si>
  <si>
    <t>During glacial times, where was the mouth of the Rhine located?</t>
  </si>
  <si>
    <t>significant new evidence or events that change our understanding of climate science</t>
  </si>
  <si>
    <t>How many extended metropolitan areas are there?</t>
  </si>
  <si>
    <t>low total pressures used</t>
  </si>
  <si>
    <t>with common rules for coal and steel</t>
  </si>
  <si>
    <t>What was hoho?</t>
  </si>
  <si>
    <t>How much oil did Nixon give to states in 1974?</t>
  </si>
  <si>
    <t>What is key to getting the skills needed for high demand jobs?</t>
  </si>
  <si>
    <t>the American Medical Association (AMA)</t>
  </si>
  <si>
    <t>a maze of semantical problems</t>
  </si>
  <si>
    <t>What condition must be satisfied in order for p to be expressed in base 1 instead of base 10 and still have a period of p-1?</t>
  </si>
  <si>
    <t>What event was the worst example of Huguenot persecution?</t>
  </si>
  <si>
    <t>What will be the importance of the pharmacist in coming decades?</t>
  </si>
  <si>
    <t xml:space="preserve">How are packet mode communications dissolved? </t>
  </si>
  <si>
    <t>some Internet pharmacies sell prescription drugs without requiring a prescription</t>
  </si>
  <si>
    <t>The deforestation decreased by 18% during what years?</t>
  </si>
  <si>
    <t>poor harvest in 1757</t>
  </si>
  <si>
    <t>What are other common causes of fatalities in dangerous occupations in the world?</t>
  </si>
  <si>
    <t>Civil Disobedience is mainly performed by what population group?</t>
  </si>
  <si>
    <t>Who described Kublai's China to Europe?</t>
  </si>
  <si>
    <t>If a and q are coprime, which theorem holds that an arithmetic progression has an infinite number of wraps?</t>
  </si>
  <si>
    <t>Who was the Uighur King of Qocho ranked above?</t>
  </si>
  <si>
    <t>Where did the Normans invade in the 11th century?</t>
  </si>
  <si>
    <t>What is the polish word for wreaths?</t>
  </si>
  <si>
    <t>Whose needs will the growth in pharmacy informatics damage?</t>
  </si>
  <si>
    <t>What did not serve as a justification for imposing imperialistic policies on certain peoples or regions?</t>
  </si>
  <si>
    <t>What was Srodmiescie ranked the 7th greatest of?</t>
  </si>
  <si>
    <t>What medicine can lead to a decline in fungi?</t>
  </si>
  <si>
    <t>Class I MHC</t>
  </si>
  <si>
    <t>Until the oil shock</t>
  </si>
  <si>
    <t>What has replaced lower skilled workers in the United States?</t>
  </si>
  <si>
    <t>In which direction does most of the wind in Fresno originate from?</t>
  </si>
  <si>
    <t>Article 101(1)</t>
  </si>
  <si>
    <t>faunal succession</t>
  </si>
  <si>
    <t>From which countries did the Norse originate?</t>
  </si>
  <si>
    <t>What was lacking in the second assessment report?</t>
  </si>
  <si>
    <t>What do geochronologists look for in drill cores?</t>
  </si>
  <si>
    <t>21,000</t>
  </si>
  <si>
    <t>Hughes Hotel</t>
  </si>
  <si>
    <t>The mouth of the Rhine into Lake Constance forms an inland delta. The delta is delimited in the West by the Alter Rhein ("Old Rhine") and in the East by a modern canalized section. Most of the delta is a nature reserve and bird sanctuary. It includes the Austrian towns of Gaißau, Höchst and Fußach. The natural Rhine originally branched into at least two arms and formed small islands by precipitating sediments. In the local Alemannic dialect, the singular is pronounced "Isel" and this is also the local pronunciation of Esel ("Donkey"). Many local fields have an official name containing this element.</t>
  </si>
  <si>
    <t>The Beroida, also known as Nuda, have no feeding appendages, but their large pharynx, just inside the large mouth and filling most of the saclike body, bears "macrocilia" at the oral end. These fused bundles of several thousand large cilia are able to "bite" off pieces of prey that are too large to swallow whole – almost always other ctenophores. In front of the field of macrocilia, on the mouth "lips" in some species of Beroe, is a pair of narrow strips of adhesive epithelial cells on the stomach wall that "zip" the mouth shut when the animal is not feeding, by forming intercellular connections with the opposite adhesive strip. This tight closure streamlines the front of the animal when it is pursuing prey.</t>
  </si>
  <si>
    <t>Who do states and governments often work in lockstep with?</t>
  </si>
  <si>
    <t>EU Competition law has its origins in the European Coal and Steel Community (ECSC) agreement between France, Italy, Belgium, the Netherlands, Luxembourg and Germany in 1951 following the second World War. The agreement aimed to prevent Germany from re-establishing dominance in the production of coal and steel as members felt that its dominance had contributed to the outbreak of the war. Article 65 of the agreement banned cartels and article 66 made provisions for concentrations, or mergers, and the abuse of a dominant position by companies. This was the first time that competition law principles were included in a plurilateral regional agreement and established the trans-European model of competition law. In 1957 competition rules were included in the Treaty of Rome, also known as the EC Treaty, which established the European Economic Community (EEC). The Treaty of Rome established the enactment of competition law as one of the main aims of the EEC through the "institution of a system ensuring that competition in the common market is not distorted". The two central provisions on EU competition law on companies were established in article 85, which prohibited anti-competitive agreements, subject to some exemptions, and article 86 prohibiting the abuse of dominant position. The treaty also established principles on competition law for member states, with article 90 covering public undertakings, and article 92 making provisions on state aid. Regulations on mergers were not included as member states could not establish consensus on the issue at the time.</t>
  </si>
  <si>
    <t>What is the snowiest peak in Victoria?</t>
  </si>
  <si>
    <t xml:space="preserve">On an international level, which industry's competitive positions is affected? </t>
  </si>
  <si>
    <t>parabolic</t>
  </si>
  <si>
    <t>How many miles does the traveling salesman problem seek to classify a route between the 15 smallest cities in Germany?</t>
  </si>
  <si>
    <t>What do beroids typically eat?</t>
  </si>
  <si>
    <t>Singing Revolution</t>
  </si>
  <si>
    <t>Genesis spacecraft</t>
  </si>
  <si>
    <t>the characteristics of the conquering peoples</t>
  </si>
  <si>
    <t>as gluons</t>
  </si>
  <si>
    <t>What was originally built as headquarters of the pre-1875 Midlothian County Council?</t>
  </si>
  <si>
    <t>What type of medium is a 10BASE5 radio?</t>
  </si>
  <si>
    <t>maps</t>
  </si>
  <si>
    <t>What was KMJ originally known as?</t>
  </si>
  <si>
    <t>fundraising</t>
  </si>
  <si>
    <t>low</t>
  </si>
  <si>
    <t>What treaty was enacted in 2004?</t>
  </si>
  <si>
    <t>Warsaw City Council</t>
  </si>
  <si>
    <t>To what body are certain powers explicitly specified as being reserved for?</t>
  </si>
  <si>
    <t>leaf-shaped buildings</t>
  </si>
  <si>
    <t>the "spin</t>
  </si>
  <si>
    <t>incompetent, inefficient, or neglectful</t>
  </si>
  <si>
    <t>free trade</t>
  </si>
  <si>
    <t>Bureau of Buddhist and Tibetan Affairs</t>
  </si>
  <si>
    <t>Singing Revolution to bring independence to the Baltic countries</t>
  </si>
  <si>
    <t>Ministers of what faith were trained by the university in early years?</t>
  </si>
  <si>
    <t>What highly combustible materials corrode?</t>
  </si>
  <si>
    <t>liquid oxygen</t>
  </si>
  <si>
    <t>Who stated he wanted Israel to vanish?</t>
  </si>
  <si>
    <t>approximately 1015 kelvins</t>
  </si>
  <si>
    <t>Who discovered the Compton Effect?</t>
  </si>
  <si>
    <t>Thoreau's essay was not published until after the end of the Mexican War</t>
  </si>
  <si>
    <t>Why did GM, Ford and Chrysler introduced fuel-efficient and small cars to the US market?</t>
  </si>
  <si>
    <t xml:space="preserve"> What did Hamas lose in the January 2006 legislative election?</t>
  </si>
  <si>
    <t>Why do some people chose to go to jail for their disobedience?</t>
  </si>
  <si>
    <t>modular</t>
  </si>
  <si>
    <t xml:space="preserve">What beds are nitrogen-saturated? </t>
  </si>
  <si>
    <t>How many classes of immune hypersensitivity are there?</t>
  </si>
  <si>
    <t>In what year did Huguenot refugees first start to move to London?</t>
  </si>
  <si>
    <t>What do power station steam turbines use as a cold sink in the absence of water?</t>
  </si>
  <si>
    <t>Who studies the expected monetary flow over the life of the project and to monitor the payouts throughout the process?</t>
  </si>
  <si>
    <t>they owned the Ohio Country and that they would trade with the British regardless of the French</t>
  </si>
  <si>
    <t>When was the competence for the Union to create criminal sentences for ecological crimes contested?</t>
  </si>
  <si>
    <t>What year was St. Elizabeth born?</t>
  </si>
  <si>
    <t>What isn't Thomas Piketty's job?</t>
  </si>
  <si>
    <t>What civil rights movement in the US was known for it's disobedience?</t>
  </si>
  <si>
    <t>What machines are not equally powerful in principle?</t>
  </si>
  <si>
    <t>What flows between Bingen and Bonn?</t>
  </si>
  <si>
    <t>vote clerk</t>
  </si>
  <si>
    <t>What did developing new oil fields have a negative influence on?</t>
  </si>
  <si>
    <t xml:space="preserve">Data from physical experiments can be extrapolated to the field to understand what processes? </t>
  </si>
  <si>
    <t>Who was it essential to Islam to imitate?</t>
  </si>
  <si>
    <t>What peaks at 680 and 768 nm wavelengths?</t>
  </si>
  <si>
    <t>rounded</t>
  </si>
  <si>
    <t>What areas are pharmacy informatics not prepared to work in?</t>
  </si>
  <si>
    <t>What does motion at a constant velocity equal?</t>
  </si>
  <si>
    <t>What had Bhutto planned on approving within six months, before he was overthrown?</t>
  </si>
  <si>
    <t>Charles Darwin</t>
  </si>
  <si>
    <t>What kind of interethnic marriage became common in the Jin dynasty?</t>
  </si>
  <si>
    <t>In an ideal moral society, what would all citizens be free from?</t>
  </si>
  <si>
    <t>sixteenth century</t>
  </si>
  <si>
    <t>over 17.5 million</t>
  </si>
  <si>
    <t>In what form are most hospital medications?</t>
  </si>
  <si>
    <t>Deceleration can be described through what?</t>
  </si>
  <si>
    <t xml:space="preserve">Particle physics has created a Unique Model to describe what? </t>
  </si>
  <si>
    <t>What is one of the reason that underdeveloped nations received aid from the oil income?</t>
  </si>
  <si>
    <t>Commission v Italy the Court of Justice</t>
  </si>
  <si>
    <t>October 2007</t>
  </si>
  <si>
    <t>Ondemar Dias</t>
  </si>
  <si>
    <t>Much of the city's tax base dissipated, leading to problems with funding education, sanitation, and traffic control within the city limits. In addition, residents in unincorporated suburbs had difficulty obtaining municipal services, such as sewage and building code enforcement. In 1958, a study recommended that the city of Jacksonville begin annexing outlying communities in order to create the needed tax base to improve services throughout the county. Voters outside the city limits rejected annexation plans in six referendums between 1960 and 1965.</t>
  </si>
  <si>
    <t>straight</t>
  </si>
  <si>
    <t>What did the Planetary spacecraft analyze?</t>
  </si>
  <si>
    <t>reduce consumer prices</t>
  </si>
  <si>
    <t>What ameneties are available when you are enrolled at a military academy?</t>
  </si>
  <si>
    <t>What are internet pharmacies never called?</t>
  </si>
  <si>
    <t>When Japanese companies introduced compact trucks, what policy ended?</t>
  </si>
  <si>
    <t>Pleurobrachia, Beroe and Mnemiopsis</t>
  </si>
  <si>
    <t>expelled water drives them backwards very quickly</t>
  </si>
  <si>
    <t>Who is to blame for acting unjustly?</t>
  </si>
  <si>
    <t>surrendered peacefully without violently resisting</t>
  </si>
  <si>
    <t>Who considers Los Angeles County to be a separate metropolitan area?</t>
  </si>
  <si>
    <t>In what era was "Bucks Point" lace making developed?</t>
  </si>
  <si>
    <t>Slave craton in northwestern Canada</t>
  </si>
  <si>
    <t>How many affiliates are connected to the ACG New Zealand International College?</t>
  </si>
  <si>
    <t>Lorentz's Law</t>
  </si>
  <si>
    <t>When did the Yuan people suffer a series of natural disasters?</t>
  </si>
  <si>
    <t>Pusey Library</t>
  </si>
  <si>
    <t>What club won 118 tournaments and 15 national championships?</t>
  </si>
  <si>
    <t>Friedrich Ratzel thought imperialism was what for the country?</t>
  </si>
  <si>
    <t>What was the target percentage of households BSkyB wanted to reach?</t>
  </si>
  <si>
    <t>It is recognised that an epidemiological account of the plague is as important as an identification of symptoms, but researchers are hampered by the lack of reliable statistics from this period. Most work has been done on the spread of the plague in England, and even estimates of overall population at the start vary by over 100% as no census was undertaken between the time of publication of the Domesday Book and the year 1377. Estimates of plague victims are usually extrapolated from figures from the clergy.</t>
  </si>
  <si>
    <t>Which article allows the European Council to govern mergers between firms?</t>
  </si>
  <si>
    <t>1679</t>
  </si>
  <si>
    <t>What is the name of another algorithm useful for conveniently testing the primality of decimal digits?</t>
  </si>
  <si>
    <t>Disruptions in sleep can lead to increase in what chronic conditions?</t>
  </si>
  <si>
    <t>AppleTalk was developed in 1995 for who?</t>
  </si>
  <si>
    <t>What has operated among a decreasing plurality of national and globalising legal systems?</t>
  </si>
  <si>
    <t>Why does a higher level of economic growth occur due to high-end consumption?</t>
  </si>
  <si>
    <t>What type of actions are taken sometimes in civil disobedience?</t>
  </si>
  <si>
    <t>Uniflow engines attempt to remedy the difficulties arising from the usual counterflow cycle where, during each stroke, the port and the cylinder walls will be cooled by the passing exhaust steam, whilst the hotter incoming admission steam will waste some of its energy in restoring working temperature. The aim of the uniflow is to remedy this defect and improve efficiency by providing an additional port uncovered by the piston at the end of each stroke making the steam flow only in one direction. By this means, the simple-expansion uniflow engine gives efficiency equivalent to that of classic compound systems with the added advantage of superior part-load performance, and comparable efficiency to turbines for smaller engines below one thousand horsepower. However, the thermal expansion gradient uniflow engines produce along the cylinder wall gives practical difficulties.[citation needed]. The Quasiturbine is a uniflow rotary steam engine where steam intakes in hot areas, while exhausting in cold areas.</t>
  </si>
  <si>
    <t>The invasion failed both militarily and politically, as Pitt again planned significant campaigns against New France</t>
  </si>
  <si>
    <t>Barnett Center</t>
  </si>
  <si>
    <t>What theory accounted for the Mercury problem?</t>
  </si>
  <si>
    <t>How many bits are typically used in the key exchange logarithms for for the Diffie-Hellman key exchange?</t>
  </si>
  <si>
    <t>What was the high pressure engine an important component of?</t>
  </si>
  <si>
    <t>As of what year were 10000 horsepower engines available?</t>
  </si>
  <si>
    <t>Hospital pharmacies can often be found within the premises of the hospital. Hospital pharmacies usually stock a larger range of medications, including more specialized medications, than would be feasible in the community setting. Most hospital medications are unit-dose, or a single dose of medicine. Hospital pharmacists and trained pharmacy technicians compound sterile products for patients including total parenteral nutrition (TPN), and other medications given intravenously. This is a complex process that requires adequate training of personnel, quality assurance of products, and adequate facilities. Several hospital pharmacies have decided to outsource high risk preparations and some other compounding functions to companies who specialize in compounding. The high cost of medications and drug-related technology, combined with the potential impact of medications and pharmacy services on patient-care outcomes and patient safety, make it imperative that hospital pharmacies perform at the highest level possible.</t>
  </si>
  <si>
    <t>Fresno is the capital of what state?</t>
  </si>
  <si>
    <t>What was French military presence at start of peace?</t>
  </si>
  <si>
    <t>In 2004 the Orange revolution occurred in what country?</t>
  </si>
  <si>
    <t>What interpretation of Islam is, for many of the adherents, the "gold standard" of their religion?</t>
  </si>
  <si>
    <t>What is one of the least important open questions in theoretical computer science?</t>
  </si>
  <si>
    <t>An attorney</t>
  </si>
  <si>
    <t>Besides the analytic property of numbers, what other property of numbers does number theory focus on?</t>
  </si>
  <si>
    <t>In the most common construction procurement, who acts as the project coordinator?</t>
  </si>
  <si>
    <t>What type of ideals generalize Noetherian arithmetic?</t>
  </si>
  <si>
    <t>every four years.</t>
  </si>
  <si>
    <t>colonial rule, or physical occupation of a territory is an example of what kind of imperialism?</t>
  </si>
  <si>
    <t>Bill Aken</t>
  </si>
  <si>
    <t>What animals does the Czerniakow river's ecosystem include?</t>
  </si>
  <si>
    <t>a sword</t>
  </si>
  <si>
    <t>Duisport</t>
  </si>
  <si>
    <t>Dinwiddie demanding an immediate French withdrawal from the Ohio Country</t>
  </si>
  <si>
    <t>How many Victorians are Buddhist?</t>
  </si>
  <si>
    <t>What type of locomotive was Darlington?</t>
  </si>
  <si>
    <t>What has caused savanna regions to grow into the South American tropics in the last 34 million years?</t>
  </si>
  <si>
    <t>as grubs underground</t>
  </si>
  <si>
    <t>What is the name of the book edited by archaeologist Betty Meggers?</t>
  </si>
  <si>
    <t>What are pharmacists in the United Kingdom being increasingly paid for?</t>
  </si>
  <si>
    <t>Forces act in a particular direction and have sizes dependent upon how strong the push or pull is. Because of these characteristics, forces are classified as "vector quantities". This means that forces follow a different set of mathematical rules than physical quantities that do not have direction (denoted scalar quantities). For example, when determining what happens when two forces act on the same object, it is necessary to know both the magnitude and the direction of both forces to calculate the result. If both of these pieces of information are not known for each force, the situation is ambiguous. For example, if you know that two people are pulling on the same rope with known magnitudes of force but you do not know which direction either person is pulling, it is impossible to determine what the acceleration of the rope will be. The two people could be pulling against each other as in tug of war or the two people could be pulling in the same direction. In this simple one-dimensional example, without knowing the direction of the forces it is impossible to decide whether the net force is the result of adding the two force magnitudes or subtracting one from the other. Associating forces with vectors avoids such problems.</t>
  </si>
  <si>
    <t>During what period did Radcliffe become prominent as a university?</t>
  </si>
  <si>
    <t xml:space="preserve">Le Grande also wrote that defining the term civil disobedience so difficult it could be described as? </t>
  </si>
  <si>
    <t>Where is the Congress Hall located?</t>
  </si>
  <si>
    <t>27.7 million</t>
  </si>
  <si>
    <t>former flooded terraces</t>
  </si>
  <si>
    <t>less civilized</t>
  </si>
  <si>
    <t>The symbol for mercuric oxide is?</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</si>
  <si>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</si>
  <si>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William Smith</t>
  </si>
  <si>
    <t>July 1977</t>
  </si>
  <si>
    <t>When was Montreal not captured?</t>
  </si>
  <si>
    <t>the most distinctive buildings</t>
  </si>
  <si>
    <t>clergyman</t>
  </si>
  <si>
    <t>reflects the desire to encourage consensus amongst elected members</t>
  </si>
  <si>
    <t>A or μ</t>
  </si>
  <si>
    <t>Who has the ability to alter income tax in Scotland by up to 33 pence?</t>
  </si>
  <si>
    <t>electroweak interaction</t>
  </si>
  <si>
    <t>What religion are most of the lower class in Victoria?</t>
  </si>
  <si>
    <t>How long is the Aboral?</t>
  </si>
  <si>
    <t>What entity deals with EU staff issues?</t>
  </si>
  <si>
    <t>What effect did breathing Priestley's discovered gas have on the experiment's mouse?</t>
  </si>
  <si>
    <t>When was Iqbal elected president of the Muslim League?</t>
  </si>
  <si>
    <t>How much of a loss did Forbes suffer in 2008?</t>
  </si>
  <si>
    <t>Which city is planned to be a part of the California High Speed Rail?</t>
  </si>
  <si>
    <t>Who is suited to interpret the Treaties?</t>
  </si>
  <si>
    <t>balance of parties</t>
  </si>
  <si>
    <t>along the coast, the settlements were growing into the interior</t>
  </si>
  <si>
    <t>Who patented a high-pressure compound engine in 1804?</t>
  </si>
  <si>
    <t>arrows, swords, and leather shields</t>
  </si>
  <si>
    <t>352</t>
  </si>
  <si>
    <t>Who lead the school back to leading research institution in 2oth century?</t>
  </si>
  <si>
    <t>Jones et al. and Briffa reconstructions</t>
  </si>
  <si>
    <t>Karluk Kara-Khanid</t>
  </si>
  <si>
    <t>What is the size of the school's endowment?</t>
  </si>
  <si>
    <t>Why does Fresno only have UHF television stations?</t>
  </si>
  <si>
    <t>How long is the south shore of Staten Island?</t>
  </si>
  <si>
    <t>515 million years</t>
  </si>
  <si>
    <t>Along with the CISCE and NENBSE, what is a notable Examination Board in multiple Indian states?</t>
  </si>
  <si>
    <t>How many individual libraries make up the main school library?</t>
  </si>
  <si>
    <t>The Rhine and what other river drained the northern flanks of the alps?</t>
  </si>
  <si>
    <t>What did this agreement do?</t>
  </si>
  <si>
    <t>Who did the Ottoman empire ally with in WW I?</t>
  </si>
  <si>
    <t>What is the name of the desert on the border of Arizona?</t>
  </si>
  <si>
    <t>native Chinese dynasties</t>
  </si>
  <si>
    <t>Jean-Marc Bosman</t>
  </si>
  <si>
    <t>What denomination are the schools run by Academic Colleges Group?</t>
  </si>
  <si>
    <t>Who is the chair of the IPCC?</t>
  </si>
  <si>
    <t>pharmacy practice residency</t>
  </si>
  <si>
    <t>What compact truck replacements were introduced by Toyota?</t>
  </si>
  <si>
    <t>What is the approximate turbine entry temperature of a gas turbine?</t>
  </si>
  <si>
    <t>over the age of 18</t>
  </si>
  <si>
    <t>In China, this person inferred that the land was formed by erosion of the mountains and by silt deposition, what was his name?</t>
  </si>
  <si>
    <t>hospitals</t>
  </si>
  <si>
    <t>L'Eglise du Saint-Esprit</t>
  </si>
  <si>
    <t>Cobham-Edmonds thesis</t>
  </si>
  <si>
    <t>What geologic feature is composed of oxygen oxides?</t>
  </si>
  <si>
    <t>Almost all ctenophores are predators</t>
  </si>
  <si>
    <t>medicine use reviews</t>
  </si>
  <si>
    <t>What is the section of the Rhine Gorge recognized by UNESCO called?</t>
  </si>
  <si>
    <t>co-chair of the IPCC working group II</t>
  </si>
  <si>
    <t>The shape of the Rhine delta is determined by two bifurcations: first, at Millingen aan de Rijn, the Rhine splits into Waal and Pannerdens Kanaal, which changes its name to Nederrijn at Angeren, and second near Arnhem, the IJssel branches off from the Nederrijn. This creates three main flows, two of which change names rather often. The largest and southern main branch begins as Waal and continues as Boven Merwede ("Upper Merwede"), Beneden Merwede ("Lower Merwede"), Noord River ("North River"), Nieuwe Maas ("New Meuse"), Het Scheur ("the Rip") and Nieuwe Waterweg ("New Waterway"). The middle flow begins as Nederrijn, then changes into Lek, then joins the Noord, thereby forming Nieuwe Maas. The northern flow keeps the name IJssel until it flows into Lake IJsselmeer. Three more flows carry significant amounts of water: the Nieuwe Merwede ("New Merwede"), which branches off from the southern branch where it changes from Boven to Beneden Merwede; the Oude Maas ("Old Meuse"), which branches off from the southern branch where it changes from Beneden Merwede into Noord, and Dordtse Kil, which branches off from Oude Maas.</t>
  </si>
  <si>
    <t>the United Nations Environment Programme (UNEP) and the World Meteorological Organization (WMO),</t>
  </si>
  <si>
    <t>Who was Ayurbarwada's daughter?</t>
  </si>
  <si>
    <t>James Dewar</t>
  </si>
  <si>
    <t>deterministic</t>
  </si>
  <si>
    <t>large areas</t>
  </si>
  <si>
    <t>June 1, 1953</t>
  </si>
  <si>
    <t>Boulton</t>
  </si>
  <si>
    <t>private networks were often connected via gateways to the public network to reach locations not on the private network</t>
  </si>
  <si>
    <t xml:space="preserve"> Who besides the british colonized Asia?</t>
  </si>
  <si>
    <t>Which is the largest city not connected to an interstate highway?</t>
  </si>
  <si>
    <t>macroscopically as a structural force</t>
  </si>
  <si>
    <t>in southern China</t>
  </si>
  <si>
    <t>What does LGM stands for?</t>
  </si>
  <si>
    <t>What do pharmacy technicians depend on more and more?</t>
  </si>
  <si>
    <t>the head of government would be acting in her or his capacity as public official</t>
  </si>
  <si>
    <t>In what book did Betty Meggers describe the idea of the Amazon being sparsely populated?</t>
  </si>
  <si>
    <t>What was the English name of Gou's calendar?</t>
  </si>
  <si>
    <t>In 1758 what was duc de Choiseul's plan for focused military efforts?</t>
  </si>
  <si>
    <t>Juvenile platyctenids act like what?</t>
  </si>
  <si>
    <t>the All India Muslim League</t>
  </si>
  <si>
    <t>What territory was ceded to Britain?</t>
  </si>
  <si>
    <t>a chain or screw stoking mechanism</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</si>
  <si>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Atatürk.</t>
  </si>
  <si>
    <t>What was the UK governments benefits agency destroying in 2012?</t>
  </si>
  <si>
    <t>At what angle were the groups of pistons set in relation to one another in a 4-cylinder compound?</t>
  </si>
  <si>
    <t>When did Vinogradov propose his four conjectural problems?</t>
  </si>
  <si>
    <t>Colony of Victoria Act 1855</t>
  </si>
  <si>
    <t>strong Islamist</t>
  </si>
  <si>
    <t>1988</t>
  </si>
  <si>
    <t>Samuel Webber</t>
  </si>
  <si>
    <t>What didn't Newton's mechanics affext?</t>
  </si>
  <si>
    <t>José María Figueres</t>
  </si>
  <si>
    <t>Which dynasties' histories were unofficially documented during Toghun's reign?</t>
  </si>
  <si>
    <t>What is one condition that an element p of $ must satisfy in order to be considered a multiplicative inverse?</t>
  </si>
  <si>
    <t>In what battle were the Mongols defeated by the Tran?</t>
  </si>
  <si>
    <t>Reciprocating piston</t>
  </si>
  <si>
    <t>skateboard</t>
  </si>
  <si>
    <t>Philip Glass</t>
  </si>
  <si>
    <t>second-largest</t>
  </si>
  <si>
    <t>In what decade were injectors widely used in jet engines?</t>
  </si>
  <si>
    <t>What is not a side effect of glucocorticoids?</t>
  </si>
  <si>
    <t>1421 to 1904</t>
  </si>
  <si>
    <t>Why does the Rhine water fall into depths at the Rheinbrech?</t>
  </si>
  <si>
    <t>The Computer Science Network</t>
  </si>
  <si>
    <t>Vaudreuil and Montcalm were minimally resupplied in 1758, as the British blockade of the French coastline limited French shipping. The situation in New France was further exacerbated by a poor harvest in 1757, a difficult winter, and the allegedly corrupt machinations of François Bigot, the intendant of the territory. His schemes to supply the colony inflated prices and were believed by Montcalm to line his pockets and those of his associates. A massive outbreak of smallpox among western tribes led many of them to stay away from trading in 1758. While many parties to the conflict blamed others (the Indians blamed the French for bringing "bad medicine" as well as denying them prizes at Fort William Henry), the disease was probably spread through the crowded conditions at William Henry after the battle. Montcalm focused his meager resources on the defense of the St. Lawrence, with primary defenses at Carillon, Quebec, and Louisbourg, while Vaudreuil argued unsuccessfully for a continuation of the raiding tactics that had worked quite effectively in previous years.</t>
  </si>
  <si>
    <t>In what year was D'Olier Street built in Dublin?</t>
  </si>
  <si>
    <t>What does double oxygen react slowly with?</t>
  </si>
  <si>
    <t>Ladner</t>
  </si>
  <si>
    <t>What did Bedau live in to prevent it from being cut down?</t>
  </si>
  <si>
    <t>What does high inequality go hand-in-hand with?</t>
  </si>
  <si>
    <t>Anglo-Saxons</t>
  </si>
  <si>
    <t>a "Conciliation Committee"</t>
  </si>
  <si>
    <t>Building construction</t>
  </si>
  <si>
    <t>When were most of the places of religious worship destroyed in Poland?</t>
  </si>
  <si>
    <t>a more fundamental electroweak interaction</t>
  </si>
  <si>
    <t>What doesn't change from being at rest to movement at a constant velocity?</t>
  </si>
  <si>
    <t>When did internet pharmacies begin to end?</t>
  </si>
  <si>
    <t>What occurs when all components of the immune system are active?</t>
  </si>
  <si>
    <t>University of California</t>
  </si>
  <si>
    <t>28.5°E</t>
  </si>
  <si>
    <t>Central Region</t>
  </si>
  <si>
    <t>1929</t>
  </si>
  <si>
    <t>What could promote free radical production during sleep times?</t>
  </si>
  <si>
    <t>What year did Robert J. Shiller lose an Economics Nobel prize?</t>
  </si>
  <si>
    <t>amorphous area of central Europe</t>
  </si>
  <si>
    <t>When the Mongols placed the Uighurs of the Kingdom of Qocho over the Koreans at the court the Korean King objected, then the Mongol Emperor Kublai Khan rebuked the Korean King, saying that the Uighur King of Qocho was ranked higher than the Karluk Kara-Khanid ruler, who in turn was ranked higher than the Korean King, who was ranked last, because the Uighurs surrendered to the Mongols first, the Karluks surrendered after the Uighurs, and the Koreans surrendered last, and that the Uighurs surrendered peacefully without violently resisting.</t>
  </si>
  <si>
    <t>What infinite hierarchy implies that the graph isomorphism problem s NQ-complete?</t>
  </si>
  <si>
    <t>later in 2016</t>
  </si>
  <si>
    <t>Pattern recognition receptors are proteins used by nearly all organisms to identify molecules associated with pathogens. Antimicrobial peptides called defensins are an evolutionarily conserved component of the innate immune response found in all animals and plants, and represent the main form of invertebrate systemic immunity. The complement system and phagocytic cells are also used by most forms of invertebrate life. Ribonucleases and the RNA interference pathway are conserved across all eukaryotes, and are thought to play a role in the immune response to viruses.</t>
  </si>
  <si>
    <t>What did France offer that was rare by imperial standards?</t>
  </si>
  <si>
    <t>what is the most controversial aspect of imperialism?</t>
  </si>
  <si>
    <t>What is the size of the Lamont Library that gives it a unique distinction?</t>
  </si>
  <si>
    <t>capability deprivation</t>
  </si>
  <si>
    <t>In many countries, what kind of pay gap is there?</t>
  </si>
  <si>
    <t>nobleman</t>
  </si>
  <si>
    <t>fight against apartheid</t>
  </si>
  <si>
    <t>strictly contained in P or equal to P</t>
  </si>
  <si>
    <t>How old was Toghun Temur when he became emperor?</t>
  </si>
  <si>
    <t>What did industry do to the Rhine until the 1980s?</t>
  </si>
  <si>
    <t>What method studies the positions of glaciers and their subsurface?</t>
  </si>
  <si>
    <t xml:space="preserve">What year was the university's first president given his position? </t>
  </si>
  <si>
    <t>poor management, internal divisions, and effective Canadian scouts, French regular forces, and Indian warrior allies</t>
  </si>
  <si>
    <t>structural collapse, cost overruns, and/or litigation</t>
  </si>
  <si>
    <t>solitary civil disobedience</t>
  </si>
  <si>
    <t>What sport is growing in all California schools?</t>
  </si>
  <si>
    <t>Carotenoids</t>
  </si>
  <si>
    <t>How were the Mongol garrison families earning money?</t>
  </si>
  <si>
    <t>Rhin</t>
  </si>
  <si>
    <t>What types of work did the Han do in Central Asia?</t>
  </si>
  <si>
    <t>Often, individual state laws outline what defines a valid patient-doctor relationship</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</si>
  <si>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</si>
  <si>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incentive for the democratic changes</t>
  </si>
  <si>
    <t>Where did American troops remain stationed after Saddam's win?</t>
  </si>
  <si>
    <t>How are the votes weighted to ensure the smaller states are dominated by larger ones?</t>
  </si>
  <si>
    <t>How did the Mongols acquire Chinese printing technology?</t>
  </si>
  <si>
    <t>On what date did Henry Kissinger negotiate an Israeli troop withdrawal from the Sinai Peninsula?</t>
  </si>
  <si>
    <t>Over 300 Egyptian police were victims of what group's campaign of terror?</t>
  </si>
  <si>
    <t>How many residents does the greater metropolitan area have?</t>
  </si>
  <si>
    <t>What tribes supported British?</t>
  </si>
  <si>
    <t>no damage</t>
  </si>
  <si>
    <t>Fort Duquesne</t>
  </si>
  <si>
    <t>By which year did full sized American cars shrink to be smaller?</t>
  </si>
  <si>
    <t>refusal to pay</t>
  </si>
  <si>
    <t>Where was the Feb 2010 call for change published?</t>
  </si>
  <si>
    <t>Dirichlet's theorem</t>
  </si>
  <si>
    <t>What has allowed for the Savanna region to expand into the tropics?</t>
  </si>
  <si>
    <t>What element has a symbol number of 8?</t>
  </si>
  <si>
    <t>2018</t>
  </si>
  <si>
    <t>Labour leader Iain Gray gave up East Lothian by how many votes?</t>
  </si>
  <si>
    <t>Frame Relay was used to interconnect LANs across wide area networks. However, X.25 and well as Frame Relay have been supplanted</t>
  </si>
  <si>
    <t>What do cnidarians use their combs for?</t>
  </si>
  <si>
    <t>chronically understaffed</t>
  </si>
  <si>
    <t>What is the nickname for the "Millennial Northern Hemisphere temperature reconstruction" graph?</t>
  </si>
  <si>
    <t>When did Setanta Sports say it would launch as a subscription service?</t>
  </si>
  <si>
    <t>What Nobel Prize researchers are former faculty members?</t>
  </si>
  <si>
    <t>Electrolysis of what can be used to produce oxygen and hydrogen?</t>
  </si>
  <si>
    <t>car</t>
  </si>
  <si>
    <t>What does low levels of inequality do for economic growth in richer countries?</t>
  </si>
  <si>
    <t>Who included 1 as the first prime number in the mid 20th century?</t>
  </si>
  <si>
    <t>Isaac</t>
  </si>
  <si>
    <t>NFIL3</t>
  </si>
  <si>
    <t>no contest</t>
  </si>
  <si>
    <t xml:space="preserve">Did the rainforest managed to thrive during the glacial periods? </t>
  </si>
  <si>
    <t>NP-hard problems</t>
  </si>
  <si>
    <t>the Miller–Rabin primality test</t>
  </si>
  <si>
    <t xml:space="preserve"> Nobody has generalized the meaning of the word imperialism down to general-purpose what?</t>
  </si>
  <si>
    <t>What replaced the Sky+HD Box?</t>
  </si>
  <si>
    <t>What is the name of world renowned cellist is a former Harvard student?</t>
  </si>
  <si>
    <t>What other kind of sport is popular in southern California?</t>
  </si>
  <si>
    <t>Hoek van Holland</t>
  </si>
  <si>
    <t>What does it mean for a knot to be considered indecomposable?</t>
  </si>
  <si>
    <t>What was Schuenemann's first name?</t>
  </si>
  <si>
    <t>Who could evade taxes by shifting its resident to the Netherlands?</t>
  </si>
  <si>
    <t>The idea that Islam can't be apolitical isn't able to be embraced by whom?</t>
  </si>
  <si>
    <t>What signer of the Articles of Confederation was descended from Huguenots?</t>
  </si>
  <si>
    <t>Jacksonville is the largest city by population in the U.S. state of Florida, and the largest city by area in the contiguous United States. It is the county seat of Duval County, with which the city government consolidated in 1968. Consolidation gave Jacksonville its great size and placed most of its metropolitan population within the city limits; with an estimated population of 853,382 in 2014, it is the most populous city proper in Florida and the Southeast, and the 12th most populous in the United States. Jacksonville is the principal city in the Jacksonville metropolitan area, with a population of 1,345,596 in 2010.</t>
  </si>
  <si>
    <t>the Conservative Party</t>
  </si>
  <si>
    <t>the Rhine</t>
  </si>
  <si>
    <t>each side is capable of performing the obligations set out</t>
  </si>
  <si>
    <t>1,600 mm (5 ft 3 in) broad gauge</t>
  </si>
  <si>
    <t>What has had a negative impact on the labor markets in the US?</t>
  </si>
  <si>
    <t>What town is surrounded by Jacksonville?</t>
  </si>
  <si>
    <t>During which eon did free oxygen begin appearing in quantity?</t>
  </si>
  <si>
    <t>200</t>
  </si>
  <si>
    <t>water flow through the body cavity</t>
  </si>
  <si>
    <t>Whose thesis states that the solution to a problem is solvable with reasonable resources assuming it allows for a polynomial time algorithm?</t>
  </si>
  <si>
    <t>What kind of Sunni muslim monarchy is is Iran lead by?</t>
  </si>
  <si>
    <t>ARPANET</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</si>
  <si>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</si>
  <si>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What areas are north of Greater Santa Barbara?</t>
  </si>
  <si>
    <t>Who was not an important figure in the twentieth-century Islamic revival in India?</t>
  </si>
  <si>
    <t>The production of what signalling molecules is regulated by the immune system?</t>
  </si>
  <si>
    <t>Who were the Semuren?</t>
  </si>
  <si>
    <t>ideological</t>
  </si>
  <si>
    <t>What group promotes using conflict to decide cases?</t>
  </si>
  <si>
    <t>Baiju</t>
  </si>
  <si>
    <t>During the 16th and 17th centuries</t>
  </si>
  <si>
    <t>2015</t>
  </si>
  <si>
    <t>Mandatory Committees exists in the fifth session of what?</t>
  </si>
  <si>
    <t>What did the Department of Energy end in 1974?</t>
  </si>
  <si>
    <t>What is the oxygen partial pressure of space suits?</t>
  </si>
  <si>
    <t>What did the transportation law ban?</t>
  </si>
  <si>
    <t>Confucian governmental practices and examinations</t>
  </si>
  <si>
    <t>How far apart are some of the neighborhood's features?</t>
  </si>
  <si>
    <t>the Danube</t>
  </si>
  <si>
    <t>However, this definition is disputed by Thoreau's political philosophy pitching the conscience vs. the collective. The individual is the final judge of right and wrong. More than this, since only individuals act, only individuals can act unjustly. When the government knocks on the door, it is an individual in the form of a postman or tax collector whose hand hits the wood. Before Thoreau’s imprisonment, when a confused taxman had wondered aloud about how to handle his refusal to pay, Thoreau had advised, “Resign.” If a man chose to be an agent of injustice, then Thoreau insisted on confronting him with the fact that he was making a choice. But if government is “the voice of the people,” as it is often called, shouldn’t that voice be heeded? Thoreau admits that government may express the will of the majority but it may also express nothing more than the will of elite politicians. Even a good form of government is “liable to be abused and perverted before the people can act through it.” Moreover, even if a government did express the voice of the people, this fact would not compel the obedience of individuals who disagree with what is being said. The majority may be powerful but it is not necessarily right. What, then, is the proper relationship between the individual and the government?</t>
  </si>
  <si>
    <t>In what years did the infection spread to the people of Asia Minor?</t>
  </si>
  <si>
    <t>Throughout the 1980s and 1990s, demand for a Scottish Parliament grew, in part because the government of the United Kingdom was controlled by the Conservative Party, while Scotland itself elected relatively few Conservative MPs. In the aftermath of the 1979 referendum defeat, the Campaign for a Scottish Assembly was initiated as a pressure group, leading to the 1989 Scottish Constitutional Convention with various organisations such as Scottish churches, political parties and representatives of industry taking part. Publishing its blueprint for devolution in 1995, the Convention provided much of the basis for the structure of the Parliament.</t>
  </si>
  <si>
    <t>What does a receiver have to be equipped with to view encrypted content?</t>
  </si>
  <si>
    <t>How was Sadat rewarded by the Islamists for his attempts to bring Egypt into modern times and civilization?</t>
  </si>
  <si>
    <t xml:space="preserve"> Which is less costly, formal, or informal imperialism?</t>
  </si>
  <si>
    <t>A water cooling tower is also referred to as what kind of cooling tower?</t>
  </si>
  <si>
    <t>the fact (Fermat's little theorem) that np≡n (mod p) for any n if p is a prime number</t>
  </si>
  <si>
    <t>an evaluation of the appropriateness of the drug therapy</t>
  </si>
  <si>
    <t>What are colonial powers blamed for?</t>
  </si>
  <si>
    <t>low latitude</t>
  </si>
  <si>
    <t>Brookhaven</t>
  </si>
  <si>
    <t>Duke Richard II</t>
  </si>
  <si>
    <t>"Hugues hypothesis"</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</si>
  <si>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</si>
  <si>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women not taking jobs due to marriage or pregnancy</t>
  </si>
  <si>
    <t>deprived of earning as much income</t>
  </si>
  <si>
    <t>What element is used as a coolant in the process of making liquid oxygen?</t>
  </si>
  <si>
    <t>Why did the oil ministers agree to a cut in oil production?</t>
  </si>
  <si>
    <t>What is the nature of the relationship between T-cells and vitamin D?</t>
  </si>
  <si>
    <t>In a 4-cylinder compound engine, what degree were the individual pistons balanced at?</t>
  </si>
  <si>
    <t>What experiences acceleration when external force is applied to a system?</t>
  </si>
  <si>
    <t>A forced trade agreement between two countries is not an example of what?</t>
  </si>
  <si>
    <t>non-deterministic</t>
  </si>
  <si>
    <t>buildings, infrastructure and industrial</t>
  </si>
  <si>
    <t>What did Israel do to Japan's imported oil to force their involvement in the crisis?</t>
  </si>
  <si>
    <t>A problem set that that is hard for the expression NP can also be stated how?</t>
  </si>
  <si>
    <t>Ticonderoga</t>
  </si>
  <si>
    <t>Structural geologists use microscopic analysis of oriented thin sections of geologic samples to observe the fabric within the rocks which gives information about strain within the crystalline structure of the rocks. They also plot and combine measurements of geological structures in order to better understand the orientations of faults and folds in order to reconstruct the history of rock deformation in the area. In addition, they perform analog and numerical experiments of rock deformation in large and small settings.</t>
  </si>
  <si>
    <t>Where is the Hyde Park Day School located?</t>
  </si>
  <si>
    <t>basis of the methodology used</t>
  </si>
  <si>
    <t>punish the Miami people of Pickawillany for not following Céloron's orders to cease trading with the British</t>
  </si>
  <si>
    <t>The words There shall be a Scottish Parliament is inscribed around the foot of the what?</t>
  </si>
  <si>
    <t>When was the constitution for Europe put into place?</t>
  </si>
  <si>
    <t>The main response of the immune system to tumors is to destroy the abnormal cells using killer T cells, sometimes with the assistance of helper T cells. Tumor antigens are presented on MHC class I molecules in a similar way to viral antigens. This allows killer T cells to recognize the tumor cell as abnormal. NK cells also kill tumorous cells in a similar way, especially if the tumor cells have fewer MHC class I molecules on their surface than normal; this is a common phenomenon with tumors. Sometimes antibodies are generated against tumor cells allowing for their destruction by the complement system.</t>
  </si>
  <si>
    <t>What is used to shut down pathogen defenses?</t>
  </si>
  <si>
    <t>Which country refused to content to changes in the Treaty of Lisbon 2007?</t>
  </si>
  <si>
    <t>the Tehachapi Mountains</t>
  </si>
  <si>
    <t>75%</t>
  </si>
  <si>
    <t>twice</t>
  </si>
  <si>
    <t>According to Giuga's theorem, what factorial must be divisible by p if some integer p &gt; 1 is to be considered prime?</t>
  </si>
  <si>
    <t>Where is the oldest known rock in the world located?</t>
  </si>
  <si>
    <t>a plug-n-play system</t>
  </si>
  <si>
    <t>What does Warsaw host many of?</t>
  </si>
  <si>
    <t>How did the Islamic Group's campaign to overthrow the government turn out?</t>
  </si>
  <si>
    <t>Dendritic cells (DC) are phagocytes in tissues that are in contact with the external environment; therefore, they are located mainly in the skin, nose, lungs, stomach, and intestines. They are named for their resemblance to neuronal dendrites, as both have many spine-like projections, but dendritic cells are in no way connected to the nervous system. Dendritic cells serve as a link between the bodily tissues and the innate and adaptive immune systems, as they present antigens to T cells, one of the key cell types of the adaptive immune system.</t>
  </si>
  <si>
    <t>How wide is the glacial alpine valley known as the Rhine Valley?</t>
  </si>
  <si>
    <t>true larvae</t>
  </si>
  <si>
    <t>What was the end of the War of the Austrian Succession?</t>
  </si>
  <si>
    <t>1,388</t>
  </si>
  <si>
    <t>What does a big O notation hide?</t>
  </si>
  <si>
    <t>the problem</t>
  </si>
  <si>
    <t>parallel importers like Mr Dassonville</t>
  </si>
  <si>
    <t>What museum specializes in cultural history and civilizations of the Western Hemisphere?</t>
  </si>
  <si>
    <t>Céloron threatened "Old Briton" with severe consequences</t>
  </si>
  <si>
    <t>BBC</t>
  </si>
  <si>
    <t>In what year did John Calvin become a Protestant?</t>
  </si>
  <si>
    <t>What are ten of the sororities members of?</t>
  </si>
  <si>
    <t>Who argues that the government redistributes wealth by force?</t>
  </si>
  <si>
    <t>Roman-era</t>
  </si>
  <si>
    <t>What year did Spain and Portugal refuse to join the EU?</t>
  </si>
  <si>
    <t>What is not strictly contained in PSPACE?</t>
  </si>
  <si>
    <t>differences in the amount of inequality</t>
  </si>
  <si>
    <t>Where wasn't war fought?</t>
  </si>
  <si>
    <t>What is the status of the Harvard University Archives with undergraduates?</t>
  </si>
  <si>
    <t>What is the name of the current King of Thebes in the play?</t>
  </si>
  <si>
    <t>About many students attend Kunskapsskolan schools?</t>
  </si>
  <si>
    <t>Where was Parliament's temporary home whilst the permanent building was being built?</t>
  </si>
  <si>
    <t>Which part of Japan had people ranked lower in the class system?</t>
  </si>
  <si>
    <t>"ensure that in the interpretation and application of the Treaties the law is observed"</t>
  </si>
  <si>
    <t>2p + 1</t>
  </si>
  <si>
    <t xml:space="preserve">When is antibody production higher than normal? </t>
  </si>
  <si>
    <t>Southern California Megaregion</t>
  </si>
  <si>
    <t>the greatest good</t>
  </si>
  <si>
    <t>Where didn't Iroquois Confederation control?</t>
  </si>
  <si>
    <t xml:space="preserve"> Which regions have non-temperate climates?</t>
  </si>
  <si>
    <t>Residential construction practices, technologies, and resources must conform to what?</t>
  </si>
  <si>
    <t>What was not shaped by sedimentation of the rivers and tidal currents?</t>
  </si>
  <si>
    <t>underground leader Piłsudski</t>
  </si>
  <si>
    <t>British colonists would not be safe as long as the French were present</t>
  </si>
  <si>
    <t>Why are newly discovered oil sold at a higher price?</t>
  </si>
  <si>
    <t>In what year was the Joe and Rika Mansueto Library constructed?</t>
  </si>
  <si>
    <t>19th</t>
  </si>
  <si>
    <t>oxides and oxoacids</t>
  </si>
  <si>
    <t>What happened to the East India Trading Company in 1767?</t>
  </si>
  <si>
    <t>informed Céloron that they owned the Ohio Country and that they would trade with the British</t>
  </si>
  <si>
    <t>What is the name of the Egyptian papyrus that suggests that they may have had knowledge of infinite numbers?</t>
  </si>
  <si>
    <t>What part of the Earth's geological structure is larger than the crust?</t>
  </si>
  <si>
    <t>What elements make up a room edition?</t>
  </si>
  <si>
    <t>What is the logic behind the cicadas outbreak?</t>
  </si>
  <si>
    <t xml:space="preserve">What is the graph isolation problem? </t>
  </si>
  <si>
    <t>What factors negatively impacted Jacksonville following the war?</t>
  </si>
  <si>
    <t>Who was the first European to travel the entire length of the Amazon River?</t>
  </si>
  <si>
    <t>How is a problem set that is hard for expression QP be stated?</t>
  </si>
  <si>
    <t>radius () of the Earth</t>
  </si>
  <si>
    <t>Other: Civil rights leader W. E. B. Du Bois; philosopher Henry David Thoreau; authors Ralph Waldo Emerson and William S. Burroughs; educators Werner Baer, Harlan Hanson; poets Wallace Stevens, T. S. Eliot and E. E. Cummings; conductor Leonard Bernstein; cellist Yo Yo Ma; pianist and composer Charlie Albright; composer John Alden Carpenter; comedian, television show host and writer Conan O'Brien; actors Tatyana Ali, Nestor Carbonell, Matt Damon, Fred Gwynne, Hill Harper, Rashida Jones, Tommy Lee Jones, Ashley Judd, Jack Lemmon, Natalie Portman, Mira Sorvino, Elisabeth Shue, and Scottie Thompson; film directors Darren Aronofsky, Terrence Malick, Mira Nair, and Whit Stillman; architect Philip Johnson; musicians Rivers Cuomo, Tom Morello, and Gram Parsons; musician, producer and composer Ryan Leslie; serial killer Ted Kaczynski; programmer and activist Richard Stallman; NFL quarterback Ryan Fitzpatrick; NFL center Matt Birk; NBA player Jeremy Lin; US Ski Team skier Ryan Max Riley; physician Sachin H. Jain; physicist J. Robert Oppenheimer; computer pioneer and inventor An Wang; Tibetologist George de Roerich; and Marshall Admiral Isoroku Yamamoto.</t>
  </si>
  <si>
    <t>The process of imperialism never focused on controlling which group of people?</t>
  </si>
  <si>
    <t>Southern</t>
  </si>
  <si>
    <t xml:space="preserve">Le grand states that students studying civil disobedience will often run into grammatical niceties and what other problem? </t>
  </si>
  <si>
    <t xml:space="preserve"> What was used by the North to justify control over western territories?</t>
  </si>
  <si>
    <t>two public agencies, especially two equally sovereign branches of government, conflict</t>
  </si>
  <si>
    <t>When did Maududi found the Jamaat-e-Islami party?</t>
  </si>
  <si>
    <t>was more active and lived longer</t>
  </si>
  <si>
    <t>What are used in non-typical investigations?</t>
  </si>
  <si>
    <t>revolution or invasion</t>
  </si>
  <si>
    <t>Isaac Komnenos</t>
  </si>
  <si>
    <t>international metropolitan</t>
  </si>
  <si>
    <t>are disturbed,</t>
  </si>
  <si>
    <t>The extinction of what led to the decline of rainforests?</t>
  </si>
  <si>
    <t>referendum in France and the referendum in the Netherlands</t>
  </si>
  <si>
    <t>Alpha Phi Omega</t>
  </si>
  <si>
    <t>1795</t>
  </si>
  <si>
    <t>What gene is responsible for converting calcidiol into calcitriol?</t>
  </si>
  <si>
    <t>Why should one not go to jail?</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</si>
  <si>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</si>
  <si>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What types of European groups were able to avoid the plague?</t>
  </si>
  <si>
    <t>What do redistribution mechanisms lead to?</t>
  </si>
  <si>
    <t xml:space="preserve">How are AUSTPAC connections made </t>
  </si>
  <si>
    <t>What is the expression used to represent a complexity class of counting problems?</t>
  </si>
  <si>
    <t>depths of the oceans and seas</t>
  </si>
  <si>
    <t>open standards</t>
  </si>
  <si>
    <t>1919–20</t>
  </si>
  <si>
    <t>What were the towns granted to the Huguenots in 1598 collectively called?</t>
  </si>
  <si>
    <t>What amount did Harvard cut from their 2012 financial aid reserve?</t>
  </si>
  <si>
    <t>How has this debate been proven?</t>
  </si>
  <si>
    <t>Grand Canal d'Alsace</t>
  </si>
  <si>
    <t>Juris Hartmanis and Richard Stearns</t>
  </si>
  <si>
    <t>Vulcan</t>
  </si>
  <si>
    <t>thermodynamic</t>
  </si>
  <si>
    <t>How did the advancement of using fossils help geological science in the early 20th century?</t>
  </si>
  <si>
    <t>1864</t>
  </si>
  <si>
    <t>What was used to create a new electromagnetic theory to reconcile the troubles with electromagnetic theory as it used to stand?</t>
  </si>
  <si>
    <t>What is the outer core called?</t>
  </si>
  <si>
    <t>Who was made Governor of Samarqand?</t>
  </si>
  <si>
    <t>When did Warsaw become the capital of the Kingdom of Prussia?</t>
  </si>
  <si>
    <t>How many people lived in Norway in 1348?</t>
  </si>
  <si>
    <t>the river Deabolis</t>
  </si>
  <si>
    <t>What does Frame Relay's LAPB provide?</t>
  </si>
  <si>
    <t>Until 1987, what stance did the Muslim Brotherhood in Palestine take towards Israel?</t>
  </si>
  <si>
    <t>Until the work of Galileo, what was not identified as a universal force?</t>
  </si>
  <si>
    <t>What is the name of the smallest university press in the US?</t>
  </si>
  <si>
    <t>What are other irrelevant examples of a function problem&gt;</t>
  </si>
  <si>
    <t>The southern flow retains the name IJssel until it flows into what?</t>
  </si>
  <si>
    <t>In what unit is the size of the input measured?</t>
  </si>
  <si>
    <t>In 2009</t>
  </si>
  <si>
    <t>high wages</t>
  </si>
  <si>
    <t>In what type of ring can prime ideals be used for validating quadratic reciprocity?</t>
  </si>
  <si>
    <t>What does a custom or expectation do to affect a building before its built?</t>
  </si>
  <si>
    <t>Liberal Party of Australia</t>
  </si>
  <si>
    <t>Ismail El Gizouli</t>
  </si>
  <si>
    <t>What issues were addressed in the Treaty of Aix-la-Chapelle?</t>
  </si>
  <si>
    <t>Which country was worried that the US would invade the Middle East?</t>
  </si>
  <si>
    <t>Colonies were a sign of what amongst European countries?</t>
  </si>
  <si>
    <t>Marshall Field</t>
  </si>
  <si>
    <t>From the death of Augustus in AD 14 until after AD 70, Rome accepted as her Germanic frontier the water-boundary of the Rhine and upper Danube. Beyond these rivers she held only the fertile plain of Frankfurt, opposite the Roman border fortress of Moguntiacum (Mainz), the southernmost slopes of the Black Forest and a few scattered bridge-heads. The northern section of this frontier, where the Rhine is deep and broad, remained the Roman boundary until the empire fell. The southern part was different. The upper Rhine and upper Danube are easily crossed. The frontier which they form is inconveniently long, enclosing an acute-angled wedge of foreign territory between the modern Baden and Württemberg. The Germanic populations of these lands seem in Roman times to have been scanty, and Roman subjects from the modern Alsace-Lorraine had drifted across the river eastwards.</t>
  </si>
  <si>
    <t>What are found in fossils?</t>
  </si>
  <si>
    <t>melatonin</t>
  </si>
  <si>
    <t>What article of the Grundgesetz grants the right to make private schools?</t>
  </si>
  <si>
    <t>What has increased sediment and delta growth also produced in the Rhine?</t>
  </si>
  <si>
    <t>Which two importers claimed that under a French competition law, they were prevented from selling Picon beer under wholesale price?</t>
  </si>
  <si>
    <t>What was the purpose of Cambridge when it was founded in 1643?</t>
  </si>
  <si>
    <t>the owner</t>
  </si>
  <si>
    <t>According to the wealth concentration theory, what disadvantage do the wealthy have in accumulating new wealth?</t>
  </si>
  <si>
    <t>to "float" (rise and fall according to market demand)</t>
  </si>
  <si>
    <t>What did Lindzen criticize about the Summary for Policymakers?</t>
  </si>
  <si>
    <t>Chicago's physics department</t>
  </si>
  <si>
    <t>the center of the curving path</t>
  </si>
  <si>
    <t>What group can amend the United Kingdom Parliament?</t>
  </si>
  <si>
    <t>women retire at age 60 and men at 65</t>
  </si>
  <si>
    <t>How many times did the plague visit Baghdad?</t>
  </si>
  <si>
    <t>evenly round the body</t>
  </si>
  <si>
    <t>How are groups of cillia classified due to increasing awareness of differences?</t>
  </si>
  <si>
    <t>What does the second timeline compress?</t>
  </si>
  <si>
    <t>What reference is there to Huguenot lacemakers in the 19th century?</t>
  </si>
  <si>
    <t>downward pressure on wages</t>
  </si>
  <si>
    <t>Paul Marin de la Malgue</t>
  </si>
  <si>
    <t>What typically involves mass production of similar items without a designated purchaser?</t>
  </si>
  <si>
    <t>Which year resulted in the suspension of one of the two soccer teams?</t>
  </si>
  <si>
    <t>Eliot Ness</t>
  </si>
  <si>
    <t>What experiments are used to understand how magma flows?</t>
  </si>
  <si>
    <t>What is the example of another problem characterized by large instances that is routinely solved by SAT handlers employing efficient algorithms?</t>
  </si>
  <si>
    <t>What additional service did BSkyB offer besides HD channels that they claimed offered no value?</t>
  </si>
  <si>
    <t>In which two codes were the roles of pharmacists codified?</t>
  </si>
  <si>
    <t>What acquired condition results in immunodeficiency in humans?</t>
  </si>
  <si>
    <t>What is submitted to only part of Parliament for a full debate?</t>
  </si>
  <si>
    <t>Creon, the current King of Thebes</t>
  </si>
  <si>
    <t>British Superintendent for Indian Affairs</t>
  </si>
  <si>
    <t>What has recent testing of Kuznets theory with superior data show it to be?</t>
  </si>
  <si>
    <t>birefringence, pleochroism, twinning, and interference</t>
  </si>
  <si>
    <t>Why wouldn't rampant violence prevent people from going to work?</t>
  </si>
  <si>
    <t>The classification of aspects of the Amazon forest is important for mapping what type of emission?</t>
  </si>
  <si>
    <t>In what year did Huguenot refugees first settle in Norwich?</t>
  </si>
  <si>
    <t>40,000</t>
  </si>
  <si>
    <t>by less than two percent per year</t>
  </si>
  <si>
    <t>What was the average family size?</t>
  </si>
  <si>
    <t>How did the Better Jacksonville Plan generate money?</t>
  </si>
  <si>
    <t xml:space="preserve">Which archaeologist proposed the idea that the Amazon rainforest couldn't sustain large populations? </t>
  </si>
  <si>
    <t>What is very important for the growth of the economy?</t>
  </si>
  <si>
    <t>denoted scalar quantities</t>
  </si>
  <si>
    <t>What did the Court of Justice reason were controlled in all member states in Josemans v Burgemeester van Maastricht?</t>
  </si>
  <si>
    <t>The principle of cross-cutting relationships</t>
  </si>
  <si>
    <t>Middle Miocene</t>
  </si>
  <si>
    <t>How many of the six total packages available to broadcasters was Setanta awarded?</t>
  </si>
  <si>
    <t>allied groups from Central Asia and the western end of the empire</t>
  </si>
  <si>
    <t>fundamental theorem of arithmetic</t>
  </si>
  <si>
    <t>What is the name of the process which confirms the primality of a decimal digits?</t>
  </si>
  <si>
    <t>How are the forces derived from fields treated similarly to?</t>
  </si>
  <si>
    <t>Along with Stephenson and Walschaerts, what is an example of a simple motion?</t>
  </si>
  <si>
    <t>What consequence of establishing the Scottish Parliament applies to Scottish MPs sitting in the UK House of Commons?</t>
  </si>
  <si>
    <t>1290</t>
  </si>
  <si>
    <t>At the begin of the Holocene (~11,700 years ago), the Rhine occupied its Late-Glacial valley. As a meandering river, it reworked its ice-age braidplain. As sea-level continued to rise in the Netherlands, the formation of the Holocene Rhine-Meuse delta began (~8,000 years ago). Coeval absolute sea-level rise and tectonic subsidence have strongly influenced delta evolution. Other factors of importance to the shape of the delta are the local tectonic activities of the Peel Boundary Fault, the substrate and geomorphology, as inherited from the Last Glacial and the coastal-marine dynamics, such as barrier and tidal inlet formations.</t>
  </si>
  <si>
    <t>Which countries did not agree upon the European Coal and Steel Community agreement?</t>
  </si>
  <si>
    <t>When did the Peace of Westphalia last until?</t>
  </si>
  <si>
    <t>Robert Maynard Hutchins</t>
  </si>
  <si>
    <t>What glass flowers exhibit is included in the Busch-Reisinger Museum?</t>
  </si>
  <si>
    <t>Switzerland and the Netherlands.</t>
  </si>
  <si>
    <t>A forced trade agreement between two countries would be an example of what?</t>
  </si>
  <si>
    <t>Which car shows the DOT's revision of categories?</t>
  </si>
  <si>
    <t>What does poor academic achievement lead to according to critics?</t>
  </si>
  <si>
    <t>Waal</t>
  </si>
  <si>
    <t>What cycle has an issue for which an expansion gradient attempts to fix?</t>
  </si>
  <si>
    <t>port</t>
  </si>
  <si>
    <t>non-combustible</t>
  </si>
  <si>
    <t>through the port of Marseille around November 1347</t>
  </si>
  <si>
    <t>When was the Peace of Westphalia established?</t>
  </si>
  <si>
    <t>What organization has stopped being a major disruptive force in Palestine?</t>
  </si>
  <si>
    <t>ideological struggle</t>
  </si>
  <si>
    <t>Oliver Evans</t>
  </si>
  <si>
    <t>What type of civil war was not fought between political and tribal warlords?</t>
  </si>
  <si>
    <t xml:space="preserve">What faults other than the San Andreas can produce a magnitude 8.0 event? </t>
  </si>
  <si>
    <t>Song Emperor</t>
  </si>
  <si>
    <t>What is computational complexity principle?</t>
  </si>
  <si>
    <t>issues</t>
  </si>
  <si>
    <t>How did the principle treaties that form the European Union begin?</t>
  </si>
  <si>
    <t>motorcycles or mopeds pulling trailers</t>
  </si>
  <si>
    <t>What type of education is sometimes present at religious schools in addition to the secular curriculum?</t>
  </si>
  <si>
    <t>Which University's library system consists of 12 libraries?</t>
  </si>
  <si>
    <t>Ticonderoga Point,</t>
  </si>
  <si>
    <t>$37.6 billion</t>
  </si>
  <si>
    <t>cnidarians</t>
  </si>
  <si>
    <t>What is the 16th century known as the start of?</t>
  </si>
  <si>
    <t>How many square kilometres of the Amazon forest was lost by 1991?</t>
  </si>
  <si>
    <t>Among the most well-known experiments in structural geology are those involving orogenic wedges, which are zones in which mountains are built along convergent tectonic plate boundaries. In the analog versions of these experiments, horizontal layers of sand are pulled along a lower surface into a back stop, which results in realistic-looking patterns of faulting and the growth of a critically tapered (all angles remain the same) orogenic wedge. Numerical models work in the same way as these analog models, though they are often more sophisticated and can include patterns of erosion and uplift in the mountain belt. This helps to show the relationship between erosion and the shape of the mountain range. These studies can also give useful information about pathways for metamorphism through pressure, temperature, space, and time.</t>
  </si>
  <si>
    <t>What is the name of Harvard's primary recreational sports facility?</t>
  </si>
  <si>
    <t>every two years</t>
  </si>
  <si>
    <t>Who stated that that scientific ignorance was what caused uncertainties of global warming?</t>
  </si>
  <si>
    <t>Cobb, Shepley, Rutan and Coolidge, Holabird &amp; Roche,</t>
  </si>
  <si>
    <t>61.1%</t>
  </si>
  <si>
    <t xml:space="preserve">What is the Canal in Wesel? </t>
  </si>
  <si>
    <t>an international metropolitan region</t>
  </si>
  <si>
    <t>What is the first major city in the stream of the Rhine?</t>
  </si>
  <si>
    <t>What is the alpine valley that the Rhine flows through?</t>
  </si>
  <si>
    <t>What type of award did Roger Rocka win?</t>
  </si>
  <si>
    <t>What were Huguenots who stayed in France eventually known as?</t>
  </si>
  <si>
    <t>rises in sea levels</t>
  </si>
  <si>
    <t>The plague struck various countries in the Middle East during the pandemic, leading to serious depopulation and permanent change in both economic and social structures. As it spread to western Europe, the disease entered the region from southern Russia also. By autumn 1347, the plague reached Alexandria in Egypt, probably through the port's trade with Constantinople, and ports on the Black Sea. During 1347, the disease travelled eastward to Gaza, and north along the eastern coast to cities in Lebanon, Syria and Palestine, including Ashkelon, Acre, Jerusalem, Sidon, Damascus, Homs, and Aleppo. In 1348–49, the disease reached Antioch. The city's residents fled to the north, most of them dying during the journey, but the infection had been spread to the people of Asia Minor.[citation needed]</t>
  </si>
  <si>
    <t>Some theories of civil disobedience hold that civil disobedience is only justified against governmental entities. Brownlee argues that disobedience in opposition to the decisions of non-governmental agencies such as trade unions, banks, and private universities can be justified if it reflects "a larger challenge to the legal system that permits those decisions to be taken". The same principle, she argues, applies to breaches of law in protest against international organizations and foreign governments.</t>
  </si>
  <si>
    <t>the world's first man-made, self-sustaining nuclear reaction</t>
  </si>
  <si>
    <t>DECnet is a suite of network protocols created by Digital Equipment Corporation, originally released in 1975 in order to connect two PDP-11 minicomputers. It evolved into one of the first peer-to-peer network architectures, thus transforming DEC into a networking powerhouse in the 1980s. Initially built with three layers, it later (1982) evolved into a seven-layer OSI-compliant networking protocol. The DECnet protocols were designed entirely by Digital Equipment Corporation. However, DECnet Phase II (and later) were open standards with published specifications, and several implementations were developed outside DEC, including one for Linux.</t>
  </si>
  <si>
    <t>An illustrated, paraphrased version of this appeared when?</t>
  </si>
  <si>
    <t>designs into reality</t>
  </si>
  <si>
    <t>greenhouse gas emissions</t>
  </si>
  <si>
    <t>Confucian</t>
  </si>
  <si>
    <t>magnet</t>
  </si>
  <si>
    <t>What conditions can't be met to prescribe a controlled substance?</t>
  </si>
  <si>
    <t>Where was the Leon Theatre located?</t>
  </si>
  <si>
    <t>sent Dieskau to Fort St. Frédéric</t>
  </si>
  <si>
    <t>The party, or parties, that hold the majority of seats in the Parliament</t>
  </si>
  <si>
    <t>$759,900</t>
  </si>
  <si>
    <t>17.5 million</t>
  </si>
  <si>
    <t>The Amazon rainforest (Portuguese: Floresta Amazônica or Amazônia; Spanish: Selva Amazónica, Amazonía or usually Amazonia; French: Forêt amazonienne; Dutch: Amazoneregenwoud), also known in English as Amazonia or the Amazon Jungle, is a moist broadleaf forest that covers most of the Amazon basin of South America. This basin encompasses 7,000,000 square kilometres (2,700,000 sq mi), of which 5,500,000 square kilometres (2,100,000 sq mi) are covered by the rainforest. This region includes territory belonging to nine nations. The majority of the forest is contained within Brazil, with 60% of the rainforest, followed by Peru with 13%, Colombia with 10%, and with minor amounts in Venezuela, Ecuador, Bolivia, Guyana, Suriname and French Guiana. States or departments in four nations contain "Amazonas" in their names. The Amazon represents over half of the planet's remaining rainforests, and comprises the largest and most biodiverse tract of tropical rainforest in the world, with an estimated 390 billion individual trees divided into 16,000 species.</t>
  </si>
  <si>
    <t>Jellyfish ans sea anemones belong to what phylum?</t>
  </si>
  <si>
    <t>Video On Demand</t>
  </si>
  <si>
    <t>What kind of service is the SkyDrive Service?</t>
  </si>
  <si>
    <t>What is there a push for in the U.S. to reduce consumer drug costs?</t>
  </si>
  <si>
    <t>When did Temur rule?</t>
  </si>
  <si>
    <t>There have been major changes in Amazon rainforest vegetation over the last how many years?</t>
  </si>
  <si>
    <t>a balance sensor</t>
  </si>
  <si>
    <t>After 1971</t>
  </si>
  <si>
    <t>constructed the King's Road</t>
  </si>
  <si>
    <t>geophysical</t>
  </si>
  <si>
    <t>How many Huguenots fled to England?</t>
  </si>
  <si>
    <t>southern Italy</t>
  </si>
  <si>
    <t>an idealized and systematized version of conservative tribal village customs</t>
  </si>
  <si>
    <t>What is the name of the European Union agency for external border security?</t>
  </si>
  <si>
    <t>the courtyard</t>
  </si>
  <si>
    <t>What style was he Paris Philharmony edifice built in?</t>
  </si>
  <si>
    <t>What army did Warsaw successfully defend itself against?</t>
  </si>
  <si>
    <t>How many US presidents are alumni of the school?</t>
  </si>
  <si>
    <t xml:space="preserve"> For many centuries, what was the Brotherhood described as?</t>
  </si>
  <si>
    <t>Where was Ralph earl of?</t>
  </si>
  <si>
    <t>The meeting of the what took place on 12 March 1999?</t>
  </si>
  <si>
    <t>community-based conservation</t>
  </si>
  <si>
    <t>The reason for the majority rule is the high risk of a conflict of interest and/or the avoidance of absolute powers. Otherwise, the physician has a financial self-interest in "diagnosing" as many conditions as possible, and in exaggerating their seriousness, because he or she can then sell more medications to the patient. Such self-interest directly conflicts with the patient's interest in obtaining cost-effective medication and avoiding the unnecessary use of medication that may have side-effects. This system reflects much similarity to the checks and balances system of the U.S. and many other governments.[citation needed]</t>
  </si>
  <si>
    <t>1890s</t>
  </si>
  <si>
    <t>the Paleoproterozoic eon</t>
  </si>
  <si>
    <t>An object suspended on a horizontal spring scale experiences the force of what?</t>
  </si>
  <si>
    <t>piston</t>
  </si>
  <si>
    <t>Who experienced aa golden age in the 1100s and 1200s</t>
  </si>
  <si>
    <t>Benazir Bhutto</t>
  </si>
  <si>
    <t>What title was the Social Charter set to be included into the Maastricht treaty under?</t>
  </si>
  <si>
    <t>hash tables and pseudorandom number generators</t>
  </si>
  <si>
    <t>mathematical by-product of exchange</t>
  </si>
  <si>
    <t>Who has elected the President of Warsaw since 1990?</t>
  </si>
  <si>
    <t>In what year were 10 million projects conducted?</t>
  </si>
  <si>
    <t>30–60%</t>
  </si>
  <si>
    <t>Who would have been the lowest-ranked class?</t>
  </si>
  <si>
    <t>When did economists reach a conclusion with the S&amp;P's rating agency?</t>
  </si>
  <si>
    <t>What type of equilibrium was first described by Aristotle?</t>
  </si>
  <si>
    <t>Who identified themselves as French during the Hundred Years War?</t>
  </si>
  <si>
    <t>Free oxygen gas was almost nonexistent in Earth's atmosphere before photosynthetic archaea and bacteria evolved, probably about 3.5 billion years ago. Free oxygen first appeared in significant quantities during the Paleoproterozoic eon (between 3.0 and 2.3 billion years ago). For the first billion years, any free oxygen produced by these organisms combined with dissolved iron in the oceans to form banded iron formations. When such oxygen sinks became saturated, free oxygen began to outgas from the oceans 3–2.7 billion years ago, reaching 10% of its present level around 1.7 billion years ago.</t>
  </si>
  <si>
    <t>During what age was Jacksonville no longer a popular destination for the rich?</t>
  </si>
  <si>
    <t>Construction is the process of constructing a building or infrastructure. Construction differs from manufacturing in that manufacturing typically involves mass production of similar items without a designated purchaser, while construction typically takes place on location for a known client. Construction as an industry comprises six to nine percent of the gross domestic product of developed countries. Construction starts with planning,[citation needed] design, and financing and continues until the project is built and ready for use.</t>
  </si>
  <si>
    <t>What was not the view of the German Constitutional Court from Solange I and Solange II?</t>
  </si>
  <si>
    <t>Kuznets curve</t>
  </si>
  <si>
    <t>What will cause the lake near the Rhine to silt up?</t>
  </si>
  <si>
    <t>What tends to lead to less money?</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</si>
  <si>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</si>
  <si>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1978 Supreme Court case of FCC v. Pacifica Foundation</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</si>
  <si>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</si>
  <si>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the 17th century</t>
  </si>
  <si>
    <t>What are the statocysts alligned in when being evenly spaced?</t>
  </si>
  <si>
    <t>What flowed through the tundra?</t>
  </si>
  <si>
    <t>In what year did Hutchins propose a plan to combine the U of C with Common Core?</t>
  </si>
  <si>
    <t>What does an individual conscience not have to be?</t>
  </si>
  <si>
    <t>"Formal imperialism"</t>
  </si>
  <si>
    <t>What does the genus Beroe usually live among as juveniles?</t>
  </si>
  <si>
    <t>electrical, water, sewage, phone, and cable facilities</t>
  </si>
  <si>
    <t>What do strong labor movement correlate with?</t>
  </si>
  <si>
    <t>What is the term that describes the indifference between what higher paid and lower paid professionals earn?</t>
  </si>
  <si>
    <t>1530</t>
  </si>
  <si>
    <t>fewer than 10 employees</t>
  </si>
  <si>
    <t>function of market price of skill</t>
  </si>
  <si>
    <t>to protect their tribal lands from commercial interests</t>
  </si>
  <si>
    <t>The smaller the economic inequality, the more waste and pollution is created, resulting in many cases, in more environmental degradation. This can be explained by the fact that as the poor people in the society become more wealthy, it increases their yearly carbon emissions. This relation is expressed by the Environmental Kuznets Curve (EKC).[not in citation given] It should be noted here however that in certain cases, with great economic inequality, there is nonetheless not more waste and pollution created as the waste/pollution is cleaned up better afterwards (water treatment, filtering, ...).... Also note that the whole of the increase in environmental degradation is the result of the increase of emissions per person being multiplied by a multiplier. If there were fewer people however, this multiplier would be lower, and thus the amount of environmental degradation would be lower as well. As such, the current high level of population has a large impact on this as well. If (as WWF argued), population levels would start to drop to a sustainable level (1/3 of current levels, so about 2 billion people), human inequality can be addressed/corrected, while still not resulting in an increase of environmental damage.</t>
  </si>
  <si>
    <t>What is not recognized as one of the general principles of European Union law?</t>
  </si>
  <si>
    <t>Jewish</t>
  </si>
  <si>
    <t>Who was the first known European to visit China and return?</t>
  </si>
  <si>
    <t>What dynasty came before the Yuan?</t>
  </si>
  <si>
    <t>What coalition rose up to oppose Louis XIV's France?</t>
  </si>
  <si>
    <t>What impact does workers working less have on productivity of a business?</t>
  </si>
  <si>
    <t>What kind of economy did northern California start to grow in the 2000s?</t>
  </si>
  <si>
    <t>Quatre études de rythme</t>
  </si>
  <si>
    <t>Muslims in the semu class</t>
  </si>
  <si>
    <t>Before the formation of which planet, did Sol lose oxygen 16?</t>
  </si>
  <si>
    <t>What do diets with too much protein cause?</t>
  </si>
  <si>
    <t>30 kPa</t>
  </si>
  <si>
    <t>Which company did Mrs Foster work for?</t>
  </si>
  <si>
    <t>When is the term private school never used in the US?</t>
  </si>
  <si>
    <t>Beryl</t>
  </si>
  <si>
    <t>Natural killer cells</t>
  </si>
  <si>
    <t>When did Saudi Arabia spend 100 billion on oil prices?</t>
  </si>
  <si>
    <t>unambiguously demonstrates that Y. pestis was the causative agent of the epidemic plague</t>
  </si>
  <si>
    <t>What is the maximum distance between a patient's home and the nearest pharmacy that allows a physician in Austria to give out medicine?</t>
  </si>
  <si>
    <t>What, rather than Islamism, requires explanation?</t>
  </si>
  <si>
    <t>What enzyme is not an antibacterial?</t>
  </si>
  <si>
    <t>What did Kuznets argue resulted from stages of development?</t>
  </si>
  <si>
    <t>was not covered in any newspapers in the days, weeks and months after it happened.</t>
  </si>
  <si>
    <t>What happens when a person's capabilities aer raised, as it relates to their income?</t>
  </si>
  <si>
    <t>flour mill</t>
  </si>
  <si>
    <t>the Fermat primality test,</t>
  </si>
  <si>
    <t>Who was Chairman of the Subcommittee on Oversight and Investigations?</t>
  </si>
  <si>
    <t>What does concentrated O allow combustion to do?</t>
  </si>
  <si>
    <t xml:space="preserve"> What organization did Iqbal join in France?</t>
  </si>
  <si>
    <t>fee per unit of information transmitted</t>
  </si>
  <si>
    <t>What is a non-Islamic revival movement?</t>
  </si>
  <si>
    <t>What country was under the control of Norman barons?</t>
  </si>
  <si>
    <t>Vietnam</t>
  </si>
  <si>
    <t>The length of the Rhine is conventionally measured in "Rhine-kilometers" (Rheinkilometer), a scale introduced in 1939 which runs from the Old Rhine Bridge at Constance (0 km) to Hoek van Holland (1036.20 km). The river length is significantly shortened from the river's natural course due to number of canalisation projects completed in the 19th and 20th century.[note 7] The "total length of the Rhine", to the inclusion of Lake Constance and the Alpine Rhine is more difficult to measure objectively; it was cited as 1,232 kilometres (766 miles) by the Dutch Rijkswaterstaat in 2010.[note 1]</t>
  </si>
  <si>
    <t>According to certain Geographical theories what type of human does a tropical climate produce?</t>
  </si>
  <si>
    <t>Britain gained control of French Canada and Acadia, colonies containing approximately 80,000 primarily French-speaking Roman Catholic residents. The deportation of Acadians beginning in 1755 resulted in land made available to migrants from Europe and the colonies further south. The British resettled many Acadians throughout its North American provinces, but many went to France, and some went to New Orleans, which they had expected to remain French. Some were sent to colonize places as diverse as French Guiana and the Falkland Islands; these latter efforts were unsuccessful. Others migrated to places like Saint-Domingue, and fled to New Orleans after the Haitian Revolution. The Louisiana population contributed to the founding of the modern Cajun population. (The French word "Acadien" evolved to "Cadien", then to "Cajun".)</t>
  </si>
  <si>
    <t>Amazonia</t>
  </si>
  <si>
    <t>Session</t>
  </si>
  <si>
    <t>May 18, 1756</t>
  </si>
  <si>
    <t>The wine industry</t>
  </si>
  <si>
    <t>deprived of earning as much</t>
  </si>
  <si>
    <t>Norman mercenary</t>
  </si>
  <si>
    <t>Committees</t>
  </si>
  <si>
    <t>principle of nonviolent protest</t>
  </si>
  <si>
    <t>a computer network funded by the U.S. National Science Foundation (NSF)</t>
  </si>
  <si>
    <t>use of force and violence and refusal to submit to arrest</t>
  </si>
  <si>
    <t>Why did OPEC dollars depriciate?</t>
  </si>
  <si>
    <t>What can experiments be used to explain beside magma crystallization?</t>
  </si>
  <si>
    <t>After 1935, who would be forbidden to enter Rhineland?</t>
  </si>
  <si>
    <t>What is another word for the Earth's upper mantle?</t>
  </si>
  <si>
    <t>What does Warsaw Palace's mixture of architectural styles reflect?</t>
  </si>
  <si>
    <t>What is Biraben's first name?</t>
  </si>
  <si>
    <t>A number of researchers (David Rodda, Jacob Vigdor, and Janna Matlack), argue that a shortage of affordable housing – at least in the US – is caused in part by income inequality. David Rodda noted that from 1984 and 1991, the number of quality rental units decreased as the demand for higher quality housing increased (Rhoda 1994:148). Through gentrification of older neighbourhoods, for example, in East New York, rental prices increased rapidly as landlords found new residents willing to pay higher market rate for housing and left lower income families without rental units. The ad valorem property tax policy combined with rising prices made it difficult or impossible for low income residents to keep pace.</t>
  </si>
  <si>
    <t>full independent prescribing authority</t>
  </si>
  <si>
    <t>Besides the study of prime numbers, what general theory was considered the official example of the military?</t>
  </si>
  <si>
    <t>"West Side"</t>
  </si>
  <si>
    <t>What uprising began in 1351?</t>
  </si>
  <si>
    <t>Which theorem states that every large odd integer can be written as a prime summed with a semiprime?</t>
  </si>
  <si>
    <t>Major General James Abercrombie</t>
  </si>
  <si>
    <t>What is an immune response that heals the body's own tissues?</t>
  </si>
  <si>
    <t>The plan that the delegates agreed to was never ratified by the colonial legislatures nor approved of by the crown</t>
  </si>
  <si>
    <t xml:space="preserve"> Who has the Islamic Liberation Party never attempted to assassinate?</t>
  </si>
  <si>
    <t>Persia</t>
  </si>
  <si>
    <t>What did not require workforce consultation in business?</t>
  </si>
  <si>
    <t>The reason for the order of the classes and the reason why people were placed in a certain class was the date they surrendered to the Mongols, and had nothing to do with their ethnicity. The earlier they surrendered to the Mongols, the higher they were placed, the more the held out, the lower they were ranked. The Northern Chinese were ranked higher and Southern Chinese were ranked lower because southern China withstood and fought to the last before caving in. Major commerce during this era gave rise to favorable conditions for private southern Chinese manufacturers and merchants.</t>
  </si>
  <si>
    <t>What do drill cores show about water location?</t>
  </si>
  <si>
    <t>How many companies were registered in Berlin in 2006?</t>
  </si>
  <si>
    <t>What types of organizations are on a decline in the US which adversely effects economic mobility?</t>
  </si>
  <si>
    <t>Black's Law</t>
  </si>
  <si>
    <t>Where does the Rhine make a distinctive turn to the south?</t>
  </si>
  <si>
    <t>optimal</t>
  </si>
  <si>
    <t>What theorem states that the probability that a number n is prime is inversely proportional to its logarithm?</t>
  </si>
  <si>
    <t>About how many of the Asian population was Hmong?</t>
  </si>
  <si>
    <t>Peterloo massacre</t>
  </si>
  <si>
    <t>electric current</t>
  </si>
  <si>
    <t>Court of Justice</t>
  </si>
  <si>
    <t>4 weeks</t>
  </si>
  <si>
    <t>There have been insignificant changes in the Amazon rain forest vegetation through the last what</t>
  </si>
  <si>
    <t>What was William Johnson's Sioux name?</t>
  </si>
  <si>
    <t>1816</t>
  </si>
  <si>
    <t>What party rules in Melbourne's inner regions?</t>
  </si>
  <si>
    <t>Extensions of what drew Taurus to Jacksonville?</t>
  </si>
  <si>
    <t>Nonconservative forces</t>
  </si>
  <si>
    <t>What is considered to be a recreational euphoric?</t>
  </si>
  <si>
    <t>The Standard Industrial Classification and the newer North American Industry Classification System</t>
  </si>
  <si>
    <t>July 1982 to June 1983</t>
  </si>
  <si>
    <t>Who is Antigone's father in the play?</t>
  </si>
  <si>
    <t>contemporary Orient, "</t>
  </si>
  <si>
    <t>unpaired electrons in the molecule</t>
  </si>
  <si>
    <t>When did Europe slowly begin to warm up from the last Ice Age?</t>
  </si>
  <si>
    <t>What is a commonly used measurement used to determine the complexity of a computational problem?</t>
  </si>
  <si>
    <t>What debate lasts for 55 minutes?</t>
  </si>
  <si>
    <t>What are the two primary constitutional sources of the European Union?</t>
  </si>
  <si>
    <t>Second World War</t>
  </si>
  <si>
    <t>Currently, how many votes out of the 352 total votes are needed for a majority?</t>
  </si>
  <si>
    <t>What castle currently houses the Centre for Ujazdow Art?</t>
  </si>
  <si>
    <t>world's economy</t>
  </si>
  <si>
    <t>architects</t>
  </si>
  <si>
    <t>antiparallel</t>
  </si>
  <si>
    <t>Zones in which mountains are built along convergent tectonic plate boundaries are called what?</t>
  </si>
  <si>
    <t>What group operates St Dominic's College in Wanganui?</t>
  </si>
  <si>
    <t>Under the Scotland Act of 1988, what would be set up in Edinburgh?</t>
  </si>
  <si>
    <t>from Nova Scotia and Newfoundland in the north, to Georgia in the south</t>
  </si>
  <si>
    <t>model results, reports from government agencies and non-governmental organizations, and industry journals</t>
  </si>
  <si>
    <t>What was the cause for the issues with city funding?</t>
  </si>
  <si>
    <t>What is the FOX affiliate in Salinas?</t>
  </si>
  <si>
    <t>Who published the State of the Planet 2008-2009 report?</t>
  </si>
  <si>
    <t>Who did Warsaw serve as the seat for in 1529?</t>
  </si>
  <si>
    <t>social exclusion</t>
  </si>
  <si>
    <t>Other member do not normally contribute to what?</t>
  </si>
  <si>
    <t>In what year was the Articles of Confederation for South Carolina signed?</t>
  </si>
  <si>
    <t>planktonic plants</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</si>
  <si>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</si>
  <si>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Chivas</t>
  </si>
  <si>
    <t>a directly elected Scottish Assembly</t>
  </si>
  <si>
    <t>the machine gun</t>
  </si>
  <si>
    <t>Khrushchev</t>
  </si>
  <si>
    <t>Who was chairman of the House Science Committee?</t>
  </si>
  <si>
    <t>savings and investment</t>
  </si>
  <si>
    <t>Ctenophores may be abundant during the summer months in some coastal locations, but in other places they are uncommon and difficult to find. In bays where they occur in very high numbers, predation by ctenophores may control the populations of small zooplanktonic organisms such as copepods, which might otherwise wipe out the phytoplankton (planktonic plants), which are a vital part of marine food chains. One ctenophore, Mnemiopsis, has accidentally been introduced into the Black Sea, where it is blamed for causing fish stocks to collapse by eating both fish larvae and organisms that would otherwise have fed the fish. The situation was aggravated by other factors, such as over-fishing and long-term environmental changes that promoted the growth of the Mnemiopsis population. The later accidental introduction of Beroe helped to mitigate the problem, as Beroe preys on other ctenophores.</t>
  </si>
  <si>
    <t>What are the components of drug therapy?</t>
  </si>
  <si>
    <t>produce water currents that help direct microscopic prey toward the mouth</t>
  </si>
  <si>
    <t>What determines the temperature profile outside of the crust?</t>
  </si>
  <si>
    <t>Prior to European settlement, the area now constituting Victoria was inhabited by a large number of Aboriginal peoples, collectively known as the Koori. With Great Britain having claimed the entire Australian continent east of the 135th meridian east in 1788, Victoria was included in the wider colony of New South Wales. The first settlement in the area occurred in 1803 at Sullivan Bay, and much of what is now Victoria was included in the Port Phillip District in 1836, an administrative division of New South Wales. Victoria was officially created a separate colony in 1851, and achieved self-government in 1855. The Victorian gold rush in the 1850s and 1860s significantly increased both the population and wealth of the colony, and by the Federation of Australia in 1901, Melbourne had become the largest city and leading financial centre in Australasia. Melbourne also served as capital of Australia until the construction of Canberra in 1927, with the Federal Parliament meeting in Melbourne's Parliament House and all principal offices of the federal government being based in Melbourne.</t>
  </si>
  <si>
    <t>The Ministry of Defense discussed what in 1966?</t>
  </si>
  <si>
    <t>Why did Confucians hate the medical field?</t>
  </si>
  <si>
    <t>Interest groups and government agencies that were concerned with energy were no match for who?</t>
  </si>
  <si>
    <t>microscopic analysis of oriented thin sections</t>
  </si>
  <si>
    <t>What is the name of the American writer and satirist who is also a university alumni?</t>
  </si>
  <si>
    <t>What helps to unleash the productivity ability of the poor?</t>
  </si>
  <si>
    <t>What did the IPCC say was mistaken?</t>
  </si>
  <si>
    <t>The "West Side" of Fresno, also often called "Southwest Fresno", is one of the oldest neighborhoods in the city. The neighborhood lies southwest of the 99 freeway (which divides it from Downtown Fresno), west of the 41 freeway and south of Nielsen Ave (or the newly constructed 180 Freeway), and extends to the city limits to the west and south. The neighborhood is traditionally considered to be the center of Fresno's African-American community. It is culturally diverse and also includes significant Mexican-American and Asian-American (principally Hmong or Laotian) populations.</t>
  </si>
  <si>
    <t>What term refers to the concrete question to be solved?</t>
  </si>
  <si>
    <t>The next major step occurred when James Watt developed (1763–1775)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</si>
  <si>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Polish Academy of Sciences</t>
  </si>
  <si>
    <t>What area of Brookhaven is still known for its high levels of crime?</t>
  </si>
  <si>
    <t>Point Conception is an example of a landmark among what boundary of southern California?</t>
  </si>
  <si>
    <t>In U.S. states, what happens to the life expectancy in more economically equal ones?</t>
  </si>
  <si>
    <t>What is an example of a rotary engine without leakage?</t>
  </si>
  <si>
    <t>Disorders of the immune system can result in autoimmune diseases, inflammatory diseases and cancer. Immunodeficiency occurs when the immune system is less active than normal, resulting in recurring and life-threatening infections. In humans, immunodeficiency can either be the result of a genetic disease such as severe combined immunodeficiency, acquired conditions such as HIV/AIDS, or the use of immunosuppressive medication. In contrast, autoimmunity results from a hyperactive immune system attacking normal tissues as if they were foreign organisms. Common autoimmune diseases include Hashimoto's thyroiditis, rheumatoid arthritis, diabetes mellitus type 1, and systemic lupus erythematosus. Immunology covers the study of all aspects of the immune system.</t>
  </si>
  <si>
    <t>Climate fluctuations have stopped the savanna from doing what?</t>
  </si>
  <si>
    <t>sequenced delivery of data</t>
  </si>
  <si>
    <t>Where did John Paul II celebrate Mass in Berlin?</t>
  </si>
  <si>
    <t>What did the  fossils found in the Burgess Shale lack?</t>
  </si>
  <si>
    <t>Who moved his court from Warsaw to Krakow in 1596?</t>
  </si>
  <si>
    <t>What is the name of one type of modern algorithm test?</t>
  </si>
  <si>
    <t>Who invaded Scotland in the 10th century?</t>
  </si>
  <si>
    <t>What did John Paul II's visits in 1979 and 1983 encourage?</t>
  </si>
  <si>
    <t>What is the dispensary subject to in a majority of countries?</t>
  </si>
  <si>
    <t>depressurization</t>
  </si>
  <si>
    <t>When did oil finally returned to its Bretton Woods levels?</t>
  </si>
  <si>
    <t>Following a referendum in 1997</t>
  </si>
  <si>
    <t>1097</t>
  </si>
  <si>
    <t>What did Warner Sinback offer?</t>
  </si>
  <si>
    <t>How long did it take for Thoreau's disobedience to be known?</t>
  </si>
  <si>
    <t>diversified</t>
  </si>
  <si>
    <t>What patrols the body looking for phagocytes?</t>
  </si>
  <si>
    <t>What is the average weight of the biomass per hectare in the Amazon?</t>
  </si>
  <si>
    <t>the Amboise plot</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</si>
  <si>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太祖).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</si>
  <si>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What conjecture holds that there are always a minimum of 4 primes  between the squares of consecutive primes greater than 2?</t>
  </si>
  <si>
    <t>What is an example of an immunosuppressive drug that prevents T cell activity by altering signal transduction pathways?</t>
  </si>
  <si>
    <t>The French Protestant Church of London was established by Royal Charter in 1550. It is now located at Soho Square. Huguenot refugees flocked to Shoreditch, London. They established a major weaving industry in and around Spitalfields (see Petticoat Lane and the Tenterground) in East London. In Wandsworth, their gardening skills benefited the Battersea market gardens. The Old Truman Brewery, then known as the Black Eagle Brewery, was founded in 1724. The flight of Huguenot refugees from Tours, France drew off most of the workers of its great silk mills which they had built.[citation needed] Some of these immigrants moved to Norwich, which had accommodated an earlier settlement of Walloon weavers. The French added to the existing immigrant population, then comprising about a third of the population of the city.</t>
  </si>
  <si>
    <t>Newborns are vulnerable to infection because they have no previous exposure to what?</t>
  </si>
  <si>
    <t>What was required of Huguenot children after the Edict was revoked?</t>
  </si>
  <si>
    <t>the Great Dividing Range</t>
  </si>
  <si>
    <t>Governor Robert Dinwiddie had an investment in what insignificant company?</t>
  </si>
  <si>
    <t>Malkin Athletic Center</t>
  </si>
  <si>
    <t>The historian Francis Aidan Gasquet wrote about the 'Great Pestilence' in 1893 and suggested that "it would appear to be some form of the ordinary Eastern or bubonic plague". He was able to adopt the epidemiology of the bubonic plague for the Black Death for the second edition in 1908, implicating rats and fleas in the process, and his interpretation was widely accepted for other ancient and medieval epidemics, such as the Justinian plague that was prevalent in the Eastern Roman Empire from 541 to 700 CE.</t>
  </si>
  <si>
    <t>Quaternary period</t>
  </si>
  <si>
    <t>at the end of the 19th century</t>
  </si>
  <si>
    <t>Who won the battle of Lake Niagara?</t>
  </si>
  <si>
    <t>1805</t>
  </si>
  <si>
    <t>The College of the University of Chicago grants Bachelor of Arts and Bachelor of Science degrees in 50 academic majors and 28 minors. The college's academics are divided into five divisions: the Biological Sciences Collegiate Division, the Physical Sciences Collegiate Division, the Social Sciences Collegiate Division, the Humanities Collegiate Division, and the New Collegiate Division. The first four are sections within their corresponding graduate divisions, while the New Collegiate Division administers interdisciplinary majors and studies which do not fit in one of the other four divisions.</t>
  </si>
  <si>
    <t>deportation</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</si>
  <si>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</si>
  <si>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1975</t>
  </si>
  <si>
    <t>When a pathogen has been eaten by a phagocyte it becomes trapped in what vesicle?</t>
  </si>
  <si>
    <t>through the wilderness of the Maine district and down the Chaudière River to attack the city of Quebec</t>
  </si>
  <si>
    <t>How many societal class divisions were in the plan Kublai rejected?</t>
  </si>
  <si>
    <t>How many BSkyB channels were available to customers prior to October 2005?</t>
  </si>
  <si>
    <t>In what year did South African Vice Consul Duke Kent-Brown take office?</t>
  </si>
  <si>
    <t>What else were families with incomes below $38,000 not required to pay for in 2009?</t>
  </si>
  <si>
    <t>By the time of the Miocene</t>
  </si>
  <si>
    <t>What is the average construction salary in the UK?</t>
  </si>
  <si>
    <t>What does the Ruhr provide to it's community?</t>
  </si>
  <si>
    <t>Who ordered Loudoun to defend Louisbourg?</t>
  </si>
  <si>
    <t>constituency seats</t>
  </si>
  <si>
    <t>The clinical pharmacist's role involves creating a comprehensive drug therapy plan for patient-specific problems, identifying goals of therapy, and reviewing all prescribed medications prior to dispensing and administration to the patient. The review process often involves an evaluation of the appropriateness of the drug therapy (e.g., drug choice, dose, route, frequency, and duration of therapy) and its efficacy. The pharmacist must also monitor for potential drug interactions, adverse drug reactions, and assess patient drug allergies while designing and initiating a drug therapy plan.</t>
  </si>
  <si>
    <t>By what means were scientists able to liquefy air?</t>
  </si>
  <si>
    <t>industrialized nations increased their reserves (by expanding their money supplies) in amounts far greater than before</t>
  </si>
  <si>
    <t>What does the word prime generally suggest?</t>
  </si>
  <si>
    <t>nineteenth-century maps</t>
  </si>
  <si>
    <t>Krasiński Palace Garden</t>
  </si>
  <si>
    <t>In what country was the 2004 Velvet Revolution?</t>
  </si>
  <si>
    <t>What are the Siouan-speaking tribes?</t>
  </si>
  <si>
    <t>Petrologists can also use fluid inclusion data and perform high temperature and pressure physical experiments to understand the temperatures and pressures at which different mineral phases appear, and how they change through igneous and metamorphic processes. This research can be extrapolated to the field to understand metamorphic processes and the conditions of crystallization of igneous rocks. This work can also help to explain processes that occur within the Earth, such as subduction and magma chamber evolution.</t>
  </si>
  <si>
    <t>Andrew Alper</t>
  </si>
  <si>
    <t>Gothic architecture</t>
  </si>
  <si>
    <t>Where did the world's first railway journey terminate?</t>
  </si>
  <si>
    <t>Who's services do construction services integrate through design and construction?</t>
  </si>
  <si>
    <t>What was Kublai's favorite sect of Tibetan Buddhism?</t>
  </si>
  <si>
    <t>common organic molecules</t>
  </si>
  <si>
    <t>In what year did Henry Ware die?</t>
  </si>
  <si>
    <t>former Strathclyde Regional Council debating chamber in Glasgow</t>
  </si>
  <si>
    <t>What river originally bounded the Duchy</t>
  </si>
  <si>
    <t>Why do Islamists need democratic elections?</t>
  </si>
  <si>
    <t>When did Centrum serve as President?</t>
  </si>
  <si>
    <t>moraine</t>
  </si>
  <si>
    <t>What modern math concept did Zhu Shijie do work different from?</t>
  </si>
  <si>
    <t>What causes the population of ctenophora to grow at an explosive rate?</t>
  </si>
  <si>
    <t>location of Warsaw</t>
  </si>
  <si>
    <t>antiforms</t>
  </si>
  <si>
    <t>What is Sky+ HD material broadcast using?</t>
  </si>
  <si>
    <t>Works Council Directive</t>
  </si>
  <si>
    <t>What did the license to build this type of car expire in 2011?</t>
  </si>
  <si>
    <t>State Department</t>
  </si>
  <si>
    <t>While constitutional law concerns the European Union's governance structure, administrative law binds EU institutions and member states to follow the law. Both member states and the Commission have a general legal right or "standing" (locus standi) to bring claims against EU institutions and other member states for breach of the treaties. From the EU's foundation, the Court of Justice also held that the Treaties allowed citizens or corporations to bring claims against EU and member state institutions for violation of the Treaties and Regulations, if they were properly interpreted as creating rights and obligations. However, under Directives, citizens or corporations were said in 1986 to not be allowed to bring claims against other non-state parties. This meant courts of member states were not bound to apply an EU law where a national rule conflicted, even though the member state government could be sued, if it would impose an obligation on another citizen or corporation. These rules on "direct effect" limit the extent to which member state courts are bound to administer EU law. All actions by EU institutions can be subject to judicial review, and judged by standards of proportionality, particularly where general principles of law, or fundamental rights are engaged. The remedy for a claimant where there has been a breach of the law is often monetary damages, but courts can also require specific performance or will grant an injunction, in order to ensure the law is effective as possible.</t>
  </si>
  <si>
    <t>mantle</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</si>
  <si>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</si>
  <si>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What did the price of oil rise to in 1979 globally?</t>
  </si>
  <si>
    <t>Hassan al Banna</t>
  </si>
  <si>
    <t>What major crop was brought to China from the west?</t>
  </si>
  <si>
    <t>What is Jacksonville's hottest recorded temperature?</t>
  </si>
  <si>
    <t>Reserved</t>
  </si>
  <si>
    <t>In what city is Rangi Ruru Girls' School?</t>
  </si>
  <si>
    <t>Working Group chairs</t>
  </si>
  <si>
    <t>Who invited Washington to fight with him?</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</si>
  <si>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</si>
  <si>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What was the primary race of students attending Christian academies after the Brown decision?</t>
  </si>
  <si>
    <t>Who led the attack on Spain in 1565?</t>
  </si>
  <si>
    <t>What is the type of oxygen production for emergency oxygen in airlines?</t>
  </si>
  <si>
    <t>Metropolitan Statistical Areas</t>
  </si>
  <si>
    <t>In what year did Louis XIV die?</t>
  </si>
  <si>
    <t>strong rivalry against Cornell</t>
  </si>
  <si>
    <t>Scholars stated that there was already an existing settlement between 2 parties prior to which date?</t>
  </si>
  <si>
    <t>dispatched six regiments to New France</t>
  </si>
  <si>
    <t>What do some believe the Treaty of Versailles assisted in?</t>
  </si>
  <si>
    <t>Henry IV</t>
  </si>
  <si>
    <t xml:space="preserve">How is packet switching characterized </t>
  </si>
  <si>
    <t>When forces are acting on an extended body, what do you need to account for motion effects?</t>
  </si>
  <si>
    <t>What compounds are released by injured or infected cells, triggering inflammation?</t>
  </si>
  <si>
    <t>forceful taking of property</t>
  </si>
  <si>
    <t>What was the significance of British win?</t>
  </si>
  <si>
    <t>Newton came to realize that the effects of gravity might be observed in different ways at larger distances. In particular, Newton determined that the acceleration of the Moon around the Earth could be ascribed to the same force of gravity if the acceleration due to gravity decreased as an inverse square law. Further, Newton realized that the acceleration due to gravity is proportional to the mass of the attracting body. Combining these ideas gives a formula that relates the mass () and the radius () of the Earth to the gravitational acceleration:</t>
  </si>
  <si>
    <t>closure temperature</t>
  </si>
  <si>
    <t>What type of pharmacological effect is most likely an explanation for the "boost" from oxygen?</t>
  </si>
  <si>
    <t>What does not solve the problem of sorting a list of integers that is given as the input?</t>
  </si>
  <si>
    <t>in 2003</t>
  </si>
  <si>
    <t>What Governor wasn't in charge of New France died in 1752?</t>
  </si>
  <si>
    <t>some 30% of the city</t>
  </si>
  <si>
    <t>What are committees in the Scottish Parliament compared to other systems?</t>
  </si>
  <si>
    <t xml:space="preserve"> What have Muslims rejected Hamas for doing?</t>
  </si>
  <si>
    <t>obtaining cost-effective medication</t>
  </si>
  <si>
    <t>amount of time for which they are allowed to speak</t>
  </si>
  <si>
    <t>What was proven in 2001 in regard to the solid oxygen phase?</t>
  </si>
  <si>
    <t>Geoglyphs dating to what period were found in deforested land along the Amazon River?</t>
  </si>
  <si>
    <t>castles</t>
  </si>
  <si>
    <t>layered basaltic lava flows</t>
  </si>
  <si>
    <t>Of what is ozone a reactive part of oxygen?</t>
  </si>
  <si>
    <t>Infrastructure is often called what?</t>
  </si>
  <si>
    <t>What is the logic behind the cicadas prime number evolutionary strategy?</t>
  </si>
  <si>
    <t>Why does oxygen form bonds with all other types of elements?</t>
  </si>
  <si>
    <t>Johnson's expedition was better organized than Shirley's, which was noticed by New France's governor, the Marquis de Vaudreuil. He had primarily been concerned about the extended supply line to the forts on the Ohio, and had sent Baron Dieskau to lead the defenses at Frontenac against Shirley's expected attack. When Johnson was seen as the larger threat, Vaudreuil sent Dieskau to Fort St. Frédéric to meet that threat. Dieskau planned to attack the British encampment at Fort Edward at the upper end of navigation on the Hudson River, but Johnson had strongly fortified it, and Dieskau's Indian support was reluctant to attack. The two forces finally met in the bloody Battle of Lake George between Fort Edward and Fort William Henry. The battle ended inconclusively, with both sides withdrawing from the field. Johnson's advance stopped at Fort William Henry, and the French withdrew to Ticonderoga Point, where they began the construction of Fort Carillon (later renamed Fort Ticonderoga after British capture in 1759).</t>
  </si>
  <si>
    <t>What is QED short for?</t>
  </si>
  <si>
    <t>bassett focuses on what to illustrate his idea?</t>
  </si>
  <si>
    <t>What, along with solar, coal, and nuclear, uses the heat process?</t>
  </si>
  <si>
    <t>G. H. Hardy</t>
  </si>
  <si>
    <t>As well as creating rights for "workers" who generally lack bargaining power in the market, the Treaty on the Functioning of the European Union also protects the "freedom of establishment" in article 49, and "freedom to provide services" in article 56. In Gebhard v Consiglio dell’Ordine degli Avvocati e Procuratori di Milano the Court of Justice held that to be "established" means to participate in economic life "on a stable and continuous basis", while providing "services" meant pursuing activity more "on a temporary basis". This meant that a lawyer from Stuttgart, who had set up chambers in Milan and was censured by the Milan Bar Council for not having registered, was entitled to bring a claim under for establishment freedom, rather than service freedom. However, the requirements to be registered in Milan before being able to practice would be allowed if they were non-discriminatory, "justified by imperative requirements in the general interest" and proportionately applied. All people or entities that engage in economic activity, particularly the self-employed, or "undertakings" such as companies or firms, have a right to set up an enterprise without unjustified restrictions. The Court of Justice has held that both a member state government and a private party can hinder freedom of establishment, so article 49 has both "vertical" and "horizontal" direct effect. In Reyners v Belgium the Court of Justice held that a refusal to admit a lawyer to the Belgian bar because he lacked Belgian nationality was unjustified. TFEU article 49 says states are exempt from infringing others' freedom of establishment when they exercise "official authority", but this did an advocate's work (as opposed to a court's) was not official. By contrast in Commission v Italy the Court of Justice held that a requirement for lawyers in Italy to comply with maximum tariffs unless there was an agreement with a client was not a restriction. The Grand Chamber of the Court of Justice held the Commission had not proven that this had any object or effect of limiting practitioners from entering the market. Therefore, there was no prima facie infringement freedom of establishment that needed to be justified.</t>
  </si>
  <si>
    <t>What chemist managed to make enough liquid oxygen to use for study?</t>
  </si>
  <si>
    <t>a number of stages</t>
  </si>
  <si>
    <t>What is another term used for year 13?</t>
  </si>
  <si>
    <t>What is defined by using the theorem of reduction?</t>
  </si>
  <si>
    <t>the public PAD service Telepad</t>
  </si>
  <si>
    <t>Who was Boleslaw II of Masovia?</t>
  </si>
  <si>
    <t>What bridge did the Germans fail to demolish?</t>
  </si>
  <si>
    <t>What substantial error put the IPCC research in doubt?</t>
  </si>
  <si>
    <t>the European Convention on Human Rights in 1950 and the establishment of the European Court of Human Rights</t>
  </si>
  <si>
    <t xml:space="preserve">Who had remote terminal access? </t>
  </si>
  <si>
    <t>Directives</t>
  </si>
  <si>
    <t>What should happen if you focus only on self-gratification?</t>
  </si>
  <si>
    <t>How does the IPCC prepare Special Reports?</t>
  </si>
  <si>
    <t>issues related to the substance of the statement</t>
  </si>
  <si>
    <t>Which group of ctenophore are are hardest to study?</t>
  </si>
  <si>
    <t>2100</t>
  </si>
  <si>
    <t>What exchange in the FMCG is one of the most important for Central and Eastern Europe?</t>
  </si>
  <si>
    <t>What year did the flood that impacted the Meuse take place?</t>
  </si>
  <si>
    <t>solar power</t>
  </si>
  <si>
    <t>2009</t>
  </si>
  <si>
    <t>What was the first year that Yale and Harvard played football?</t>
  </si>
  <si>
    <t>In what does the doctrine of legitimate expectations have roots?</t>
  </si>
  <si>
    <t>Art Deco style in painting and art</t>
  </si>
  <si>
    <t>How many representatives does each electorate have?</t>
  </si>
  <si>
    <t>How did trying to establish a devolved Scottish Assembly go in 1979?</t>
  </si>
  <si>
    <t>When would the occupation of allies leave Rhineland?</t>
  </si>
  <si>
    <t>What makes the method of trial division more efficient?</t>
  </si>
  <si>
    <t>cannot be written as the knot sum of two nontrivial knots</t>
  </si>
  <si>
    <t>over 18 million</t>
  </si>
  <si>
    <t>minimality or indecomposability</t>
  </si>
  <si>
    <t>What proposed attacks did Shirley plan?</t>
  </si>
  <si>
    <t>last 5–10 million years</t>
  </si>
  <si>
    <t>scientific evidence</t>
  </si>
  <si>
    <t>What is one country that can't be suggested for importation of medicines?</t>
  </si>
  <si>
    <t>What tax rate has a direct relationship with income inequality?</t>
  </si>
  <si>
    <t>a Committee of Independent Experts</t>
  </si>
  <si>
    <t>quality rental units</t>
  </si>
  <si>
    <t>Thomas de Maiziere serves what role in the German cabinet?</t>
  </si>
  <si>
    <t>Andrew Jackson</t>
  </si>
  <si>
    <t>immunological memory</t>
  </si>
  <si>
    <t>Who ruled the duchy of Normandy</t>
  </si>
  <si>
    <t>What was Shrewsbury's conclusion?</t>
  </si>
  <si>
    <t>Irish</t>
  </si>
  <si>
    <t>increased settlement and deforestation</t>
  </si>
  <si>
    <t>French troops put down the Camisard uprisings between what years?</t>
  </si>
  <si>
    <t>need for capitalist economies to constantly expand investment, material resources and manpower</t>
  </si>
  <si>
    <t>deterministically</t>
  </si>
  <si>
    <t>What is the name of the CBS affiliate in Fresno?</t>
  </si>
  <si>
    <t>The Yuan was the first time all of Japan was ruled by whom?</t>
  </si>
  <si>
    <t>civil disobedience</t>
  </si>
  <si>
    <t>defensins and zinc</t>
  </si>
  <si>
    <t>What do all grammar schools insist their students have in order to attend?</t>
  </si>
  <si>
    <t>1970s</t>
  </si>
  <si>
    <t>What was report P-2626</t>
  </si>
  <si>
    <t>What precedes the period of Anglo-Saxon architecture?</t>
  </si>
  <si>
    <t>Greeks</t>
  </si>
  <si>
    <t>What is one way of digital civil disobedience that can have far reaching consequences?</t>
  </si>
  <si>
    <t>Politics: U.N. Secretary General Ban Ki-moon; American political leaders John Hancock, John Adams, John Quincy Adams, Rutherford B. Hayes, Theodore Roosevelt, Franklin D. Roosevelt, John F. Kennedy, Al Gore, George W. Bush and Barack Obama; Chilean President Sebastián Piñera; Colombian President Juan Manuel Santos; Costa Rican President José María Figueres; Mexican Presidents Felipe Calderón, Carlos Salinas de Gortari and Miguel de la Madrid; Mongolian President Tsakhiagiin Elbegdorj; Peruvian President Alejandro Toledo; Taiwanese President Ma Ying-jeou; Canadian Governor General David Lloyd Johnston; Indian Member of Parliament Jayant Sinha; Albanian Prime Minister Fan S. Noli; Canadian Prime Ministers Mackenzie King and Pierre Trudeau; Greek Prime Minister Antonis Samaras; Israeli Prime Minister Benjamin Netanyahu; former Pakistani Prime Minister Benazir Bhutto; U. S. Secretary of Housing and Urban Development Shaun Donovan; Canadian political leader Michael Ignatieff; Pakistani Members of Provincial Assembly Murtaza Bhutto and Sanam Bhutto; Bangladesh Minister of Finance Abul Maal Abdul Muhith; President of Puntland Abdiweli Mohamed Ali; U.S. Ambassador to the European Union Anthony Luzzatto Gardner.</t>
  </si>
  <si>
    <t>Pauli</t>
  </si>
  <si>
    <t xml:space="preserve"> In what battle were the Mongols joined by the Tran?</t>
  </si>
  <si>
    <t>Immunological memory can take what two forms?</t>
  </si>
  <si>
    <t>Gini</t>
  </si>
  <si>
    <t>Genesis</t>
  </si>
  <si>
    <t>What was Bill Aken's ethnicity?</t>
  </si>
  <si>
    <t>When was the Dutch Revolt?</t>
  </si>
  <si>
    <t>Who considered their land on the continent their most important holding?</t>
  </si>
  <si>
    <t>ctenophores,</t>
  </si>
  <si>
    <t>What was Eero Saarinen contracted to develop in 2011?</t>
  </si>
  <si>
    <t>best, worst and average case</t>
  </si>
  <si>
    <t>Toyota Corona Mark II</t>
  </si>
  <si>
    <t>Other than the Ijssel, where does the water from the Pannerdens Kanaal redsitrubute?</t>
  </si>
  <si>
    <t>Warsaw Citadel</t>
  </si>
  <si>
    <t>When did the Jin dynasty begin?</t>
  </si>
  <si>
    <t>What sources did the EU courts not drawn on?</t>
  </si>
  <si>
    <t>The connection between macroscopic nonconservative forces and microscopic conservative forces is described by detailed treatment with statistical mechanics. In macroscopic closed systems, nonconservative forces act to change the internal energies of the system, and are often associated with the transfer of heat. According to the Second law of thermodynamics, nonconservative forces necessarily result in energy transformations within closed systems from ordered to more random conditions as entropy increases.</t>
  </si>
  <si>
    <t>Which part of the immune system protects the brain?</t>
  </si>
  <si>
    <t>The amount of land a country controls is its worst what?</t>
  </si>
  <si>
    <t xml:space="preserve">What did the US abandon? </t>
  </si>
  <si>
    <t>Through stream capture, the Rhine extended its watershed southward. By the Pliocene period, the Rhine had captured streams down to the Vosges Mountains, including the Mosel, the Main and the Neckar. The northern Alps were then drained by the Rhone. By the early Pleistocene period, the Rhine had captured most of its current Alpine watershed from the Rhône, including the Aar. Since that time, the Rhine has added the watershed above Lake Constance (Vorderrhein, Hinterrhein, Alpenrhein; captured from the Rhône), the upper reaches of the Main, beyond Schweinfurt and the Vosges Mountains, captured from the Meuse, to its watershed.</t>
  </si>
  <si>
    <t>otter, beaver and hundreds of bird species.</t>
  </si>
  <si>
    <t>What were show made out of?</t>
  </si>
  <si>
    <t>offering a higher wage the best of their labor</t>
  </si>
  <si>
    <t>regulations and directives which are based on the Treaties</t>
  </si>
  <si>
    <t>NP</t>
  </si>
  <si>
    <t>whether a state or threat of war existed</t>
  </si>
  <si>
    <t xml:space="preserve">WHy was the Merit network formed in Michigan </t>
  </si>
  <si>
    <t>Who refused to act until Loudoun approved plans?</t>
  </si>
  <si>
    <t>What modern city is located on the original Huguenot colony?</t>
  </si>
  <si>
    <t>Ford, Chrysler, and GM, respectively</t>
  </si>
  <si>
    <t>diatomic gas</t>
  </si>
  <si>
    <t>What usually takes place on location for an unknown client?</t>
  </si>
  <si>
    <t>What happens when tyrosinase is expressed at low levels?</t>
  </si>
  <si>
    <t>How many horsepower was Newcomen's engine?</t>
  </si>
  <si>
    <t>where water is costly</t>
  </si>
  <si>
    <t>Abercynon in south Wales</t>
  </si>
  <si>
    <t>an ignition event</t>
  </si>
  <si>
    <t>What shape does the Aboral usually have?</t>
  </si>
  <si>
    <t>Where was the FIS formed?</t>
  </si>
  <si>
    <t>Where is the Rhine Bridge?</t>
  </si>
  <si>
    <t>a better relevant income.</t>
  </si>
  <si>
    <t>constant flooding</t>
  </si>
  <si>
    <t>What period did the Rhine capture streams?</t>
  </si>
  <si>
    <t>The immune system protects organisms against what?</t>
  </si>
  <si>
    <t>Who decides who gets to address the members of Parliament to share their thoughts on issues of faith?</t>
  </si>
  <si>
    <t>Those involved with the design and execution of the infrastructure in question</t>
  </si>
  <si>
    <t>MCI Telecommunications</t>
  </si>
  <si>
    <t>Frederick William</t>
  </si>
  <si>
    <t>Leonhard Euler</t>
  </si>
  <si>
    <t>Harvard's academic programs operate on a semester calendar beginning in early September and ending in mid-May. Undergraduates typically take four half-courses per term and must maintain a four-course rate average to be considered full-time. In many concentrations, students can elect to pursue a basic program or an honors-eligible program requiring a senior thesis and/or advanced course work. Students graduating in the top 4–5% of the class are awarded degrees summa cum laude, students in the next 15% of the class are awarded magna cum laude, and the next 30% of the class are awarded cum laude. Harvard has chapters of academic honor societies such as Phi Beta Kappa and various committees and departments also award several hundred named prizes annually. Harvard, along with other universities, has been accused of grade inflation, although there is evidence that the quality of the student body and its motivation have also increased. Harvard College reduced the number of students who receive Latin honors from 90% in 2004 to 60% in 2005. Moreover, the honors of "John Harvard Scholar" and "Harvard College Scholar" will now be given only to the top 5 percent and the next 5 percent of each class.</t>
  </si>
  <si>
    <t>qu</t>
  </si>
  <si>
    <t>Who was Warsaw under the administration of when it came under the rule of the General Goverment?</t>
  </si>
  <si>
    <t>Whose principles were the principle of faunal succession built upon?</t>
  </si>
  <si>
    <t>Where does two thirds of the Rhine flow outside of Germany?</t>
  </si>
  <si>
    <t>Terra preta is distributor over a small area of what?</t>
  </si>
  <si>
    <t>How did the network deliver the data?</t>
  </si>
  <si>
    <t>When was Dali defended by the Yuan?</t>
  </si>
  <si>
    <t>What will have a direct impact of inequality in a system that uses a progressive tax?</t>
  </si>
  <si>
    <t>unified front in trade and negotiations with various Indians</t>
  </si>
  <si>
    <t>What trend increases the organic composition of capital over the long term?</t>
  </si>
  <si>
    <t>non-native Chinese</t>
  </si>
  <si>
    <t>What helps the interior designers during integration?</t>
  </si>
  <si>
    <t>Whose mechanics affected three dimensional objects?</t>
  </si>
  <si>
    <t>Wahhabism</t>
  </si>
  <si>
    <t>Xiao Zhala</t>
  </si>
  <si>
    <t>What is the expression set called where three integers are multiplied?</t>
  </si>
  <si>
    <t>colonel of the Iroquois</t>
  </si>
  <si>
    <t>sevenfold</t>
  </si>
  <si>
    <t>What company agreed to terminate high court proceedings with Virgin Media?</t>
  </si>
  <si>
    <t>hash tables</t>
  </si>
  <si>
    <t>If the packets travel via different routes, then how do they arrive in order?</t>
  </si>
  <si>
    <t>education,</t>
  </si>
  <si>
    <t>In what year was the Alan Turing's definitional model of a computing device received?</t>
  </si>
  <si>
    <t>true Islamic</t>
  </si>
  <si>
    <t>the Tehachapis</t>
  </si>
  <si>
    <t>manage the pharmacy department and specialised areas</t>
  </si>
  <si>
    <t>Leonardo da Vinci</t>
  </si>
  <si>
    <t>Japanese</t>
  </si>
  <si>
    <t xml:space="preserve">Advanced networking was developed by what sponsorship? </t>
  </si>
  <si>
    <t>Where in Bass Straight is Victoria located?</t>
  </si>
  <si>
    <t>What is one reason a labour problem happens and can't be funded?</t>
  </si>
  <si>
    <t>1870s</t>
  </si>
  <si>
    <t xml:space="preserve"> Who besides Woodrow Wilson himself did not have the idea for the inquiry?</t>
  </si>
  <si>
    <t xml:space="preserve">Where does the Rhine begin? </t>
  </si>
  <si>
    <t>When was the paper published that the "Millennial Northern Hemisphere temperature reconstruction" graph was based on?</t>
  </si>
  <si>
    <t>How long did Western Europe control Cyprus?</t>
  </si>
  <si>
    <t xml:space="preserve"> Who did Britain not exploit in India?</t>
  </si>
  <si>
    <t>propaganda</t>
  </si>
  <si>
    <t>How did William Shirley feel about French advancement?</t>
  </si>
  <si>
    <t>How many focuses where there in report P-2626?</t>
  </si>
  <si>
    <t>round trip through all sites in Milan</t>
  </si>
  <si>
    <t>Black's Law Dictionary</t>
  </si>
  <si>
    <t>What did macroeconomic problems cause oil companies to search for?</t>
  </si>
  <si>
    <t>Revolutionary civil disobedience</t>
  </si>
  <si>
    <t>freshwater lake</t>
  </si>
  <si>
    <t>rainforest was reduced</t>
  </si>
  <si>
    <t>What was the Chinese name for the Central Secretariat?</t>
  </si>
  <si>
    <t>suburban</t>
  </si>
  <si>
    <t>After the Lisbon treaty, the Charter and the Convention now co-exist under what?</t>
  </si>
  <si>
    <t>torque variability</t>
  </si>
  <si>
    <t xml:space="preserve">What is the essential purpose of supplementation? </t>
  </si>
  <si>
    <t>What is continuing with energy levels far beyond the turn of the 20th century?</t>
  </si>
  <si>
    <t>What do scientists use to determine the process of river movement?</t>
  </si>
  <si>
    <t>What has a bond energy of 121 pm?</t>
  </si>
  <si>
    <t>Division I</t>
  </si>
  <si>
    <t>What test is especially useful for tests of the form 2p-1?</t>
  </si>
  <si>
    <t>How were Huguenot settlers assimilated into North American society at large?</t>
  </si>
  <si>
    <t>Which manufacturer never had supply issues when dealing with BSkyB?</t>
  </si>
  <si>
    <t>How was the event covered when Jews were arrested by tax collectors?</t>
  </si>
  <si>
    <t>A molecular phylogeny analysis confirmed that cydippid are not what?</t>
  </si>
  <si>
    <t>How many volumes does the John Crerar Library roughly hold?</t>
  </si>
  <si>
    <t>What does the beroe do when pursuing prey?</t>
  </si>
  <si>
    <t>18%</t>
  </si>
  <si>
    <t>What award was inspired by Corliss?</t>
  </si>
  <si>
    <t>The largest single sensory feature is the aboral organ (at the opposite end from the mouth). Its main component is a statocyst, a balance sensor consisting of a statolith, a solid particle supported on four bundles of cilia, called "balancers", that sense its orientation. The statocyst is protected by a transparent dome made of long, immobile cilia. A ctenophore does not automatically try to keep the statolith resting equally on all the balancers. Instead its response is determined by the animal's "mood", in other words the overall state of the nervous system. For example, if a ctenophore with trailing tentacles captures prey, it will often put some comb rows into reverse, spinning the mouth towards the prey.</t>
  </si>
  <si>
    <t>Colonialism often means a country doing what?</t>
  </si>
  <si>
    <t>The rotational inertia of planet Mars is what fixes the what?</t>
  </si>
  <si>
    <t>Besançon Hugues</t>
  </si>
  <si>
    <t>What English city was Edmund Bellinger from?</t>
  </si>
  <si>
    <t>an inauspicious typhoon</t>
  </si>
  <si>
    <t>What are incompetent government's commitment to social justice limited to?</t>
  </si>
  <si>
    <t>Robert Koch and Emil von Behring,</t>
  </si>
  <si>
    <t xml:space="preserve">Who was slow to readjust prices? </t>
  </si>
  <si>
    <t>modern cryptographic systems</t>
  </si>
  <si>
    <t>Where do Aboral usually live?</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</si>
  <si>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</si>
  <si>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the judges</t>
  </si>
  <si>
    <t>the creation of modern Balkan and Middle Eastern states</t>
  </si>
  <si>
    <t>gaseous</t>
  </si>
  <si>
    <t>1622</t>
  </si>
  <si>
    <t>herbal remedies</t>
  </si>
  <si>
    <t>The Brotherhood's members are in support of consuming what beverage?</t>
  </si>
  <si>
    <t>historical political divisions</t>
  </si>
  <si>
    <t>What did Abu al-Rayhan al-Biruni base his writings on?</t>
  </si>
  <si>
    <t>Rugby</t>
  </si>
  <si>
    <t>What are the second and third most populated megalopolis after Southern California?</t>
  </si>
  <si>
    <t>bioluminescence</t>
  </si>
  <si>
    <t>How many people live in the Alsace region of France?</t>
  </si>
  <si>
    <t>What are numbers greater than 1 that can be divided by 6 or more numbers called?</t>
  </si>
  <si>
    <t>Which French kind issued this declaration?</t>
  </si>
  <si>
    <t>they contain striated muscle</t>
  </si>
  <si>
    <t>Pliocene</t>
  </si>
  <si>
    <t>Wesel-Datteln Canal</t>
  </si>
  <si>
    <t>Trojans</t>
  </si>
  <si>
    <t>rats and fleas</t>
  </si>
  <si>
    <t>What year did Kind Vilnius move his court to Warsaw?</t>
  </si>
  <si>
    <t>How old were the fossils found in China?</t>
  </si>
  <si>
    <t>principle of faunal succession</t>
  </si>
  <si>
    <t>What are balance in an open system of particles?</t>
  </si>
  <si>
    <t>Through experimentation</t>
  </si>
  <si>
    <t>the Fermat primality test</t>
  </si>
  <si>
    <t>How many kilometers of acres of the Ecuadorian rainforest is supported?</t>
  </si>
  <si>
    <t>southern China</t>
  </si>
  <si>
    <t>Which body is composed of 2009 members?</t>
  </si>
  <si>
    <t>1,548</t>
  </si>
  <si>
    <t>to render certain laws ineffective, to cause their repeal, or to exert pressure to get one's political wishes on some other issue</t>
  </si>
  <si>
    <t>Which book by Edward Said portrayed the east as being the "others?"</t>
  </si>
  <si>
    <t>Who claimed that the name Black Death first appeared in 1631?</t>
  </si>
  <si>
    <t>the heart</t>
  </si>
  <si>
    <t>How has civil disobedience evolved in current times?</t>
  </si>
  <si>
    <t>Islamic revolution</t>
  </si>
  <si>
    <t>How much percentage of Victoria's land is taken up by farms?</t>
  </si>
  <si>
    <t>Which theorem would be invalid if the number 15 were considered prime?</t>
  </si>
  <si>
    <t>Formed in 1946, Sierra Sky Park Airport is a residential airport community born of a unique agreement in transportation law to allow personal aircraft and automobiles to share certain roads. Sierra Sky Park was the first aviation community to be built[citation needed] and there are now numerous such communities across the United States and around the world. Developer William Smilie created the nation's first planned aviation community. Still in operation today, the public use airport provides a unique neighborhood that spawned interest and similar communities nationwide.</t>
  </si>
  <si>
    <t>How do cilia and aboral escape from danger?</t>
  </si>
  <si>
    <t>What form are most hospital medications forbidden from being?</t>
  </si>
  <si>
    <t>Who did Duke Yansheng Kong Duanyou flee with?</t>
  </si>
  <si>
    <t>When did Buyantu resume testing potential government employees?</t>
  </si>
  <si>
    <t>711,988</t>
  </si>
  <si>
    <t>What is the name of the alphabet that is rarely used in a problem instance?</t>
  </si>
  <si>
    <t>In what country is the Cevennes?</t>
  </si>
  <si>
    <t>canalized section</t>
  </si>
  <si>
    <t>killer cell immunoglobulin</t>
  </si>
  <si>
    <t>prevent growth</t>
  </si>
  <si>
    <t>imprisonment</t>
  </si>
  <si>
    <t>Gamal Abdul Nasser</t>
  </si>
  <si>
    <t>four years</t>
  </si>
  <si>
    <t>many other herbs</t>
  </si>
  <si>
    <t>To what may general arithmetic questions be transferred to or from?</t>
  </si>
  <si>
    <t>nothing for their children to attend, including room and board</t>
  </si>
  <si>
    <t>almost all biomolecules that are important to (or generated by) life</t>
  </si>
  <si>
    <t>When did the Jin dynasty end?</t>
  </si>
  <si>
    <t>product of primes that is unique up to ordering</t>
  </si>
  <si>
    <t>2%</t>
  </si>
  <si>
    <t>Tethys sea</t>
  </si>
  <si>
    <t>What can block a legislation?</t>
  </si>
  <si>
    <t>Newtonian equations</t>
  </si>
  <si>
    <t xml:space="preserve">How is circuit switching allocated </t>
  </si>
  <si>
    <t>1900</t>
  </si>
  <si>
    <t>What attracts a matching helper B cell?</t>
  </si>
  <si>
    <t>Marquis de Vaudreuil</t>
  </si>
  <si>
    <t xml:space="preserve">What two women were defying the pharaoh in the story from the book of Exodus? </t>
  </si>
  <si>
    <t>What spacecraft contained data to determine the oxygen content of the Sun?</t>
  </si>
  <si>
    <t>How far is Warsaw from the Baltic Sea?</t>
  </si>
  <si>
    <t>Pannerdens Kanaal</t>
  </si>
  <si>
    <t>What problem is phrased on deciding whether the input has a factor more than k?</t>
  </si>
  <si>
    <t>Because of integration what are growing beyond services of architects?</t>
  </si>
  <si>
    <t>What event was blamed on the introduction of mnemiopsis into The Black Sea?</t>
  </si>
  <si>
    <t>What was William Johnson's role in British military?</t>
  </si>
  <si>
    <t>What are the least well known complexity resources?</t>
  </si>
  <si>
    <t>planned to attack Fort Niagara</t>
  </si>
  <si>
    <t>Who noted the different current uses of civil disobedience?</t>
  </si>
  <si>
    <t>Danube</t>
  </si>
  <si>
    <t>The political unity of China and much of central Asia</t>
  </si>
  <si>
    <t>piranha</t>
  </si>
  <si>
    <t>What do clinical pharmacists not specialize in?</t>
  </si>
  <si>
    <t>5 million people</t>
  </si>
  <si>
    <t>How was it suggested that the IPCC avoid political problems?</t>
  </si>
  <si>
    <t>Why did Davies never research his theory, concept, idea, etc. prior to developing it?</t>
  </si>
  <si>
    <t>If two thirds of the Rhine flows through Waal, where does the other third flow through?</t>
  </si>
  <si>
    <t>some activists who commit civil disobedience as a group collectively refuse to sign bail until certain demands are met</t>
  </si>
  <si>
    <t>acquittal and avoid imprisonment</t>
  </si>
  <si>
    <t>Who invented a high-pressure steam engine around 1800?</t>
  </si>
  <si>
    <t>a "unit</t>
  </si>
  <si>
    <t>What name was given to the western half of Wales?</t>
  </si>
  <si>
    <t>What is the highest point of the Rhine basin called?</t>
  </si>
  <si>
    <t>In 2009 what was the total of Grants awarded from Harvard?</t>
  </si>
  <si>
    <t>What did the Merwede-Oude Maas form with Waal and Lek?</t>
  </si>
  <si>
    <t>Sunnyside</t>
  </si>
  <si>
    <t>Why is the Holocene not shown clearly on the first timeline?</t>
  </si>
  <si>
    <t>What can scales and spring balances measure between two forces by using static equilibrium?</t>
  </si>
  <si>
    <t>What year was Casimir Wola born in Warsaw?</t>
  </si>
  <si>
    <t>What is the Huguenot church in Charleston, South Carolina named?</t>
  </si>
  <si>
    <t>compressed gas;</t>
  </si>
  <si>
    <t>Why were Roman Catholic schools founded?</t>
  </si>
  <si>
    <t>Establishing "natural borders"</t>
  </si>
  <si>
    <t>When was the Palace on the Bank rebuilt?</t>
  </si>
  <si>
    <t>What was the total nominal GDP of Warsaw in 2010?</t>
  </si>
  <si>
    <t>What percentage of Filipino tertiary education takes place in private schools?</t>
  </si>
  <si>
    <t>the helmeted honeyeater</t>
  </si>
  <si>
    <t>What has the United Nations designed ISIL?</t>
  </si>
  <si>
    <t xml:space="preserve">Who founded Telnet </t>
  </si>
  <si>
    <t>Warsaw Summer Jazz Days is one of the many what hosted by Warsaw?</t>
  </si>
  <si>
    <t>middle eastern scientists</t>
  </si>
  <si>
    <t xml:space="preserve">What delivery message was used </t>
  </si>
  <si>
    <t>inorganic compounds</t>
  </si>
  <si>
    <t>Fielding H. Garrison believes that the science of geology can be traced to where?</t>
  </si>
  <si>
    <t>This person proposed explanations for the origins of earthquakes and the formation of mountains, what was his name?</t>
  </si>
  <si>
    <t>since the 1950s</t>
  </si>
  <si>
    <t>1487</t>
  </si>
  <si>
    <t>1973–74</t>
  </si>
  <si>
    <t>richest 1 percent</t>
  </si>
  <si>
    <t>Southeastern U.S.</t>
  </si>
  <si>
    <t>Planetary geologists have measured different abundances of oxygen isotopes in samples from the Earth, the Moon, Mars, and meteorites, but were long unable to obtain reference values for the isotope ratios in the Sun, believed to be the same as those of the primordial solar nebula. Analysis of a silicon wafer exposed to the solar wind in space and returned by the crashed Genesis spacecraft has shown that the Sun has a higher proportion of oxygen-16 than does the Earth. The measurement implies that an unknown process depleted oxygen-16 from the Sun's disk of protoplanetary material prior to the coalescence of dust grains that formed the Earth.</t>
  </si>
  <si>
    <t>to counteract the constant flooding and strong sedimentation</t>
  </si>
  <si>
    <t>models</t>
  </si>
  <si>
    <t>Who do clinical pharmacists never work with?</t>
  </si>
  <si>
    <t>Friction is not caused by the gradients of what?</t>
  </si>
  <si>
    <t>What desert is to the south near Nevada?</t>
  </si>
  <si>
    <t>logistical difficulties</t>
  </si>
  <si>
    <t xml:space="preserve"> When was the Ming dynasty out of power?</t>
  </si>
  <si>
    <t>Tribal members living in the rainforests of what region are using Google Earth?</t>
  </si>
  <si>
    <t>What counties near Kern-Bakersfield County was population growth high?</t>
  </si>
  <si>
    <t>In what year was it suggested the Jacksonville stop annexing outlying communities?</t>
  </si>
  <si>
    <t>Some Chinese considered the Yuan a legitimate dynasty, but what did other Chinese think it was?</t>
  </si>
  <si>
    <t>What do the services given by pharmacists provide?</t>
  </si>
  <si>
    <t>lysozyme and phospholipase A2</t>
  </si>
  <si>
    <t>State Route 168 is called the Sierra Freeway and what other two names?</t>
  </si>
  <si>
    <t xml:space="preserve">How wide is the Upper Rhine Plain? </t>
  </si>
  <si>
    <t>What is a major reason judges use morality against crime?</t>
  </si>
  <si>
    <t>What is the upper level of the Australian House of Representatives called?</t>
  </si>
  <si>
    <t>granted the Huguenots substantial religious, political and military autonomy</t>
  </si>
  <si>
    <t>When do cash flow problems exist?</t>
  </si>
  <si>
    <t>What may be varied by up to two months?</t>
  </si>
  <si>
    <t>Why did French feel they had no right to Ohio claim?</t>
  </si>
  <si>
    <t>What is the name of the property that designates a number as being prime or not?</t>
  </si>
  <si>
    <t>Theories on imperialism use which country as a model?</t>
  </si>
  <si>
    <t>unfair</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</si>
  <si>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Their use in agriculture led to an increase in the land available for cultivation. There have at one time or another been steam-powered farm tractors, motorcycles (without much success) and even automobiles as the Stanley Steamer.</t>
  </si>
  <si>
    <t>the Commentaries on the Classic of Changes</t>
  </si>
  <si>
    <t>"vector quantities"</t>
  </si>
  <si>
    <t>Who betrayed the Normans?</t>
  </si>
  <si>
    <t>Who was given land by British goovernment for development of Ohio Country?</t>
  </si>
  <si>
    <t>What was not able to see through the dense solid core of the Earth?</t>
  </si>
  <si>
    <t>Economist Simon Kuznets argued that levels of economic inequality are in large part the result of stages of development. According to Kuznets, countries with low levels of development have relatively equal distributions of wealth. As a country develops, it acquires more capital, which leads to the owners of this capital having more wealth and income and introducing inequality. Eventually, through various possible redistribution mechanisms such as social welfare programs, more developed countries move back to lower levels of inequality.</t>
  </si>
  <si>
    <t>vicious and destructive</t>
  </si>
  <si>
    <t>What are boarding schools that teach English called?</t>
  </si>
  <si>
    <t>Type II</t>
  </si>
  <si>
    <t>What cells do gamma delta T cells not share characteristics with?</t>
  </si>
  <si>
    <t xml:space="preserve">What did the Apple system assign automatically </t>
  </si>
  <si>
    <t>along the St. Lawrence River valley</t>
  </si>
  <si>
    <t>What religion were most Italians during the 1620s?</t>
  </si>
  <si>
    <t>What is included in Medication Therapy Management?</t>
  </si>
  <si>
    <t>2005</t>
  </si>
  <si>
    <t>send aid and sometimes to go themselves to fight for their faith</t>
  </si>
  <si>
    <t>CALIPSO</t>
  </si>
  <si>
    <t>The concept environmental determinism served as a moral justification for domination of certain territories and peoples. It was believed that a certain person's behaviours were determined by the environment in which they lived and thus validated their domination. For example, people living in tropical environments were seen as "less civilized" therefore justifying colonial control as a civilizing mission. Across the three waves of European colonialism (first in the Americas, second in Asia and lastly in Africa), environmental determinism was used to categorically place indigenous people in a racial hierarchy. This takes two forms, orientalism and tropicality.</t>
  </si>
  <si>
    <t>unusual resources</t>
  </si>
  <si>
    <t>What type of constuction is eivided into private and public buildings?</t>
  </si>
  <si>
    <t>Imperialism and colonialism both dictate the political and economic advantage over a land and the indigenous populations they control, yet scholars sometimes find it difficult to illustrate the difference between the two. Although imperialism and colonialism focus on the suppression of an other, if colonialism refers to the process of a country taking physical control of another, imperialism refers to the political and monetary dominance, either formally or informally. Colonialism is seen to be the architect deciding how to start dominating areas and then imperialism can be seen as creating the idea behind conquest cooperating with colonialism. Colonialism is when the imperial nation begins a conquest over an area and then eventually is able to rule over the areas the previous nation had controlled. Colonialism's core meaning is the exploitation of the valuable assets and supplies of the nation that was conquered and the conquering nation then gaining the benefits from the spoils of the war. The meaning of imperialism is to create an empire, by conquering the other state's lands and therefore increasing its own dominance. Colonialism is the builder and preserver of the colonial possessions in an area by a population coming from a foreign region. Colonialism can completely change the existing social structure, physical structure and economics of an area; it is not unusual that the characteristics of the conquering peoples are inherited by the conquered indigenous populations.</t>
  </si>
  <si>
    <t>encourage</t>
  </si>
  <si>
    <t>Who dates rocks, precisely, within the stratigraphic section?</t>
  </si>
  <si>
    <t>lower temperatures</t>
  </si>
  <si>
    <t>strong response</t>
  </si>
  <si>
    <t>Besides Confucianism, Buddhism, and Islam, what religions were tolerated during the Yuan?</t>
  </si>
  <si>
    <t>Why do people chose civil disobedience to protest?</t>
  </si>
  <si>
    <t>Clearly, some tumors evade the immune system and go on to become cancers. Tumor cells often have a reduced number of MHC class I molecules on their surface, thus avoiding detection by killer T cells. Some tumor cells also release products that inhibit the immune response; for example by secreting the cytokine TGF-β, which suppresses the activity of macrophages and lymphocytes. In addition, immunological tolerance may develop against tumor antigens, so the immune system no longer attacks the tumor cells.</t>
  </si>
  <si>
    <t>100,000</t>
  </si>
  <si>
    <t>optimisation of a drug treatment for an individual</t>
  </si>
  <si>
    <t>How many plant species are estimated to be in the Amazon region?</t>
  </si>
  <si>
    <t>What is one of the largest and most modern oncological institutions in Europe?</t>
  </si>
  <si>
    <t>4380 species of what have been registered?</t>
  </si>
  <si>
    <t>What lens is used to identify chemical composition?</t>
  </si>
  <si>
    <t>What is the Upati Garden in Polish?</t>
  </si>
  <si>
    <t>What type of value would the zeta function have if there were finite primes?</t>
  </si>
  <si>
    <t>coal</t>
  </si>
  <si>
    <t>What expression is generally used to convey upper or lower bounds?</t>
  </si>
  <si>
    <t>On what lake did troops attack fort william henry in summer?</t>
  </si>
  <si>
    <t xml:space="preserve">What protein does not effect T-cell differentiation? </t>
  </si>
  <si>
    <t>Who does Cambridge say the expansion will benefit?</t>
  </si>
  <si>
    <t>In September 1971</t>
  </si>
  <si>
    <t>2003</t>
  </si>
  <si>
    <t>imperialist influence</t>
  </si>
  <si>
    <t>warmest regions</t>
  </si>
  <si>
    <t>What did the UK ban on Sundays due to the embargo?</t>
  </si>
  <si>
    <t>NL and NC</t>
  </si>
  <si>
    <t>How wide is the Rhine?</t>
  </si>
  <si>
    <t>Emergency Highway Energy Conservation Act</t>
  </si>
  <si>
    <t>through increasing functionings</t>
  </si>
  <si>
    <t>On what date did the first railway trip in the world occur?</t>
  </si>
  <si>
    <t>How many French Huguenot residents of Manakin Town actually live outside the town on farms?</t>
  </si>
  <si>
    <t>Rollo</t>
  </si>
  <si>
    <t>higher economic inequality</t>
  </si>
  <si>
    <t>Who plotted the relationships between levels of income and inequality?</t>
  </si>
  <si>
    <t xml:space="preserve"> In what dynasty did Tianze die?</t>
  </si>
  <si>
    <t>1273</t>
  </si>
  <si>
    <t>What ethnic neighborhood in Fresno had primarily Japanese residents in 1940?</t>
  </si>
  <si>
    <t>What did Standard &amp; Poor recommend to speed economy recovery?</t>
  </si>
  <si>
    <t>1064</t>
  </si>
  <si>
    <t>could be profitable</t>
  </si>
  <si>
    <t>-40%</t>
  </si>
  <si>
    <t>What had happened to Vice President Agnew's status in modern times?</t>
  </si>
  <si>
    <t>more than 1.3 million</t>
  </si>
  <si>
    <t>quantum electrodynamics (or QED)</t>
  </si>
  <si>
    <t>second level</t>
  </si>
  <si>
    <t>In September 1958, Bank of America launched a new product called BankAmericard in Fresno. After a troubled gestation during which its creator resigned, BankAmericard went on to become the first successful credit card; that is, a financial instrument that was usable across a large number of merchants and also allowed cardholders to revolve a balance (earlier financial products could do one or the other but not both). In 1976, BankAmericard was renamed and spun off into a separate company known today as Visa Inc.</t>
  </si>
  <si>
    <t>At the beginning of the 20th century</t>
  </si>
  <si>
    <t>What are bacteria unable to secrete?</t>
  </si>
  <si>
    <t>What to architects in the US/Canada earn yearly?</t>
  </si>
  <si>
    <t>When did Holden announce that it will open its Victoria plant?</t>
  </si>
  <si>
    <t>Spanish</t>
  </si>
  <si>
    <t>Who realized that gravitational deceleration was proportional to mass?</t>
  </si>
  <si>
    <t>In what direction does the river system extend?</t>
  </si>
  <si>
    <t>What was higher during the LGM than the present?</t>
  </si>
  <si>
    <t>Adolf Hitler's rise to power</t>
  </si>
  <si>
    <t>What directly opposes the force applied to move an object across a surface?</t>
  </si>
  <si>
    <t>reduced productivity</t>
  </si>
  <si>
    <t>Microplates squeezing and rotating created the features of what?</t>
  </si>
  <si>
    <t>The poor soil found over much of the Amazon force is a result of what?</t>
  </si>
  <si>
    <t>What is the name of the largest university press in the U.S?</t>
  </si>
  <si>
    <t>Which company provided streetcar connections between downtown and the hospital?</t>
  </si>
  <si>
    <t>The Brotherhood was the only opposition group in Egypt able to do what during elections?</t>
  </si>
  <si>
    <t xml:space="preserve"> What entity has taken the view that the goals of free trade are underpinned by the aims to improve people's well being?</t>
  </si>
  <si>
    <t>mustered local militia companies, generally ill trained and available only for short periods, to deal with native threats, but did not have any standing forces.</t>
  </si>
  <si>
    <t>Where are high-pressure engines based?</t>
  </si>
  <si>
    <t>Who designed the Mission Revival Style architecture?</t>
  </si>
  <si>
    <t>To what may general global fields be transferred to or from?</t>
  </si>
  <si>
    <t>What can lead to higher wages for members of labor organizations?</t>
  </si>
  <si>
    <t>informal</t>
  </si>
  <si>
    <t>St. Lawrence, with primary defenses at Carillon, Quebec, and Louisbourg,</t>
  </si>
  <si>
    <t>rebellion</t>
  </si>
  <si>
    <t>rotational equivalent for position</t>
  </si>
  <si>
    <t>What type of engines does the American car typically have?</t>
  </si>
  <si>
    <t>Where does a canonball dropped from the crow's nest of a ship actually land?</t>
  </si>
  <si>
    <t>derived a cubic interpolation formula</t>
  </si>
  <si>
    <t>Going to jail accomplished what goal of civil disobedience?</t>
  </si>
  <si>
    <t>Lorenzo's Law describes what?</t>
  </si>
  <si>
    <t>What is the largest city of Poland?</t>
  </si>
  <si>
    <t>How far from Czerniakow does the Vistula river's environment change noticeably?</t>
  </si>
  <si>
    <t>What brand of car is manufactured in Broadmeadows?</t>
  </si>
  <si>
    <t>Melbourne Cricket Ground</t>
  </si>
  <si>
    <t>The spin of what can produce a magnetic effect to oxygen molecules?</t>
  </si>
  <si>
    <t>The Italian Constitutional Court</t>
  </si>
  <si>
    <t>closed Huguenot schools and excluded them from favored professions</t>
  </si>
  <si>
    <t>At what pressure is water heated in the Rankine cycle?</t>
  </si>
  <si>
    <t>Second law of thermodynamics</t>
  </si>
  <si>
    <t>direction in which the mouth is pointing</t>
  </si>
  <si>
    <t>"white flight"</t>
  </si>
  <si>
    <t>When did the first tentacles form on ctenophores?</t>
  </si>
  <si>
    <t>The definition of imperialism has not been finalized for centuries and was confusedly seen to represent the policies of major powers, or simply, general-purpose aggressiveness. Further on, some writers[who?] used the term imperialism, in slightly more discriminating fashion, to mean all kinds of domination or control by a group of people over another. To clear out this confusion about the definition of imperialism one could speak of "formal" and "informal" imperialism, the first meaning physical control or "full-fledged colonial rule" while the second implied less direct rule though still containing perceivable kinds of dominance. Informal rule is generally less costly than taking over territories formally. This is because, with informal rule, the control is spread more subtly through technological superiority, enforcing land officials into large debts that cannot be repaid, ownership of private industries thus expanding the controlled area, or having countries agree to uneven trade agreements forcefully.</t>
  </si>
  <si>
    <t>Saddam Hussein</t>
  </si>
  <si>
    <t>In what two age groups is the strength of the immune system reduced?</t>
  </si>
  <si>
    <t>What was there a significant minority of in World War II?</t>
  </si>
  <si>
    <t>How many Huguenots were in France in the early 18th century?</t>
  </si>
  <si>
    <t>What organization predicted that the Amazon forest could survive only three years of drought?</t>
  </si>
  <si>
    <t>When did France take control of London?</t>
  </si>
  <si>
    <t>What sector include utility distribution and refineries?</t>
  </si>
  <si>
    <t>What has presented problems to the US economy more than other nations?</t>
  </si>
  <si>
    <t>the relevant cross-sectional area for the volume for which the stress-tensor is being calculated</t>
  </si>
  <si>
    <t>What architecture type came before Norman in England?</t>
  </si>
  <si>
    <t>Davies is credited with coining the modern name packet switching and inspiring numerous packet switching networks in Europe</t>
  </si>
  <si>
    <t xml:space="preserve"> When was Gou's calendar rejected as the official calendar of the Yuan?</t>
  </si>
  <si>
    <t>as a liquid in specially insulated tankers</t>
  </si>
  <si>
    <t>What does connection orientation require</t>
  </si>
  <si>
    <t>drug product selection</t>
  </si>
  <si>
    <t>What is one example of a unique factorization domain?</t>
  </si>
  <si>
    <t>How much has global mean surface air temperature changed in the last century?</t>
  </si>
  <si>
    <t>Who voted against Jacksonville's annexation?</t>
  </si>
  <si>
    <t>In an adjustable power engine, what needs to be broken to allow an operator to tamper with it?</t>
  </si>
  <si>
    <t>When do banks believe civil disobedience is justified?</t>
  </si>
  <si>
    <t>During withdrawal from Fort William Henry, what did some Indian allies of French do?</t>
  </si>
  <si>
    <t>How much water does the Rhine discharge at the French border?</t>
  </si>
  <si>
    <t>natural specificity of the immune system</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</si>
  <si>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</si>
  <si>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ideal strings</t>
  </si>
  <si>
    <t>In many countries, what kind of pay gap isn't there?</t>
  </si>
  <si>
    <t>oxygen cycle</t>
  </si>
  <si>
    <t>Where did the Song dynasty continue be peaceful with Kublai?</t>
  </si>
  <si>
    <t>suburbs</t>
  </si>
  <si>
    <t>Huguenot rebellions</t>
  </si>
  <si>
    <t>79</t>
  </si>
  <si>
    <t>valleys</t>
  </si>
  <si>
    <t>In 1781 James Watt patented a steam engine that produced continuous rotary motion. Watt's ten-horsepower engines enabled a wide range of manufacturing machinery to be powered. The engines could be sited anywhere that water and coal or wood fuel could be obtained. By 1883, engines that could provide 10,000 hp had become feasible. The stationary steam engine was a key component of the Industrial Revolution, allowing factories to locate where water power was unavailable. The atmospheric engines of Newcomen and Watt were large compared to the amount of power they produced, but high pressure steam engines were light enough to be applied to vehicles such as traction engines and the railway locomotives.</t>
  </si>
  <si>
    <t>The amount of land a country controls is its greatest what?</t>
  </si>
  <si>
    <t xml:space="preserve"> Who influenced France besides his neighbors?</t>
  </si>
  <si>
    <t>What may not be more powerful than others when the resources of time or space of considered?</t>
  </si>
  <si>
    <t>What was Tugh's Chinese-style name?</t>
  </si>
  <si>
    <t>The first full-scale working railway steam locomotive was built by Richard Trevithick in the United Kingdom and, on 21 February 1804, the world's first railway journey took place as Trevithick's unnamed steam locomotive hauled a train along the tramway from the Pen-y-darren ironworks, near Merthyr Tydfil to Abercynon in south Wales. The design incorporated a number of important innovations that included using high-pressure steam which reduced the weight of the engine and increased its efficiency. Trevithick visited the Newcastle area later in 1804 and the colliery railways in north-east England became the leading centre for experimentation and development of steam locomotives.</t>
  </si>
  <si>
    <t>gold rushes</t>
  </si>
  <si>
    <t>private southern Chinese manufacturers and merchants</t>
  </si>
  <si>
    <t>was increased</t>
  </si>
  <si>
    <t>What year did BSkyB remove Sky Italia?</t>
  </si>
  <si>
    <t>When was the French version of the word Norman first recorded?</t>
  </si>
  <si>
    <t>Where are some of the best schools in East-Central Europe located?</t>
  </si>
  <si>
    <t>garrisons</t>
  </si>
  <si>
    <t>The most basic method of checking the primality of a given integer n is called trial division. This routine consists of dividing n by each integer m that is greater than 1 and less than or equal to the square root of n. If the result of any of these divisions is an integer, then n is not a prime, otherwise it is a prime. Indeed, if  is composite (with a and b ≠ 1) then one of the factors a or b is necessarily at most . For example, for , the trial divisions are by m = 2, 3, 4, 5, and 6. None of these numbers divides 37, so 37 is prime. This routine can be implemented more efficiently if a complete list of primes up to  is known—then trial divisions need to be checked only for those m that are prime. For example, to check the primality of 37, only three divisions are necessary (m = 2, 3, and 5), given that 4 and 6 are composite.</t>
  </si>
  <si>
    <t>To whom did William Maclure submit the map?</t>
  </si>
  <si>
    <t>Americans</t>
  </si>
  <si>
    <t>What must local regulations conform to?</t>
  </si>
  <si>
    <t>The design team is most commonly employed by who?</t>
  </si>
  <si>
    <t>What dual titles did Frederick William hold?</t>
  </si>
  <si>
    <t>tension force on a load can be multiplied</t>
  </si>
  <si>
    <t>Fresno Normal School</t>
  </si>
  <si>
    <t>Dendritic cells</t>
  </si>
  <si>
    <t>characteristics</t>
  </si>
  <si>
    <t>What type of nightclubs does Fresno have?</t>
  </si>
  <si>
    <t>What do some people think ACT UP's duty should be when caught?</t>
  </si>
  <si>
    <t>What other reason caused good supply of New France from a difficult winter?</t>
  </si>
  <si>
    <t>Kabaty Forest</t>
  </si>
  <si>
    <t>What does not frequently produce complexity classes that have concrete bounding of computation time?</t>
  </si>
  <si>
    <t>What type of rock is found at the Grand Canyon?</t>
  </si>
  <si>
    <t>What aspect of Western medicine did the Chinese dislike?</t>
  </si>
  <si>
    <t>What are new responsibilities pharmacy technicians now deal with?</t>
  </si>
  <si>
    <t>How does the larvae develop?</t>
  </si>
  <si>
    <t>offshore of Brest,</t>
  </si>
  <si>
    <t>infinite</t>
  </si>
  <si>
    <t>What does connectionless-oriented transmission require?</t>
  </si>
  <si>
    <t>When was the Tower Theatre built?</t>
  </si>
  <si>
    <t>1060s</t>
  </si>
  <si>
    <t>solvents</t>
  </si>
  <si>
    <t>the south</t>
  </si>
  <si>
    <t>eliminate all multiples of 1</t>
  </si>
  <si>
    <t>regional cities</t>
  </si>
  <si>
    <t>The University of Chicago Library system has how many libraries in total?</t>
  </si>
  <si>
    <t>Who concluded that motion in a constant velocity was completely equivalent to motion?</t>
  </si>
  <si>
    <t>Since then, and so far, general relativity has been acknowledged as the theory that best explains gravity. In GR, gravitation is not viewed as a force, but rather, objects moving freely in gravitational fields travel under their own inertia in straight lines through curved space-time – defined as the shortest space-time path between two space-time events. From the perspective of the object, all motion occurs as if there were no gravitation whatsoever. It is only when observing the motion in a global sense that the curvature of space-time can be observed and the force is inferred from the object's curved path. Thus, the straight line path in space-time is seen as a curved line in space, and it is called the ballistic trajectory of the object. For example, a basketball thrown from the ground moves in a parabola, as it is in a uniform gravitational field. Its space-time trajectory (when the extra ct dimension is added) is almost a straight line, slightly curved (with the radius of curvature of the order of few light-years). The time derivative of the changing momentum of the object is what we label as "gravitational force".</t>
  </si>
  <si>
    <t>What did Iqbal fear would strengthen the spiritual foundations of Islam and Muslim society?</t>
  </si>
  <si>
    <t>University of Chicago Press</t>
  </si>
  <si>
    <t>Oxygen exists in the atmosphere by way of what?</t>
  </si>
  <si>
    <t>Konsumentombudsmannen v De Agostini</t>
  </si>
  <si>
    <t>Wijk bij Duurstede</t>
  </si>
  <si>
    <t>Ethiopian Empire</t>
  </si>
  <si>
    <t>(n − 1)!</t>
  </si>
  <si>
    <t>the WMO</t>
  </si>
  <si>
    <t>protein A</t>
  </si>
  <si>
    <t>French Louisiana</t>
  </si>
  <si>
    <t>Anwar Sadat</t>
  </si>
  <si>
    <t>What ends at this bend in the Rhine?</t>
  </si>
  <si>
    <t>What was William Johnson's role in French military?</t>
  </si>
  <si>
    <t>various academic disciplines</t>
  </si>
  <si>
    <t>By what name were the "supposedly reformed" known?</t>
  </si>
  <si>
    <t>What has crime rate been shown not to be correlated with in a society?</t>
  </si>
  <si>
    <t>What do some people protest against?</t>
  </si>
  <si>
    <t>defense and justification of empire-building based on seemingly rational grounds</t>
  </si>
  <si>
    <t>negative</t>
  </si>
  <si>
    <t>When was al-Nimeiry overthrown?</t>
  </si>
  <si>
    <t>housing</t>
  </si>
  <si>
    <t>people who give services "for remuneration", especially commercial or professional activity</t>
  </si>
  <si>
    <t>gravity</t>
  </si>
  <si>
    <t>What were mid ocean ridges and high regions of geologic features called?</t>
  </si>
  <si>
    <t>What are the secondary sources of primary law?</t>
  </si>
  <si>
    <t>What drives down wages in a job with many workers willing to work a lot?</t>
  </si>
  <si>
    <t>Can address information be changed after the set-up phase?</t>
  </si>
  <si>
    <t>What rank does the Early Action program have among all others?</t>
  </si>
  <si>
    <t>their own militia</t>
  </si>
  <si>
    <t>restaurant</t>
  </si>
  <si>
    <t>How many schools of medicine were recognized in Japan?</t>
  </si>
  <si>
    <t>Sky Active</t>
  </si>
  <si>
    <t>What did the RAND Corporation do?</t>
  </si>
  <si>
    <t xml:space="preserve">Who patronized the monks in Italy? </t>
  </si>
  <si>
    <t>Who leads the Qwest consortium?</t>
  </si>
  <si>
    <t>Trio</t>
  </si>
  <si>
    <t>the mid-2000s</t>
  </si>
  <si>
    <t>Excessive bureaucratic red tape isn't one of the reasons for what type of ownership?</t>
  </si>
  <si>
    <t>What do some encrypted broadcasts require to view?</t>
  </si>
  <si>
    <t xml:space="preserve"> What don't progressive moderates of Islam seek to separate?</t>
  </si>
  <si>
    <t>The French church in Portarlington was built when?</t>
  </si>
  <si>
    <t>What is one of the 10 megaregions in the United States?</t>
  </si>
  <si>
    <t>St. Johns River</t>
  </si>
  <si>
    <t>Who decides how land or property is allowed to be used?</t>
  </si>
  <si>
    <t>The University of Chicago was created and incorporated as a coeducational, secular institution in 1890 by the American Baptist Education Society and a donation from oil magnate and philanthropist John D. Rockefeller on land donated by Marshall Field. While the Rockefeller donation provided money for academic operations and long-term endowment, it was stipulated that such money could not be used for buildings. The original physical campus was financed by donations from wealthy Chicagoans like Silas B. Cobb who provided the funds for the campus' first building, Cobb Lecture Hall, and matched Marshall Field's pledge of $100,000. Other early benefactors included businessmen Charles L. Hutchinson (trustee, treasurer and donor of Hutchinson Commons), Martin A. Ryerson (president of the board of trustees and donor of the Ryerson Physical Laboratory) Adolphus Clay Bartlett and Leon Mandel, who funded the construction of the gymnasium and assembly hall, and George C. Walker of the Walker Museum, a relative of Cobb who encouraged his inaugural donation for facilities.</t>
  </si>
  <si>
    <t>Han Chinese and Khitans</t>
  </si>
  <si>
    <t>Breathing pure O
2 in space applications, such as in some modern space suits, or in early spacecraft such as Apollo, causes no damage due to the low total pressures used. In the case of spacesuits, the O
2 partial pressure in the breathing gas is, in general, about 30 kPa (1.4 times normal), and the resulting O
2 partial pressure in the astronaut's arterial blood is only marginally more than normal sea-level O
2 partial pressure (for more information on this, see space suit and arterial blood gas).</t>
  </si>
  <si>
    <t>16,000 species</t>
  </si>
  <si>
    <t>polynomial time algorithm</t>
  </si>
  <si>
    <t>Gamma delta T cells rearrange TCR genes to produce what?</t>
  </si>
  <si>
    <t>Southern Border Region</t>
  </si>
  <si>
    <t>Which courts have a duty to interpret domestic law as far as possible?</t>
  </si>
  <si>
    <t>eicosanoids</t>
  </si>
  <si>
    <t>To force Japan to be more involved in the crisis, what did Saudi and Kuwaiti government do?</t>
  </si>
  <si>
    <t>the division and administration of the newly conquered territory</t>
  </si>
  <si>
    <t>approximately fifty percent</t>
  </si>
  <si>
    <t>Nestorianism and Roman Catholicism</t>
  </si>
  <si>
    <t>What immune system is activated by the innate response?</t>
  </si>
  <si>
    <t>Who wrote about the distillation of sea water from drinking water?</t>
  </si>
  <si>
    <t>lower-pressure boiler feed water</t>
  </si>
  <si>
    <t>take evidence from witnesses, conduct inquiries and scrutinise legislation</t>
  </si>
  <si>
    <t>What is another term for turbines?</t>
  </si>
  <si>
    <t>How many factors of health and social problems did Wilkinson and PIckett not identify?</t>
  </si>
  <si>
    <t>What were the centrifugal changes in load incapable of doing?</t>
  </si>
  <si>
    <t>The Trout River</t>
  </si>
  <si>
    <t>actual sea level rise was above the top of the range</t>
  </si>
  <si>
    <t>redistribution mechanisms</t>
  </si>
  <si>
    <t>construction of the $1.2 billion Allston Science Complex</t>
  </si>
  <si>
    <t>only marginally more</t>
  </si>
  <si>
    <t>semantical problems</t>
  </si>
  <si>
    <t>How old is a lava flow after it cools?</t>
  </si>
  <si>
    <t>On what basis do the radical Islamist organizations conduct their attacks?</t>
  </si>
  <si>
    <t>can have infinitely many primes only when a and q are coprime, i.e., their greatest common divisor is one. If this necessary condition is satisfied, Dirichlet's theorem on arithmetic progressions asserts that the progression contains infinitely many primes. The picture below illustrates this with q = 9: the numbers are "wrapped around" as soon as a multiple of 9 is passed. Primes are highlighted in red. The rows (=progressions) starting with a = 3, 6, or 9 contain at most one prime number. In all other rows (a = 1, 2, 4, 5, 7, and 8) there are infinitely many prime numbers. What is more, the primes are distributed equally among those rows in the long run—the density of all primes congruent a modulo 9 is 1/6.</t>
  </si>
  <si>
    <t>What type of school is becoming less common in Scotland?</t>
  </si>
  <si>
    <t>their main method of locomotion</t>
  </si>
  <si>
    <t>What is 'grey literature'?</t>
  </si>
  <si>
    <t>1629</t>
  </si>
  <si>
    <t>water, coal, and hydrocarbon extraction</t>
  </si>
  <si>
    <t>an intuitive understanding</t>
  </si>
  <si>
    <t>Daidu</t>
  </si>
  <si>
    <t>The Mitchell Tower is designed to look like what Oxford tower?</t>
  </si>
  <si>
    <t>The IPCC Panel is composed of representatives appointed by governments and organizations. Participation of delegates with appropriate expertise is encouraged. Plenary sessions of the IPCC and IPCC Working groups are held at the level of government representatives. Non Governmental and Intergovernmental Organizations may be allowed to attend as observers. Sessions of the IPCC Bureau, workshops, expert and lead authors meetings are by invitation only. Attendance at the 2003 meeting included 350 government officials and climate change experts. After the opening ceremonies, closed plenary sessions were held. The meeting report states there were 322 persons in attendance at Sessions with about seven-eighths of participants being from governmental organizations.</t>
  </si>
  <si>
    <t>Although not a fuel  ___ is the chemical compound the generates the most occurrence of explosions.</t>
  </si>
  <si>
    <t>In what year did the fourth president, Robert Maynard Hutchins take office?</t>
  </si>
  <si>
    <t>The principles of imperialism are often generalizable to the policies and practices of the British Empire "during the last generation, and proceeds rather by diagnosis than by historical description". British imperialism often used the concept of Terra nullius (Latin expression which stems from Roman law meaning 'empty land'). The country of Australia serves as a case study in relation to British settlement and colonial rule of the continent in the eighteenth century, as it was premised on terra nullius, and its settlers considered it unused by its sparse Aboriginal inhabitants.</t>
  </si>
  <si>
    <t>Who loved Warsaw so much that he kept putting it in his poems?</t>
  </si>
  <si>
    <t>How long is the Rhine?</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</si>
  <si>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</si>
  <si>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Royal assent: After the bill has been passed, the Presiding Officer submits it to the Monarch for royal assent and it becomes an Act of the Scottish Parliament. However he cannot do so until a 4-week period has elapsed, during which the Law Officers of the Scottish Government or UK Government can refer the bill to the Supreme Court of the United Kingdom for a ruling on whether it is within the powers of the Parliament. Acts of the Scottish Parliament do not begin with a conventional enacting formula. Instead they begin with a phrase that reads: "The Bill for this Act of the Scottish Parliament was passed by the Parliament on [Date] and received royal assent on [Date]".</t>
  </si>
  <si>
    <t>What is usually the goal of taking a plea bargain?</t>
  </si>
  <si>
    <t>The two listed teams play for which NCAA group?</t>
  </si>
  <si>
    <t>What did Article 66 not make provisions for?</t>
  </si>
  <si>
    <t>American Civil Rights Movement</t>
  </si>
  <si>
    <t>900,000</t>
  </si>
  <si>
    <t>The College grants Bachelor of Science/Arts degrees in 28 majors and how many minors?</t>
  </si>
  <si>
    <t>What does an analog model have that a numerical model doesn not?</t>
  </si>
  <si>
    <t>hate them for their religion</t>
  </si>
  <si>
    <t>What are the most powerful class of anti-inflammatory drugs?</t>
  </si>
  <si>
    <t>What does the Lek change its name to?</t>
  </si>
  <si>
    <t>Who runs the Sonderungsverbot?</t>
  </si>
  <si>
    <t>The innate immune system responds in a generic way, meaning it is what?</t>
  </si>
  <si>
    <t>Noord River</t>
  </si>
  <si>
    <t>Better Jacksonville Plan</t>
  </si>
  <si>
    <t>How many student loans can you apply for in four years at Harvard?</t>
  </si>
  <si>
    <t>closed Huguenot schools</t>
  </si>
  <si>
    <t>'Bucks Point'</t>
  </si>
  <si>
    <t>What are fossil sequences applied to?</t>
  </si>
  <si>
    <t>What do complement proteins activate before they bind to the microbe?</t>
  </si>
  <si>
    <t>150 Nobel laureates</t>
  </si>
  <si>
    <t xml:space="preserve">UChicago claims to have what kind of learning experience compared to other universities? </t>
  </si>
  <si>
    <t>destination address, source address, and port numbers</t>
  </si>
  <si>
    <t>Due to the fact that the bureaucracy was dominated by El Temür, Tugh Temür is known for his cultural contribution instead. He adopted many measures honoring Confucianism and promoting Chinese cultural values. His most concrete effort to patronize Chinese learning was founding the Academy of the Pavilion of the Star of Literature (Chinese: 奎章閣學士院),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經世大典). Tugh Temür supported Zhu Xi's Neo-Confucianism and also devoted himself in Buddhism.</t>
  </si>
  <si>
    <t>What organization did General Gaafar al-Nimeiry discourage members of to serve in his government?</t>
  </si>
  <si>
    <t>1303</t>
  </si>
  <si>
    <t>Oneida Carry</t>
  </si>
  <si>
    <t>museum</t>
  </si>
  <si>
    <t>Christianity</t>
  </si>
  <si>
    <t>Wales</t>
  </si>
  <si>
    <t>According to the function hypothesis, all zeroes of the ζ-function have real part equal to 1/2 except for what values of s?</t>
  </si>
  <si>
    <t>many elderly people are now taking numerous medications but continue to live outside of institutional settings</t>
  </si>
  <si>
    <t>What is the nervous system protected by?</t>
  </si>
  <si>
    <t>What region of Japan is Hebei part of?</t>
  </si>
  <si>
    <t>What does not co-exist under EU law?</t>
  </si>
  <si>
    <t>Duisburg</t>
  </si>
  <si>
    <t>n2 + 1.</t>
  </si>
  <si>
    <t>Lindau</t>
  </si>
  <si>
    <t xml:space="preserve"> How do regimes not fight against cultural imperialism?</t>
  </si>
  <si>
    <t>In which cardinal direction from Los Angeles is San Diego?</t>
  </si>
  <si>
    <t>How was the efficiency of a steam engine typically evaluated?</t>
  </si>
  <si>
    <t>What three things are needed for construction to take place?</t>
  </si>
  <si>
    <t>What requires collaboration across zoning requirements?</t>
  </si>
  <si>
    <t>The principle of faunal succession</t>
  </si>
  <si>
    <t>What percentage of total financial aid for undergraduates from Harvard was in the form of grants?</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</si>
  <si>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</si>
  <si>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What cells are used to multiply the abnormal cells?</t>
  </si>
  <si>
    <t>its unpaired electrons</t>
  </si>
  <si>
    <t>not</t>
  </si>
  <si>
    <t>communist</t>
  </si>
  <si>
    <t>immunosuppressive</t>
  </si>
  <si>
    <t>one major operation</t>
  </si>
  <si>
    <t>What type of forested areas can be found on the highest ditches?</t>
  </si>
  <si>
    <t>How is the Pauli exclusion priciple manifested in the macro world?</t>
  </si>
  <si>
    <t>What is it called when the tax rate and base amount decrease simultaneously?</t>
  </si>
  <si>
    <t>Engineering News-Record (ENR)</t>
  </si>
  <si>
    <t>Who made experimental measurements on a model Rankine cycle?</t>
  </si>
  <si>
    <t>Gibraltar and the Åland islands</t>
  </si>
  <si>
    <t>What type of electric current is needed for electrolysis?</t>
  </si>
  <si>
    <t>What researcher showed that air is a necessity for combustion?</t>
  </si>
  <si>
    <t>European Court of Justice</t>
  </si>
  <si>
    <t>1933</t>
  </si>
  <si>
    <t>What happened in the UK if you used more than your ration of electricity?</t>
  </si>
  <si>
    <t>Free movement of goods within the European Union is achieved by a customs union, and the principle of non-discrimination. The EU manages imports from non-member states, duties between member states are prohibited, and imports circulate freely. In addition under the Treaty on the Functioning of the European Union article 34, ‘Quantitative restrictions on imports and all measures having equivalent effect shall be prohibited between Member States’. In Procureur du Roi v Dassonville the Court of Justice held that this rule meant all "trading rules" that are "enacted by Member States" which could hinder trade "directly or indirectly, actually or potentially" would be caught by article 34. This meant that a Belgian law requiring Scotch whisky imports to have a certificate of origin was unlikely to be lawful. It discriminated against parallel importers like Mr Dassonville, who could not get certificates from authorities in France, where they bought the Scotch. This "wide test", to determine what could potentially be an unlawful restriction on trade, applies equally to actions by quasi-government bodies, such as the former "Buy Irish" company that had government appointees. It also means states can be responsible for private actors. For instance, in Commission v France French farmer vigilantes were continually sabotaging shipments of Spanish strawberries, and even Belgian tomato imports. France was liable for these hindrances to trade because the authorities ‘manifestly and persistently abstained' from preventing the sabotage. Generally speaking, if a member state has laws or practices that directly discriminate against imports (or exports under TFEU article 35) then it must be justified under article 36. The justifications include public morality, policy or security, "protection of health and life of humans, animals or plants", "national treasures" of "artistic, historic or archaeological value" and "industrial and commercial property." In addition, although not clearly listed, environmental protection can justify restrictions on trade as an overriding requirement derived from TFEU article 11. More generally, it has been increasingly acknowledged that fundamental human rights should take priority over all trade rules. So, in Schmidberger v Austria the Court of Justice held that Austria did not infringe article 34 by failing to ban a protest that blocked heavy traffic passing over the A13, Brenner Autobahn, en route to Italy. Although many companies, including Mr Schmidberger's German undertaking, were prevented from trading, the Court of Justice reasoned that freedom of association is one of the ‘fundamental pillars of a democratic society’, against which the free movement of goods had to be balanced, and was probably subordinate. If a member state does appeal to the article 36 justification, the measures it takes have to be applied proportionately. This means the rule must be pursue a legitimate aim and (1) be suitable to achieve the aim, (2) be necessary, so that a less restrictive measure could not achieve the same result, and (3) be reasonable in balancing the interests of free trade with interests in article 36.</t>
  </si>
  <si>
    <t>was present somewhere in Europe in every year between 1346 and 1671</t>
  </si>
  <si>
    <t>When did the First Pandemic end?</t>
  </si>
  <si>
    <t>western</t>
  </si>
  <si>
    <t>Romanesque</t>
  </si>
  <si>
    <t>What tax rate has an indirect relationship with income inequality?</t>
  </si>
  <si>
    <t>the time taken</t>
  </si>
  <si>
    <t>How long didn't the fighting last in Seven Years War</t>
  </si>
  <si>
    <t>Which company never expanded their platform?</t>
  </si>
  <si>
    <t>What is the central business district of San Diego?</t>
  </si>
  <si>
    <t>The 17th century Royal Ujazdów Castle currently houses Centre for Contemporary Art, with some permanent and temporary exhibitions, concerts, shows and creative workshops. The Centre currently realizes about 500 projects a year. Zachęta National Gallery of Art, the oldest exhibition site in Warsaw, with a tradition stretching back to the mid-19th century organises exhibitions of modern art by Polish and international artists and promotes art in many other ways. Since 2011 Warsaw Gallery Weekend is held on last weekend of September.</t>
  </si>
  <si>
    <t>The immune system also produces what molecules in order to allow for tumor destruction by the complement system?</t>
  </si>
  <si>
    <t>Common Sense Realism of what Scottish philosophers did Agassiz incorporate in his dual view of knowedge?</t>
  </si>
  <si>
    <t>What year was 366,273 people in Jacksonville?</t>
  </si>
  <si>
    <t>What consortium was BSkyB excluded from?</t>
  </si>
  <si>
    <t>What did the world price of oil peak at in 1973?</t>
  </si>
  <si>
    <t>When was Garrison born?</t>
  </si>
  <si>
    <t>Why was NSFBNS created?</t>
  </si>
  <si>
    <t>worst-case</t>
  </si>
  <si>
    <t>What was the importance of the congress?</t>
  </si>
  <si>
    <t>The Taliban</t>
  </si>
  <si>
    <t>What fortification was built in the 19th century after the defeat of the November Uprising?</t>
  </si>
  <si>
    <t>Some species of beroe have a pair of strips of adhesive cells on the stomach wall. What does it do?</t>
  </si>
  <si>
    <t>pre-allocates</t>
  </si>
  <si>
    <t>A new theory of what was developed using quantum particles?</t>
  </si>
  <si>
    <t>by a fee per unit of connection time, even when no data is transferred</t>
  </si>
  <si>
    <t>What were the civil wars caused by the Huguenots called?</t>
  </si>
  <si>
    <t>the Mojave Desert</t>
  </si>
  <si>
    <t>two-thirds</t>
  </si>
  <si>
    <t>Islamism</t>
  </si>
  <si>
    <t>an estimated 25 million</t>
  </si>
  <si>
    <t>Environmentalists are concerned about loss of biodiversity that will result from destruction of the forest, and also about the release of the carbon contained within the vegetation, which could accelerate global warming. Amazonian evergreen forests account for about 10% of the world's terrestrial primary productivity and 10% of the carbon stores in ecosystems—of the order of 1.1 × 1011 metric tonnes of carbon. Amazonian forests are estimated to have accumulated 0.62 ± 0.37 tons of carbon per hectare per year between 1975 and 1996.</t>
  </si>
  <si>
    <t>What impact does higher worker productivity and leveled pay have on lower earners?</t>
  </si>
  <si>
    <t>passive immunity</t>
  </si>
  <si>
    <t>In the fall quarter of 2014, how many students signed up for the university's four graduate divisions?</t>
  </si>
  <si>
    <t>Who decreased British military resources in colonies?</t>
  </si>
  <si>
    <t>southwestern France</t>
  </si>
  <si>
    <t>At what degree are the pistons of a two-cylinder compound connected to the pistons?</t>
  </si>
  <si>
    <t>How much did it rain in 1962?</t>
  </si>
  <si>
    <t>Who has no power to pass laws?</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</si>
  <si>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</si>
  <si>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Alter Rhein</t>
  </si>
  <si>
    <t>females</t>
  </si>
  <si>
    <t>Of what mathematical nature is the prime problem?</t>
  </si>
  <si>
    <t>Whose First Law of Motion says that unless acted upon be forces, objects would continue to move at a constant velocity?</t>
  </si>
  <si>
    <t>sediment deposits</t>
  </si>
  <si>
    <t>By what year was selling children into slavery uncommon among the Mongols?</t>
  </si>
  <si>
    <t>What name is used only for larger streams farther to the north?</t>
  </si>
  <si>
    <t>parallel to the canalized Rhine</t>
  </si>
  <si>
    <t>Who notably improved the Savery water pump?</t>
  </si>
  <si>
    <t>statistical</t>
  </si>
  <si>
    <t>When was the first known historical reference to immunity?</t>
  </si>
  <si>
    <t>When did BSkyB become the largest US television company?</t>
  </si>
  <si>
    <t>What is the estimate of how many physicians give out drugs on their own?</t>
  </si>
  <si>
    <t>How often are elections held by upper house members?</t>
  </si>
  <si>
    <t>tripartite</t>
  </si>
  <si>
    <t>How are decisions made on behave of the EU made?</t>
  </si>
  <si>
    <t>Which region invented the machine gun?</t>
  </si>
  <si>
    <t>By decreasing resistance to blood flow in the lungs, what organ's workload  can be eased?</t>
  </si>
  <si>
    <t>What has happened to the the rock in the Grand Canyon that is the oldest rock in the world?</t>
  </si>
  <si>
    <t>What does the TEU not allow the European Council to do?</t>
  </si>
  <si>
    <t xml:space="preserve">What department in the U.S. spearheaded the efforts against Islamism? </t>
  </si>
  <si>
    <t>What kind of taxation funds private schools?</t>
  </si>
  <si>
    <t xml:space="preserve">What is the usual form of the government's wealth redistribution? </t>
  </si>
  <si>
    <t>The university established a center in Beijing in what year?</t>
  </si>
  <si>
    <t>What must an attorney adhere to?</t>
  </si>
  <si>
    <t>internal combustion engines</t>
  </si>
  <si>
    <t>What was Tower District known for before the renewal?</t>
  </si>
  <si>
    <t>What does the highest level of the Vistula plateau contain?</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</si>
  <si>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</si>
  <si>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What is rugby rapidly becoming with high schools?</t>
  </si>
  <si>
    <t>What the least dominant economic sectors in the Middle Rhine area?</t>
  </si>
  <si>
    <t>Alps</t>
  </si>
  <si>
    <t>German Nazi</t>
  </si>
  <si>
    <t>Where had the Mongol capital been before Kublai moved it?</t>
  </si>
  <si>
    <t>historical fluke</t>
  </si>
  <si>
    <t>polynomial time hierarchy</t>
  </si>
  <si>
    <t>as pertaining to a citizen's relation to the state and its laws</t>
  </si>
  <si>
    <t>Who was appointed as the replacement for Duke Yansheng Kong Duanyou?</t>
  </si>
  <si>
    <t>What answer denotes that an algorithm has accepted an input string?</t>
  </si>
  <si>
    <t>Which famous Indian took a plea and put himself at the mercy of the courts?</t>
  </si>
  <si>
    <t>How much windblown dust leaves the Sahara each year?</t>
  </si>
  <si>
    <t>What is the Grand Canyon not an example of?</t>
  </si>
  <si>
    <t>a co-chair of TAR WGI</t>
  </si>
  <si>
    <t>What is the second-busiest general aviation airport?</t>
  </si>
  <si>
    <t>What trading company helped settle Huguenots near the Cape?</t>
  </si>
  <si>
    <t>What infrastructure will be improved in Storrow Drive?</t>
  </si>
  <si>
    <t>63</t>
  </si>
  <si>
    <t>When did Microsoft announce OneDrive will soon become SkyDrive?</t>
  </si>
  <si>
    <t xml:space="preserve"> Where did a not-bloody civil war break out?</t>
  </si>
  <si>
    <t>What was the first true vacuum that was commercially successful?</t>
  </si>
  <si>
    <t>The outcome was one of the most significant developments in a century of Anglo-French conflict. France ceded its territory east of the Mississippi to Great Britain. It ceded French Louisiana west of the Mississippi River (including New Orleans) to its ally Spain, in compensation for Spain's loss to Britain of Florida (Spain had ceded this to Britain in exchange for the return of Havana, Cuba). France's colonial presence north of the Caribbean was reduced to the islands of Saint Pierre and Miquelon, confirming Britain's position as the dominant colonial power in eastern North America.</t>
  </si>
  <si>
    <t>the value of the spin</t>
  </si>
  <si>
    <t>norm gets smaller</t>
  </si>
  <si>
    <t>What caused the US public to condemn the occupation of the philippines?</t>
  </si>
  <si>
    <t>Sakya</t>
  </si>
  <si>
    <t>What can it sometimes take up to 41 years to get permission to build on?</t>
  </si>
  <si>
    <t xml:space="preserve"> By when did the Germanic tribes not conquer the Celtic peoples?</t>
  </si>
  <si>
    <t>What house was the site of a weaving school in Canterbury?</t>
  </si>
  <si>
    <t>curriculum</t>
  </si>
  <si>
    <t>da Vinci</t>
  </si>
  <si>
    <t>When did Galor and Zeria show old information about inequality?</t>
  </si>
  <si>
    <t>On the other hand, in the late 1980s the Western Atlantic ctenophore Mnemiopsis leidyi was accidentally introduced into the Black Sea and Sea of Azov via the ballast tanks of ships, and has been blamed for causing sharp drops in fish catches by eating both fish larvae and small crustaceans that would otherwise feed the adult fish. Mnemiopsis is well equipped to invade new territories (although this was not predicted until after it so successfully colonized the Black Sea), as it can breed very rapidly and tolerate a wide range of water temperatures and salinities. The impact was increased by chronic overfishing, and by eutrophication that gave the entire ecosystem a short-term boost, causing the Mnemiopsis population to increase even faster than normal – and above all by the absence of efficient predators on these introduced ctenophores. Mnemiopsis populations in those areas were eventually brought under control by the accidental introduction of the Mnemiopsis-eating North American ctenophore Beroe ovata, and by a cooling of the local climate from 1991 to 1993, which significantly slowed the animal's metabolism. However the abundance of plankton in the area seems unlikely to be restored to pre-Mnemiopsis levels.</t>
  </si>
  <si>
    <t>What can not be mostly predicted beforehand?</t>
  </si>
  <si>
    <t>pathogen-infected cells</t>
  </si>
  <si>
    <t>Necessity-based entrepreneurship</t>
  </si>
  <si>
    <t>glass-making</t>
  </si>
  <si>
    <t>Kosher butchering</t>
  </si>
  <si>
    <t>Who were otachi?</t>
  </si>
  <si>
    <t>deforestation</t>
  </si>
  <si>
    <t>when Germany started to build her own</t>
  </si>
  <si>
    <t>1949</t>
  </si>
  <si>
    <t>What other clashes were involved in taking Louisbourg?</t>
  </si>
  <si>
    <t>When Sky Digital was launched in 1998 the new service used the Astra 2A satellite which was located at the 28.5°E orbital position, unlike the analogue service which was broadcast from 19.2°E. This was subsequently followed by more Astra satellites as well as Eutelsat's Eurobird 1 (now Eutelsat 33C) at 28.5°E), enabled the company to launch a new all-digital service, Sky, with the potential to carry hundreds of television and radio channels. The old position was shared with broadcasters from several European countries, while the new position at 28.5°E came to be used almost exclusively for channels that broadcast to the United Kingdom.</t>
  </si>
  <si>
    <t>What was the embargo like in Israel?</t>
  </si>
  <si>
    <t>In addition to arguing that the rat population was insufficient to account for a bubonic plague pandemic, sceptics of the bubonic plague theory point out that the symptoms of the Black Death are not unique (and arguably in some accounts may differ from bubonic plague); that transference via fleas in goods was likely to be of marginal significance; and that the DNA results may be flawed and might not have been repeated elsewhere, despite extensive samples from other mass graves. Other arguments include the lack of accounts of the death of rats before outbreaks of plague between the 14th and 17th centuries; temperatures that are too cold in northern Europe for the survival of fleas; that, despite primitive transport systems, the spread of the Black Death was much faster than that of modern bubonic plague; that mortality rates of the Black Death appear to be very high; that, while modern bubonic plague is largely endemic as a rural disease, the Black Death indiscriminately struck urban and rural areas; and that the pattern of the Black Death, with major outbreaks in the same areas separated by 5 to 15 years, differs from modern bubonic plague—which often becomes endemic for decades with annual flare-ups.</t>
  </si>
  <si>
    <t>Mao Zedong</t>
  </si>
  <si>
    <t>The Amazon rivers and streams contain how many reptiles?</t>
  </si>
  <si>
    <t>How much damage does breathing oxygen in space conditions cause?</t>
  </si>
  <si>
    <t>What year was the first class taught at the University of Chicago?</t>
  </si>
  <si>
    <t>Complexity theory seeks to define the relationship between the scale of algorithms with respect to what other variable?</t>
  </si>
  <si>
    <t>28 days</t>
  </si>
  <si>
    <t>among the plankton</t>
  </si>
  <si>
    <t>What year did Richards fleet avoid a storm?</t>
  </si>
  <si>
    <t>How many original treaties establishing the EU did not protect fundamental rights/</t>
  </si>
  <si>
    <t>The property of being prime (or not) is called primality. A simple but slow method of verifying the primality of a given number n is known as trial division. It consists of testing whether n is a multiple of any integer between 2 and . Algorithms much more efficient than trial division have been devised to test the primality of large numbers. These include the Miller–Rabin primality test, which is fast but has a small probability of error, and the AKS primality test, which always produces the correct answer in polynomial time but is too slow to be practical. Particularly fast methods are available for numbers of special forms, such as Mersenne numbers. As of January 2016[update], the largest known prime number has 22,338,618 decimal digits.</t>
  </si>
  <si>
    <t>In what year was the first commercial textile device invented?</t>
  </si>
  <si>
    <t>legislation can be blocked by a majority in Parliament, a minority in the Council, and a majority in the Commission</t>
  </si>
  <si>
    <t>Who are FDA laws against importing medications aimed at?</t>
  </si>
  <si>
    <t xml:space="preserve"> What was the English name of Gou's math?</t>
  </si>
  <si>
    <t>How many Huguenots were killed in Toulouse?</t>
  </si>
  <si>
    <t>What was another term used for the oil crisis?</t>
  </si>
  <si>
    <t>Bedau notes that illegal protests towards public policy may serve as what purpose?</t>
  </si>
  <si>
    <t>1974</t>
  </si>
  <si>
    <t>What don't David Castlles-Quintana and Vicente Royuela do for a living?</t>
  </si>
  <si>
    <t xml:space="preserve"> Who founded the Ding dynasty?</t>
  </si>
  <si>
    <t>complexity resources</t>
  </si>
  <si>
    <t>What is one function that prime numbers have that 1 does not?</t>
  </si>
  <si>
    <t>three-dimensional</t>
  </si>
  <si>
    <t>What does it mean when a Basel series diverges?</t>
  </si>
  <si>
    <t>The Premier is the public face of government and, with cabinet</t>
  </si>
  <si>
    <t>When didn't British begin to build fort under William Trent?</t>
  </si>
  <si>
    <t>What Egyptian president jailed hundreds of members of the Brotherhood?</t>
  </si>
  <si>
    <t>inequitable taxes</t>
  </si>
  <si>
    <t>public agencies</t>
  </si>
  <si>
    <t>What was the Harvard endowment total in 2011?</t>
  </si>
  <si>
    <t>When did the Brotherhood support violence as a means of achieving its goals?</t>
  </si>
  <si>
    <t>How did King Louis X respond to British plans?</t>
  </si>
  <si>
    <t>creditor protection, labour rights to participate in work, or the public interest in collecting taxes</t>
  </si>
  <si>
    <t>What is the name of the Chairman of the Board of Trustees?</t>
  </si>
  <si>
    <t>What Columbia President went to Harvard?</t>
  </si>
  <si>
    <t>What administration did Ludwig Mies van der Rohe designa buiding?</t>
  </si>
  <si>
    <t xml:space="preserve">What is an example of an NP-intermediate problem not known to exist in P or NP-complete? </t>
  </si>
  <si>
    <t>Who did Emma Marry?</t>
  </si>
  <si>
    <t xml:space="preserve">The word imperialism has it's origins in which ancient language? </t>
  </si>
  <si>
    <t>the Moon</t>
  </si>
  <si>
    <t>The following four timelines show the geologic time scale. The first shows the entire time from the formation of the Earth to the present, but this compresses the most recent eon. Therefore, the second scale shows the most recent eon with an expanded scale. The second scale compresses the most recent era, so the most recent era is expanded in the third scale. Since the Quaternary is a very short period with short epochs, it is further expanded in the fourth scale. The second, third, and fourth timelines are therefore each subsections of their preceding timeline as indicated by asterisks. The Holocene (the latest epoch) is too small to be shown clearly on the third timeline on the right, another reason for expanding the fourth scale. The Pleistocene (P) epoch. Q stands for the Quaternary period.</t>
  </si>
  <si>
    <t>captive import policy</t>
  </si>
  <si>
    <t>If input size is is equal to n, what can respectively be assumed is the function of n?</t>
  </si>
  <si>
    <t>a hundred</t>
  </si>
  <si>
    <t>15 kilometres</t>
  </si>
  <si>
    <t>English Channel</t>
  </si>
  <si>
    <t>What kind of universities is the region famous for?</t>
  </si>
  <si>
    <t>mild and sunny.</t>
  </si>
  <si>
    <t>Where is the eastern canal regulation of the Rhine?</t>
  </si>
  <si>
    <t>The U.S. government has engaged in efforts to counter Islamism, or violent Islamism, since 2001. These efforts were centred in the U.S. around public diplomacy programmes conducted by the State Department. There have been calls to create an independent agency in the U.S. with a specific mission of undermining Islamism and jihadism. Christian Whiton, an official in the George W. Bush administration, called for a new agency focused on the nonviolent practice of "political warfare" aimed at undermining the ideology. U.S. Defense Secretary Robert Gates called for establishing something similar to the defunct U.S. Information Agency, which was charged with undermining the communist ideology during the Cold War.</t>
  </si>
  <si>
    <t>military</t>
  </si>
  <si>
    <t>a supposed mild euphoric</t>
  </si>
  <si>
    <t>What can not be distinguished from foreign substances by the immune system?</t>
  </si>
  <si>
    <t>Around 1685, Huguenot refugees found a safe haven in the Lutheran and Reformed states in Germany and Scandinavia. Nearly 50,000 Huguenots established themselves in Germany, 20,000 of whom were welcomed in Brandenburg-Prussia, where they were granted special privileges (Edict of Potsdam) and churches in which to worship (such as the Church of St. Peter and St. Paul, Angermünde) by Frederick William, Elector of Brandenburg and Duke of Prussia. The Huguenots furnished two new regiments of his army: the Altpreußische Infantry Regiments No. 13 (Regiment on foot Varenne) and 15 (Regiment on foot Wylich). Another 4,000 Huguenots settled in the German territories of Baden, Franconia (Principality of Bayreuth, Principality of Ansbach), Landgraviate of Hesse-Kassel, Duchy of Württemberg, in the Wetterau Association of Imperial Counts, in the Palatinate and Palatinate-Zweibrücken, in the Rhine-Main-Area (Frankfurt), in modern-day Saarland; and 1,500 found refuge in Hamburg, Bremen and Lower Saxony. Three hundred refugees were granted asylum at the court of George William, Duke of Brunswick-Lüneburg in Celle.</t>
  </si>
  <si>
    <t>France</t>
  </si>
  <si>
    <t>James Hutton is often viewed as the first modern geologist. In 1785 he presented a paper entitled Theory of the Earth to the Royal Society of Edinburgh. In his paper, he explained his theory that the Earth must be much older than had previously been supposed in order to allow enough time for mountains to be eroded and for sediments to form new rocks at the bottom of the sea, which in turn were raised up to become dry land. Hutton published a two-volume version of his ideas in 1795 (Vol. 1, Vol. 2).</t>
  </si>
  <si>
    <t>What town was actually granted to the Huguenots on arrival?</t>
  </si>
  <si>
    <t>Where is Galaxy Public School located?</t>
  </si>
  <si>
    <t>What is  DECnet</t>
  </si>
  <si>
    <t>Is the Lisbon Treaty one that would alter existing treaties or replace them?</t>
  </si>
  <si>
    <t>18 million</t>
  </si>
  <si>
    <t>Vistula River</t>
  </si>
  <si>
    <t>throughout the 14th to 17th centuries</t>
  </si>
  <si>
    <t>the concept Distributed Adaptive Message Block Switching</t>
  </si>
  <si>
    <t>Pharmacy informatics is the combination of pharmacy practice science and applied information science. Pharmacy informaticists work in many practice areas of pharmacy, however, they may also work in information technology departments or for healthcare information technology vendor companies. As a practice area and specialist domain, pharmacy informatics is growing quickly to meet the needs of major national and international patient information projects and health system interoperability goals. Pharmacists in this area are trained to participate in medication management system development, deployment and optimization.</t>
  </si>
  <si>
    <t>What are two examples of nonself entities in accordance with Frank Burnet's theory?</t>
  </si>
  <si>
    <t>outer core and inner core</t>
  </si>
  <si>
    <t>How did Saint-Girard respond to Washington?</t>
  </si>
  <si>
    <t>in solution in the world's water bodies</t>
  </si>
  <si>
    <t>How much of Iraq did the Taliban take over?</t>
  </si>
  <si>
    <t>Presbyterian</t>
  </si>
  <si>
    <t>Pawiak</t>
  </si>
  <si>
    <t>What have Bloc's sidewalks and sanitation facilities done?</t>
  </si>
  <si>
    <t>the ultimate authority of member states, its factual commitment to human rights, and the democratic will of the people</t>
  </si>
  <si>
    <t>90° to each other</t>
  </si>
  <si>
    <t>The 2010 United States Census reported that Fresno had a population of 494,665. The population density was 4,404.5 people per square mile (1,700.6/km²). The racial makeup of Fresno was 245,306 (49.6%) White, 40,960 (8.3%) African American, 8,525 (1.7%) Native American, 62,528 (12.6%) Asian (3.6% Hmong, 1.7% Indian, 1.2% Filipino, 1.2% Laotian, 1.0% Thai, 0.8% Cambodian, 0.7% Chinese, 0.5% Japanese, 0.4% Vietnamese, 0.2% Korean), 849 (0.2%) Pacific Islander, 111,984 (22.6%) from other races, and 24,513 (5.0%) from two or more races. Hispanic or Latino of any race were 232,055 persons (46.9%). Among the Hispanic population, 42.7% of the total population are Mexican, 0.4% Salvadoran, and 0.4% Puerto Rican. Non-Hispanic Whites were 30.0% of the population in 2010, down from 72.6% in 1970.</t>
  </si>
  <si>
    <t>What did Guo Shoujing do for calendars?</t>
  </si>
  <si>
    <t>While many homes in the neighborhood date back to the 1930s or before, the neighborhood is also home to several public housing developments built between the 1960s and 1990s by the Fresno Housing Authority. The US Department of Housing and Urban Development has also built small subdivisions of single-family homes in the area for purchase by low-income working families. There have been numerous attempts to revitalize the neighborhood, including the construction of a modern shopping center on the corner of Fresno and B streets, an aborted attempt to build luxury homes and a golf course on the western edge of the neighborhood, and some new section 8 apartments have been built along Church Ave west of Elm St. Cargill Meat Solutions and Foster Farms both have large processing facilities in the neighborhood, and the stench from these (and other small industrial facilities) has long plagued area residents. The Fresno Chandler Executive Airport is also on the West Side. Due to its position on the edge of the city and years of neglect by developers, is not a true "inner-city" neighborhood, and there are many vacant lots, strawberry fields and vineyards throughout the neighborhood. The neighborhood has very little retail activity, aside from the area near Fresno Street and State Route 99 Freeway (Kearney Palm Shopping Center, built in the late 1990s) and small corner markets scattered throughout.</t>
  </si>
  <si>
    <t>When was the last plague outbreak?</t>
  </si>
  <si>
    <t>What are three examples of measurement that are bound within algorithms to establish complexity classes?</t>
  </si>
  <si>
    <t>Where are the gonads located?</t>
  </si>
  <si>
    <t>at least 55 per cent of the Council members (not votes) representing 65 per cent of the population of the EU</t>
  </si>
  <si>
    <t>dinosaurs</t>
  </si>
  <si>
    <t>Water from broke through and joined the westward flow to the Pacific?</t>
  </si>
  <si>
    <t>Warsaw's National Museum is one of the most what?</t>
  </si>
  <si>
    <t>the force of gravity</t>
  </si>
  <si>
    <t>is greater than 1 and less than or equal to the square root of n</t>
  </si>
  <si>
    <t>Rüdesheim am Rhein</t>
  </si>
  <si>
    <t>Brownlee argues disobedience can be justified toward what institutions?</t>
  </si>
  <si>
    <t>Orientalism refers to how the South developed a what of the North?</t>
  </si>
  <si>
    <t>The IPCC receives funding through the IPCC Trust Fund, established in 1989 by the United Nations Environment Programme (UNEP) and the World Meteorological Organization (WMO), Costs of the Secretary and of housing the secretariat are provided by the WMO, while UNEP meets the cost of the Depute Secretary. Annual cash contributions to the Trust Fund are made by the WMO, by UNEP, and by IPCC Members; the scale of payments is determined by the IPCC Panel, which is also responsible for considering and adopting by consensus the annual budget. The organisation is required to comply with the Financial Regulations and Rules of the WMO.</t>
  </si>
  <si>
    <t>monatomic</t>
  </si>
  <si>
    <t>Bacteria often secrete what kind of proteins to ingest a physical barrier?</t>
  </si>
  <si>
    <t xml:space="preserve"> Terra Nullius is a French expression meaning what in English?</t>
  </si>
  <si>
    <t>What implication can be derived for P and NP if P and co-NP are established to be unequal?</t>
  </si>
  <si>
    <t>How was the Black Death spread in Europe?</t>
  </si>
  <si>
    <t xml:space="preserve">Where does newly created wealth concentrate? </t>
  </si>
  <si>
    <t>Recognized Student Organizations</t>
  </si>
  <si>
    <t>asymptotic</t>
  </si>
  <si>
    <t>Galileo Galilei,</t>
  </si>
  <si>
    <t>the lack of reliable statistics</t>
  </si>
  <si>
    <t>Who was the most influential researcher among those grappling with the deficit of work surrounding the complexity posed by algorithmic problems?</t>
  </si>
  <si>
    <t>Shimer University is located in which Illinois city?</t>
  </si>
  <si>
    <t xml:space="preserve"> Which is younger the French Empire or the Ethiopian Empire?</t>
  </si>
  <si>
    <t>iteratively</t>
  </si>
  <si>
    <t>George Washington</t>
  </si>
  <si>
    <t>What does the beroida have instead of feeding appendages?</t>
  </si>
  <si>
    <t>French irregular forces (Canadian scouts and Indians) harassed Fort William Henry throughout the first half of 1757. In January they ambushed British rangers near Ticonderoga. In February they launched a daring raid against the position across the frozen Lake George, destroying storehouses and buildings outside the main fortification. In early August, Montcalm and 7,000 troops besieged the fort, which capitulated with an agreement to withdraw under parole. When the withdrawal began, some of Montcalm's Indian allies, angered at the lost opportunity for loot, attacked the British column, killing and capturing several hundred men, women, children, and slaves. The aftermath of the siege may have contributed to the transmission of smallpox into remote Indian populations; as some Indians were reported to have traveled from beyond the Mississippi to participate in the campaign and returned afterward having been exposed to European carriers.</t>
  </si>
  <si>
    <t>standard measurement scale</t>
  </si>
  <si>
    <t>by over 100%</t>
  </si>
  <si>
    <t>The function of long-lived memory cells is an example of what kind of immune response?</t>
  </si>
  <si>
    <t>Ciliary rosettes pump water into what to control buoyancy?</t>
  </si>
  <si>
    <t>Liquid oxygen</t>
  </si>
  <si>
    <t>Which year were two assessment reports finalized?</t>
  </si>
  <si>
    <t>1908</t>
  </si>
  <si>
    <t>current Subject Committees</t>
  </si>
  <si>
    <t>What are those with lower incomes more likely to have in order to prepare for the future?</t>
  </si>
  <si>
    <t>early 1990s</t>
  </si>
  <si>
    <t>Jacksonville is in the First Coast region of northeast Florida and is centered on the banks of the St. Johns River, about 25 miles (40 km) south of the Georgia state line and about 340 miles (550 km)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 a year after the United States gained Florida from Spain; it was named after Andrew Jackson, the first military governor of the Florida Territory and seventh President of the United States.</t>
  </si>
  <si>
    <t>The total number of seats in the Parliament are allocated to parties proportionally to the number of votes received in the second vote of the ballot using the d'Hondt method. For example, to determine who is awarded the first list seat, the number of list votes cast for each party is divided by one plus the number of seats the party won in the region (at this point just constituency seats). The party with the highest quotient is awarded the seat, which is then added to its constituency seats in allocating the second seat. This is repeated iteratively until all available list seats are allocated.</t>
  </si>
  <si>
    <t>trial division</t>
  </si>
  <si>
    <t>What country uses the Bowl of Hygieia as a symbol of pharmacy?</t>
  </si>
  <si>
    <t>2.7%</t>
  </si>
  <si>
    <t>Robert Koch</t>
  </si>
  <si>
    <t xml:space="preserve"> Friedrich Ratzel thought imperialism was not what for the country?</t>
  </si>
  <si>
    <t>Who are Rob Curran and Tim Machado?</t>
  </si>
  <si>
    <t xml:space="preserve">Near Chur, which direction does the Rhine turn? </t>
  </si>
  <si>
    <t>cascade method</t>
  </si>
  <si>
    <t>present-day Upstate New York and the Ohio Country</t>
  </si>
  <si>
    <t>economic separation</t>
  </si>
  <si>
    <t>Was city has a tropical climate?</t>
  </si>
  <si>
    <t>When was the European Communities Act created?</t>
  </si>
  <si>
    <t>What is one reason a patient might choose an internet pharmacy?</t>
  </si>
  <si>
    <t>internal combustion</t>
  </si>
  <si>
    <t>The Presiding Officer can increase speaking time if what?</t>
  </si>
  <si>
    <t>How many museums are in Warsaw?</t>
  </si>
  <si>
    <t>Where is the highest point of the Rhine basin?</t>
  </si>
  <si>
    <t>What are the eight comb rows on the outer surface called?</t>
  </si>
  <si>
    <t>In what year did 12 national science academies issue a joint statement on climate change?</t>
  </si>
  <si>
    <t>When was the RSO Nations team the top ranked in North America?</t>
  </si>
  <si>
    <t>874.3 square miles</t>
  </si>
  <si>
    <t>A mermaid stopped to rest on the sandy beach by what village?</t>
  </si>
  <si>
    <t>Revolutionary</t>
  </si>
  <si>
    <t>Where did Kublai extend the Grand Canal to?</t>
  </si>
  <si>
    <t>What percentage of global assets does the richest 1% of people have?</t>
  </si>
  <si>
    <t>Which species eggs are fertilized and kept inside the parents body until hatched?</t>
  </si>
  <si>
    <t>Vice President Agnew</t>
  </si>
  <si>
    <t>rapidly</t>
  </si>
  <si>
    <t>the courts of member states</t>
  </si>
  <si>
    <t>only pharmacists may supply scheduled pharmaceuticals to the public</t>
  </si>
  <si>
    <t>What is the world's busiest general aviation airport?</t>
  </si>
  <si>
    <t>How many schools of medicine were recognized in China?</t>
  </si>
  <si>
    <t>What neighborhood did Huguenots establish in Stockholm?</t>
  </si>
  <si>
    <t>California</t>
  </si>
  <si>
    <t>Who inspects the building periodically to ensure that the construction adheres to the approved plans and the local building code?</t>
  </si>
  <si>
    <t>1500 °C</t>
  </si>
  <si>
    <t>service</t>
  </si>
  <si>
    <t>What academy did Tugh Temur found?</t>
  </si>
  <si>
    <t>Natural killer cells, or NK cells, are a component of the innate immune system which does not directly attack invading microbes. Rather, NK cells destroy compromised host cells, such as tumor cells or virus-infected cells, recognizing such cells by a condition known as "missing self." This term describes cells with low levels of a cell-surface marker called MHC I (major histocompatibility complex) – a situation that can arise in viral infections of host cells. They were named "natural killer" because of the initial notion that they do not require activation in order to kill cells that are "missing self." For many years it was unclear how NK cells recognize tumor cells and infected cells. It is now known that the MHC makeup on the surface of those cells is altered and the NK cells become activated through recognition of "missing self". Normal body cells are not recognized and attacked by NK cells because they express intact self MHC antigens. Those MHC antigens are recognized by killer cell immunoglobulin receptors (KIR) which essentially put the brakes on NK cells.</t>
  </si>
  <si>
    <t>What is income inequality not attributed to?</t>
  </si>
  <si>
    <t>after 1850</t>
  </si>
  <si>
    <t>£34m</t>
  </si>
  <si>
    <t>Galileo Galilei</t>
  </si>
  <si>
    <t>Peroxides, nitrates and dichromates are examples of what type of compounds?</t>
  </si>
  <si>
    <t>CRISPR sequences</t>
  </si>
  <si>
    <t>Why are researchers struggling to identify the history of the plague?</t>
  </si>
  <si>
    <t>What kind of cells fail to send out alarm signals?</t>
  </si>
  <si>
    <t>What was the Rhine considered to invaders in WWII?</t>
  </si>
  <si>
    <t>south</t>
  </si>
  <si>
    <t>Around 1294</t>
  </si>
  <si>
    <t>Upstate New York and the Ohio Country</t>
  </si>
  <si>
    <t>What are common outcomes of a project?</t>
  </si>
  <si>
    <t>Islamist</t>
  </si>
  <si>
    <t>How many Vice Presidents are in the Board of Trustees?</t>
  </si>
  <si>
    <t>What major case happened in the 1970's where the Court of Justice held that ultimately the Treaty of Rome in no way prevented energy nationalism?</t>
  </si>
  <si>
    <t>Which entities were not originally concerned with preventing violation of human rights?</t>
  </si>
  <si>
    <t xml:space="preserve">What was Apple Talk </t>
  </si>
  <si>
    <t>Charles</t>
  </si>
  <si>
    <t>European imperialism was never focused on what?</t>
  </si>
  <si>
    <t>What other scientist influence Frank Burnet when he was formulating his theory of immunity?</t>
  </si>
  <si>
    <t>A resurgence came in the late 19th century, with the Scramble for Africa and major additions in Asia and the Middle East. The British spirit of imperialism was expressed by Joseph Chamberlain and Lord Rosebury, and implemented in Africa by Cecil Rhodes. The pseudo-sciences of Social Darwinism and theories of race formed an ideological underpinning during this time. Other influential spokesmen included Lord Cromer, Lord Curzon, General Kitchner, Lord Milner, and the writer Rudyard Kipling. The British Empire was the largest Empire that the world has ever seen both in terms of landmass and population. Its power, both military and economic, remained unmatched.</t>
  </si>
  <si>
    <t>How many components do tentilla have?</t>
  </si>
  <si>
    <t>What do Sonderungsverbot not have when trying to operate without regulation?</t>
  </si>
  <si>
    <t>older</t>
  </si>
  <si>
    <t>utterly debased</t>
  </si>
  <si>
    <t>The Australian Tax Office used AUSTPAC to access what remotely?</t>
  </si>
  <si>
    <t>What powers does the Court of Justice of the European Union have in regards to treaties?</t>
  </si>
  <si>
    <t>In what year did New Netherland split into New York and New Jersey?</t>
  </si>
  <si>
    <t>high growth rates</t>
  </si>
  <si>
    <t>What percentage of the population died in the 1625 outbreak of the Black Death?</t>
  </si>
  <si>
    <t>time and space hierarchy theorems</t>
  </si>
  <si>
    <t>Where does Lake Constance emerge from?</t>
  </si>
  <si>
    <t>Which region began to grow and assert itself in the 2000s?</t>
  </si>
  <si>
    <t>half a mile northwest of the Yard</t>
  </si>
  <si>
    <t>cytotoxic or immunosuppressive drugs</t>
  </si>
  <si>
    <t>"semi-legal"</t>
  </si>
  <si>
    <t>condenser</t>
  </si>
  <si>
    <t>How did developing new oil fields influence the US economy?</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</si>
  <si>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</si>
  <si>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Robert Boyle</t>
  </si>
  <si>
    <t>tidal currents</t>
  </si>
  <si>
    <t>60's</t>
  </si>
  <si>
    <t>How many piston strokes occur in an engine cycle?</t>
  </si>
  <si>
    <t>When was this edict declared?</t>
  </si>
  <si>
    <t>Since 1904, the home of Scottish Parliament has been where?</t>
  </si>
  <si>
    <t>What is the Victoria state bird?</t>
  </si>
  <si>
    <t>What stalled the development of houses?</t>
  </si>
  <si>
    <t>Who is elected to serve as the Presiding Officer at the beginning of each parliamentary session?</t>
  </si>
  <si>
    <t>Some have described the internal strife between various people groups as a form of imperialism or colonialism. This internal form is distinct from informal U.S. imperialism in the form of political and financial hegemony. This internal form of imperialism is also distinct from the United States' formation of "colonies" abroad. Through the treatment of its indigenous peoples during westward expansion, the United States took on the form of an imperial power prior to any attempts at external imperialism. This internal form of empire has been referred to as "internal colonialism". Participation in the African slave trade and the subsequent treatment of its 12 to 15 million Africans is viewed by some to be a more modern extension of America's "internal colonialism". However, this internal colonialism faced resistance, as external colonialism did, but the anti-colonial presence was far less prominent due to the nearly complete dominance that the United States was able to assert over both indigenous peoples and African-Americans. In his lecture on April 16, 2003, Edward Said made a bold statement on modern imperialism in the United States, whom he described as using aggressive means of attack towards the contemporary Orient, "due to their backward living, lack of democracy and the violation of women’s rights. The western world forgets during this process of converting the other that enlightenment and democracy are concepts that not all will agree upon".</t>
  </si>
  <si>
    <t>When did Singer dispute the graph at a Senate hearing?</t>
  </si>
  <si>
    <t>What is a term for the reversing of steam flow in a compression engine after each stroke?</t>
  </si>
  <si>
    <t>What happened when new oil was withdrawn from the market?</t>
  </si>
  <si>
    <t>When did the university decide to start multimillion-dollar expansion projects?</t>
  </si>
  <si>
    <t>What was first recognized by EU law in the 1970's?</t>
  </si>
  <si>
    <t>Where is the highest section of Victoria?</t>
  </si>
  <si>
    <t>How much of a difference in homicide rates are related to inequality?</t>
  </si>
  <si>
    <t>What year were citizens or corporations said to have been able to bring claims against other non state parties?</t>
  </si>
  <si>
    <t>Cost overruns with government projects have occurred when the contractor did what?</t>
  </si>
  <si>
    <t>Undergraduate students are required to take a distribution of courses to satisfy the university's core curriculum known as the Common Core. In 2012-2013, the Core classes at Chicago were limited to 17 students, and are generally led by a full-time professor (as opposed to a teaching assistant). As of the 2013–2014 school year, 15 courses and demonstrated proficiency in a foreign language are required under the Core. Undergraduate courses at the University of Chicago are known for their demanding standards, heavy workload and academic difficulty; according to Uni in the USA, "Among the academic cream of American universities – Harvard, Yale, Princeton, MIT, and the University of Chicago – it is UChicago that can most convincingly claim to provide the most rigorous, intense learning experience."</t>
  </si>
  <si>
    <t>What index is an indicator of the effects of taxes applied to social spending?</t>
  </si>
  <si>
    <t>Since its foundation, the Treaties sought to enable people to pursue their life goals in any country through free movement. Reflecting the economic nature of the project, the European Community originally focused upon free movement of workers: as a "factor of production". However, from the 1970s, this focus shifted towards developing a more "social" Europe. Free movement was increasingly based on "citizenship", so that people had rights to empower them to become economically and socially active, rather than economic activity being a precondition for rights. This means the basic "worker" rights in TFEU article 45 function as a specific expression of the general rights of citizens in TFEU articles 18 to 21. According to the Court of Justice, a "worker" is anybody who is economically active, which includes everyone in an employment relationship, "under the direction of another person" for "remuneration". A job, however, need not be paid in money for someone to be protected as a worker. For example, in Steymann v Staatssecretaris van Justitie, a German man claimed the right to residence in the Netherlands, while he volunteered plumbing and household duties in the Bhagwan community, which provided for everyone's material needs irrespective of their contributions. The Court of Justice held that Mr Steymann was entitled to stay, so long as there was at least an "indirect quid pro quo" for the work he did. Having "worker" status means protection against all forms of discrimination by governments, and employers, in access to employment, tax, and social security rights. By contrast a citizen, who is "any person having the nationality of a Member State" (TFEU article 20(1)), has rights to seek work, vote in local and European elections, but more restricted rights to claim social security. In practice, free movement has become politically contentious as nationalist political parties have manipulated fears about immigrants taking away people's jobs and benefits (paradoxically at the same time). Nevertheless, practically "all available research finds little impact" of "labour mobility on wages and employment of local workers".</t>
  </si>
  <si>
    <t>What consists of eight Combined Statistical Areas?</t>
  </si>
  <si>
    <t>Whose theories supported the miasma theory?</t>
  </si>
  <si>
    <t>How much did Saudi Arabia spend on Western demand for oil?</t>
  </si>
  <si>
    <t>the market</t>
  </si>
  <si>
    <t>Prince Louis de Condé</t>
  </si>
  <si>
    <t>What do rules about conflict of interest involving doctors diagnosing patients resemble?</t>
  </si>
  <si>
    <t>What is not commonly believed to be the value relationship between P and co-NP?</t>
  </si>
  <si>
    <t>Albany Congress</t>
  </si>
  <si>
    <t>Who concluded that CO2 would raise by 90%?</t>
  </si>
  <si>
    <t>What river separates Jacksonville?</t>
  </si>
  <si>
    <t>Where is the office of Edward Harkness located?</t>
  </si>
  <si>
    <t>Before they hire a contractor, what do the D&amp;B contractors also do about a project?</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</si>
  <si>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</si>
  <si>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Huguenot Street Historic District</t>
  </si>
  <si>
    <t>n = 4</t>
  </si>
  <si>
    <t>What was rationed by railroad workers?</t>
  </si>
  <si>
    <t>several regional colleges and universities</t>
  </si>
  <si>
    <t>Masaaki Shirakawa</t>
  </si>
  <si>
    <t>altered the existing treaties</t>
  </si>
  <si>
    <t>compressing and cooling it</t>
  </si>
  <si>
    <t>1858</t>
  </si>
  <si>
    <t>value added by different classifications of workers</t>
  </si>
  <si>
    <t>How accurate did Guo make the formed lunisolar calendar?</t>
  </si>
  <si>
    <t>What is Sigilium's symbol?</t>
  </si>
  <si>
    <t>Who was elected on the Lothian global list?</t>
  </si>
  <si>
    <t>37</t>
  </si>
  <si>
    <t>What nationality aren't researchers Richard G. Wilkinson and Kate Pickett?</t>
  </si>
  <si>
    <t>non-specific</t>
  </si>
  <si>
    <t>What was the first steam powered device used commercially?</t>
  </si>
  <si>
    <t>qualified majority</t>
  </si>
  <si>
    <t>What show did Lupe Mayorga star in?</t>
  </si>
  <si>
    <t>What did Britain do in September 1971?</t>
  </si>
  <si>
    <t>ignored the warning.</t>
  </si>
  <si>
    <t>only "essentials"</t>
  </si>
  <si>
    <t>What involves mass production of similar items without designated planning?</t>
  </si>
  <si>
    <t>eight General Education categories</t>
  </si>
  <si>
    <t>Tricia Marwick</t>
  </si>
  <si>
    <t>value of the spin</t>
  </si>
  <si>
    <t>Along with the Congregation of Christian Brothers, what is a notable religious group that runs fee-paying schools in Ireland?</t>
  </si>
  <si>
    <t>What is necessary for successfully completing  bidding on a project?</t>
  </si>
  <si>
    <t>activities of muggers, arsonists, draft evaders, campaign hecklers, campus militants, anti-war demonstrators, juvenile delinquents and political assassins</t>
  </si>
  <si>
    <t>Where was the location of the administration of Calcutta?</t>
  </si>
  <si>
    <t>Parliament of the United Kingdom</t>
  </si>
  <si>
    <t>The relationship of ctenophores to the rest of Metazoa is very important to our understanding of the early evolution of animals and the origin of multicellularity. It has been the focus of debate for many years. Ctenophores have been purported to be the sister lineage to the Bilateria, sister to the Cnidaria, sister to Cnidaria, Placozoa and Bilateria, and sister to all other animal phyla. A series of studies that looked at the presence and absence of members of gene families and signalling pathways (e.g., homeoboxes, nuclear receptors, the Wnt signaling pathway, and sodium channels) showed evidence congruent with the latter two scenarios, that ctenophores are either sister to Cnidaria, Placozoa and Bilateria or sister to all other animal phyla. Several more recent studies comparing complete sequenced genomes of ctenophores with other sequenced animal genomes have also supported ctenophores as the sister lineage to all other animals. This position would suggest that neural and muscle cell types were either lost in major animal lineages (e.g., Porifera) or that they evolved independently in the ctenophore lineage. However, other researchers have argued that the placement of Ctenophora as sister to all other animals is a statistical anomaly caused by the high rate of evolution in ctenophore genomes, and that Porifera (sponges) is the earliest-diverging animal phylum instead. Ctenophores and sponges are also the only known animal phyla that lack any true hox genes.</t>
  </si>
  <si>
    <t>Buddhism</t>
  </si>
  <si>
    <t>When was the Sierra Sky Park Airport formed?</t>
  </si>
  <si>
    <t>imaginative geography</t>
  </si>
  <si>
    <t>How many prominent tentacles were found 1996?</t>
  </si>
  <si>
    <t>What are usually the last cells to arrive at the scene of an infection?</t>
  </si>
  <si>
    <t>γδ</t>
  </si>
  <si>
    <t>economic instability</t>
  </si>
  <si>
    <t>How many different species of ctenohore are there?</t>
  </si>
  <si>
    <t>What type of government investigations apply to civil disobedience?</t>
  </si>
  <si>
    <t>What are people from Florida sometimes called?</t>
  </si>
  <si>
    <t>What is class contains the the least difficult problems in NP?</t>
  </si>
  <si>
    <t>Which debate has been organized by the U of C since 1987?</t>
  </si>
  <si>
    <t>The French and Indian War (1754–1763) was the North American theater of the worldwide Seven Years' War. The war was fought between the colonies of British America and New France, with both sides supported by military units from their parent countries of Great Britain and France, as well as Native American allies. At the start of the war, the French North American colonies had a population of roughly 60,000 European settlers, compared with 2 million in the British North American colonies. The outnumbered French particularly depended on the Indians. Long in conflict, the metropole nations declared war on each other in 1756, escalating the war from a regional affair into an intercontinental conflict.</t>
  </si>
  <si>
    <t>What is an example of a metaphysical concept?</t>
  </si>
  <si>
    <t>regain authority over his own people. They had been inclined to support the French, with whom they had long trading relationships</t>
  </si>
  <si>
    <t>nonconservative forces</t>
  </si>
  <si>
    <t>What cells do not carry receptor molecules?</t>
  </si>
  <si>
    <t>four</t>
  </si>
  <si>
    <t>What industry was centered in Bedfordshire?</t>
  </si>
  <si>
    <t>Palm Springs</t>
  </si>
  <si>
    <t>The zeta function is closely related to prime numbers. For example, the aforementioned fact that there are infinitely many primes can also be seen using the zeta function: if there were only finitely many primes then ζ(1) would have a finite value. However, the harmonic series 1 + 1/2 + 1/3 + 1/4 + ... diverges (i.e., exceeds any given number), so there must be infinitely many primes. Another example of the richness of the zeta function and a glimpse of modern algebraic number theory is the following identity (Basel problem), due to Euler,</t>
  </si>
  <si>
    <t>What are the two major thoroughfares of Sunnyside?</t>
  </si>
  <si>
    <t>from sea level</t>
  </si>
  <si>
    <t>BQP and QMA are examples of complexity classes most commonly associated with what type of Turing machine?</t>
  </si>
  <si>
    <t>KSEE</t>
  </si>
  <si>
    <t>From whom did the Huguenots in South Carolina purchase land from?</t>
  </si>
  <si>
    <t>Who first described dynamic equilibrium?</t>
  </si>
  <si>
    <t>the pre-Heian Imperial court</t>
  </si>
  <si>
    <t>violent Sunni extremist groups such as Al-Qaeda and the Taliban</t>
  </si>
  <si>
    <t>The third invasion was stopped with the improbable French victory in the Battle of Carillon, in which 3,600 Frenchmen famously and decisively defeated Abercrombie's force of 18,000 regulars, militia and Native American allies outside the fort the French called Carillon and the British called Ticonderoga. Abercrombie saved something from the disaster when he sent John Bradstreet on an expedition that successfully destroyed Fort Frontenac, including caches of supplies destined for New France's western forts and furs destined for Europe. Abercrombie was recalled and replaced by Jeffery Amherst, victor at Louisbourg.</t>
  </si>
  <si>
    <t>by conquering the other state's lands</t>
  </si>
  <si>
    <t>Where do a minority of consultant pharmacists tend to work?</t>
  </si>
  <si>
    <t>Major George Washington</t>
  </si>
  <si>
    <t>$12 billion</t>
  </si>
  <si>
    <t>In what states are pharmacist clinicians given prescriptive and diagnostic authority?</t>
  </si>
  <si>
    <t>What did colonial authorities  reduce because of the Ballarat revolt?</t>
  </si>
  <si>
    <t>their effects on the motion of the body</t>
  </si>
  <si>
    <t>How many general questions are available to opposition leaders?</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</si>
  <si>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</si>
  <si>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clasts</t>
  </si>
  <si>
    <t>representatives</t>
  </si>
  <si>
    <t>Which port is United States's third-largest seaport?</t>
  </si>
  <si>
    <t>What contributed to the increased inequality between trained and untrained workers?</t>
  </si>
  <si>
    <t>What organization has continued to be a major disruptive force in Palestine?</t>
  </si>
  <si>
    <t>Which army attacked and destroyed this colony?</t>
  </si>
  <si>
    <t>George C. Walker served as trustee, treasurer and donor of what?</t>
  </si>
  <si>
    <t>gender roles and customs</t>
  </si>
  <si>
    <t>How much is the sieve method of gas production used?</t>
  </si>
  <si>
    <t>Newton realized that gravitational deceleration was proportional to what?</t>
  </si>
  <si>
    <t>storage conditions, compulsory texts, equipment</t>
  </si>
  <si>
    <t>In what year was Fort Coligny destroyed?</t>
  </si>
  <si>
    <t>If packet sizes are variable, then are they always charged at the same rate per packet?</t>
  </si>
  <si>
    <t>What were high court proceedings being held about?</t>
  </si>
  <si>
    <t>Why does Sophocles defy Creon in the play?</t>
  </si>
  <si>
    <t>beginning of the historical era</t>
  </si>
  <si>
    <t>How many people work for Kunskapsskolan schools?</t>
  </si>
  <si>
    <t>Pinedale</t>
  </si>
  <si>
    <t>When was the French and Indian Treaty?</t>
  </si>
  <si>
    <t>a poor harvest</t>
  </si>
  <si>
    <t>How far did the sea level drop in the ice ages?</t>
  </si>
  <si>
    <t xml:space="preserve"> What religion did the English spread along with their imperialism?</t>
  </si>
  <si>
    <t>The first commercially successful true engine, in that it could generate power and transmit it to a machine, was the atmospheric engine, invented by Thomas Newcomen around 1712. It was an improvement over Savery's steam pump, using a piston as proposed by Papin. Newcomen's engine was relatively inefficient, and in most cases was used for pumping water. It worked by creating a partial vacuum by condensing steam under a piston within a cylinder. It was employed for draining mine workings at depths hitherto impossible, and also for providing a reusable water supply for driving waterwheels at factories sited away from a suitable "head". Water that had passed over the wheel was pumped back up into a storage reservoir above the wheel.</t>
  </si>
  <si>
    <t>land</t>
  </si>
  <si>
    <t>What streams continue to carry water from the Rhine?</t>
  </si>
  <si>
    <t>at the foot of the mast</t>
  </si>
  <si>
    <t>There are also many places commemorating the heroic history of Warsaw. Pawiak, an infamous German Gestapo prison now occupied by a Mausoleum of Memory of Martyrdom and the museum, is only the beginning of a walk in the traces of Heroic City. The Warsaw Citadel, an impressive 19th-century fortification built after the defeat of the November Uprising, was a place of martyr for the Poles. Another important monument, the statue of Little Insurgent located at the ramparts of the Old Town, commemorates the children who served as messengers and frontline troops in the Warsaw Uprising, while the impressive Warsaw Uprising Monument by Wincenty Kućma was erected in memory of the largest insurrection of World War II.</t>
  </si>
  <si>
    <t>What is an additional meaning intended when the word prime is used?</t>
  </si>
  <si>
    <t>What is American Union Law a body of?</t>
  </si>
  <si>
    <t>the Liao, Jin, and Song</t>
  </si>
  <si>
    <t>How many pieces of legislation has the Social Charter become the basis for?</t>
  </si>
  <si>
    <t>below 0 °C</t>
  </si>
  <si>
    <t>palm</t>
  </si>
  <si>
    <t xml:space="preserve">Is the packet header long </t>
  </si>
  <si>
    <t>Who demonstrated how to create an infinite number from a Mersenne prime?</t>
  </si>
  <si>
    <t>Where did Turabi place students sympathetic to his views?</t>
  </si>
  <si>
    <t>division and administration of the newly conquered territory</t>
  </si>
  <si>
    <t>sea-level rise had dropped</t>
  </si>
  <si>
    <t xml:space="preserve"> Who influenced the non-Taliban ideology?</t>
  </si>
  <si>
    <t>Release of carbon contained in vegetation will slow down what?</t>
  </si>
  <si>
    <t>What can exposure to partial gas pressures greater than 166 kPa cause?</t>
  </si>
  <si>
    <t>President Agnew</t>
  </si>
  <si>
    <t xml:space="preserve"> What had the Yuan used to print its money before plastic plates?</t>
  </si>
  <si>
    <t>What is the name of the first aviation community built?</t>
  </si>
  <si>
    <t>How do ctenophores control buoyancy?</t>
  </si>
  <si>
    <t>The Maroons compete in what league division?</t>
  </si>
  <si>
    <t>drawn by the convenience of the railroad and worried about flooding</t>
  </si>
  <si>
    <t>What do clinical pharmacists specialize in?</t>
  </si>
  <si>
    <t>What years did this occupation take place?</t>
  </si>
  <si>
    <t>What strains of y. pestis were found in the mass graves?</t>
  </si>
  <si>
    <t>What chronic conditions can cause sleep deprivation?</t>
  </si>
  <si>
    <t>What do contractors look to ensure during building construction?</t>
  </si>
  <si>
    <t>What service used the network and modified KPN devices?</t>
  </si>
  <si>
    <t>dispensing substandard products</t>
  </si>
  <si>
    <t>Fresno and B streets</t>
  </si>
  <si>
    <t>In 1640</t>
  </si>
  <si>
    <t>Labor</t>
  </si>
  <si>
    <t>National Party</t>
  </si>
  <si>
    <t>Prime ideals</t>
  </si>
  <si>
    <t>What rates of health and social problems are in countries with low inequality?</t>
  </si>
  <si>
    <t>Who fought in the great Northern war?</t>
  </si>
  <si>
    <t>fifty</t>
  </si>
  <si>
    <t>What is the name of a uniflow engine that takes in steam in hot areas and exhausts it in cold?</t>
  </si>
  <si>
    <t>What type of insect employs the use of Magicicadas in its evolutionary strategy?</t>
  </si>
  <si>
    <t>What was the price of oil in 1979 before it rose?</t>
  </si>
  <si>
    <t>What are numbers greater than 1 that can be divided by 3 or more numbers called?</t>
  </si>
  <si>
    <t>What continued southward and is also considered the first Rhine river?</t>
  </si>
  <si>
    <t>Who deployed its army into Afghanistan in 1979?</t>
  </si>
  <si>
    <t>Mongols beyond the Middle Kingdom saw them as too Chinese</t>
  </si>
  <si>
    <t>pharmacists are expected to become more integral within the health care system</t>
  </si>
  <si>
    <t>A contract</t>
  </si>
  <si>
    <t>When was the basis for the Social Chapter developed?</t>
  </si>
  <si>
    <t xml:space="preserve"> What type of revolution did Maududi not advocate?</t>
  </si>
  <si>
    <t>What kind of behavior are cilia participating in when they reverse direction with their flagella?</t>
  </si>
  <si>
    <t>an Australian public X.25 network</t>
  </si>
  <si>
    <t>otter, beaver and hundreds of bird species</t>
  </si>
  <si>
    <t>What does factorization of quadratic equations approximate?</t>
  </si>
  <si>
    <t>the StubHub Center</t>
  </si>
  <si>
    <t>Newton's Third</t>
  </si>
  <si>
    <t>In Sept 1760 who negotiated a capitulation from Montreal?</t>
  </si>
  <si>
    <t>Netherlands</t>
  </si>
  <si>
    <t>How many miles does the dust travels over the Atlantic Ocean?</t>
  </si>
  <si>
    <t>What is not an example of what a clinical pharmacist's duties entail?</t>
  </si>
  <si>
    <t>East Smithfield</t>
  </si>
  <si>
    <t>Some of the income was dispensed in the form of aid to other underdeveloped nations whose economies had been caught between higher oil prices and lower prices for their own export commodities, amid shrinking Western demand. Much went for arms purchases that exacerbated political tensions, particularly in the Middle East. Saudi Arabia spent over 100 billion dollars in the ensuing decades for helping spread its fundamentalist interpretation of Islam, known as Wahhabism, throughout the world, via religious charities such al-Haramain Foundation, which often also distributed funds to violent Sunni extremist groups such as Al-Qaeda and the Taliban.</t>
  </si>
  <si>
    <t>What persons were not allowed to settle in New France?</t>
  </si>
  <si>
    <t>How many divisions are required to verify the division of the number 37?</t>
  </si>
  <si>
    <t>outcome of most votes</t>
  </si>
  <si>
    <t>D'Olier Street is named after whom?</t>
  </si>
  <si>
    <t>July 2013</t>
  </si>
  <si>
    <t>deportation of the French-speaking Acadian population from the area</t>
  </si>
  <si>
    <t>What was Tymnet</t>
  </si>
  <si>
    <t>enhanced greenhouse effect</t>
  </si>
  <si>
    <t>1331</t>
  </si>
  <si>
    <t>Who conceptualized the vacuum?</t>
  </si>
  <si>
    <t>The packet header can be small</t>
  </si>
  <si>
    <t>What NLF teams are from Southern California?</t>
  </si>
  <si>
    <t>The University of Chicago (UChicago, Chicago, or U of C) is a private research university in Chicago. The university, established in 1890, consists of The College, various graduate programs, interdisciplinary committees organized into four academic research divisions and seven professional schools. Beyond the arts and sciences, Chicago is also well known for its professional schools, which include the Pritzker School of Medicine, the University of Chicago Booth School of Business, the Law School, the School of Social Service Administration, the Harris School of Public Policy Studies, the Graham School of Continuing Liberal and Professional Studies and the Divinity School. The university currently enrolls approximately 5,000 students in the College and around 15,000 students overall.</t>
  </si>
  <si>
    <t>Where are photons the fundamental exchange photon?</t>
  </si>
  <si>
    <t>What company developed the most successful steam engine indicator?</t>
  </si>
  <si>
    <t>Jacob Van Braam as an interpreter; Christopher Gist, a company surveyor working in the area; and a few Mingo led by Tanaghrisson</t>
  </si>
  <si>
    <t>1555</t>
  </si>
  <si>
    <t xml:space="preserve">How was the Dutch name for the Rhine originally spelled? </t>
  </si>
  <si>
    <t>What were the annual carriage fees for the channels?</t>
  </si>
  <si>
    <t>In what year did the House of Guise gain influence?</t>
  </si>
  <si>
    <t>Synthetic aperture radar</t>
  </si>
  <si>
    <t>A tundra</t>
  </si>
  <si>
    <t>Where is Energiprojekt AB based?</t>
  </si>
  <si>
    <t>How was the school able to bring aboard the best talented students?</t>
  </si>
  <si>
    <t>Where is the Holocene further expanded since it is very short with short epochs?</t>
  </si>
  <si>
    <t>In what setting do structural geologists reconstruct the crystalline structure of rocks?</t>
  </si>
  <si>
    <t>Who experimented by rolling stones and canonballs down a steep incline?</t>
  </si>
  <si>
    <t>Seismologists can use the arrival times of seismic waves in reverse to image the interior of the Earth. Early advances in this field showed the existence of a liquid outer core (where shear waves were not able to propagate) and a dense solid inner core. These advances led to the development of a layered model of the Earth, with a crust and lithosphere on top, the mantle below (separated within itself by seismic discontinuities at 410 and 660 kilometers), and the outer core and inner core below that. More recently, seismologists have been able to create detailed images of wave speeds inside the earth in the same way a doctor images a body in a CT scan. These images have led to a much more detailed view of the interior of the Earth, and have replaced the simplified layered model with a much more dynamic model.</t>
  </si>
  <si>
    <t>What is the weather type of Mallee and upper Wimmera?</t>
  </si>
  <si>
    <t>freight</t>
  </si>
  <si>
    <t>Who can enforce the European Union law when member states provide lesser rights?</t>
  </si>
  <si>
    <t xml:space="preserve">How many people live in Riverside? </t>
  </si>
  <si>
    <t>private ownership of the means of production</t>
  </si>
  <si>
    <t>What is Warsaw's symbol?</t>
  </si>
  <si>
    <t>workers in the poor countries</t>
  </si>
  <si>
    <t>the Edict of Fontainebleau</t>
  </si>
  <si>
    <t>Timucua people</t>
  </si>
  <si>
    <t>How many campuses does the California State University have?</t>
  </si>
  <si>
    <t>appear to become lighter</t>
  </si>
  <si>
    <t>previously separated specialties, especially among large firms</t>
  </si>
  <si>
    <t>What is the main executive body of the EU?</t>
  </si>
  <si>
    <t>Several procedures enable the Scottish Parliament to scrutinise the Government. The First Minister or members of the cabinet can deliver statements to Parliament upon which MSPs are invited to question. For example, at the beginning of each parliamentary year, the First Minister delivers a statement to the chamber setting out the Government's legislative programme for the forthcoming year. After the statement has been delivered, the leaders of the opposition parties and other MSPs question the First Minister on issues related to the substance of the statement.</t>
  </si>
  <si>
    <t>What might the Amazon forest become if it passes the tipping point and starts to die?</t>
  </si>
  <si>
    <t>Why was the protection of private schools implemented in 1992?</t>
  </si>
  <si>
    <t>What college was founded during World War II?</t>
  </si>
  <si>
    <t>Health problems were higher in places with higher levels of what?</t>
  </si>
  <si>
    <t>How many Huguenot's did the Portuguese kill for being Protestant in Guanabara?</t>
  </si>
  <si>
    <t>10,000 m2</t>
  </si>
  <si>
    <t>University of Washington</t>
  </si>
  <si>
    <t>Where is the Jazz Jamboree hosted?</t>
  </si>
  <si>
    <t>Why do geologists plot crystals under a microscope?</t>
  </si>
  <si>
    <t>mild euphoric</t>
  </si>
  <si>
    <t>What territory wasn't ceded to Britain?</t>
  </si>
  <si>
    <t>Level 3 Communications</t>
  </si>
  <si>
    <t>In the mid 18th century, who did not concur that 1 should be the first prime number?</t>
  </si>
  <si>
    <t>Where can one find the formerly Huguenot farms in South Africa?</t>
  </si>
  <si>
    <t>What channel never used looping video streams?</t>
  </si>
  <si>
    <t>Who did the Normans serve under in the 10th century?</t>
  </si>
  <si>
    <t>1972 connections</t>
  </si>
  <si>
    <t>from near the mouth to the opposite end</t>
  </si>
  <si>
    <t>illiberal Islamic regimes</t>
  </si>
  <si>
    <t>90,790 tonnes</t>
  </si>
  <si>
    <t>graph isomorphism problem</t>
  </si>
  <si>
    <t>computational problems</t>
  </si>
  <si>
    <t>attacked the British column, killing and capturing several hundred men, women, children, and slaves.</t>
  </si>
  <si>
    <t>the ‘combs’</t>
  </si>
  <si>
    <t>anti-democratic Islamist movements inspired by Maududi and Sayyid Qutb</t>
  </si>
  <si>
    <t>What ctenophore was accidentally introduced into The Black Sea?</t>
  </si>
  <si>
    <t>historians</t>
  </si>
  <si>
    <t>lowland South American peoples</t>
  </si>
  <si>
    <t>How did Vaudreuil react when Johnson was seen as a lesser threat?</t>
  </si>
  <si>
    <t>Besides public key cryptography what is another application for military gear?</t>
  </si>
  <si>
    <t>from the river's natural course due to number of canalisation projects completed in the 19th and 20th century</t>
  </si>
  <si>
    <t>some extra costs</t>
  </si>
  <si>
    <t>What are the two major subtypes of T cells?</t>
  </si>
  <si>
    <t>What wasn't the French population in North America?</t>
  </si>
  <si>
    <t>What does child well-being in poor countries correlate most to?</t>
  </si>
  <si>
    <t>mid-18th century</t>
  </si>
  <si>
    <t>Who was the opposing party in the Runyon case?</t>
  </si>
  <si>
    <t>major national and international patient information projects</t>
  </si>
  <si>
    <t>What is a science that examines the structure and function of the brain?</t>
  </si>
  <si>
    <t>How was the population of mnemiopsis in The black Sea and the Sea of Azov brought under control?</t>
  </si>
  <si>
    <t>negative effect</t>
  </si>
  <si>
    <t>What popular environmentalist is also a university alumni member?</t>
  </si>
  <si>
    <t>Why did the demand for rentals increase?</t>
  </si>
  <si>
    <t>ministers in departments that are selected for questioning that sitting day</t>
  </si>
  <si>
    <t>What place had the Norman Arab architectural style?</t>
  </si>
  <si>
    <t>How does the Aboral move?</t>
  </si>
  <si>
    <t>Kingdom of Sicily</t>
  </si>
  <si>
    <t>What types of people were always involved in the court system?</t>
  </si>
  <si>
    <t>art posters</t>
  </si>
  <si>
    <t>It was never affiliated with any particular denomination</t>
  </si>
  <si>
    <t>Who coined the name oxygen in 1774?</t>
  </si>
  <si>
    <t>What drove decreased rental prices in East New York?</t>
  </si>
  <si>
    <t>Who did the Kingdom of Poland trade with?</t>
  </si>
  <si>
    <t>Name one country that banned boating, driving and flying on Sundays.</t>
  </si>
  <si>
    <t>January 18, 1974,</t>
  </si>
  <si>
    <t>What is treated with medical chambers?</t>
  </si>
  <si>
    <t>vast areas</t>
  </si>
  <si>
    <t>market forces</t>
  </si>
  <si>
    <t>A fundamental error</t>
  </si>
  <si>
    <t>complexity measure</t>
  </si>
  <si>
    <t>Marco Polo</t>
  </si>
  <si>
    <t>In what year was Marseille founded?</t>
  </si>
  <si>
    <t>11.5 inches</t>
  </si>
  <si>
    <t>What is UBV radiation a form of near the surface?</t>
  </si>
  <si>
    <t>Who is required to verify and have existing utility lines marked?</t>
  </si>
  <si>
    <t>Identical particles split into two different classes depending on the formation of what?</t>
  </si>
  <si>
    <t>Amazon rain forest experienced another mild drought in what year</t>
  </si>
  <si>
    <t>to constantly expand investment, material resources and manpower</t>
  </si>
  <si>
    <t>How many students does the University of Chicago have enlisted?</t>
  </si>
  <si>
    <t>What is the only district in the CBD to not have "downtown" in it's name?</t>
  </si>
  <si>
    <t>What is the translation of the old north branch of rhe Rhine?</t>
  </si>
  <si>
    <t>the plague was present somewhere in Europe in every year between 1346 and 1671.</t>
  </si>
  <si>
    <t>What characteristic best describes the agricultural regions that could be found?</t>
  </si>
  <si>
    <t>How much more oxygen dissolves at 0 degrees C than at 20 degrees C?</t>
  </si>
  <si>
    <t>primorial primes</t>
  </si>
  <si>
    <t>In addition to climate assessment reports, the IPCC is publishing Special Reports on specific topics. The preparation and approval process for all IPCC Special Reports follows the same procedures as for IPCC Assessment Reports. In the year 2011 two IPCC Special Report were finalized, the Special Report on Renewable Energy Sources and Climate Change Mitigation (SRREN) and the Special Report on Managing Risks of Extreme Events and Disasters to Advance Climate Change Adaptation (SREX). Both Special Reports were requested by governments.</t>
  </si>
  <si>
    <t>Newton was instrumental in describing the characteristics of falling what?</t>
  </si>
  <si>
    <t>What is the process of analyzing the amount of resources needed by a particular algorithm to solve a hypothesis?</t>
  </si>
  <si>
    <t>On October 6, 1973, Syria and Egypt, with support from other Arab nations, launched a surprise attack on Israel, on Yom Kippur. This renewal of hostilities in the Arab–Israeli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</si>
  <si>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When did the Arab oil producers lift the embargo?</t>
  </si>
  <si>
    <t>What rates of health and social problems are in countries with high inequality?</t>
  </si>
  <si>
    <t xml:space="preserve">Why was Telenet purchased in 1979? </t>
  </si>
  <si>
    <t>exponential-time algorithms</t>
  </si>
  <si>
    <t>Lower Rhine</t>
  </si>
  <si>
    <t>27 September 2001</t>
  </si>
  <si>
    <t>How long is Austria?</t>
  </si>
  <si>
    <t>What does the public see an an imminent danger?</t>
  </si>
  <si>
    <t>The graph isomorphism problem is the computational problem of determining whether two finite graphs are isomorphic. An important unsolved problem in complexity theory is whether the graph isomorphism problem is in P, NP-complete, or NP-intermediate. The answer is not known, but it is believed that the problem is at least not NP-complete. If graph isomorphism is NP-complete, the polynomial time hierarchy collapses to its second level. Since it is widely believed that the polynomial hierarchy does not collapse to any finite level, it is believed that graph isomorphism is not NP-complete. The best algorithm for this problem, due to Laszlo Babai and Eugene Luks has run time 2O(√(n log(n))) for graphs with n vertices.</t>
  </si>
  <si>
    <t>"The Islamic State", formerly known as the "Islamic State of Iraq and the Levant" and before that as the "Islamic State of Iraq", (and called the acronym Daesh by its many detractors), is a Wahhabi/Salafi jihadist extremist militant group which is led by and mainly composed of Sunni Arabs from Iraq and Syria. In 2014, the group proclaimed itself a caliphate, with religious, political and military authority over all Muslims worldwide. As of March 2015[update], it had control over territory occupied by ten million people in Iraq and Syria, and has nominal control over small areas of Libya, Nigeria and Afghanistan. (While a self-described state, it lacks international recognition.) The group also operates or has affiliates in other parts of the world, including North Africa and South Asia.</t>
  </si>
  <si>
    <t>Paul Baran developed the concept Distributed Adaptive Message Block Switching</t>
  </si>
  <si>
    <t>Electronic Frontier Foundation</t>
  </si>
  <si>
    <t>Khanbaliq</t>
  </si>
  <si>
    <t>What is it called when steam propels a turbo generator with electric motor propulsion?</t>
  </si>
  <si>
    <t>When the Rhine took a right turn what did it create?</t>
  </si>
  <si>
    <t>For what size natural number does Chebyshev's postulate hold?</t>
  </si>
  <si>
    <t>Sunspot, New Mexico</t>
  </si>
  <si>
    <t>Christian Goldbach</t>
  </si>
  <si>
    <t>The Holocene</t>
  </si>
  <si>
    <t>How long does it take for the effects to manifest as changes to economic growth?</t>
  </si>
  <si>
    <t>Who else besides Genoa traded with Kaffa?</t>
  </si>
  <si>
    <t>After apartheid, what types of schools are referred to as "Model C" schools?</t>
  </si>
  <si>
    <t>Ministry of War</t>
  </si>
  <si>
    <t>thanks</t>
  </si>
  <si>
    <t xml:space="preserve">What caused the crisis? </t>
  </si>
  <si>
    <t>Formed in November 1990 by the equal merger of Sky Television and British Satellite Broadcasting, BSkyB became the UK's largest digital subscription television company. Following BSkyB's 2014 acquisition of Sky Italia and a majority 90.04% interest in Sky Deutschland in November 2014, its holding company British Sky Broadcasting Group plc changed its name to Sky plc. The United Kingdom operations also changed the company name from British Sky Broadcasting Limited to Sky UK Limited, still trading as Sky.</t>
  </si>
  <si>
    <t xml:space="preserve"> How many non-Muslim empires have used imperialism?</t>
  </si>
  <si>
    <t>What is the last source of European Union law?</t>
  </si>
  <si>
    <t>What is the name for a problem that meets Ladner's assertion?</t>
  </si>
  <si>
    <t>Fringe or splinter</t>
  </si>
  <si>
    <t>How much lighter is oxygen-18?</t>
  </si>
  <si>
    <t>through contact with Persian traders</t>
  </si>
  <si>
    <t>commutative ring</t>
  </si>
  <si>
    <t>When aren't inequalities in wealth justified, according to John Rawls?</t>
  </si>
  <si>
    <t>internal migration and urbanisation.</t>
  </si>
  <si>
    <t>What happens if the Directive's deadline is met?</t>
  </si>
  <si>
    <t>great amount of it</t>
  </si>
  <si>
    <t>What language is used in Chinese secondary schools in Malaysia?</t>
  </si>
  <si>
    <t>What countries use a red stylized A to signify pharmacy?</t>
  </si>
  <si>
    <t>What light radiation does ozone absorb?</t>
  </si>
  <si>
    <t>What did Virgin Media claim BSkyB did that resulted Virgin not carrying the channels anymore?</t>
  </si>
  <si>
    <t>statement suggested a lack of remorse</t>
  </si>
  <si>
    <t>menarche</t>
  </si>
  <si>
    <t>11.1%</t>
  </si>
  <si>
    <t>if they arrest fully informed jury leafleters, the leaflets will have to be given to the leafleter's own jury as evidence</t>
  </si>
  <si>
    <t>Who's will may elite politicians follow according to the government?</t>
  </si>
  <si>
    <t>Battle of Fort Bull</t>
  </si>
  <si>
    <t>When did BSkyB announce it's intention to improve it's free-to-air digital channels?</t>
  </si>
  <si>
    <t>Construction involves the translation of what?</t>
  </si>
  <si>
    <t>The cities of Los Angeles and San Diego are a part of which state?</t>
  </si>
  <si>
    <t xml:space="preserve"> Who did the US refuse aid to, to fight against the Soviet Union?</t>
  </si>
  <si>
    <t xml:space="preserve">What do a and b represent in a Gaussian integer expression? </t>
  </si>
  <si>
    <t xml:space="preserve">What was a first for this network </t>
  </si>
  <si>
    <t>After the operators are warned by the escape of the steam, what may they then do?</t>
  </si>
  <si>
    <t>fuel consumption, industrial production and so on</t>
  </si>
  <si>
    <t>Hereford</t>
  </si>
  <si>
    <t>DECnet II protocols were designed by who?</t>
  </si>
  <si>
    <t>How would the capabilities approach achieve it's goal?</t>
  </si>
  <si>
    <t>The Wars of Religion</t>
  </si>
  <si>
    <t>Until 1987, what stance did the Muslim Brotherhood in Iraq take towards Israel?</t>
  </si>
  <si>
    <t>ENR</t>
  </si>
  <si>
    <t>What serves as a barrier between bodily tissues and the nervous system?</t>
  </si>
  <si>
    <t>What is the name of the village that once existed in what is now downtown Jacksonville?</t>
  </si>
  <si>
    <t>continued application of a force</t>
  </si>
  <si>
    <t>the canalized Rhine</t>
  </si>
  <si>
    <t>Hormones can act as immunomodulators, altering the sensitivity of the immune system. For example, female sex hormones are known immunostimulators of both adaptive and innate immune responses. Some autoimmune diseases such as lupus erythematosus strike women preferentially, and their onset often coincides with puberty. By contrast, male sex hormones such as testosterone seem to be immunosuppressive. Other hormones appear to regulate the immune system as well, most notably prolactin, growth hormone and vitamin D.</t>
  </si>
  <si>
    <t>How many miles north of downtown Fresno is the Tower District neighborhood?</t>
  </si>
  <si>
    <t xml:space="preserve"> When weren't Joseph Schumpeter and Norman Angell at their most prolific writing period?</t>
  </si>
  <si>
    <t>electrical, water, sewage, phone, and cable</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</si>
  <si>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</si>
  <si>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What could be attributed to gravity acceleration around the Earth?</t>
  </si>
  <si>
    <t>dial-up terminal to a PAD, or, by linking a permanent X.25 node</t>
  </si>
  <si>
    <t>High Sheriff</t>
  </si>
  <si>
    <t>are prime. Prime numbers of this form are known as factorial primes. Other primes where either p + 1 or p − 1 is of a particular shape include the Sophie Germain primes (primes of the form 2p + 1 with p prime), primorial primes, Fermat primes and Mersenne primes, that is, prime numbers that are of the form 2p − 1, where p is an arbitrary prime. The Lucas–Lehmer test is particularly fast for numbers of this form. This is why the largest known prime has almost always been a Mersenne prime since the dawn of electronic computers.</t>
  </si>
  <si>
    <t>What is ethnic community is traditionally found Downtown?</t>
  </si>
  <si>
    <t>Where does extension occur?</t>
  </si>
  <si>
    <t>quadruple expansion engines</t>
  </si>
  <si>
    <t>Where did France focus its efforts to rebuild its empire?</t>
  </si>
  <si>
    <t>mannerist</t>
  </si>
  <si>
    <t>What kind of cell is not an innate leukocyte?</t>
  </si>
  <si>
    <t>Who did the Mongols bring to Japan as administrators?</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</si>
  <si>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</si>
  <si>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model results</t>
  </si>
  <si>
    <t>Book of Exodus</t>
  </si>
  <si>
    <t>What archdiocese is Market Square the seat of?</t>
  </si>
  <si>
    <t>Pathogens can rapidly evolve and adapt, and thereby avoid detection and neutralization by the immune system; however, multiple defense mechanisms have also evolved to recognize and neutralize pathogens. Even simple unicellular organisms such as bacteria possess a rudimentary immune system, in the form of enzymes that protect against bacteriophage infections. Other basic immune mechanisms evolved in ancient eukaryotes and remain in their modern descendants, such as plants and invertebrates. These mechanisms include phagocytosis, antimicrobial peptides called defensins, and the complement system. Jawed vertebrates, including humans, have even more sophisticated defense mechanisms, including the ability to adapt over time to recognize specific pathogens more efficiently. Adaptive (or acquired) immunity creates immunological memory after an initial response to a specific pathogen, leading to an enhanced response to subsequent encounters with that same pathogen. This process of acquired immunity is the basis of vaccination.</t>
  </si>
  <si>
    <t>Who gave their name to Normandy in the 1000's and 1100's</t>
  </si>
  <si>
    <t>What entity owns V/Line?</t>
  </si>
  <si>
    <t>Who is the Costa Rican President that went to Harvard?</t>
  </si>
  <si>
    <t>half-penny sales tax</t>
  </si>
  <si>
    <t>When did the Black Death spread into India?</t>
  </si>
  <si>
    <t>When did Khan establish the Great Yuan?</t>
  </si>
  <si>
    <t>Which Count did the Prince strike an arrangement with?</t>
  </si>
  <si>
    <t>Who patented a steam engine in 1883?</t>
  </si>
  <si>
    <t xml:space="preserve">What month did the oil crisis begin? </t>
  </si>
  <si>
    <t>The university has masters programs in visual arts, music and what other subjects?</t>
  </si>
  <si>
    <t>the 1970s</t>
  </si>
  <si>
    <t>Who did John B Watson and David Graeber discover a fossil of?</t>
  </si>
  <si>
    <t>at the last glacial maximum</t>
  </si>
  <si>
    <t>What other film city struggled as Jacksonville grew in popularity?</t>
  </si>
  <si>
    <t xml:space="preserve">What was the name of the count of Apulia </t>
  </si>
  <si>
    <t>What happened to the building on George IV Bridge when the Parliament was done with it?</t>
  </si>
  <si>
    <t>reported rates of mortality in rural areas during the 14th-century pandemic were inconsistent with the modern bubonic plague</t>
  </si>
  <si>
    <t>joining the easterly flow toward the Atlantic.</t>
  </si>
  <si>
    <t>Who did the Han Japanese want to help the Mongols fight?</t>
  </si>
  <si>
    <t>What is another term for the pivot mounting?</t>
  </si>
  <si>
    <t>analysis of algorithms and computability theory</t>
  </si>
  <si>
    <t>Who matters the most for economic growth?</t>
  </si>
  <si>
    <t>Who commended the operations in front of the Select Committee on National Heritage?</t>
  </si>
  <si>
    <t>14th to 17th centuries</t>
  </si>
  <si>
    <t>During what war did the Western Allies cross the Rhine bridge at Arnhem?</t>
  </si>
  <si>
    <t>In bays</t>
  </si>
  <si>
    <t>study of positions of rock units and their deformation</t>
  </si>
  <si>
    <t xml:space="preserve"> What was not the capital of the Ottoman empire?</t>
  </si>
  <si>
    <t>What needs to be larger to get the same work out of lower pressure cooling?</t>
  </si>
  <si>
    <t>Which organizations delegates has a disagreement with the SPM?</t>
  </si>
  <si>
    <t>The Computer Science Network (CSNET) was a computer network funded by the U.S. National Science Foundation (NSF) that began operation in 1981. Its purpose was to extend networking benefits, for computer science departments at academic and research institutions that could not be directly connected to ARPANET, due to funding or authorization limitations. It played a significant role in spreading awareness of, and access to, national networking and was a major milestone on the path to development of the global Internet.</t>
  </si>
  <si>
    <t>the Parliament of Victoria</t>
  </si>
  <si>
    <t>What is the United States at risk for because of the recession of 2008?</t>
  </si>
  <si>
    <t>political</t>
  </si>
  <si>
    <t>What does the address information negotiate?</t>
  </si>
  <si>
    <t>private research</t>
  </si>
  <si>
    <t>The flow of cold, gray mountain water continues for some distance into the lake. The cold water flows near the surface and at first doesn't mix with the warmer, green waters of Upper Lake. But then, at the so-called Rheinbrech, the Rhine water abruptly falls into the depths because of the greater density of cold water. The flow reappears on the surface at the northern (German) shore of the lake, off the island of Lindau. The water then follows the northern shore until Hagnau am Bodensee. A small fraction of the flow is diverted off the island of Mainau into Lake Überlingen. Most of the water flows via the Constance hopper into the Rheinrinne ("Rhine Gutter") and Seerhein. Depending on the water level, this flow of the Rhine water is clearly visible along the entire length of the lake.</t>
  </si>
  <si>
    <t>What scientific journal in France published a prior analysis of the Black Death?</t>
  </si>
  <si>
    <t>In what country does the Danube empty?</t>
  </si>
  <si>
    <t xml:space="preserve"> What weapons were the Zulus using during the Anglo-Zulu War of 1880?</t>
  </si>
  <si>
    <t>Jacques Lefevre</t>
  </si>
  <si>
    <t>clear</t>
  </si>
  <si>
    <t>4-momentum in relativity and momentum of virtual particles in quantum electrodynamics</t>
  </si>
  <si>
    <t>a problem instance</t>
  </si>
  <si>
    <t>Li Meng</t>
  </si>
  <si>
    <t>What theory led to quantum electromagnetics?</t>
  </si>
  <si>
    <t>topographic</t>
  </si>
  <si>
    <t>Does the new deal include Video on demand and High Definition?</t>
  </si>
  <si>
    <t>What has Sky UK Limited never been involved with?</t>
  </si>
  <si>
    <t>What is the integer practice problem?</t>
  </si>
  <si>
    <t>Joseph Black</t>
  </si>
  <si>
    <t>The University enrolled 3,468 students in the College  and how many in it's graduate divisions?</t>
  </si>
  <si>
    <t>Sheldon Ungar</t>
  </si>
  <si>
    <t xml:space="preserve">What properties are analyzed with a conoscopic lens by petrologists? </t>
  </si>
  <si>
    <t>What is the oldest known rock in the world?</t>
  </si>
  <si>
    <t>It is usually recognized that lawbreaking, if it is not done publicly, at least must be publicly announced in order to constitute civil disobedience. But Stephen Eilmann argues that if it is necessary to disobey rules that conflict with morality, we might ask why disobedience should take the form of public civil disobedience rather than simply covert lawbreaking. If a lawyer wishes to help a client overcome legal obstacles to securing her or his natural rights, he might, for instance, find that assisting in fabricating evidence or committing perjury is more effective than open disobedience. This assumes that common morality does not have a prohibition on deceit in such situations. The Fully Informed Jury Association's publication "A Primer for Prospective Jurors" notes, "Think of the dilemma faced by German citizens when Hitler's secret police demanded to know if they were hiding a Jew in their house." By this definition, civil disobedience could be traced back to the Book of Exodus, where Shiphrah and Puah refused a direct order of Pharaoh but misrepresented how they did it. (Exodus 1: 15-19)</t>
  </si>
  <si>
    <t>European Court of Human Rights</t>
  </si>
  <si>
    <t>Bill Clinton</t>
  </si>
  <si>
    <t>Pharmacy</t>
  </si>
  <si>
    <t>What should the punishment rely on instead in a just society?</t>
  </si>
  <si>
    <t>What is not a symptom that is caused by inflammation?</t>
  </si>
  <si>
    <t>What eon took place between 3.3 and 2.0 billion years ago?</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</si>
  <si>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</si>
  <si>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business is chronically understaffed</t>
  </si>
  <si>
    <t>the mouth and pharynx</t>
  </si>
  <si>
    <t>According to International Monetary Fund economists, inequality in wealth and income is negatively correlated with the duration of economic growth spells (not the rate of growth). High levels of inequality prevent not just economic prosperity, but also the quality of a country's institutions and high levels of education. According to IMF staff economists, "if the income share of the top 20 percent (the rich) increases, then GDP growth actually declines over the medium term, suggesting that the benefits do not trickle down. In contrast, an increase in the income share of the bottom 20 percent (the poor) is associated with higher GDP growth. The poor and the middle class matter the most for growth via a number of interrelated economic, social, and political channels."</t>
  </si>
  <si>
    <t>What year is average CO2 levels expected to increase by 90%?</t>
  </si>
  <si>
    <t>The Mark of Anarchy was written to protest against what?</t>
  </si>
  <si>
    <t>What is not prevented from entering an organism?</t>
  </si>
  <si>
    <t>When did Khan formally declare the Yuan dynasty?</t>
  </si>
  <si>
    <t>What additional srevice did BSkyB offer besides Video on Demand that they claimed offered "substantially more value"?</t>
  </si>
  <si>
    <t>Who was the speaker of the tribal council?</t>
  </si>
  <si>
    <t>the most cost efficient bidder</t>
  </si>
  <si>
    <t>What unit is measured to determine circuit simplicity?</t>
  </si>
  <si>
    <t>Who was the chief executive officer when the service began?</t>
  </si>
  <si>
    <t>What are three types of crystallization?</t>
  </si>
  <si>
    <t>What was one of the Norman's major exports?</t>
  </si>
  <si>
    <t>In what year was a royal citadel built by Catholics in Montpellier?</t>
  </si>
  <si>
    <t>imperial powers</t>
  </si>
  <si>
    <t>"Bauffet's Point"</t>
  </si>
  <si>
    <t>What can keep an object from moving when it is being pushed on a surface?</t>
  </si>
  <si>
    <t>Orientalism</t>
  </si>
  <si>
    <t>the lamprey and hagfish</t>
  </si>
  <si>
    <t>What is the softest problem in C?</t>
  </si>
  <si>
    <t>What are both Branko Milanovic and Joseph Stiglitz?</t>
  </si>
  <si>
    <t>0.2 inhabitants</t>
  </si>
  <si>
    <t>What is not a reason a patient might choose an internet pharmacy?</t>
  </si>
  <si>
    <t>genetic branches</t>
  </si>
  <si>
    <t>qualifications</t>
  </si>
  <si>
    <t>Which measure must be adopted when there is a choice between several?</t>
  </si>
  <si>
    <t>What are two things that were added to the Lexus in 1981?</t>
  </si>
  <si>
    <t>What is one part of the innate immune system that doesn't attack microbes directly?</t>
  </si>
  <si>
    <t>Why did Saudi Arabia try to increase production, and reduce profits for high cost producers?</t>
  </si>
  <si>
    <t>shut down host defenses.</t>
  </si>
  <si>
    <t>After the Peterloo massacre what poet wrote The Massacre of Anarchy?</t>
  </si>
  <si>
    <t>When a commission reached no decision, what happened?</t>
  </si>
  <si>
    <t>her or his capacity as public official</t>
  </si>
  <si>
    <t>1.5 gigatons</t>
  </si>
  <si>
    <t>Where were interviews held while the parliament was in its temporary building?</t>
  </si>
  <si>
    <t xml:space="preserve">When was the scale to measure the Rhine introduced? </t>
  </si>
  <si>
    <t>When was the Social Charter not adopted?</t>
  </si>
  <si>
    <t>What variable is not associated with all problems solved within logarithmic space?</t>
  </si>
  <si>
    <t>What effect did the plague have on the Middle East?</t>
  </si>
  <si>
    <t>a fee per unit of information transmitted</t>
  </si>
  <si>
    <t>Terra preta (black earth)</t>
  </si>
  <si>
    <t>does not infringe the rights of others</t>
  </si>
  <si>
    <t>Where are there 34 cities over 200,000 in population?</t>
  </si>
  <si>
    <t>What event was won by Yale in 1920?</t>
  </si>
  <si>
    <t>Friedrich Ratzel thought what was needed for a state to survive?</t>
  </si>
  <si>
    <t>the network</t>
  </si>
  <si>
    <t>How many State of California University campuses are there?</t>
  </si>
  <si>
    <t>Great Fire of 1901</t>
  </si>
  <si>
    <t>80%</t>
  </si>
  <si>
    <t>What is the time when members can ask questions to only particular members of Scottiish Government?</t>
  </si>
  <si>
    <t>Internet2 officially retired Abilene and now refers to its new, higher capacity network as the Internet2 Network</t>
  </si>
  <si>
    <t>When was the European Communities Act denied acceptance?</t>
  </si>
  <si>
    <t>Colony of Victoria Act</t>
  </si>
  <si>
    <t>Besides Britain and North America, where else did Huguenot refugees settle?</t>
  </si>
  <si>
    <t>What has the lowest impact on wealth accumulation and the resulting income inequality?</t>
  </si>
  <si>
    <t>How many times has Ekstraklasa won the cup?</t>
  </si>
  <si>
    <t>Neil Shubin and Paul Sereno</t>
  </si>
  <si>
    <t>When was the Royal Society of Edinburgh formed?</t>
  </si>
  <si>
    <t>Who lives no longer on average than Greeks and New Zealanders?</t>
  </si>
  <si>
    <t>The defeat of the Arab troops in the Six-Day War constituted what for the Arab Muslim world?</t>
  </si>
  <si>
    <t>How long did the fighting last in Seven Years War?</t>
  </si>
  <si>
    <t>What happens to ocean water when it absorbs certain wavelengths?</t>
  </si>
  <si>
    <t>Who was the governor of California in 1895?</t>
  </si>
  <si>
    <t>What is the weather type of Hopetoun and Melbourne?</t>
  </si>
  <si>
    <t>Scandinavia and northern Europe</t>
  </si>
  <si>
    <t>What type of club is the California Automobile State Association?</t>
  </si>
  <si>
    <t>How many times more did the other nations have to pay for oil after the surprise attack?</t>
  </si>
  <si>
    <t>The outcome of what is known in hours?</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</si>
  <si>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</si>
  <si>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division of functions and tasks between the hosts at the edge of the network and the network core</t>
  </si>
  <si>
    <t>Vice President Agnew describes Civil disobedience in what activities?</t>
  </si>
  <si>
    <t>What was the name of the first Huguenot outpost in South Carolina?</t>
  </si>
  <si>
    <t>his means of seizing power</t>
  </si>
  <si>
    <t>11–13th century AD</t>
  </si>
  <si>
    <t>When do the stated Treaties apply?</t>
  </si>
  <si>
    <t>the connection id in a table</t>
  </si>
  <si>
    <t>Chemical barriers also protect against infection. The skin and respiratory tract secrete antimicrobial peptides such as the β-defensins. Enzymes such as lysozyme and phospholipase A2 in saliva, tears, and breast milk are also antibacterials. Vaginal secretions serve as a chemical barrier following menarche, when they become slightly acidic, while semen contains defensins and zinc to kill pathogens. In the stomach, gastric acid and proteases serve as powerful chemical defenses against ingested pathogens.</t>
  </si>
  <si>
    <t>What tactic did researchers employ to offset the former deficit of work surrounding the complexity of algorithmic problems?</t>
  </si>
  <si>
    <t>Greater London has over 900,000 Muslims, (most of South Asian origins and concentrated in the East London boroughs of Newham, Tower Hamlets and Waltham Forest), and among them are some with a strong Islamist outlook. Their presence, combined with a perceived British policy of allowing them free rein, heightened by exposés such as the 2007 Channel 4 documentary programme Undercover Mosque, has given rise to the term Londonistan. Following the 9/11 attacks, however, Abu Hamza al-Masri, the imam of the Finsbury Park Mosque, was arrested and charged with incitement to terrorism which has caused many Islamists to leave the UK to avoid internment.[citation needed]</t>
  </si>
  <si>
    <t>Which conference do the teams in southern California play in?</t>
  </si>
  <si>
    <t>Where did Korea border Kublai's territory?</t>
  </si>
  <si>
    <t>the ultimate authority of member states, its factual commitment to human rights, and the democratic will of the people.</t>
  </si>
  <si>
    <t>How much of Paris' population was killed by the plague?</t>
  </si>
  <si>
    <t>What do hormones produced during this time stop from interacting?</t>
  </si>
  <si>
    <t>What does high levels of inequality do for economic growth in richer countries?</t>
  </si>
  <si>
    <t>computational resource</t>
  </si>
  <si>
    <t>When did the world's population finally recover from the black death?</t>
  </si>
  <si>
    <t>What is the English word for nitrogen?</t>
  </si>
  <si>
    <t>Very little of the work done by Scottish Parliament is done where?</t>
  </si>
  <si>
    <t>What is a product of foreign soil management?</t>
  </si>
  <si>
    <t>contractor identified change orders or project changes that increased costs</t>
  </si>
  <si>
    <t>Who led Issacs troops to Cyprus?</t>
  </si>
  <si>
    <t>What is used to eliminate a pathogen that infects the body once?</t>
  </si>
  <si>
    <t>What are the different tectonic plates called?</t>
  </si>
  <si>
    <t>What creates immunological memory before the initial responds to a pathogen?</t>
  </si>
  <si>
    <t>When did the Chinese famine begin?</t>
  </si>
  <si>
    <t>indecomposability</t>
  </si>
  <si>
    <t>At what rank does GPS per capita set Victoria?</t>
  </si>
  <si>
    <t>What is another general concept that applies to elements of general xy?</t>
  </si>
  <si>
    <t>Where is Kampinos Forest located?</t>
  </si>
  <si>
    <t>Who commissioned the Tapestry?</t>
  </si>
  <si>
    <t>union government</t>
  </si>
  <si>
    <t>spread of diseases from Europe</t>
  </si>
  <si>
    <t>Why did student applications increase during the 1950s?</t>
  </si>
  <si>
    <t>What do conservative researchers fell should be a measure of inequality?</t>
  </si>
  <si>
    <t>How are laboratory measurements of forces determined?</t>
  </si>
  <si>
    <t>citizens</t>
  </si>
  <si>
    <t>In what year was the medical faculty in Paris established?</t>
  </si>
  <si>
    <t>Acura</t>
  </si>
  <si>
    <t>toward the Atlantic</t>
  </si>
  <si>
    <t xml:space="preserve">KPN referred to Datanet 1 as </t>
  </si>
  <si>
    <t>What name is given to any prime number larger than 2?</t>
  </si>
  <si>
    <t>What kind of access for undergraduates do the Harvard University Archives have?</t>
  </si>
  <si>
    <t xml:space="preserve">What is tuition for 2012 - 13 year at Harvard? </t>
  </si>
  <si>
    <t>The Fresno Barn</t>
  </si>
  <si>
    <t>When didn't Washington learn about Trent's retreat?</t>
  </si>
  <si>
    <t>What did the Normans take part in in the 10th century?</t>
  </si>
  <si>
    <t>Channing was the most crucial figure to achieve what in US universities?</t>
  </si>
  <si>
    <t>What government department did Buyantu shut down?</t>
  </si>
  <si>
    <t>What feature of the Amazon made people believe it couldn't have many inhabitants?</t>
  </si>
  <si>
    <t xml:space="preserve"> How did Turabi build a weak economic base?</t>
  </si>
  <si>
    <t>1 October 1998</t>
  </si>
  <si>
    <t>absolute value</t>
  </si>
  <si>
    <t>agriculture</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</si>
  <si>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</si>
  <si>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Supplies from Jacksonville were in support of which faction in the Civil War?</t>
  </si>
  <si>
    <t>How many Huguenots did Pedro Menendez have murdered  at  St Augustine?</t>
  </si>
  <si>
    <t>What year did they stop digging the Pannerdens canal?</t>
  </si>
  <si>
    <t>Which actions by EU institutions can be subject to judicial review?</t>
  </si>
  <si>
    <t>Cambaluc</t>
  </si>
  <si>
    <t>What percentage of electricity was made by power plants in the 1990s?</t>
  </si>
  <si>
    <t>What do people with experience not need to do?</t>
  </si>
  <si>
    <t>Whose former headquarters was the WSE located in until 2000?</t>
  </si>
  <si>
    <t>important</t>
  </si>
  <si>
    <t>National Islamic Front</t>
  </si>
  <si>
    <t>When did England formally declare war on France?</t>
  </si>
  <si>
    <t>When was the random number theorem proven?</t>
  </si>
  <si>
    <t>Contracts must be designed to ensure what?</t>
  </si>
  <si>
    <t>What does not compete with commensal flora for food and space?</t>
  </si>
  <si>
    <t>When does one not need to show only that there is a particular algorithm running time at mons T(nO?</t>
  </si>
  <si>
    <t>they produce secretions (ink) that luminesce at much the same wavelengths as their bodies</t>
  </si>
  <si>
    <t>Alberta and British Columbia</t>
  </si>
  <si>
    <t>What is commonly believed to be the value relationship between P and co-NP</t>
  </si>
  <si>
    <t>What type of punishment is sometimes offered to civil disobedients?</t>
  </si>
  <si>
    <t>What was concluded by Richard Harbison in 2001 about beroids?</t>
  </si>
  <si>
    <t xml:space="preserve">Why did the university see a drop in applicants? </t>
  </si>
  <si>
    <t>What ends near the Millingen aan de Rijn?</t>
  </si>
  <si>
    <t>HD channels and Video On Demand</t>
  </si>
  <si>
    <t>large pharynx</t>
  </si>
  <si>
    <t>What type of motivators are food and shelter considered?</t>
  </si>
  <si>
    <t>What year did Jacksonville consolidate with Davis County?</t>
  </si>
  <si>
    <t>What type of heating element is often used in closed space engines?</t>
  </si>
  <si>
    <t>Kublai Khan promoted commercial, scientific, and cultural growth. He supported the merchants of the Silk Road trade network by protecting the Mongol postal system, constructing infrastructure, providing loans that financed trade caravans, and encouraging the circulation of paper banknotes (鈔, Chao). Pax Mongolica, Mongol peace, enabled the spread of technologies, commodities, and culture between China and the West. Kublai expanded the Grand Canal from southern China to Daidu in the north. Mongol rule was cosmopolitan under Kublai Khan. He welcomed foreign visitors to his court, such as the Venetian merchant Marco Polo, who wrote the most influential European account of Yuan China. Marco Polo's travels would later inspire many others like Christopher Columbus to chart a passage to the Far East in search of its legendary wealth.</t>
  </si>
  <si>
    <t>What danger did the IPCC understate?</t>
  </si>
  <si>
    <t>1221</t>
  </si>
  <si>
    <t>What was the very first television station to broadcast in Fresno?</t>
  </si>
  <si>
    <t>What month did the BankAmericard creator resign?</t>
  </si>
  <si>
    <t>What is the proprietary system that Sky+HD uses?</t>
  </si>
  <si>
    <t>second-largest global producer</t>
  </si>
  <si>
    <t>Tijuana</t>
  </si>
  <si>
    <t>electromagnetic force</t>
  </si>
  <si>
    <t>eastern coast of the continent,</t>
  </si>
  <si>
    <t>According to the Riemann hypothesis, all zeroes of the ζ-function have real part equal to 1/2 except for what values of s?</t>
  </si>
  <si>
    <t>Duke Kent-Brown</t>
  </si>
  <si>
    <t>locations where water is costly</t>
  </si>
  <si>
    <t>In what year was Ludwig von Nassau-Saarbrucken made a Count?</t>
  </si>
  <si>
    <t>What does the flow of the Rhine being visible depend on?</t>
  </si>
  <si>
    <t>Sky UK Limited is now known by what name?</t>
  </si>
  <si>
    <t>What did the Mongol army throw in their catapults?</t>
  </si>
  <si>
    <t>What was abnormal British defense?</t>
  </si>
  <si>
    <t>What did planes and automobiles have to divide separately?</t>
  </si>
  <si>
    <t>weak force</t>
  </si>
  <si>
    <t>What advise did Thoreau give the tax collector when unable to perform his duty?</t>
  </si>
  <si>
    <t>the carriage of their respective basic channels</t>
  </si>
  <si>
    <t xml:space="preserve"> Imperialism is less often associated with which sovereignty?</t>
  </si>
  <si>
    <t>If a matter is not specifically reserved, who is it devolved to?</t>
  </si>
  <si>
    <t>On which corner is the shopping center located?</t>
  </si>
  <si>
    <t>about 30 kPa</t>
  </si>
  <si>
    <t>What is preserved in a closed system of forces when acted upon?</t>
  </si>
  <si>
    <t>Henry Laurens</t>
  </si>
  <si>
    <t>gathered in the streets</t>
  </si>
  <si>
    <t>When did income inequality begin to increase in the US?</t>
  </si>
  <si>
    <t>about 30 kPa (1.4 times normal)</t>
  </si>
  <si>
    <t>What was the attack on the British weakness?</t>
  </si>
  <si>
    <t>Where was the first settlement in Victoria?</t>
  </si>
  <si>
    <t>What type of Delta is the Rhine-Meuse?</t>
  </si>
  <si>
    <t>What is the force called rgarding a potential field between two locations?</t>
  </si>
  <si>
    <t>The coordinating lead authors</t>
  </si>
  <si>
    <t>William of Volpiano and John of Ravenna</t>
  </si>
  <si>
    <t>padlocking the gates</t>
  </si>
  <si>
    <t>regulates the practice of pharmacists and pharmacy technicians</t>
  </si>
  <si>
    <t>a data network based on this voice-phone network was designed to connect GE's four computer sales and service centers</t>
  </si>
  <si>
    <t>twin prime conjecture</t>
  </si>
  <si>
    <t>both adaptive and innate</t>
  </si>
  <si>
    <t>What was the Dutch leader's religious affiliation?</t>
  </si>
  <si>
    <t>How many species of rotifers are yet to be named?</t>
  </si>
  <si>
    <t>within a few hundred feet of each other</t>
  </si>
  <si>
    <t>shortening the cutoff</t>
  </si>
  <si>
    <t>1 February 2007</t>
  </si>
  <si>
    <t>Who did the lands belong to in China after the school compromise?</t>
  </si>
  <si>
    <t>40</t>
  </si>
  <si>
    <t>What is the term given to algorithms that utilize random bits?</t>
  </si>
  <si>
    <t>Necessity-based</t>
  </si>
  <si>
    <t>Japan took part of Sakhalin Island from Russia</t>
  </si>
  <si>
    <t>best, worst and average case complexity</t>
  </si>
  <si>
    <t>Stromatoveris</t>
  </si>
  <si>
    <t>In October 2010, the open-access scientific journal PLoS Pathogens published a paper by a multinational team who undertook a new investigation into the role of Yersinia pestis in the Black Death following the disputed identification by Drancourt and Raoult in 1998. They assessed the presence of DNA/RNA with Polymerase Chain Reaction (PCR) techniques for Y. pestis from the tooth sockets in human skeletons from mass graves in northern, central and southern Europe that were associated archaeologically with the Black Death and subsequent resurgences. The authors concluded that this new research, together with prior analyses from the south of France and Germany, ". . . ends the debate about the etiology of the Black Death, and unambiguously demonstrates that Y. pestis was the causative agent of the epidemic plague that devastated Europe during the Middle Ages".</t>
  </si>
  <si>
    <t>1930</t>
  </si>
  <si>
    <t>When did Rollo begin to arrive in Normandy?</t>
  </si>
  <si>
    <t>Ögedei Khan</t>
  </si>
  <si>
    <t>What is the mortality rate of the modern bubonic plague?</t>
  </si>
  <si>
    <t>Duval County</t>
  </si>
  <si>
    <t>incorporate their prey's nematocysts (stinging cells) into their own tentacles</t>
  </si>
  <si>
    <t>Children's Memorial Health Institute</t>
  </si>
  <si>
    <t>Who do some tax agents want to make and impression on during an arrest?</t>
  </si>
  <si>
    <t>NFL</t>
  </si>
  <si>
    <t>s = −2, −4</t>
  </si>
  <si>
    <t>the early 1960s</t>
  </si>
  <si>
    <t>counterflow</t>
  </si>
  <si>
    <t>they contain striated muscle,</t>
  </si>
  <si>
    <t>What information does history of rock deformation give about crystal structure?</t>
  </si>
  <si>
    <t>Nonconservative</t>
  </si>
  <si>
    <t>What has the lower rainfall in the Amazon during the LGM been attributed to?</t>
  </si>
  <si>
    <t>In addition to Watt, Boulton, and Smeaton, whose engine was a partial condenser design?</t>
  </si>
  <si>
    <t xml:space="preserve"> When did Kublai defend Xiangyang?</t>
  </si>
  <si>
    <t>Third-party channels</t>
  </si>
  <si>
    <t>What is the level of inequality in underdeveloped countries?</t>
  </si>
  <si>
    <t>60,000 European settlers</t>
  </si>
  <si>
    <t>What business districts are within the downtown Los Angeles area?</t>
  </si>
  <si>
    <t>How many Huguenots fled to England after the Foreign Protestants Naturalization Act was passed?</t>
  </si>
  <si>
    <t>Plague was reportedly first introduced to Europe via Genoese traders at the port city of Kaffa in the Crimea in 1347. After a protracted siege, during which the Mongol army under Jani Beg was suffering from the disease, the army catapulted the infected corpses over the city walls of Kaffa to infect the inhabitants. The Genoese traders fled, taking the plague by ship into Sicily and the south of Europe, whence it spread north. Whether or not this hypothesis is accurate, it is clear that several existing conditions such as war, famine, and weather contributed to the severity of the Black Death.</t>
  </si>
  <si>
    <t>1,320 kilometres</t>
  </si>
  <si>
    <t>Based on population alone, what is Jacksonville's ranking in the United States?</t>
  </si>
  <si>
    <t>What is set aside for question periods in the debating chamber?</t>
  </si>
  <si>
    <t>archipelago-like estuary</t>
  </si>
  <si>
    <t>matrix diagonals of the tensor)</t>
  </si>
  <si>
    <t>Iroquois rule, and were limited by them in authority to make agreements</t>
  </si>
  <si>
    <t>What service used Astra 2A in 1995?</t>
  </si>
  <si>
    <t>Where were non-condensing direct-drive locomotives notably used for fast passenger trains?</t>
  </si>
  <si>
    <t>infected corpses</t>
  </si>
  <si>
    <t xml:space="preserve">What holiday did Syria and Egypt launch an attack? </t>
  </si>
  <si>
    <t>Enric Miralles</t>
  </si>
  <si>
    <t>mortar and pestle and the ℞ (recipere) character</t>
  </si>
  <si>
    <t>Where was the Charles Porter steam engine shown?</t>
  </si>
  <si>
    <t>68,511</t>
  </si>
  <si>
    <t>How many people attended the 2003 IPCC meeting?</t>
  </si>
  <si>
    <t>Chebyshev</t>
  </si>
  <si>
    <t>The study also found that there were two previously unknown but related clades (genetic branches) of the Y. pestis genome associated with medieval mass graves. These clades (which are thought to be extinct) were found to be ancestral to modern isolates of the modern Y. pestis strains Y. p. orientalis and Y. p. medievalis, suggesting the plague may have entered Europe in two waves. Surveys of plague pit remains in France and England indicate the first variant entered Europe through the port of Marseille around November 1347 and spread through France over the next two years, eventually reaching England in the spring of 1349, where it spread through the country in three epidemics. Surveys of plague pit remains from the Dutch town of Bergen op Zoom showed the Y. pestis genotype responsible for the pandemic that spread through the Low Countries from 1350 differed from that found in Britain and France, implying Bergen op Zoom (and possibly other parts of the southern Netherlands) was not directly infected from England or France in 1349 and suggesting a second wave of plague, different from those in Britain and France, may have been carried to the Low Countries from Norway, the Hanseatic cities or another site.</t>
  </si>
  <si>
    <t>What does not help the free movement of goods?</t>
  </si>
  <si>
    <t>tentilla-bearing tentacles</t>
  </si>
  <si>
    <t>primarily along the frontiers between New France and the British colonies</t>
  </si>
  <si>
    <t>It has been argued that the term "civil disobedience" has always suffered from ambiguity and in modern times, become utterly debased. Marshall Cohen notes, "It has been used to describe everything from bringing a test-case in the federal courts to taking aim at a federal official. Indeed, for Vice President Agnew it has become a code-word describing the activities of muggers, arsonists, draft evaders, campaign hecklers, campus militants, anti-war demonstrators, juvenile delinquents and political assassins."</t>
  </si>
  <si>
    <t>a small portion of the population lives off unearned property income</t>
  </si>
  <si>
    <t>La Nativité du Seigneur</t>
  </si>
  <si>
    <t xml:space="preserve">Stratigraphers try to locate areas for what types of extraction? </t>
  </si>
  <si>
    <t>Calendar for Fixing the Seasons</t>
  </si>
  <si>
    <t xml:space="preserve"> What major crop was brought to Japan from the west?</t>
  </si>
  <si>
    <t>turbo-electric transmission</t>
  </si>
  <si>
    <t>What act sets forth the functions of the Scottish Parliament?</t>
  </si>
  <si>
    <t>use microscopic analysis of oriented thin sections of geologic samples</t>
  </si>
  <si>
    <t>river systems</t>
  </si>
  <si>
    <t>determine the practical limits on what computers can and cannot do</t>
  </si>
  <si>
    <t>What are the anitmicrobial peptides secreted by the skin called?</t>
  </si>
  <si>
    <t>Who won the PZPN Championship in 2000?</t>
  </si>
  <si>
    <t>What is the final effect of adding more and more idea strings to a load?</t>
  </si>
  <si>
    <t>How long does it take to build electrical facilities?</t>
  </si>
  <si>
    <t>lower price models</t>
  </si>
  <si>
    <t>What did the California Times define twice?</t>
  </si>
  <si>
    <t>What is the position of the satellite that allowed sky to broadcast channels almost elclusively for the United Kingdom?</t>
  </si>
  <si>
    <t>What battle involve the Confederate Calvary in 1862?</t>
  </si>
  <si>
    <t>What is the common term for the loss of key members of French society to Huguenot emigration?</t>
  </si>
  <si>
    <t>unit</t>
  </si>
  <si>
    <t>When did institutional mechanisms finally return to Bretton Woods levels?</t>
  </si>
  <si>
    <t>When did the Rhine become borders with Francia?</t>
  </si>
  <si>
    <t>antisymmetric</t>
  </si>
  <si>
    <t>How can any knot be a field of F?</t>
  </si>
  <si>
    <t>northeast</t>
  </si>
  <si>
    <t>In addition to Watt, Boulton and Smeaton, whose engine was an atmosphere design?</t>
  </si>
  <si>
    <t>arbitrary integers</t>
  </si>
  <si>
    <t>the Marquis de Vaudreuil</t>
  </si>
  <si>
    <t>Where were non-condensing direct-drive locomotives notably used for fast passenger ships?</t>
  </si>
  <si>
    <t>How many homes had BSkyB's direct-to-home satellite service available to them in 2010?</t>
  </si>
  <si>
    <t>What techniques did Chinese medicine include?</t>
  </si>
  <si>
    <t>How much food does a ctenophora eat in a day?</t>
  </si>
  <si>
    <t>informal" imperialism</t>
  </si>
  <si>
    <t>Who responded to Lindzen's criticisms?</t>
  </si>
  <si>
    <t>What separates the neuroimmune system and peripheral immune system in humans?</t>
  </si>
  <si>
    <t xml:space="preserve">What organization runs the public schools in Victoria? </t>
  </si>
  <si>
    <t>In what year was Fort Coligny built?</t>
  </si>
  <si>
    <t>Besides Alexandre Yersin who was another scientist that visited Hong Kong in 1894?</t>
  </si>
  <si>
    <t>nursing homes</t>
  </si>
  <si>
    <t>sports tourism</t>
  </si>
  <si>
    <t>dukes</t>
  </si>
  <si>
    <t>When did geologists beginning comparing fossils to each other?</t>
  </si>
  <si>
    <t>the constitutional traditions common to the member states</t>
  </si>
  <si>
    <t>Canada</t>
  </si>
  <si>
    <t>Why is the most recent era expanded in the first scale?</t>
  </si>
  <si>
    <t>Cadillac DeVille</t>
  </si>
  <si>
    <t>Scandinavia started calling the plague the Black Death in what year?</t>
  </si>
  <si>
    <t>Euclid</t>
  </si>
  <si>
    <t>six years</t>
  </si>
  <si>
    <t>Imperialism is a type of advocacy of empire. Its name originated from the Latin word "imperium", which means to rule over large territories. Imperialism is "a policy of extending a country's power and influence through colonization, use of military force, or other means". Imperialism has greatly shaped the contemporary world. It has also allowed for the rapid spread of technologies and ideas. The term imperialism has been applied to Western (and Japanese) political and economic dominance especially in Asia and Africa in the 19th and 20th centuries. Its precise meaning continues to be debated by scholars. Some writers, such as Edward Said, use the term more broadly to describe any system of domination and subordination organised with an imperial center and a periphery.</t>
  </si>
  <si>
    <t>algebraic</t>
  </si>
  <si>
    <t>Leukocytes</t>
  </si>
  <si>
    <t>When did Kublai attack Xiangyang?</t>
  </si>
  <si>
    <t>Whose experiments with oxygen led to the popular theory of combustion and corrosion?</t>
  </si>
  <si>
    <t>nine</t>
  </si>
  <si>
    <t>distribution</t>
  </si>
  <si>
    <t>What is the length of the Old Rhine Bridge at Constance?</t>
  </si>
  <si>
    <t>What did the 18th century Huguenot group call themselves?</t>
  </si>
  <si>
    <t>How many lead authors does an IPCC report chapter have?</t>
  </si>
  <si>
    <t>NDS</t>
  </si>
  <si>
    <t>66</t>
  </si>
  <si>
    <t xml:space="preserve">What are products of oxygen use in organisms? </t>
  </si>
  <si>
    <t>What happens after the firebox melts?</t>
  </si>
  <si>
    <t>3000 yr BP</t>
  </si>
  <si>
    <t>2.5 million</t>
  </si>
  <si>
    <t>Where did Barack Obama give his last speech in 2016?</t>
  </si>
  <si>
    <t>What was the Chinese name of Gou's calendar?</t>
  </si>
  <si>
    <t>Who decides who gets to speak in the chamber debates?</t>
  </si>
  <si>
    <t>Edward Teller</t>
  </si>
  <si>
    <t>Datanet 1 only referred to the network and the connected users via leased lines</t>
  </si>
  <si>
    <t>What reason is given that you should also protest public companies?</t>
  </si>
  <si>
    <t>WMO Executive Council and UNEP Governing Council</t>
  </si>
  <si>
    <t xml:space="preserve"> When did the Democratic Republic of Iraq collapse?</t>
  </si>
  <si>
    <t>When are some juvenile plankton able to do before becoming an adult?</t>
  </si>
  <si>
    <t>Alta California</t>
  </si>
  <si>
    <t>first oil shock</t>
  </si>
  <si>
    <t>Who disagrees with the timetable of business in the chamber?</t>
  </si>
  <si>
    <t>The 2002 Act granted further fiscal devolution including what?</t>
  </si>
  <si>
    <t>What is not the primary law of the EU?</t>
  </si>
  <si>
    <t>In what year was Owings contracted to develop a second master plan?</t>
  </si>
  <si>
    <t>What was the significance of British loss?</t>
  </si>
  <si>
    <t>malnutrition</t>
  </si>
  <si>
    <t>What is an example of major civil disobedience in South Africa?</t>
  </si>
  <si>
    <t>marginal value added of each economic actor</t>
  </si>
  <si>
    <t>the datagram model</t>
  </si>
  <si>
    <t>exponential-time</t>
  </si>
  <si>
    <t>UCLA</t>
  </si>
  <si>
    <t>Article 5</t>
  </si>
  <si>
    <t>the same force of gravity if the acceleration due to gravity decreased as an inverse square law.</t>
  </si>
  <si>
    <t>In what year did Jeronimo de Ayanz y Beaumont patent a water pump for draining patients?</t>
  </si>
  <si>
    <t>How many member states adopted the Social Charter in 1989?</t>
  </si>
  <si>
    <t>NSF developed into what through public funding and private partnerships?</t>
  </si>
  <si>
    <t>When was this naturalization act passed?</t>
  </si>
  <si>
    <t>Nixon requested Congress to appropriate $2.2 billion in emergency aid to Israel</t>
  </si>
  <si>
    <t>Committees comprise a small number of MSPs, with membership reflecting the balance of parties across Parliament. There are different committees with their functions set out in different ways. Mandatory Committees are committees which are set down under the Scottish Parliament's standing orders, which govern their remits and proceedings. The current Mandatory Committees in the fourth Session of the Scottish Parliament are: Public Audit; Equal Opportunities; European and External Relations; Finance; Public Petitions; Standards, Procedures and Public Appointments; and Delegated Powers and Law Reform.</t>
  </si>
  <si>
    <t>Who sometimes have supplemental O supplies?</t>
  </si>
  <si>
    <t>Do certain packets take priority over others if sent at the exact same time?</t>
  </si>
  <si>
    <t>As a euphoric how is oxygen used in bars?</t>
  </si>
  <si>
    <t>What did a 1996 study by Perotti examine?</t>
  </si>
  <si>
    <t>What virus did Walter Reed discover?</t>
  </si>
  <si>
    <t>Saffir-Simpson Scale</t>
  </si>
  <si>
    <t>Other than T cells, what other immune cells express CYP27B1?</t>
  </si>
  <si>
    <t>What term corresponds to the minimum measurement of the time across all functions of n?</t>
  </si>
  <si>
    <t>What continues to move with a zero velocity?</t>
  </si>
  <si>
    <t>public</t>
  </si>
  <si>
    <t>Since September 2004, the official home of the Scottish Parliament has been a new Scottish Parliament Building, in the Holyrood area of Edinburgh. The Scottish Parliament building was designed by Spanish architect Enric Miralles in partnership with local Edinburgh Architecture firm RMJM which was led by Design Principal Tony Kettle. Some of the principal features of the complex include leaf-shaped buildings, a grass-roofed branch merging into adjacent parkland and gabion walls formed from the stones of previous buildings. Throughout the building there are many repeated motifs, such as shapes based on Raeburn's Skating Minister. Crow-stepped gables and the upturned boat skylights of the Garden Lobby, complete the unique architecture. Queen Elizabeth II opened the new building on 9 October 2004.</t>
  </si>
  <si>
    <t>if a complete list of primes up to  is known</t>
  </si>
  <si>
    <t>How quickly is the sea level rising?</t>
  </si>
  <si>
    <t>natural ecosystem</t>
  </si>
  <si>
    <t>Absolute ages had to be converted into what?</t>
  </si>
  <si>
    <t>German army</t>
  </si>
  <si>
    <t>conquering the other state's lands and therefore increasing its own dominance</t>
  </si>
  <si>
    <t>the three-region point of view</t>
  </si>
  <si>
    <t>When was the Imperial Library Directorate established?</t>
  </si>
  <si>
    <t>the American Philosophical Society</t>
  </si>
  <si>
    <t>about twice as much</t>
  </si>
  <si>
    <t xml:space="preserve">Datanet 1 also referred to what? </t>
  </si>
  <si>
    <t>Walloon</t>
  </si>
  <si>
    <t>the action-reaction law</t>
  </si>
  <si>
    <t>Larger drugs (&gt;500 Da) can provoke a neutralizing immune response, particularly if the drugs are administered repeatedly, or in larger doses. This limits the effectiveness of drugs based on larger peptides and proteins (which are typically larger than 6000 Da). In some cases, the drug itself is not immunogenic, but may be co-administered with an immunogenic compound, as is sometimes the case for Taxol. Computational methods have been developed to predict the immunogenicity of peptides and proteins, which are particularly useful in designing therapeutic antibodies, assessing likely virulence of mutations in viral coat particles, and validation of proposed peptide-based drug treatments. Early techniques relied mainly on the observation that hydrophilic amino acids are overrepresented in epitope regions than hydrophobic amino acids; however, more recent developments rely on machine learning techniques using databases of existing known epitopes, usually on well-studied virus proteins, as a training set. A publicly accessible database has been established for the cataloguing of epitopes from pathogens known to be recognizable by B cells. The emerging field of bioinformatics-based studies of immunogenicity is referred to as immunoinformatics. Immunoproteomics is the study of large sets of proteins (proteomics) involved in the immune response.</t>
  </si>
  <si>
    <t>Why did the exiled Polish government in London order the underground Home Army to seize control of Warsaw prior to the arrival of the Red Army?</t>
  </si>
  <si>
    <t>What is not regarded as an integral part of the general principles of EU law?</t>
  </si>
  <si>
    <t>What is the UCS mascot?</t>
  </si>
  <si>
    <t>Renmin University</t>
  </si>
  <si>
    <t>suspected to have a supporting function</t>
  </si>
  <si>
    <t>Besides viniculture, what's a dominant economic sector of the Middle Rhine?</t>
  </si>
  <si>
    <t>What troops defended Fort William Henry in early 1757?</t>
  </si>
  <si>
    <t>What is not due to the average earning for a professional?</t>
  </si>
  <si>
    <t>Ming dynasty</t>
  </si>
  <si>
    <t>What notion keeps it's meaning through both Netonian and Schrodinger physics equations?</t>
  </si>
  <si>
    <t>What did Plato's perspective on science combine?</t>
  </si>
  <si>
    <t>William of Montreuil</t>
  </si>
  <si>
    <t>secularism and secular nationalism</t>
  </si>
  <si>
    <t>What feature will enrich the the pedestrian friendly environment after restoration?</t>
  </si>
  <si>
    <t xml:space="preserve"> what is Internet2</t>
  </si>
  <si>
    <t>seconds</t>
  </si>
  <si>
    <t>During the compression stage of the Rankine cycle, what state is the working fluid in?</t>
  </si>
  <si>
    <t>marginal</t>
  </si>
  <si>
    <t>1st</t>
  </si>
  <si>
    <t>Joseph Priestley</t>
  </si>
  <si>
    <t>How high is the highest point in Berlin?</t>
  </si>
  <si>
    <t>How much had the price of gold risen after 1971?</t>
  </si>
  <si>
    <t>What percentage of the student body is accepted to the Phi Beta Kappa honor society each year?</t>
  </si>
  <si>
    <t>What category do all Catholic schools fall into?</t>
  </si>
  <si>
    <t>limited forces</t>
  </si>
  <si>
    <t>very rare</t>
  </si>
  <si>
    <t>In humans, this response is activated by complement binding to antibodies that have attached to these microbes or the binding of complement proteins to carbohydrates on the surfaces of microbes. This recognition signal triggers a rapid killing response. The speed of the response is a result of signal amplification that occurs following sequential proteolytic activation of complement molecules, which are also proteases. After complement proteins initially bind to the microbe, they activate their protease activity, which in turn activates other complement proteases, and so on. This produces a catalytic cascade that amplifies the initial signal by controlled positive feedback. The cascade results in the production of peptides that attract immune cells, increase vascular permeability, and opsonize (coat) the surface of a pathogen, marking it for destruction. This deposition of complement can also kill cells directly by disrupting their plasma membrane.</t>
  </si>
  <si>
    <t>pine</t>
  </si>
  <si>
    <t>In what people is the immune system the strongest?</t>
  </si>
  <si>
    <t>symbiotic relationship</t>
  </si>
  <si>
    <t>What year did Roger de Tosny fail to accomplish what he set out to do?</t>
  </si>
  <si>
    <t>When did Great Britain lose its colonies in North America?</t>
  </si>
  <si>
    <t>potential drug interactions</t>
  </si>
  <si>
    <t>What is another word for xenoliths?</t>
  </si>
  <si>
    <t>Edict of Potsdam</t>
  </si>
  <si>
    <t>What did the result of the SNP majority allow a referendum be held on?</t>
  </si>
  <si>
    <t>surface condensers</t>
  </si>
  <si>
    <t>Why has Warsaw seen many improvements over the past decade?</t>
  </si>
  <si>
    <t>What are the main sources of primary law?</t>
  </si>
  <si>
    <t>What caused Jacksonville's tourism to become less desirable at the latter half of the 19th century?</t>
  </si>
  <si>
    <t>What did the SNP publicly opine about the oil revenues?</t>
  </si>
  <si>
    <t>How did Vaudreuil react when Johnson was seen as larger threat?</t>
  </si>
  <si>
    <t>U.S.</t>
  </si>
  <si>
    <t>What does not constitute as civil disobedience?</t>
  </si>
  <si>
    <t>How much of a difference in homicide rates aren't related to inequality?</t>
  </si>
  <si>
    <t>heat or a spark</t>
  </si>
  <si>
    <t>Where did John Paul II celebrate Mass in Warsaw?</t>
  </si>
  <si>
    <t>1253</t>
  </si>
  <si>
    <t>complexity classes</t>
  </si>
  <si>
    <t>Fringe or splinter movements</t>
  </si>
  <si>
    <t>1.1 × 1011 metric tonnes</t>
  </si>
  <si>
    <t>mesoglea</t>
  </si>
  <si>
    <t>How fast is pharmacy informatics growing?</t>
  </si>
  <si>
    <t>Northern San Diego</t>
  </si>
  <si>
    <t>In what country is Hamburg?</t>
  </si>
  <si>
    <t>After the Dornbirner Ach was diverted, where does the Rhine flow now?</t>
  </si>
  <si>
    <t>Breaking down barriers to trade and enhancing the free movement of goods is meant to reduce what?</t>
  </si>
  <si>
    <t>What was sponsored by Francis Heisler in August 1957?</t>
  </si>
  <si>
    <t>Who left Messina in the 11th century?</t>
  </si>
  <si>
    <t>Which type of law did not concern the Eu's governance structure?</t>
  </si>
  <si>
    <t>What are the tentacles of cydipped ctenophores are usually fringed with?</t>
  </si>
  <si>
    <t>storage conditions, compulsory texts, equipment, etc.</t>
  </si>
  <si>
    <t>education</t>
  </si>
  <si>
    <t>free-to-view</t>
  </si>
  <si>
    <t>How many people died of plague in Paris in 1466?</t>
  </si>
  <si>
    <t>How will steel pipes allow combustion to proceed?</t>
  </si>
  <si>
    <t>The frequent availability of what substance allowed land-based steam engines to exhaust a great deal of battleships?</t>
  </si>
  <si>
    <t>Along with a desire for more steam pressure, what were early drivers looking to generate when they fastened safety valves down?</t>
  </si>
  <si>
    <t>To where is most of the abalone and lobster caught in Victorian waters shipped?</t>
  </si>
  <si>
    <t>What is an example of complicated exhaust, along with Stephenson and Walschaerts?</t>
  </si>
  <si>
    <t>two new regiments</t>
  </si>
  <si>
    <t>The Court of Justice of the European Union can interpret the Treaties</t>
  </si>
  <si>
    <t>During this time, the discovery of oil in the North Sea and the following "It's Scotland's oil" campaign of the Scottish National Party (SNP) resulted in rising support for Scottish independence, as well as the SNP. The party argued that the revenues from the oil were not benefitting Scotland as much as they should. The combined effect of these events led to Prime Minister Wilson committing his government to some form of devolved legislature in 1974. However, it was not until 1978 that final legislative proposals for a Scottish Assembly were passed by the United Kingdom Parliament.</t>
  </si>
  <si>
    <t>Ferenc Deák</t>
  </si>
  <si>
    <t>CD4 co-receptor</t>
  </si>
  <si>
    <t>What is the meaning of polynomial-space reduction?</t>
  </si>
  <si>
    <t>Autumn Summer Jazz Days is one of the many what hosted by Warsaw?</t>
  </si>
  <si>
    <t>artisans and farmers</t>
  </si>
  <si>
    <t>P</t>
  </si>
  <si>
    <t>the Ministry of War</t>
  </si>
  <si>
    <t>After the founding of the colony of New South Wales in 1788, Australia was divided into an eastern half named New South Wales and a western half named New Holland, under the administration of the colonial government in Sydney. The first European settlement in the area later known as Victoria was established in October 1803 under Lieutenant-Governor David Collins at Sullivan Bay on Port Phillip. It consisted of 402 people (5 Government officials, 9 officers of marines, 2 drummers, and 39 privates, 5 soldiers' wives, and a child, 307 convicts, 17 convicts' wives, and 7 children). They had been sent from England in HMS Calcutta under the command of Captain Daniel Woodriff, principally out of fear that the French, who had been exploring the area, might establish their own settlement and thereby challenge British rights to the continent.</t>
  </si>
  <si>
    <t>When did French learn about Braddock's plans?</t>
  </si>
  <si>
    <t>net mechanical energy</t>
  </si>
  <si>
    <t>What device is energy removal similar to?</t>
  </si>
  <si>
    <t>Constructing a project that fails to adhere to codes does not benefit whom?</t>
  </si>
  <si>
    <t>What did Standard &amp; Poor recommend to slow economy recovery?</t>
  </si>
  <si>
    <t>7.5%</t>
  </si>
  <si>
    <t>As of 2017, how many courses are required under Core?</t>
  </si>
  <si>
    <t>What is the potential earnings for a job where there are many skilled workers but many available positions?</t>
  </si>
  <si>
    <t>signal amplification</t>
  </si>
  <si>
    <t>What meteorologist was also apart of the university's faculty?</t>
  </si>
  <si>
    <t>What has nothing to do with the speed of the response?</t>
  </si>
  <si>
    <t>Where in the ocean are volcano arcs located?</t>
  </si>
  <si>
    <t>civilize the inferior</t>
  </si>
  <si>
    <t>What cells do not possess an alternative T cell receptor?</t>
  </si>
  <si>
    <t xml:space="preserve">How many people lived in Fresno in 2000, according to the Census Bureau? </t>
  </si>
  <si>
    <t>by 2100</t>
  </si>
  <si>
    <t>water pollution</t>
  </si>
  <si>
    <t>Who did the Dutch fight in the Dutch Revolt?</t>
  </si>
  <si>
    <t>What sort of power is generated by heat sources today?</t>
  </si>
  <si>
    <t>semantical</t>
  </si>
  <si>
    <t xml:space="preserve">How is circuit switching charecterized </t>
  </si>
  <si>
    <t>top tax rate</t>
  </si>
  <si>
    <t>the solvability of quadratic equations</t>
  </si>
  <si>
    <t>Who were never rights holders for the Premier League?</t>
  </si>
  <si>
    <t>OneDrive</t>
  </si>
  <si>
    <t xml:space="preserve"> Who was Shi Tianze's uncle?</t>
  </si>
  <si>
    <t>Where is the upper canal regulation of the Rhine?</t>
  </si>
  <si>
    <t>What is known about the complexity between L and P that prevents determining the value between L and P?</t>
  </si>
  <si>
    <t>shallow crust</t>
  </si>
  <si>
    <t>What does the template for bills passed by the Scottish Parliament include?</t>
  </si>
  <si>
    <t>Dutch Republic</t>
  </si>
  <si>
    <t>silent</t>
  </si>
  <si>
    <t>the late 1340s</t>
  </si>
  <si>
    <t>Who created the nation's first aviation community?</t>
  </si>
  <si>
    <t>Low doses of anti-inflammatories are sometimes used with what classes of drugs?</t>
  </si>
  <si>
    <t>What are the tentacles lined with?</t>
  </si>
  <si>
    <t>from 1562 to 1598</t>
  </si>
  <si>
    <t>What do lobates feed on?</t>
  </si>
  <si>
    <t>Until 1932 the generally accepted length of the Rhine was 1,230 kilometres (764 miles). In 1932 the German encyclopedia Knaurs Lexikon stated the length as 1,320 kilometres (820 miles), presumably a typographical error. After this number was placed into the authoritative Brockhaus Enzyklopädie, it became generally accepted and found its way into numerous textbooks and official publications. The error was discovered in 2010, and the Dutch Rijkswaterstaat confirms the length at 1,232 kilometres (766 miles).[note 1]</t>
  </si>
  <si>
    <t>If a and q are coprime, which theorem holds that an arithmetic progression has an infinite number of primes?</t>
  </si>
  <si>
    <t>internal migration and urbanisation</t>
  </si>
  <si>
    <t>How many US Presidents once campaigned in Cambridge?</t>
  </si>
  <si>
    <t>Who confirmed Watt's discovery of mechanical heat?</t>
  </si>
  <si>
    <t>It is uncertain how ctenophores control their buoyancy, but experiments have shown that some species rely on osmotic pressure to adapt to water of different densities. Their body fluids are normally as concentrated as seawater. If they enter less dense brackish water, the ciliary rosettes in the body cavity may pump this into the mesoglea to increase its bulk and decrease its density, to avoid sinking. Conversely if they move from brackish to full-strength seawater, the rosettes may pump water out of the mesoglea to reduce its volume and increase its density.</t>
  </si>
  <si>
    <t>village of Warszowa</t>
  </si>
  <si>
    <t>What percentage of Fresno's population was Filipino in 1970?</t>
  </si>
  <si>
    <t>Humans in tropical environments were considered what?</t>
  </si>
  <si>
    <t>cancer, hepatitis, and rheumatoid arthritis</t>
  </si>
  <si>
    <t xml:space="preserve">What experiments are used to reconstruct rock fabric? </t>
  </si>
  <si>
    <t>Central Banking economist Raghuram Rajan argues that "systematic economic inequalities, within the United States and around the world, have created deep financial 'fault lines' that have made [financial] crises more likely to happen than in the past" – the Financial crisis of 2007–08 being the most recent example. To compensate for stagnating and declining purchasing power, political pressure has developed to extend easier credit to the lower and middle income earners – particularly to buy homes – and easier credit in general to keep unemployment rates low. This has given the American economy a tendency to go "from bubble to bubble" fueled by unsustainable monetary stimulation.</t>
  </si>
  <si>
    <t>What are public banks in Victoria?</t>
  </si>
  <si>
    <t>In what year did William the Silent issue his "Apologie"?</t>
  </si>
  <si>
    <t>problem instance</t>
  </si>
  <si>
    <t>In which case was a Dutch national not entitled to continue receiving benefits when he moved to Belgium?</t>
  </si>
  <si>
    <t>the first half of the 10th century</t>
  </si>
  <si>
    <t>What were the Saxon Palace and Bruhl Palace in prewar Paris?</t>
  </si>
  <si>
    <t>In what areas are sediment particles typically found?</t>
  </si>
  <si>
    <t>Who is the final judge of right and wrong?</t>
  </si>
  <si>
    <t>An adobe that provides more utility to one person than another is an example of reduced what?</t>
  </si>
  <si>
    <t>What has uncomplicated definitions that prevent classification into a framework?</t>
  </si>
  <si>
    <t>The correlation between capitalism, aristocracy, and imperialism has long been debated among historians and political theorists. Much of the debate was pioneered by such theorists as J. A. Hobson (1858–1940), Joseph Schumpeter (1883–1950), Thorstein Veblen (1857–1929), and Norman Angell (1872–1967). While these non-Marxist writers were at their most prolific before World War I, they remained active in the interwar years. Their combined work informed the study of imperialism and it's impact on Europe, as well as contributed to reflections on the rise of the military-political complex in the United States from the 1950s. Hobson argued that domestic social reforms could cure the international disease of imperialism by removing its economic foundation. Hobson theorized that state intervention through taxation could boost broader consumption, create wealth, and encourage a peaceful, tolerant, multipolar world order.</t>
  </si>
  <si>
    <t>distinction</t>
  </si>
  <si>
    <t>U.S. South</t>
  </si>
  <si>
    <t>mild</t>
  </si>
  <si>
    <t>What do those in the field do to ensure a positive outcome?</t>
  </si>
  <si>
    <t>In 2000 who found evidence of a large settlement in the Amazon rain forest?</t>
  </si>
  <si>
    <t>What do public schools operate outside of in Germany?</t>
  </si>
  <si>
    <t>Qutb's</t>
  </si>
  <si>
    <t>Palestine</t>
  </si>
  <si>
    <t>it is not a unit and cannot be written as a product of two ring elements that are not units</t>
  </si>
  <si>
    <t>into the lake</t>
  </si>
  <si>
    <t>twelve residential Houses</t>
  </si>
  <si>
    <t>How many refugees emigrated to the Dutch Republic?</t>
  </si>
  <si>
    <t>Association of American Universities</t>
  </si>
  <si>
    <t>construction of military roads to the area by Braddock and Forbes</t>
  </si>
  <si>
    <t>attempted to enter the test site</t>
  </si>
  <si>
    <t>What tends to lead to more money?</t>
  </si>
  <si>
    <t>the Confederate cause</t>
  </si>
  <si>
    <t>Who entered Italy soon after the Byzantine Empire?</t>
  </si>
  <si>
    <t>a half-penny sales tax</t>
  </si>
  <si>
    <t>French Church Street is in what Irish town?</t>
  </si>
  <si>
    <t>What river is larger than the Rhine?</t>
  </si>
  <si>
    <t>In the wake of the Jacksonville fire, what did the Florida Governor do?</t>
  </si>
  <si>
    <t>What denomination is associated with Saint Kentigern College?</t>
  </si>
  <si>
    <t>King Malcolm III</t>
  </si>
  <si>
    <t>clinical services that pharmacists can provide for their patients</t>
  </si>
  <si>
    <t>How much is terra preta distributed over the Amazon forest?</t>
  </si>
  <si>
    <t>When did the age of imperialism end?</t>
  </si>
  <si>
    <t>What is the main difference between online pharmacies and community pharmacies?</t>
  </si>
  <si>
    <t>the laws of physics</t>
  </si>
  <si>
    <t>What rainforest covers the majority of the Amazon basin in South America?</t>
  </si>
  <si>
    <t>punishment</t>
  </si>
  <si>
    <t>In the mid-1950s, Frank Burnet, inspired by a suggestion made by Niels Jerne, formulated the clonal selection theory (CST) of immunity. On the basis of CST, Burnet developed a theory of how an immune response is triggered according to the self/nonself distinction: "self" constituents (constituents of the body) do not trigger destructive immune responses, while "nonself" entities (pathogens, an allograft) trigger a destructive immune response. The theory was later modified to reflect new discoveries regarding histocompatibility or the complex "two-signal" activation of T cells. The self/nonself theory of immunity and the self/nonself vocabulary have been criticized, but remain very influential.</t>
  </si>
  <si>
    <t>Catholics</t>
  </si>
  <si>
    <t>Cydippids combs are controlled by what?</t>
  </si>
  <si>
    <t>Which campus is located on the right banks of the Seine?</t>
  </si>
  <si>
    <t>Why were Southern Chinese ranked lower?</t>
  </si>
  <si>
    <t>What processes occur above the earth?</t>
  </si>
  <si>
    <t>How many Huguenots lived in Amsterdam in 1705?</t>
  </si>
  <si>
    <t>Kromme Rijn</t>
  </si>
  <si>
    <t>What conviction did many Poles have regarding how the Varsovians thought of themselves?</t>
  </si>
  <si>
    <t>22 May 2006</t>
  </si>
  <si>
    <t>Why are the small lakes in Czerniakow emptied before winter?</t>
  </si>
  <si>
    <t>magnetic</t>
  </si>
  <si>
    <t>late part</t>
  </si>
  <si>
    <t>41,500 square kilometres of Amazon force were lost between what years?</t>
  </si>
  <si>
    <t>Why was this concept generally unpopular prior to Donald Davies completing his work?</t>
  </si>
  <si>
    <t>Why have private schools been in decline since 2014?</t>
  </si>
  <si>
    <t>300 men, including French-Canadians and warriors of the Ottawa</t>
  </si>
  <si>
    <t>Why did the UK have to justify its actions?</t>
  </si>
  <si>
    <t>In what year did Harvard end its early admission program?</t>
  </si>
  <si>
    <t>the European Parliament and the Council of the European Union</t>
  </si>
  <si>
    <t>How is the prime number p in Bertrand's postulate expressed mathematically?</t>
  </si>
  <si>
    <t>the mesoglea</t>
  </si>
  <si>
    <t>Above what horsepower are steam turbines usually more efficient than generators that use reciprocating pistons?</t>
  </si>
  <si>
    <t>How many former city officials were investigated by the grand jury?</t>
  </si>
  <si>
    <t>In the definition based off the mountain range, which region would the desert portions of north Los Angeles County be included in?</t>
  </si>
  <si>
    <t>platyctenids</t>
  </si>
  <si>
    <t>2,200</t>
  </si>
  <si>
    <t>after the Franco-German War</t>
  </si>
  <si>
    <t>one of the most influential movements</t>
  </si>
  <si>
    <t>Who does a gender pay gap tend to favor?</t>
  </si>
  <si>
    <t>ranked above the two personal physicians of the Emperor</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</si>
  <si>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</si>
  <si>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At the beginning of the 20th century, important advancement in geological science was facilitated by the ability to obtain accurate absolute dates to geologic events using radioactive isotopes and other methods. This changed the understanding of geologic time. Previously, geologists could only use fossils and stratigraphic correlation to date sections of rock relative to one another. With isotopic dates it became possible to assign absolute ages to rock units, and these absolute dates could be applied to fossil sequences in which there was datable material, converting the old relative ages into new absolute ages.</t>
  </si>
  <si>
    <t xml:space="preserve">What was the percentage of Non-Hispanic Whites in 2010? </t>
  </si>
  <si>
    <t>What types of alternatives did CYCLADES give?</t>
  </si>
  <si>
    <t>spin triplet state</t>
  </si>
  <si>
    <t>What does isobaric mean?</t>
  </si>
  <si>
    <t>Chinese</t>
  </si>
  <si>
    <t>rich and well socially standing</t>
  </si>
  <si>
    <t>at Konwiktorska Street</t>
  </si>
  <si>
    <t>When did the Rhine travel southwest into the North Sea?</t>
  </si>
  <si>
    <t>Where might the doctor's self-interest be equivalent with the patient's self-interest?</t>
  </si>
  <si>
    <t>What is the other NHL team aside from the Anaheim Ducks to reside in Southern California?</t>
  </si>
  <si>
    <t xml:space="preserve"> What were the non-native inhabitants of Australia called?</t>
  </si>
  <si>
    <t>Juveniles will luminesce more brightly</t>
  </si>
  <si>
    <t>Why did Confucians like the medical field?</t>
  </si>
  <si>
    <t>NP-hard</t>
  </si>
  <si>
    <t>When did the Siege of Antioch take place?</t>
  </si>
  <si>
    <t>What results in out of order delivery?</t>
  </si>
  <si>
    <t>512</t>
  </si>
  <si>
    <t xml:space="preserve">What lake connects the Rhine to Lake Constance? </t>
  </si>
  <si>
    <t>not restored by the communist authorities</t>
  </si>
  <si>
    <t>Rhine-Ruhr region</t>
  </si>
  <si>
    <t>a commune</t>
  </si>
  <si>
    <t>What percentage of American gas stations were out of fuel in 1973?</t>
  </si>
  <si>
    <t>What includes Irvine Center Tech and Business Jamboree Parks?</t>
  </si>
  <si>
    <t>180</t>
  </si>
  <si>
    <t>Where were the Germanic tribes not originally located?</t>
  </si>
  <si>
    <t>published his findings first</t>
  </si>
  <si>
    <t xml:space="preserve">What does Packet switching contrast with </t>
  </si>
  <si>
    <t>Tehachapi Mountains</t>
  </si>
  <si>
    <t>What institute did the university announced to everyone in 2008?</t>
  </si>
  <si>
    <t>Who wrote "On the Computational Complexity of Science"?</t>
  </si>
  <si>
    <t>When was Qutb executed?</t>
  </si>
  <si>
    <t>The pound-force has a metric counterpart, less commonly used than the newton: the kilogram-force (kgf) (sometimes kilopond), is the force exerted by standard gravity on one kilogram of mass. The kilogram-force leads to an alternate, but rarely used unit of mass: the metric slug (sometimes mug or hyl) is that mass that accelerates at 1 m·s−2 when subjected to a force of 1 kgf. The kilogram-force is not a part of the modern SI system, and is generally deprecated; however it still sees use for some purposes as expressing aircraft weight, jet thrust, bicycle spoke tension, torque wrench settings and engine output torque. Other arcane units of force include the sthène, which is equivalent to 1000 N, and the kip, which is equivalent to 1000 lbf.</t>
  </si>
  <si>
    <t>How long is Olive Avenue?</t>
  </si>
  <si>
    <t>Central Bridge</t>
  </si>
  <si>
    <t>How was The Princeton Review ranked by students in 2013 for being most informative?</t>
  </si>
  <si>
    <t>an occupancy permit</t>
  </si>
  <si>
    <t>by undulating their bodies as well as by the beating of their comb-rows.</t>
  </si>
  <si>
    <t>What is another name for the sheath the mouth can be withdrawn to?</t>
  </si>
  <si>
    <t>A complexity resource can also be described as what other type of resource?</t>
  </si>
  <si>
    <t>What are examples of clinical services that pharmacists can provide?</t>
  </si>
  <si>
    <t>What is the shortened name of the annual yacht race that takes place?</t>
  </si>
  <si>
    <t>not a unit and cannot be written as a product of two ring elements that are not units.</t>
  </si>
  <si>
    <t>What does the loss of the thymus at an early age prevent?</t>
  </si>
  <si>
    <t>What caused the Lower Rhine region to be changed significantly?</t>
  </si>
  <si>
    <t>Changes in rainfall reduced what kind of vegetation cover in the Amazon basin?</t>
  </si>
  <si>
    <t>Royal Ujazdów</t>
  </si>
  <si>
    <t>When was the Model United Nations team ranked second in North America?</t>
  </si>
  <si>
    <t>five seats</t>
  </si>
  <si>
    <t>What historical figure was Jacksonville named after?</t>
  </si>
  <si>
    <t>with Tanaghrisson and his party, surprised the Canadians on May 28 in what became known as the Battle of Jumonville Glen</t>
  </si>
  <si>
    <t>What marine engines were less efficient than steam turbines?</t>
  </si>
  <si>
    <t>Boyle</t>
  </si>
  <si>
    <t>Where was France concentraing efforts?</t>
  </si>
  <si>
    <t>Richard Harbison</t>
  </si>
  <si>
    <t>elite politicians</t>
  </si>
  <si>
    <t>In what year had Manakin Town first been abandoned?</t>
  </si>
  <si>
    <t>René-Robert Cavelier, Sieur de La Salle had explored the Ohio Country</t>
  </si>
  <si>
    <t>through the Waal</t>
  </si>
  <si>
    <t>The new British command was not in place until July. When he arrived in Albany, Abercrombie refused to take any significant actions until Loudoun approved them. Montcalm took bold action against his inertia. Building on Vaudreuil's work harassing the Oswego garrison, Montcalm executed a strategic feint by moving his headquarters to Ticonderoga, as if to presage another attack along Lake George. With Abercrombie pinned down at Albany, Montcalm slipped away and led the successful attack on Oswego in August. In the aftermath, Montcalm and the Indians under his command disagreed about the disposition of prisoners' personal effects. The Europeans did not consider them prizes and prevented the Indians from stripping the prisoners of their valuables, which angered the Indians.</t>
  </si>
  <si>
    <t>What do some species of rotifers do instead of being predators?</t>
  </si>
  <si>
    <t>Boolean</t>
  </si>
  <si>
    <t>Gamma delta T cells (γδ T cells) possess an alternative T cell receptor (TCR) as opposed to CD4+ and CD8+ (αβ) T cells and share the characteristics of helper T cells, cytotoxic T cells and NK cells. The conditions that produce responses from γδ T cells are not fully understood. Like other 'unconventional' T cell subsets bearing invariant TCRs, such as CD1d-restricted Natural Killer T cells, γδ T cells straddle the border between innate and adaptive immunity. On one hand, γδ T cells are a component of adaptive immunity as they rearrange TCR genes to produce receptor diversity and can also develop a memory phenotype. On the other hand, the various subsets are also part of the innate immune system, as restricted TCR or NK receptors may be used as pattern recognition receptors. For example, large numbers of human Vγ9/Vδ2 T cells respond within hours to common molecules produced by microbes, and highly restricted Vδ1+ T cells in epithelia respond to stressed epithelial cells.</t>
  </si>
  <si>
    <t>1756 to the signing of the peace treaty in 1763</t>
  </si>
  <si>
    <t>ten-horsepower</t>
  </si>
  <si>
    <t>does not faithfully summarize the full WGI report</t>
  </si>
  <si>
    <t>failed to set up an insurance fund for employees to claim unpaid wages if their employers had gone insolvent</t>
  </si>
  <si>
    <t>The majority may be powerful but it is not necessarily right</t>
  </si>
  <si>
    <t>In modern times, firms may offer themselves as what for a construction project?</t>
  </si>
  <si>
    <t xml:space="preserve"> When did Li Tan reject a revolt?</t>
  </si>
  <si>
    <t>Daniel Andrews</t>
  </si>
  <si>
    <t>Hassan al-Turabi</t>
  </si>
  <si>
    <t>supplant it</t>
  </si>
  <si>
    <t>Reyners v Belgium the Court of Justice</t>
  </si>
  <si>
    <t>How many electorates does the State of Victoria have?</t>
  </si>
  <si>
    <t>the Charter of Fundamental Rights of the European Union of 7</t>
  </si>
  <si>
    <t xml:space="preserve">What religion did the French spread along with their imperialism? </t>
  </si>
  <si>
    <t>Catawba</t>
  </si>
  <si>
    <t>In what type of water does oxygen dissolve more slowly?</t>
  </si>
  <si>
    <t>What happened with the rate of flow in the Rhine with the straightening program?</t>
  </si>
  <si>
    <t>Pneumatica</t>
  </si>
  <si>
    <t>Who were the Pannonian troops allies with?</t>
  </si>
  <si>
    <t>Mahmud Fami Naqrashi</t>
  </si>
  <si>
    <t>How is the process of allocating seats repeated until all available seats have been determined?</t>
  </si>
  <si>
    <t>cytotoxic or immunosuppressive</t>
  </si>
  <si>
    <t>What two railroads have railyards in the city of Fresno?</t>
  </si>
  <si>
    <t>musical</t>
  </si>
  <si>
    <t>When can the right to create private schools be taken away in other countries?</t>
  </si>
  <si>
    <t>apartheid</t>
  </si>
  <si>
    <t>a placebo effect</t>
  </si>
  <si>
    <t>In what year did medical knowledge begin to stagnate during the Middle Ages?</t>
  </si>
  <si>
    <t>What is polish for "mermaid"?</t>
  </si>
  <si>
    <t>What did the development of this fertile soil provide in hostile environment?</t>
  </si>
  <si>
    <t>bits</t>
  </si>
  <si>
    <t>offer a higher quality of education</t>
  </si>
  <si>
    <t>most densely populated state</t>
  </si>
  <si>
    <t>threatened</t>
  </si>
  <si>
    <t>kinetic</t>
  </si>
  <si>
    <t>24-year</t>
  </si>
  <si>
    <t>compressed gas</t>
  </si>
  <si>
    <t>Neo-Confucianism and also devoted himself in Buddhism</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</si>
  <si>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</si>
  <si>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What types of engines are solar engines?</t>
  </si>
  <si>
    <t>How many piston strokes occur in an exhaust cycle?</t>
  </si>
  <si>
    <t>In what year did the largest companies in the US compile data on nine market segments?</t>
  </si>
  <si>
    <t>What was the protest in Antigone about?</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</si>
  <si>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</si>
  <si>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what the climate was like millions of years ago</t>
  </si>
  <si>
    <t>was the public switched data network operated by the Dutch PTT Telecom</t>
  </si>
  <si>
    <t>66–34</t>
  </si>
  <si>
    <t>code-word describing the activities of muggers, arsonists, draft evaders</t>
  </si>
  <si>
    <t>not to talk to police officers</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</si>
  <si>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</si>
  <si>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underground</t>
  </si>
  <si>
    <t>What is the common coastal pleurobrachia called?</t>
  </si>
  <si>
    <t>What is volume normally as concentrated as?</t>
  </si>
  <si>
    <t>chao</t>
  </si>
  <si>
    <t>What was the concept of force an integral part of?</t>
  </si>
  <si>
    <t>Sayyid Abul Ala Maududi was an important early twentieth-century figure in the Islamic revival in India, and then after independence from Britain, in Pakistan. Trained as a lawyer he chose the profession of journalism, and wrote about contemporary issues and most importantly about Islam and Islamic law. Maududi founded the Jamaat-e-Islami party in 1941 and remained its leader until 1972. However, Maududi had much more impact through his writing than through his political organising. His extremely influential books (translated into many languages) placed Islam in a modern context, and influenced not only conservative ulema but liberal modernizer Islamists such as al-Faruqi, whose "Islamization of Knowledge" carried forward some of Maududi's key principles.</t>
  </si>
  <si>
    <t>What do wages work in the same way as for any other good?</t>
  </si>
  <si>
    <t>A small fraction of the cold water flow from Lake Constance goes to what other lake?</t>
  </si>
  <si>
    <t>wages and profits</t>
  </si>
  <si>
    <t>Miller–Rabin primality test</t>
  </si>
  <si>
    <t>What group can amend the Victorian constitution?</t>
  </si>
  <si>
    <t>What profession were Ronald Robinson and John Gallagher?</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</si>
</sst>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1" t="s">
        <v>0</v>
      </c>
      <c r="B1" s="1" t="s">
        <v>1</v>
      </c>
    </row>
    <row r="2">
      <c r="A2" s="2" t="s">
        <v>2</v>
      </c>
      <c r="B2" s="2" t="str">
        <f>IFERROR(__xludf.DUMMYFUNCTION("GOOGLETRANSLATE(A2, ""en"", ""mt"")"),"Min ma setax jirkupra l-flus li ħallas għat-tariffa?")</f>
        <v>Min ma setax jirkupra l-flus li ħallas għat-tariffa?</v>
      </c>
    </row>
    <row r="3">
      <c r="A3" s="2" t="s">
        <v>3</v>
      </c>
      <c r="B3" s="2" t="str">
        <f>IFERROR(__xludf.DUMMYFUNCTION("GOOGLETRANSLATE(A3, ""en"", ""mt"")"),"Kif tissejjaħ il-fergħa tan-nofsinhar il-qadima tar-Rhine?")</f>
        <v>Kif tissejjaħ il-fergħa tan-nofsinhar il-qadima tar-Rhine?</v>
      </c>
    </row>
    <row r="4">
      <c r="A4" s="2" t="s">
        <v>4</v>
      </c>
      <c r="B4" s="2" t="str">
        <f>IFERROR(__xludf.DUMMYFUNCTION("GOOGLETRANSLATE(A4, ""en"", ""mt"")"),"Id-Diviżjoni Kolleġġjata l-Ġdida")</f>
        <v>Id-Diviżjoni Kolleġġjata l-Ġdida</v>
      </c>
    </row>
    <row r="5">
      <c r="A5" s="2" t="s">
        <v>5</v>
      </c>
      <c r="B5" s="2" t="str">
        <f>IFERROR(__xludf.DUMMYFUNCTION("GOOGLETRANSLATE(A5, ""en"", ""mt"")"),"Sorsi ppubblikati")</f>
        <v>Sorsi ppubblikati</v>
      </c>
    </row>
    <row r="6">
      <c r="A6" s="2" t="s">
        <v>6</v>
      </c>
      <c r="B6" s="2" t="str">
        <f>IFERROR(__xludf.DUMMYFUNCTION("GOOGLETRANSLATE(A6, ""en"", ""mt"")"),"Temecula u Murrieta")</f>
        <v>Temecula u Murrieta</v>
      </c>
    </row>
    <row r="7">
      <c r="A7" s="2" t="s">
        <v>7</v>
      </c>
      <c r="B7" s="2" t="str">
        <f>IFERROR(__xludf.DUMMYFUNCTION("GOOGLETRANSLATE(A7, ""en"", ""mt"")"),"Kemm siġġijiet ħadu l-SNP mid-Demokratiċi Liberali?")</f>
        <v>Kemm siġġijiet ħadu l-SNP mid-Demokratiċi Liberali?</v>
      </c>
    </row>
    <row r="8">
      <c r="A8" s="2" t="s">
        <v>8</v>
      </c>
      <c r="B8" s="2" t="str">
        <f>IFERROR(__xludf.DUMMYFUNCTION("GOOGLETRANSLATE(A8, ""en"", ""mt"")"),"ħdejn it-tarf ta 'fuq tal-firxa mogħtija mill-projezzjoni tal-2001 tal-IPCC")</f>
        <v>ħdejn it-tarf ta 'fuq tal-firxa mogħtija mill-projezzjoni tal-2001 tal-IPCC</v>
      </c>
    </row>
    <row r="9">
      <c r="A9" s="2" t="s">
        <v>9</v>
      </c>
      <c r="B9" s="2" t="str">
        <f>IFERROR(__xludf.DUMMYFUNCTION("GOOGLETRANSLATE(A9, ""en"", ""mt"")"),"Jekk il-ħaddiem medju ta 'l-Istati Uniti kellu jlesti sena addizzjonali ta' skola, liema ammont ta 'tkabbir jiġi ġġenerat fuq 5 snin?")</f>
        <v>Jekk il-ħaddiem medju ta 'l-Istati Uniti kellu jlesti sena addizzjonali ta' skola, liema ammont ta 'tkabbir jiġi ġġenerat fuq 5 snin?</v>
      </c>
    </row>
    <row r="10">
      <c r="A10" s="2" t="s">
        <v>10</v>
      </c>
      <c r="B10" s="2" t="str">
        <f>IFERROR(__xludf.DUMMYFUNCTION("GOOGLETRANSLATE(A10, ""en"", ""mt"")"),"X'tip ta 'pagi ma jistgħux jaffordjaw edukazzjoni?")</f>
        <v>X'tip ta 'pagi ma jistgħux jaffordjaw edukazzjoni?</v>
      </c>
    </row>
    <row r="11">
      <c r="A11" s="2" t="s">
        <v>11</v>
      </c>
      <c r="B11" s="2" t="str">
        <f>IFERROR(__xludf.DUMMYFUNCTION("GOOGLETRANSLATE(A11, ""en"", ""mt"")"),"X'ġara man-numru ta 'applikazzjonijiet tal-istudenti matul is-snin 1920?")</f>
        <v>X'ġara man-numru ta 'applikazzjonijiet tal-istudenti matul is-snin 1920?</v>
      </c>
    </row>
    <row r="12">
      <c r="A12" s="2" t="s">
        <v>12</v>
      </c>
      <c r="B12" s="2" t="str">
        <f>IFERROR(__xludf.DUMMYFUNCTION("GOOGLETRANSLATE(A12, ""en"", ""mt"")"),"Klassifikazzjoni Industrijali Standard")</f>
        <v>Klassifikazzjoni Industrijali Standard</v>
      </c>
    </row>
    <row r="13">
      <c r="A13" s="2" t="s">
        <v>13</v>
      </c>
      <c r="B13" s="2" t="str">
        <f>IFERROR(__xludf.DUMMYFUNCTION("GOOGLETRANSLATE(A13, ""en"", ""mt"")"),"Jekk il-forza tal-apparat ta 'żewġ ferzzjonijiet hija attraenti, x'inhi l-funzjoni spin?")</f>
        <v>Jekk il-forza tal-apparat ta 'żewġ ferzzjonijiet hija attraenti, x'inhi l-funzjoni spin?</v>
      </c>
    </row>
    <row r="14">
      <c r="A14" s="2" t="s">
        <v>14</v>
      </c>
      <c r="B14" s="2" t="str">
        <f>IFERROR(__xludf.DUMMYFUNCTION("GOOGLETRANSLATE(A14, ""en"", ""mt"")"),"aktar minn 1,000")</f>
        <v>aktar minn 1,000</v>
      </c>
    </row>
    <row r="15">
      <c r="A15" s="2" t="s">
        <v>15</v>
      </c>
      <c r="B15" s="2" t="str">
        <f>IFERROR(__xludf.DUMMYFUNCTION("GOOGLETRANSLATE(A15, ""en"", ""mt"")"),"Il-Franċiżi akkwistaw kopja tal-pjanijiet tal-gwerra Ingliżi, inklużi l-attivitajiet ta ’Shirley u Johnson. L-isforzi ta 'Shirley biex tissaħħaħ lil Oswego ġew imrażżna f'diffikultajiet loġistiċi, aggravati mill-esperjenza ta' Shirley fil-ġestjoni ta 'spe"&amp;"dizzjonijiet kbar. Flimkien, Shirley kien konxju li l-Franċiżi kienu qed jimmanifestaw għal attakk fuq Fort Oswego fl-assenza tiegħu meta ppjana li jattakka Fort Niagara. Bħala tweġiba, Shirley ħalla l-garrisons f'Oswego, Fort Bull, u Fort Williams (it-tn"&amp;"ejn tal-aħħar li jinsabu fuq il-Carry Oneida bejn ix-Xmara Mohawk u Wood Creek fil-preżent Ruma, New York). Il-provvisti għall-użu fl-attakk proġettat fuq Niagara ġew cache fil-Fort Bull.")</f>
        <v>Il-Franċiżi akkwistaw kopja tal-pjanijiet tal-gwerra Ingliżi, inklużi l-attivitajiet ta ’Shirley u Johnson. L-isforzi ta 'Shirley biex tissaħħaħ lil Oswego ġew imrażżna f'diffikultajiet loġistiċi, aggravati mill-esperjenza ta' Shirley fil-ġestjoni ta 'spedizzjonijiet kbar. Flimkien, Shirley kien konxju li l-Franċiżi kienu qed jimmanifestaw għal attakk fuq Fort Oswego fl-assenza tiegħu meta ppjana li jattakka Fort Niagara. Bħala tweġiba, Shirley ħalla l-garrisons f'Oswego, Fort Bull, u Fort Williams (it-tnejn tal-aħħar li jinsabu fuq il-Carry Oneida bejn ix-Xmara Mohawk u Wood Creek fil-preżent Ruma, New York). Il-provvisti għall-użu fl-attakk proġettat fuq Niagara ġew cache fil-Fort Bull.</v>
      </c>
    </row>
    <row r="16">
      <c r="A16" s="2" t="s">
        <v>16</v>
      </c>
      <c r="B16" s="2" t="str">
        <f>IFERROR(__xludf.DUMMYFUNCTION("GOOGLETRANSLATE(A16, ""en"", ""mt"")"),"tista 'tipproduċi kemm bajd kif ukoll sperma")</f>
        <v>tista 'tipproduċi kemm bajd kif ukoll sperma</v>
      </c>
    </row>
    <row r="17">
      <c r="A17" s="2" t="s">
        <v>17</v>
      </c>
      <c r="B17" s="2" t="str">
        <f>IFERROR(__xludf.DUMMYFUNCTION("GOOGLETRANSLATE(A17, ""en"", ""mt"")"),"Għal liema raġuni xi ħadd jevita reati waqt li jipprotesta?")</f>
        <v>Għal liema raġuni xi ħadd jevita reati waqt li jipprotesta?</v>
      </c>
    </row>
    <row r="18">
      <c r="A18" s="2" t="s">
        <v>18</v>
      </c>
      <c r="B18" s="2" t="str">
        <f>IFERROR(__xludf.DUMMYFUNCTION("GOOGLETRANSLATE(A18, ""en"", ""mt"")"),"proponent estern")</f>
        <v>proponent estern</v>
      </c>
    </row>
    <row r="19">
      <c r="A19" s="2" t="s">
        <v>19</v>
      </c>
      <c r="B19" s="2" t="str">
        <f>IFERROR(__xludf.DUMMYFUNCTION("GOOGLETRANSLATE(A19, ""en"", ""mt"")"),"Relatività Ġenerali")</f>
        <v>Relatività Ġenerali</v>
      </c>
    </row>
    <row r="20">
      <c r="A20" s="2" t="s">
        <v>20</v>
      </c>
      <c r="B20" s="2" t="str">
        <f>IFERROR(__xludf.DUMMYFUNCTION("GOOGLETRANSLATE(A20, ""en"", ""mt"")"),"Jista 'jkun daħal fl-Ewropa f'żewġ mewġ")</f>
        <v>Jista 'jkun daħal fl-Ewropa f'żewġ mewġ</v>
      </c>
    </row>
    <row r="21" ht="15.75" customHeight="1">
      <c r="A21" s="2" t="s">
        <v>21</v>
      </c>
      <c r="B21" s="2" t="str">
        <f>IFERROR(__xludf.DUMMYFUNCTION("GOOGLETRANSLATE(A21, ""en"", ""mt"")"),"Il-ħames liġi ta 'Newton hija r-riżultat tal-applikazzjoni ta' simetrija għal xiex?")</f>
        <v>Il-ħames liġi ta 'Newton hija r-riżultat tal-applikazzjoni ta' simetrija għal xiex?</v>
      </c>
    </row>
    <row r="22" ht="15.75" customHeight="1">
      <c r="A22" s="2" t="s">
        <v>22</v>
      </c>
      <c r="B22" s="2" t="str">
        <f>IFERROR(__xludf.DUMMYFUNCTION("GOOGLETRANSLATE(A22, ""en"", ""mt"")"),"X'jistgħu jaġixxu l-elementi komuni?")</f>
        <v>X'jistgħu jaġixxu l-elementi komuni?</v>
      </c>
    </row>
    <row r="23" ht="15.75" customHeight="1">
      <c r="A23" s="2" t="s">
        <v>23</v>
      </c>
      <c r="B23" s="2" t="str">
        <f>IFERROR(__xludf.DUMMYFUNCTION("GOOGLETRANSLATE(A23, ""en"", ""mt"")"),"f'nofs is-seklu 14")</f>
        <v>f'nofs is-seklu 14</v>
      </c>
    </row>
    <row r="24" ht="15.75" customHeight="1">
      <c r="A24" s="2" t="s">
        <v>24</v>
      </c>
      <c r="B24" s="2" t="str">
        <f>IFERROR(__xludf.DUMMYFUNCTION("GOOGLETRANSLATE(A24, ""en"", ""mt"")"),"Jekk hemm kunflitt bejn il-liġi tal-UE u l-liġi nazzjonali, liema liġi tieħu preċedenza?")</f>
        <v>Jekk hemm kunflitt bejn il-liġi tal-UE u l-liġi nazzjonali, liema liġi tieħu preċedenza?</v>
      </c>
    </row>
    <row r="25" ht="15.75" customHeight="1">
      <c r="A25" s="2" t="s">
        <v>25</v>
      </c>
      <c r="B25" s="2" t="str">
        <f>IFERROR(__xludf.DUMMYFUNCTION("GOOGLETRANSLATE(A25, ""en"", ""mt"")"),"Jgħix mill-973–1048 CE kien wieħed mill-ewwel ġeoloġi Persjani, x'kien ismu?")</f>
        <v>Jgħix mill-973–1048 CE kien wieħed mill-ewwel ġeoloġi Persjani, x'kien ismu?</v>
      </c>
    </row>
    <row r="26" ht="15.75" customHeight="1">
      <c r="A26" s="2" t="s">
        <v>26</v>
      </c>
      <c r="B26" s="2" t="str">
        <f>IFERROR(__xludf.DUMMYFUNCTION("GOOGLETRANSLATE(A26, ""en"", ""mt"")"),"X'jista 'jgħin lil student jikseb borża ta' studju għal skola pubblika?")</f>
        <v>X'jista 'jgħin lil student jikseb borża ta' studju għal skola pubblika?</v>
      </c>
    </row>
    <row r="27" ht="15.75" customHeight="1">
      <c r="A27" s="2" t="s">
        <v>27</v>
      </c>
      <c r="B27" s="2" t="str">
        <f>IFERROR(__xludf.DUMMYFUNCTION("GOOGLETRANSLATE(A27, ""en"", ""mt"")"),"Min kiteb dwar il-pompa tal-ilma Smeaton fit-tranżazzjonijiet filosofiċi tal-1751?")</f>
        <v>Min kiteb dwar il-pompa tal-ilma Smeaton fit-tranżazzjonijiet filosofiċi tal-1751?</v>
      </c>
    </row>
    <row r="28" ht="15.75" customHeight="1">
      <c r="A28" s="2" t="s">
        <v>28</v>
      </c>
      <c r="B28" s="2" t="str">
        <f>IFERROR(__xludf.DUMMYFUNCTION("GOOGLETRANSLATE(A28, ""en"", ""mt"")"),"Meta ġiet skoperta l-Foresta l-Iswed?")</f>
        <v>Meta ġiet skoperta l-Foresta l-Iswed?</v>
      </c>
    </row>
    <row r="29" ht="15.75" customHeight="1">
      <c r="A29" s="2" t="s">
        <v>29</v>
      </c>
      <c r="B29" s="2" t="str">
        <f>IFERROR(__xludf.DUMMYFUNCTION("GOOGLETRANSLATE(A29, ""en"", ""mt"")"),"In-nuqqasijiet tal-fiżika Aristoteljana ma jiġux ikkoreġuti għal kollox sa x-xogħol tas-seklu 17 ta 'Galileo Galilei, li kien influwenzat mill-idea medjevali tard li l-oġġetti fil-moviment sfurzat ġarrbu forza intrinsika ta' impetu. Galileo bena esperimen"&amp;"t li fih il-ġebel u l-kanun tal-kanun kienu rrumblati l-inklinazzjoni biex jikkontestaw it-teorija Aristoteljana tal-moviment kmieni fis-seklu 17. Huwa wera li l-korpi ġew aċċellerati mill-gravità sa punt li kien indipendenti mill-massa tagħhom u argument"&amp;"a li l-oġġetti jżommu l-veloċità tagħhom sakemm ma jaġixxux minn forza, pereżempju frizzjoni.")</f>
        <v>In-nuqqasijiet tal-fiżika Aristoteljana ma jiġux ikkoreġuti għal kollox sa x-xogħol tas-seklu 17 ta 'Galileo Galilei, li kien influwenzat mill-idea medjevali tard li l-oġġetti fil-moviment sfurzat ġarrbu forza intrinsika ta' impetu. Galileo bena esperiment li fih il-ġebel u l-kanun tal-kanun kienu rrumblati l-inklinazzjoni biex jikkontestaw it-teorija Aristoteljana tal-moviment kmieni fis-seklu 17. Huwa wera li l-korpi ġew aċċellerati mill-gravità sa punt li kien indipendenti mill-massa tagħhom u argumenta li l-oġġetti jżommu l-veloċità tagħhom sakemm ma jaġixxux minn forza, pereżempju frizzjoni.</v>
      </c>
    </row>
    <row r="30" ht="15.75" customHeight="1">
      <c r="A30" s="2" t="s">
        <v>30</v>
      </c>
      <c r="B30" s="2" t="str">
        <f>IFERROR(__xludf.DUMMYFUNCTION("GOOGLETRANSLATE(A30, ""en"", ""mt"")"),"X'inhi l-ispiża annwali ta 'xi skejjel ta' preparazzjoni notevoli fi New England?")</f>
        <v>X'inhi l-ispiża annwali ta 'xi skejjel ta' preparazzjoni notevoli fi New England?</v>
      </c>
    </row>
    <row r="31" ht="15.75" customHeight="1">
      <c r="A31" s="2" t="s">
        <v>31</v>
      </c>
      <c r="B31" s="2" t="str">
        <f>IFERROR(__xludf.DUMMYFUNCTION("GOOGLETRANSLATE(A31, ""en"", ""mt"")"),"Iżlamiku")</f>
        <v>Iżlamiku</v>
      </c>
    </row>
    <row r="32" ht="15.75" customHeight="1">
      <c r="A32" s="2" t="s">
        <v>32</v>
      </c>
      <c r="B32" s="2" t="str">
        <f>IFERROR(__xludf.DUMMYFUNCTION("GOOGLETRANSLATE(A32, ""en"", ""mt"")"),"Il-metodu ewlieni l-ieħor ta 'produzzjoni O
2 gass jinvolvi li tgħaddi fluss ta 'arja nadifa u niexfa minn sodda waħda ta' par ta 'passaġġi molekulari identiċi taż-żeoliti, li jassorbi n-nitroġenu u jagħti fluss tal-gass li huwa 90% sa 93% o
2. Fl-istess "&amp;"ħin, il-gass tan-nitroġenu jinħeles mis-sodda taż-żeoliti l-oħra saturata għan-nitroġenu, billi tnaqqas il-pressjoni operattiva tal-kamra u tiddevja l-parti tal-gass tal-ossiġnu mis-sodda tal-produttur minn ġo fih, fid-direzzjoni ta 'wara tal-fluss. Wara "&amp;"ħin ta 'ċiklu stabbilit it-tħaddim taż-żewġ sodod huwa interkambjat, u b'hekk jippermetti li provvista kontinwa ta' ossiġenu gassuż jiġi ppumpjat permezz ta 'pipeline. Dan huwa magħruf bħala adsorbiment ta 'tbandil tal-pressjoni. Il-gass ta 'l-ossiġnu huw"&amp;"a dejjem aktar miksub minn dawn it-teknoloġiji mhux kriġeniċi (ara wkoll l-adsorbiment relatat ma' swing tal-vakwu).")</f>
        <v>Il-metodu ewlieni l-ieħor ta 'produzzjoni O
2 gass jinvolvi li tgħaddi fluss ta 'arja nadifa u niexfa minn sodda waħda ta' par ta 'passaġġi molekulari identiċi taż-żeoliti, li jassorbi n-nitroġenu u jagħti fluss tal-gass li huwa 90% sa 93% o
2. Fl-istess ħin, il-gass tan-nitroġenu jinħeles mis-sodda taż-żeoliti l-oħra saturata għan-nitroġenu, billi tnaqqas il-pressjoni operattiva tal-kamra u tiddevja l-parti tal-gass tal-ossiġnu mis-sodda tal-produttur minn ġo fih, fid-direzzjoni ta 'wara tal-fluss. Wara ħin ta 'ċiklu stabbilit it-tħaddim taż-żewġ sodod huwa interkambjat, u b'hekk jippermetti li provvista kontinwa ta' ossiġenu gassuż jiġi ppumpjat permezz ta 'pipeline. Dan huwa magħruf bħala adsorbiment ta 'tbandil tal-pressjoni. Il-gass ta 'l-ossiġnu huwa dejjem aktar miksub minn dawn it-teknoloġiji mhux kriġeniċi (ara wkoll l-adsorbiment relatat ma' swing tal-vakwu).</v>
      </c>
    </row>
    <row r="33" ht="15.75" customHeight="1">
      <c r="A33" s="2" t="s">
        <v>33</v>
      </c>
      <c r="B33" s="2" t="str">
        <f>IFERROR(__xludf.DUMMYFUNCTION("GOOGLETRANSLATE(A33, ""en"", ""mt"")"),"Century City huwa eżempju ta 'distrett li jappartjeni għal liema belt?")</f>
        <v>Century City huwa eżempju ta 'distrett li jappartjeni għal liema belt?</v>
      </c>
    </row>
    <row r="34" ht="15.75" customHeight="1">
      <c r="A34" s="2" t="s">
        <v>34</v>
      </c>
      <c r="B34" s="2" t="str">
        <f>IFERROR(__xludf.DUMMYFUNCTION("GOOGLETRANSLATE(A34, ""en"", ""mt"")"),"Kemm missles kienu fis-sit tat-test nukleari?")</f>
        <v>Kemm missles kienu fis-sit tat-test nukleari?</v>
      </c>
    </row>
    <row r="35" ht="15.75" customHeight="1">
      <c r="A35" s="2" t="s">
        <v>35</v>
      </c>
      <c r="B35" s="2" t="str">
        <f>IFERROR(__xludf.DUMMYFUNCTION("GOOGLETRANSLATE(A35, ""en"", ""mt"")")," Meta bdiet l-età tal-imperjalizmu?")</f>
        <v> Meta bdiet l-età tal-imperjalizmu?</v>
      </c>
    </row>
    <row r="36" ht="15.75" customHeight="1">
      <c r="A36" s="2" t="s">
        <v>36</v>
      </c>
      <c r="B36" s="2" t="str">
        <f>IFERROR(__xludf.DUMMYFUNCTION("GOOGLETRANSLATE(A36, ""en"", ""mt"")"),"bdiewa tas-sojja")</f>
        <v>bdiewa tas-sojja</v>
      </c>
    </row>
    <row r="37" ht="15.75" customHeight="1">
      <c r="A37" s="2" t="s">
        <v>37</v>
      </c>
      <c r="B37" s="2" t="str">
        <f>IFERROR(__xludf.DUMMYFUNCTION("GOOGLETRANSLATE(A37, ""en"", ""mt"")"),"Liema bini mis-seklu 19 inqered bejn is-snin 30 u 1940?")</f>
        <v>Liema bini mis-seklu 19 inqered bejn is-snin 30 u 1940?</v>
      </c>
    </row>
    <row r="38" ht="15.75" customHeight="1">
      <c r="A38" s="2" t="s">
        <v>38</v>
      </c>
      <c r="B38" s="2" t="str">
        <f>IFERROR(__xludf.DUMMYFUNCTION("GOOGLETRANSLATE(A38, ""en"", ""mt"")"),"X'inhuma ż-żewġ gruppi ewlenin ta 'l-Ażja-Amerikani li jgħixu fil-viċinat ta' Fresno West Side?")</f>
        <v>X'inhuma ż-żewġ gruppi ewlenin ta 'l-Ażja-Amerikani li jgħixu fil-viċinat ta' Fresno West Side?</v>
      </c>
    </row>
    <row r="39" ht="15.75" customHeight="1">
      <c r="A39" s="2" t="s">
        <v>39</v>
      </c>
      <c r="B39" s="2" t="str">
        <f>IFERROR(__xludf.DUMMYFUNCTION("GOOGLETRANSLATE(A39, ""en"", ""mt"")"),"Liema sena mar il-każ quddiem il-Qorti Suprema?")</f>
        <v>Liema sena mar il-każ quddiem il-Qorti Suprema?</v>
      </c>
    </row>
    <row r="40" ht="15.75" customHeight="1">
      <c r="A40" s="2" t="s">
        <v>40</v>
      </c>
      <c r="B40" s="2" t="str">
        <f>IFERROR(__xludf.DUMMYFUNCTION("GOOGLETRANSLATE(A40, ""en"", ""mt"")"),"Meta ġie mibni Baryczko?")</f>
        <v>Meta ġie mibni Baryczko?</v>
      </c>
    </row>
    <row r="41" ht="15.75" customHeight="1">
      <c r="A41" s="2" t="s">
        <v>41</v>
      </c>
      <c r="B41" s="2" t="str">
        <f>IFERROR(__xludf.DUMMYFUNCTION("GOOGLETRANSLATE(A41, ""en"", ""mt"")"),"In-Normanni kellhom effett profond fuq il-kultura u l-istorja Irlandiża wara l-invażjoni tagħhom fil-Bajja ta 'Bannow fl-1169. Inizjalment in-Normanni żammew kultura u etniċità distinta. Madankollu, maż-żmien, huma daħlu fil-kultura Irlandiża sal-punt li "&amp;"ntqal li saru ""aktar Irlandiżi mill-Irlandiżi nfushom."" In-Normanni stabbilixxew l-aktar f'żona fil-lvant ta 'l-Irlanda, aktar tard magħrufa bħala Pale, u bnew ukoll bosta kastelli u insedjamenti fini, inklużi Trim Castle u Dublin Castle. Iż-żewġ kultur"&amp;"i mħallta, jissellfu mil-lingwa, il-kultura u l-prospetti ta 'xulxin. Id-dixxendenti Norman illum jistgħu jiġu rikonoxxuti mill-kunjomijiet tagħhom. Ismijiet bħall-Franċiż, (de) Roche, Devereux, D'Arcy, Treacy u Lacy huma partikolarment komuni fix-Xlokk t"&amp;"a 'l-Irlanda, speċjalment fil-parti tan-nofsinhar tal-Kontea ta' Wexford fejn ġew stabbiliti l-ewwel insedjamenti Norman. Ismijiet Norman oħra bħal furlong jiddominaw hemmhekk. Isem komuni ieħor Norman-Irlandiż kien Morell (Murrell) derivat mill-isem Norm"&amp;"an Franċiż Morel. Ismijiet oħra li jibdew bi Fitz (min-Norman għat-tifel) jindikaw antenati Norman. Dawn kienu jinkludu dinastija Fitzgerald, Fitzgibbons (Gibbons), Fitzmaurice. Familji oħra li għandhom kunjomijiet bħal Barry (de Barra) u de búrca (Burke)"&amp;" huma wkoll ta 'estrazzjoni Norman.")</f>
        <v>In-Normanni kellhom effett profond fuq il-kultura u l-istorja Irlandiża wara l-invażjoni tagħhom fil-Bajja ta 'Bannow fl-1169. Inizjalment in-Normanni żammew kultura u etniċità distinta. Madankollu, maż-żmien, huma daħlu fil-kultura Irlandiża sal-punt li ntqal li saru "aktar Irlandiżi mill-Irlandiżi nfushom." In-Normanni stabbilixxew l-aktar f'żona fil-lvant ta 'l-Irlanda, aktar tard magħrufa bħala Pale, u bnew ukoll bosta kastelli u insedjamenti fini, inklużi Trim Castle u Dublin Castle. Iż-żewġ kulturi mħallta, jissellfu mil-lingwa, il-kultura u l-prospetti ta 'xulxin. Id-dixxendenti Norman illum jistgħu jiġu rikonoxxuti mill-kunjomijiet tagħhom. Ismijiet bħall-Franċiż, (de) Roche, Devereux, D'Arcy, Treacy u Lacy huma partikolarment komuni fix-Xlokk ta 'l-Irlanda, speċjalment fil-parti tan-nofsinhar tal-Kontea ta' Wexford fejn ġew stabbiliti l-ewwel insedjamenti Norman. Ismijiet Norman oħra bħal furlong jiddominaw hemmhekk. Isem komuni ieħor Norman-Irlandiż kien Morell (Murrell) derivat mill-isem Norman Franċiż Morel. Ismijiet oħra li jibdew bi Fitz (min-Norman għat-tifel) jindikaw antenati Norman. Dawn kienu jinkludu dinastija Fitzgerald, Fitzgibbons (Gibbons), Fitzmaurice. Familji oħra li għandhom kunjomijiet bħal Barry (de Barra) u de búrca (Burke) huma wkoll ta 'estrazzjoni Norman.</v>
      </c>
    </row>
    <row r="42" ht="15.75" customHeight="1">
      <c r="A42" s="2" t="s">
        <v>42</v>
      </c>
      <c r="B42" s="2" t="str">
        <f>IFERROR(__xludf.DUMMYFUNCTION("GOOGLETRANSLATE(A42, ""en"", ""mt"")"),"Liema ċensiment wera n-Nofsinhar ta 'California bħala li għandu popolazzjoni ta' 26,860, 010?")</f>
        <v>Liema ċensiment wera n-Nofsinhar ta 'California bħala li għandu popolazzjoni ta' 26,860, 010?</v>
      </c>
    </row>
    <row r="43" ht="15.75" customHeight="1">
      <c r="A43" s="2" t="s">
        <v>43</v>
      </c>
      <c r="B43" s="2" t="str">
        <f>IFERROR(__xludf.DUMMYFUNCTION("GOOGLETRANSLATE(A43, ""en"", ""mt"")"),"Kumplessità tal-ħin tal-agħar każ")</f>
        <v>Kumplessità tal-ħin tal-agħar każ</v>
      </c>
    </row>
    <row r="44" ht="15.75" customHeight="1">
      <c r="A44" s="2" t="s">
        <v>44</v>
      </c>
      <c r="B44" s="2" t="str">
        <f>IFERROR(__xludf.DUMMYFUNCTION("GOOGLETRANSLATE(A44, ""en"", ""mt"")"),"Kemm ta 'Forbes donazzjoni lill-karità fl-2009?")</f>
        <v>Kemm ta 'Forbes donazzjoni lill-karità fl-2009?</v>
      </c>
    </row>
    <row r="45" ht="15.75" customHeight="1">
      <c r="A45" s="2" t="s">
        <v>45</v>
      </c>
      <c r="B45" s="2" t="str">
        <f>IFERROR(__xludf.DUMMYFUNCTION("GOOGLETRANSLATE(A45, ""en"", ""mt"")"),"Mill-inqas 40%")</f>
        <v>Mill-inqas 40%</v>
      </c>
    </row>
    <row r="46" ht="15.75" customHeight="1">
      <c r="A46" s="2" t="s">
        <v>46</v>
      </c>
      <c r="B46" s="2" t="str">
        <f>IFERROR(__xludf.DUMMYFUNCTION("GOOGLETRANSLATE(A46, ""en"", ""mt"")"),"Min l-ewwel wera l-postulat ta 'Bertrand?")</f>
        <v>Min l-ewwel wera l-postulat ta 'Bertrand?</v>
      </c>
    </row>
    <row r="47" ht="15.75" customHeight="1">
      <c r="A47" s="2" t="s">
        <v>47</v>
      </c>
      <c r="B47" s="2" t="str">
        <f>IFERROR(__xludf.DUMMYFUNCTION("GOOGLETRANSLATE(A47, ""en"", ""mt"")"),"Kien hemm ħafna Ċiniżi b'liema status mhux mistenni?")</f>
        <v>Kien hemm ħafna Ċiniżi b'liema status mhux mistenni?</v>
      </c>
    </row>
    <row r="48" ht="15.75" customHeight="1">
      <c r="A48" s="2" t="s">
        <v>48</v>
      </c>
      <c r="B48" s="2" t="str">
        <f>IFERROR(__xludf.DUMMYFUNCTION("GOOGLETRANSLATE(A48, ""en"", ""mt"")"),"Cork City")</f>
        <v>Cork City</v>
      </c>
    </row>
    <row r="49" ht="15.75" customHeight="1">
      <c r="A49" s="2" t="s">
        <v>49</v>
      </c>
      <c r="B49" s="2" t="str">
        <f>IFERROR(__xludf.DUMMYFUNCTION("GOOGLETRANSLATE(A49, ""en"", ""mt"")"),"Partit tal-Ħaddiema Magħquda Pollakka")</f>
        <v>Partit tal-Ħaddiema Magħquda Pollakka</v>
      </c>
    </row>
    <row r="50" ht="15.75" customHeight="1">
      <c r="A50" s="2" t="s">
        <v>50</v>
      </c>
      <c r="B50" s="2" t="str">
        <f>IFERROR(__xludf.DUMMYFUNCTION("GOOGLETRANSLATE(A50, ""en"", ""mt"")"),"Liema grupp speċifikament oppona l-Huguenots?")</f>
        <v>Liema grupp speċifikament oppona l-Huguenots?</v>
      </c>
    </row>
    <row r="51" ht="15.75" customHeight="1">
      <c r="A51" s="2" t="s">
        <v>51</v>
      </c>
      <c r="B51" s="2" t="str">
        <f>IFERROR(__xludf.DUMMYFUNCTION("GOOGLETRANSLATE(A51, ""en"", ""mt"")"),"Liema artikolu għamel dispożizzjonijiet għal konċentrazzjonijiet jew għaqdiet u l-abbuż ta 'pożizzjoni dominanti mill-kumpaniji?")</f>
        <v>Liema artikolu għamel dispożizzjonijiet għal konċentrazzjonijiet jew għaqdiet u l-abbuż ta 'pożizzjoni dominanti mill-kumpaniji?</v>
      </c>
    </row>
    <row r="52" ht="15.75" customHeight="1">
      <c r="A52" s="2" t="s">
        <v>52</v>
      </c>
      <c r="B52" s="2" t="str">
        <f>IFERROR(__xludf.DUMMYFUNCTION("GOOGLETRANSLATE(A52, ""en"", ""mt"")")," Kif wieħed joħloq imperu permezz ta 'non-imperjaliżmu?")</f>
        <v> Kif wieħed joħloq imperu permezz ta 'non-imperjaliżmu?</v>
      </c>
    </row>
    <row r="53" ht="15.75" customHeight="1">
      <c r="A53" s="2" t="s">
        <v>53</v>
      </c>
      <c r="B53" s="2" t="str">
        <f>IFERROR(__xludf.DUMMYFUNCTION("GOOGLETRANSLATE(A53, ""en"", ""mt"")"),"Dak li ġie ppruvat faċilment dwar il-foresta tropikali")</f>
        <v>Dak li ġie ppruvat faċilment dwar il-foresta tropikali</v>
      </c>
    </row>
    <row r="54" ht="15.75" customHeight="1">
      <c r="A54" s="2" t="s">
        <v>54</v>
      </c>
      <c r="B54" s="2" t="str">
        <f>IFERROR(__xludf.DUMMYFUNCTION("GOOGLETRANSLATE(A54, ""en"", ""mt"")"),"Min għadda l-Att tal-Iskozja tal-1988?")</f>
        <v>Min għadda l-Att tal-Iskozja tal-1988?</v>
      </c>
    </row>
    <row r="55" ht="15.75" customHeight="1">
      <c r="A55" s="2" t="s">
        <v>55</v>
      </c>
      <c r="B55" s="2" t="str">
        <f>IFERROR(__xludf.DUMMYFUNCTION("GOOGLETRANSLATE(A55, ""en"", ""mt"")"),"L-ikbar divisor komuni tagħhom huwa wieħed")</f>
        <v>L-ikbar divisor komuni tagħhom huwa wieħed</v>
      </c>
    </row>
    <row r="56" ht="15.75" customHeight="1">
      <c r="A56" s="2" t="s">
        <v>56</v>
      </c>
      <c r="B56" s="2" t="str">
        <f>IFERROR(__xludf.DUMMYFUNCTION("GOOGLETRANSLATE(A56, ""en"", ""mt"")"),"X'inhu l-Hawaii magħmul minn dak li kien jeżisti sa minn żmien Cambrian?")</f>
        <v>X'inhu l-Hawaii magħmul minn dak li kien jeżisti sa minn żmien Cambrian?</v>
      </c>
    </row>
    <row r="57" ht="15.75" customHeight="1">
      <c r="A57" s="2" t="s">
        <v>57</v>
      </c>
      <c r="B57" s="2" t="str">
        <f>IFERROR(__xludf.DUMMYFUNCTION("GOOGLETRANSLATE(A57, ""en"", ""mt"")"),"Xi jfisser il-fwar iġġenerat minn drive tal-enerġija awżiljarju?")</f>
        <v>Xi jfisser il-fwar iġġenerat minn drive tal-enerġija awżiljarju?</v>
      </c>
    </row>
    <row r="58" ht="15.75" customHeight="1">
      <c r="A58" s="2" t="s">
        <v>58</v>
      </c>
      <c r="B58" s="2" t="str">
        <f>IFERROR(__xludf.DUMMYFUNCTION("GOOGLETRANSLATE(A58, ""en"", ""mt"")"),"Valutazzjonijiet xierqa ġraw fi proġett tal-gvern minħabba dak mis-sid?")</f>
        <v>Valutazzjonijiet xierqa ġraw fi proġett tal-gvern minħabba dak mis-sid?</v>
      </c>
    </row>
    <row r="59" ht="15.75" customHeight="1">
      <c r="A59" s="2" t="s">
        <v>59</v>
      </c>
      <c r="B59" s="2" t="str">
        <f>IFERROR(__xludf.DUMMYFUNCTION("GOOGLETRANSLATE(A59, ""en"", ""mt"")"),"L-azzjonijiet kollha")</f>
        <v>L-azzjonijiet kollha</v>
      </c>
    </row>
    <row r="60" ht="15.75" customHeight="1">
      <c r="A60" s="2" t="s">
        <v>60</v>
      </c>
      <c r="B60" s="2" t="str">
        <f>IFERROR(__xludf.DUMMYFUNCTION("GOOGLETRANSLATE(A60, ""en"", ""mt"")"),"Kummissarji")</f>
        <v>Kummissarji</v>
      </c>
    </row>
    <row r="61" ht="15.75" customHeight="1">
      <c r="A61" s="2" t="s">
        <v>61</v>
      </c>
      <c r="B61" s="2" t="str">
        <f>IFERROR(__xludf.DUMMYFUNCTION("GOOGLETRANSLATE(A61, ""en"", ""mt"")"),"X'tippreżenta Stiglitz fl-2008 rigward l-inugwaljanza globali?")</f>
        <v>X'tippreżenta Stiglitz fl-2008 rigward l-inugwaljanza globali?</v>
      </c>
    </row>
    <row r="62" ht="15.75" customHeight="1">
      <c r="A62" s="2" t="s">
        <v>62</v>
      </c>
      <c r="B62" s="2" t="str">
        <f>IFERROR(__xludf.DUMMYFUNCTION("GOOGLETRANSLATE(A62, ""en"", ""mt"")"),"Il-magni tal-fwar tat-tip tal-pistuni reċiprokanti baqgħu s-sors dominanti ta 'enerġija sal-bidu tas-seklu 20, meta l-avvanzi fid-disinn ta' muturi elettriċi u magni ta 'kombustjoni interna rriżultaw gradwalment fis-sostituzzjoni ta' magni tal-fwar reċipr"&amp;"okanti (pistuni) f'użu kummerċjali, u l-axxendenza tal-fwar Turbini fil-ġenerazzjoni tal-enerġija. Meta wieħed iqis li l-maġġoranza kbira tal-ġenerazzjoni elettrika dinjija hija prodotta minn magni tal-fwar tat-tip turbina, l- ""età tal-fwar"" qed tkompli"&amp;" b'livelli ta 'enerġija lil hinn minn dawk tad-dawra tas-seklu 19.")</f>
        <v>Il-magni tal-fwar tat-tip tal-pistuni reċiprokanti baqgħu s-sors dominanti ta 'enerġija sal-bidu tas-seklu 20, meta l-avvanzi fid-disinn ta' muturi elettriċi u magni ta 'kombustjoni interna rriżultaw gradwalment fis-sostituzzjoni ta' magni tal-fwar reċiprokanti (pistuni) f'użu kummerċjali, u l-axxendenza tal-fwar Turbini fil-ġenerazzjoni tal-enerġija. Meta wieħed iqis li l-maġġoranza kbira tal-ġenerazzjoni elettrika dinjija hija prodotta minn magni tal-fwar tat-tip turbina, l- "età tal-fwar" qed tkompli b'livelli ta 'enerġija lil hinn minn dawk tad-dawra tas-seklu 19.</v>
      </c>
    </row>
    <row r="63" ht="15.75" customHeight="1">
      <c r="A63" s="2" t="s">
        <v>63</v>
      </c>
      <c r="B63" s="2" t="str">
        <f>IFERROR(__xludf.DUMMYFUNCTION("GOOGLETRANSLATE(A63, ""en"", ""mt"")"),"Liema distrett tan-negozju ewlieni huwa fiċ-ċentru ta ’Los Angeles innifsu?")</f>
        <v>Liema distrett tan-negozju ewlieni huwa fiċ-ċentru ta ’Los Angeles innifsu?</v>
      </c>
    </row>
    <row r="64" ht="15.75" customHeight="1">
      <c r="A64" s="2" t="s">
        <v>64</v>
      </c>
      <c r="B64" s="2" t="str">
        <f>IFERROR(__xludf.DUMMYFUNCTION("GOOGLETRANSLATE(A64, ""en"", ""mt"")"),"Korpi tqal li jaqgħu")</f>
        <v>Korpi tqal li jaqgħu</v>
      </c>
    </row>
    <row r="65" ht="15.75" customHeight="1">
      <c r="A65" s="2" t="s">
        <v>65</v>
      </c>
      <c r="B65" s="2" t="str">
        <f>IFERROR(__xludf.DUMMYFUNCTION("GOOGLETRANSLATE(A65, ""en"", ""mt"")"),"Mexxejja ""apostati"" ta 'stati Musulmani,")</f>
        <v>Mexxejja "apostati" ta 'stati Musulmani,</v>
      </c>
    </row>
    <row r="66" ht="15.75" customHeight="1">
      <c r="A66" s="2" t="s">
        <v>66</v>
      </c>
      <c r="B66" s="2" t="str">
        <f>IFERROR(__xludf.DUMMYFUNCTION("GOOGLETRANSLATE(A66, ""en"", ""mt"")")," X'ġara lill-Kumpanija tal-Kummerċ tal-Indja tal-Lvant fl-1766?")</f>
        <v> X'ġara lill-Kumpanija tal-Kummerċ tal-Indja tal-Lvant fl-1766?</v>
      </c>
    </row>
    <row r="67" ht="15.75" customHeight="1">
      <c r="A67" s="2" t="s">
        <v>67</v>
      </c>
      <c r="B67" s="2" t="str">
        <f>IFERROR(__xludf.DUMMYFUNCTION("GOOGLETRANSLATE(A67, ""en"", ""mt"")"),"L-università tal-kulleġġ hija maqsuma f'kemm diviżjonijiet?")</f>
        <v>L-università tal-kulleġġ hija maqsuma f'kemm diviżjonijiet?</v>
      </c>
    </row>
    <row r="68" ht="15.75" customHeight="1">
      <c r="A68" s="2" t="s">
        <v>68</v>
      </c>
      <c r="B68" s="2" t="str">
        <f>IFERROR(__xludf.DUMMYFUNCTION("GOOGLETRANSLATE(A68, ""en"", ""mt"")"),"Librerija Widener")</f>
        <v>Librerija Widener</v>
      </c>
    </row>
    <row r="69" ht="15.75" customHeight="1">
      <c r="A69" s="2" t="s">
        <v>69</v>
      </c>
      <c r="B69" s="2" t="str">
        <f>IFERROR(__xludf.DUMMYFUNCTION("GOOGLETRANSLATE(A69, ""en"", ""mt"")"),"Il-Karta tad-Drittijiet Fundamentali tal-Unjoni Ewropea")</f>
        <v>Il-Karta tad-Drittijiet Fundamentali tal-Unjoni Ewropea</v>
      </c>
    </row>
    <row r="70" ht="15.75" customHeight="1">
      <c r="A70" s="2" t="s">
        <v>70</v>
      </c>
      <c r="B70" s="2" t="str">
        <f>IFERROR(__xludf.DUMMYFUNCTION("GOOGLETRANSLATE(A70, ""en"", ""mt"")"),"Meta Jay Berwanger rebaħ it-Trofew Maynard?")</f>
        <v>Meta Jay Berwanger rebaħ it-Trofew Maynard?</v>
      </c>
    </row>
    <row r="71" ht="15.75" customHeight="1">
      <c r="A71" s="2" t="s">
        <v>71</v>
      </c>
      <c r="B71" s="2" t="str">
        <f>IFERROR(__xludf.DUMMYFUNCTION("GOOGLETRANSLATE(A71, ""en"", ""mt"")"),"Fergħa Ġudizzjarja")</f>
        <v>Fergħa Ġudizzjarja</v>
      </c>
    </row>
    <row r="72" ht="15.75" customHeight="1">
      <c r="A72" s="2" t="s">
        <v>72</v>
      </c>
      <c r="B72" s="2" t="str">
        <f>IFERROR(__xludf.DUMMYFUNCTION("GOOGLETRANSLATE(A72, ""en"", ""mt"")"),"It-tielet l-iktar abbundanti")</f>
        <v>It-tielet l-iktar abbundanti</v>
      </c>
    </row>
    <row r="73" ht="15.75" customHeight="1">
      <c r="A73" s="2" t="s">
        <v>73</v>
      </c>
      <c r="B73" s="2" t="str">
        <f>IFERROR(__xludf.DUMMYFUNCTION("GOOGLETRANSLATE(A73, ""en"", ""mt"")"),"Il-plateau tal-moraine sempliċi għandu biss ftit għadajjar naturali u artifiċjali u wkoll gruppi ta 'fosos tat-tafal. Ix-xejra tat-terrazzi tal-vistula hija asimmetrika. In-naħa tax-xellug tikkonsisti prinċipalment f'żewġ livelli: l-ogħla wieħed fih terra"&amp;"zzi mgħarrqa ta 'qabel u l-inqas waħda mit-terrazzin tal-pjanura tal-għargħar. It-terrazzin mgħarrqa kontemporanju għad għandu widien viżibbli u depressjonijiet tal-art bis-sistemi tal-ilma li ġejjin mill-Vistula Old - Riverbed. Huma jikkonsistu minn flus"&amp;"si u lagi li għadhom pjuttost naturali kif ukoll ix-xejra tal-fosos tad-drenaġġ. In-naħa tal-lemin ta 'Varsavja għandha xejra differenti ta' forom ġeomorfoloġiċi. Hemm diversi livelli tat-terrazzi tal-vistula sempliċi (mgħarrqa kif ukoll ta 'qabel mgħarrq"&amp;"a) u parti żgħira biss u mhux daqshekk viżibbli tal-moraine. Ramel Eoljan b'numru ta 'duni maqsuma minn swamps tal-pit jew għadajjar żgħar ikopru l-ogħla terrazzin. Dawn huma prinċipalment żoni forestali (foresta tal-arżnu).")</f>
        <v>Il-plateau tal-moraine sempliċi għandu biss ftit għadajjar naturali u artifiċjali u wkoll gruppi ta 'fosos tat-tafal. Ix-xejra tat-terrazzi tal-vistula hija asimmetrika. In-naħa tax-xellug tikkonsisti prinċipalment f'żewġ livelli: l-ogħla wieħed fih terrazzi mgħarrqa ta 'qabel u l-inqas waħda mit-terrazzin tal-pjanura tal-għargħar. It-terrazzin mgħarrqa kontemporanju għad għandu widien viżibbli u depressjonijiet tal-art bis-sistemi tal-ilma li ġejjin mill-Vistula Old - Riverbed. Huma jikkonsistu minn flussi u lagi li għadhom pjuttost naturali kif ukoll ix-xejra tal-fosos tad-drenaġġ. In-naħa tal-lemin ta 'Varsavja għandha xejra differenti ta' forom ġeomorfoloġiċi. Hemm diversi livelli tat-terrazzi tal-vistula sempliċi (mgħarrqa kif ukoll ta 'qabel mgħarrqa) u parti żgħira biss u mhux daqshekk viżibbli tal-moraine. Ramel Eoljan b'numru ta 'duni maqsuma minn swamps tal-pit jew għadajjar żgħar ikopru l-ogħla terrazzin. Dawn huma prinċipalment żoni forestali (foresta tal-arżnu).</v>
      </c>
    </row>
    <row r="74" ht="15.75" customHeight="1">
      <c r="A74" s="2" t="s">
        <v>74</v>
      </c>
      <c r="B74" s="2" t="str">
        <f>IFERROR(__xludf.DUMMYFUNCTION("GOOGLETRANSLATE(A74, ""en"", ""mt"")"),"Liema kostruzzjoni soċjali refuġjati Huguenot fil-prattika ta 'Canterbury?")</f>
        <v>Liema kostruzzjoni soċjali refuġjati Huguenot fil-prattika ta 'Canterbury?</v>
      </c>
    </row>
    <row r="75" ht="15.75" customHeight="1">
      <c r="A75" s="2" t="s">
        <v>75</v>
      </c>
      <c r="B75" s="2" t="str">
        <f>IFERROR(__xludf.DUMMYFUNCTION("GOOGLETRANSLATE(A75, ""en"", ""mt"")"),"Presburger")</f>
        <v>Presburger</v>
      </c>
    </row>
    <row r="76" ht="15.75" customHeight="1">
      <c r="A76" s="2" t="s">
        <v>76</v>
      </c>
      <c r="B76" s="2" t="str">
        <f>IFERROR(__xludf.DUMMYFUNCTION("GOOGLETRANSLATE(A76, ""en"", ""mt"")"),"40 irġiel")</f>
        <v>40 irġiel</v>
      </c>
    </row>
    <row r="77" ht="15.75" customHeight="1">
      <c r="A77" s="2" t="s">
        <v>77</v>
      </c>
      <c r="B77" s="2" t="str">
        <f>IFERROR(__xludf.DUMMYFUNCTION("GOOGLETRANSLATE(A77, ""en"", ""mt"")"),"sistema magħluqa ta 'partiċelli")</f>
        <v>sistema magħluqa ta 'partiċelli</v>
      </c>
    </row>
    <row r="78" ht="15.75" customHeight="1">
      <c r="A78" s="2" t="s">
        <v>78</v>
      </c>
      <c r="B78" s="2" t="str">
        <f>IFERROR(__xludf.DUMMYFUNCTION("GOOGLETRANSLATE(A78, ""en"", ""mt"")"),"Għaliex il-gvern irażżan lilu nnifsu meta jidħol fid-diżubbidjenza?")</f>
        <v>Għaliex il-gvern irażżan lilu nnifsu meta jidħol fid-diżubbidjenza?</v>
      </c>
    </row>
    <row r="79" ht="15.75" customHeight="1">
      <c r="A79" s="2" t="s">
        <v>79</v>
      </c>
      <c r="B79" s="2" t="str">
        <f>IFERROR(__xludf.DUMMYFUNCTION("GOOGLETRANSLATE(A79, ""en"", ""mt"")"),"William III ta 'Orange")</f>
        <v>William III ta 'Orange</v>
      </c>
    </row>
    <row r="80" ht="15.75" customHeight="1">
      <c r="A80" s="2" t="s">
        <v>80</v>
      </c>
      <c r="B80" s="2" t="str">
        <f>IFERROR(__xludf.DUMMYFUNCTION("GOOGLETRANSLATE(A80, ""en"", ""mt"")"),"Mudelli molekulari marbuta mal-patoġeni jew PAMPs")</f>
        <v>Mudelli molekulari marbuta mal-patoġeni jew PAMPs</v>
      </c>
    </row>
    <row r="81" ht="15.75" customHeight="1">
      <c r="A81" s="2" t="s">
        <v>81</v>
      </c>
      <c r="B81" s="2" t="str">
        <f>IFERROR(__xludf.DUMMYFUNCTION("GOOGLETRANSLATE(A81, ""en"", ""mt"")"),"1696")</f>
        <v>1696</v>
      </c>
    </row>
    <row r="82" ht="15.75" customHeight="1">
      <c r="A82" s="2" t="s">
        <v>82</v>
      </c>
      <c r="B82" s="2" t="str">
        <f>IFERROR(__xludf.DUMMYFUNCTION("GOOGLETRANSLATE(A82, ""en"", ""mt"")"),"Fil-biċċa l-kbira tal-magni tal-pistuni reċiprokanti, il-fwar ireġġa 'lura d-direzzjoni tal-fluss tiegħu f'kull puplesija (kontro-fluss), li jidħol u jeżawrixxi miċ-ċilindru mill-istess port. Iċ-ċiklu komplet tal-magna jokkupa rotazzjoni waħda tal-krank u"&amp;" żewġ puplesiji tal-pistuni; Iċ-ċiklu jinkludi wkoll erba 'avvenimenti - ammissjoni, espansjoni, exhaust, kompressjoni. Dawn l-avvenimenti huma kkontrollati minn valvi li spiss jaħdmu ġewwa sider tal-fwar biswit iċ-ċilindru; Il-valvi jqassmu l-fwar billi "&amp;"jiftħu u jagħlqu l-portijiet tal-fwar li jikkomunikaw mat-tarf (i) taċ-ċilindru u huma mmexxija mill-irkaptu tal-valv, li minnhom hemm ħafna tipi. [Ċitazzjoni meħtieġa]")</f>
        <v>Fil-biċċa l-kbira tal-magni tal-pistuni reċiprokanti, il-fwar ireġġa 'lura d-direzzjoni tal-fluss tiegħu f'kull puplesija (kontro-fluss), li jidħol u jeżawrixxi miċ-ċilindru mill-istess port. Iċ-ċiklu komplet tal-magna jokkupa rotazzjoni waħda tal-krank u żewġ puplesiji tal-pistuni; Iċ-ċiklu jinkludi wkoll erba 'avvenimenti - ammissjoni, espansjoni, exhaust, kompressjoni. Dawn l-avvenimenti huma kkontrollati minn valvi li spiss jaħdmu ġewwa sider tal-fwar biswit iċ-ċilindru; Il-valvi jqassmu l-fwar billi jiftħu u jagħlqu l-portijiet tal-fwar li jikkomunikaw mat-tarf (i) taċ-ċilindru u huma mmexxija mill-irkaptu tal-valv, li minnhom hemm ħafna tipi. [Ċitazzjoni meħtieġa]</v>
      </c>
    </row>
    <row r="83" ht="15.75" customHeight="1">
      <c r="A83" s="2" t="s">
        <v>83</v>
      </c>
      <c r="B83" s="2" t="str">
        <f>IFERROR(__xludf.DUMMYFUNCTION("GOOGLETRANSLATE(A83, ""en"", ""mt"")"),"Liema kobor kien it-terremot ta 'Northridge tal-1994?")</f>
        <v>Liema kobor kien it-terremot ta 'Northridge tal-1994?</v>
      </c>
    </row>
    <row r="84" ht="15.75" customHeight="1">
      <c r="A84" s="2" t="s">
        <v>84</v>
      </c>
      <c r="B84" s="2" t="str">
        <f>IFERROR(__xludf.DUMMYFUNCTION("GOOGLETRANSLATE(A84, ""en"", ""mt"")"),"Sky + Pvr")</f>
        <v>Sky + Pvr</v>
      </c>
    </row>
    <row r="85" ht="15.75" customHeight="1">
      <c r="A85" s="2" t="s">
        <v>85</v>
      </c>
      <c r="B85" s="2" t="str">
        <f>IFERROR(__xludf.DUMMYFUNCTION("GOOGLETRANSLATE(A85, ""en"", ""mt"")"),"Tmien Presidenti tal-Istati Uniti")</f>
        <v>Tmien Presidenti tal-Istati Uniti</v>
      </c>
    </row>
    <row r="86" ht="15.75" customHeight="1">
      <c r="A86" s="2" t="s">
        <v>86</v>
      </c>
      <c r="B86" s="2" t="str">
        <f>IFERROR(__xludf.DUMMYFUNCTION("GOOGLETRANSLATE(A86, ""en"", ""mt"")"),"Liema kulleġġ tal-università jagħti minorenni akkademiċi f'50 qasam tas-suġġett?")</f>
        <v>Liema kulleġġ tal-università jagħti minorenni akkademiċi f'50 qasam tas-suġġett?</v>
      </c>
    </row>
    <row r="87" ht="15.75" customHeight="1">
      <c r="A87" s="2" t="s">
        <v>87</v>
      </c>
      <c r="B87" s="2" t="str">
        <f>IFERROR(__xludf.DUMMYFUNCTION("GOOGLETRANSLATE(A87, ""en"", ""mt"")")," Fejn ġiet iffurmata l-FLIS?")</f>
        <v> Fejn ġiet iffurmata l-FLIS?</v>
      </c>
    </row>
    <row r="88" ht="15.75" customHeight="1">
      <c r="A88" s="2" t="s">
        <v>88</v>
      </c>
      <c r="B88" s="2" t="str">
        <f>IFERROR(__xludf.DUMMYFUNCTION("GOOGLETRANSLATE(A88, ""en"", ""mt"")"),"Il-prinċipju ta 'inklużjonijiet u komponenti")</f>
        <v>Il-prinċipju ta 'inklużjonijiet u komponenti</v>
      </c>
    </row>
    <row r="89" ht="15.75" customHeight="1">
      <c r="A89" s="2" t="s">
        <v>89</v>
      </c>
      <c r="B89" s="2" t="str">
        <f>IFERROR(__xludf.DUMMYFUNCTION("GOOGLETRANSLATE(A89, ""en"", ""mt"")"),"−2, −4, ...,")</f>
        <v>−2, −4, ...,</v>
      </c>
    </row>
    <row r="90" ht="15.75" customHeight="1">
      <c r="A90" s="2" t="s">
        <v>90</v>
      </c>
      <c r="B90" s="2" t="str">
        <f>IFERROR(__xludf.DUMMYFUNCTION("GOOGLETRANSLATE(A90, ""en"", ""mt"")"),"Liema ekwazzjoni bħalissa tonqos il-fiżika tal-forza.")</f>
        <v>Liema ekwazzjoni bħalissa tonqos il-fiżika tal-forza.</v>
      </c>
    </row>
    <row r="91" ht="15.75" customHeight="1">
      <c r="A91" s="2" t="s">
        <v>91</v>
      </c>
      <c r="B91" s="2" t="str">
        <f>IFERROR(__xludf.DUMMYFUNCTION("GOOGLETRANSLATE(A91, ""en"", ""mt"")"),"Leġislazzjoni Domestika tal-Parlament Skoċċiż")</f>
        <v>Leġislazzjoni Domestika tal-Parlament Skoċċiż</v>
      </c>
    </row>
    <row r="92" ht="15.75" customHeight="1">
      <c r="A92" s="2" t="s">
        <v>92</v>
      </c>
      <c r="B92" s="2" t="str">
        <f>IFERROR(__xludf.DUMMYFUNCTION("GOOGLETRANSLATE(A92, ""en"", ""mt"")"),"ctenes")</f>
        <v>ctenes</v>
      </c>
    </row>
    <row r="93" ht="15.75" customHeight="1">
      <c r="A93" s="2" t="s">
        <v>93</v>
      </c>
      <c r="B93" s="2" t="str">
        <f>IFERROR(__xludf.DUMMYFUNCTION("GOOGLETRANSLATE(A93, ""en"", ""mt"")"),"X'kienet is-sinifikat tar-rebħa fil-Forth Niagara għall-Ingliżi?")</f>
        <v>X'kienet is-sinifikat tar-rebħa fil-Forth Niagara għall-Ingliżi?</v>
      </c>
    </row>
    <row r="94" ht="15.75" customHeight="1">
      <c r="A94" s="2" t="s">
        <v>94</v>
      </c>
      <c r="B94" s="2" t="str">
        <f>IFERROR(__xludf.DUMMYFUNCTION("GOOGLETRANSLATE(A94, ""en"", ""mt"")"),"Min taw lil Ethelred out?")</f>
        <v>Min taw lil Ethelred out?</v>
      </c>
    </row>
    <row r="95" ht="15.75" customHeight="1">
      <c r="A95" s="2" t="s">
        <v>95</v>
      </c>
      <c r="B95" s="2" t="str">
        <f>IFERROR(__xludf.DUMMYFUNCTION("GOOGLETRANSLATE(A95, ""en"", ""mt"")"),"X'inhu aktar diffiċli biex tanalizza f'termini ta 'riżorsi aktar mhux tas-soltu?")</f>
        <v>X'inhu aktar diffiċli biex tanalizza f'termini ta 'riżorsi aktar mhux tas-soltu?</v>
      </c>
    </row>
    <row r="96" ht="15.75" customHeight="1">
      <c r="A96" s="2" t="s">
        <v>96</v>
      </c>
      <c r="B96" s="2" t="str">
        <f>IFERROR(__xludf.DUMMYFUNCTION("GOOGLETRANSLATE(A96, ""en"", ""mt"")"),"Università ta ’Pariġi")</f>
        <v>Università ta ’Pariġi</v>
      </c>
    </row>
    <row r="97" ht="15.75" customHeight="1">
      <c r="A97" s="2" t="s">
        <v>97</v>
      </c>
      <c r="B97" s="2" t="str">
        <f>IFERROR(__xludf.DUMMYFUNCTION("GOOGLETRANSLATE(A97, ""en"", ""mt"")"),"X'Jesponi Organiżmi għall-Infezzjoni?")</f>
        <v>X'Jesponi Organiżmi għall-Infezzjoni?</v>
      </c>
    </row>
    <row r="98" ht="15.75" customHeight="1">
      <c r="A98" s="2" t="s">
        <v>98</v>
      </c>
      <c r="B98" s="2" t="str">
        <f>IFERROR(__xludf.DUMMYFUNCTION("GOOGLETRANSLATE(A98, ""en"", ""mt"")"),"X'kien l-ewwel kabaret letterarju ta 'Varsavja?")</f>
        <v>X'kien l-ewwel kabaret letterarju ta 'Varsavja?</v>
      </c>
    </row>
    <row r="99" ht="15.75" customHeight="1">
      <c r="A99" s="2" t="s">
        <v>99</v>
      </c>
      <c r="B99" s="2" t="str">
        <f>IFERROR(__xludf.DUMMYFUNCTION("GOOGLETRANSLATE(A99, ""en"", ""mt"")"),"Kif tissejjaħ meta jkun hemm tentattiv attiv biex jitwaqqa 'gvern jew sistema ta' twemmin?")</f>
        <v>Kif tissejjaħ meta jkun hemm tentattiv attiv biex jitwaqqa 'gvern jew sistema ta' twemmin?</v>
      </c>
    </row>
    <row r="100" ht="15.75" customHeight="1">
      <c r="A100" s="2" t="s">
        <v>100</v>
      </c>
      <c r="B100" s="2" t="str">
        <f>IFERROR(__xludf.DUMMYFUNCTION("GOOGLETRANSLATE(A100, ""en"", ""mt"")"),"Liema ko-riċettur jirrekluta molekuli ġewwa ċ-ċellula T li huma responsabbli għall-attivazzjoni taċ-ċellula?")</f>
        <v>Liema ko-riċettur jirrekluta molekuli ġewwa ċ-ċellula T li huma responsabbli għall-attivazzjoni taċ-ċellula?</v>
      </c>
    </row>
    <row r="101" ht="15.75" customHeight="1">
      <c r="A101" s="2" t="s">
        <v>101</v>
      </c>
      <c r="B101" s="2" t="str">
        <f>IFERROR(__xludf.DUMMYFUNCTION("GOOGLETRANSLATE(A101, ""en"", ""mt"")"),"X'inhi l-inqas riżorsa kritika fl-analiżi tal-problemi tal-komputazzjoni assoċjati ma 'magni tat-Turing mhux deterministiċi?")</f>
        <v>X'inhi l-inqas riżorsa kritika fl-analiżi tal-problemi tal-komputazzjoni assoċjati ma 'magni tat-Turing mhux deterministiċi?</v>
      </c>
    </row>
    <row r="102" ht="15.75" customHeight="1">
      <c r="A102" s="2" t="s">
        <v>102</v>
      </c>
      <c r="B102" s="2" t="str">
        <f>IFERROR(__xludf.DUMMYFUNCTION("GOOGLETRANSLATE(A102, ""en"", ""mt"")"),"Perjodu ta '4 ġimgħat")</f>
        <v>Perjodu ta '4 ġimgħat</v>
      </c>
    </row>
    <row r="103" ht="15.75" customHeight="1">
      <c r="A103" s="2" t="s">
        <v>103</v>
      </c>
      <c r="B103" s="2" t="str">
        <f>IFERROR(__xludf.DUMMYFUNCTION("GOOGLETRANSLATE(A103, ""en"", ""mt"")"),"Fejn kien l-irvellijiet tal-1857?")</f>
        <v>Fejn kien l-irvellijiet tal-1857?</v>
      </c>
    </row>
    <row r="104" ht="15.75" customHeight="1">
      <c r="A104" s="2" t="s">
        <v>104</v>
      </c>
      <c r="B104" s="2" t="str">
        <f>IFERROR(__xludf.DUMMYFUNCTION("GOOGLETRANSLATE(A104, ""en"", ""mt"")"),"Ħsarat fl-Amerika ta ’Fuq")</f>
        <v>Ħsarat fl-Amerika ta ’Fuq</v>
      </c>
    </row>
    <row r="105" ht="15.75" customHeight="1">
      <c r="A105" s="2" t="s">
        <v>105</v>
      </c>
      <c r="B105" s="2" t="str">
        <f>IFERROR(__xludf.DUMMYFUNCTION("GOOGLETRANSLATE(A105, ""en"", ""mt"")"),"Taħt liema liġi huwa l-valur ta 'ħaddiem mhux determinat?")</f>
        <v>Taħt liema liġi huwa l-valur ta 'ħaddiem mhux determinat?</v>
      </c>
    </row>
    <row r="106" ht="15.75" customHeight="1">
      <c r="A106" s="2" t="s">
        <v>106</v>
      </c>
      <c r="B106" s="2" t="str">
        <f>IFERROR(__xludf.DUMMYFUNCTION("GOOGLETRANSLATE(A106, ""en"", ""mt"")"),"Kemm għandu siġġijiet l-anfiteatru fil-Woodward Park?")</f>
        <v>Kemm għandu siġġijiet l-anfiteatru fil-Woodward Park?</v>
      </c>
    </row>
    <row r="107" ht="15.75" customHeight="1">
      <c r="A107" s="2" t="s">
        <v>107</v>
      </c>
      <c r="B107" s="2" t="str">
        <f>IFERROR(__xludf.DUMMYFUNCTION("GOOGLETRANSLATE(A107, ""en"", ""mt"")"),"L-imperjalizmu Ewropew kien iffokat fuq xiex?")</f>
        <v>L-imperjalizmu Ewropew kien iffokat fuq xiex?</v>
      </c>
    </row>
    <row r="108" ht="15.75" customHeight="1">
      <c r="A108" s="2" t="s">
        <v>108</v>
      </c>
      <c r="B108" s="2" t="str">
        <f>IFERROR(__xludf.DUMMYFUNCTION("GOOGLETRANSLATE(A108, ""en"", ""mt"")"),"Xi jkun fih il-kavità interna?")</f>
        <v>Xi jkun fih il-kavità interna?</v>
      </c>
    </row>
    <row r="109" ht="15.75" customHeight="1">
      <c r="A109" s="2" t="s">
        <v>109</v>
      </c>
      <c r="B109" s="2" t="str">
        <f>IFERROR(__xludf.DUMMYFUNCTION("GOOGLETRANSLATE(A109, ""en"", ""mt"")"),"23 ta ’Ġunju 2005")</f>
        <v>23 ta ’Ġunju 2005</v>
      </c>
    </row>
    <row r="110" ht="15.75" customHeight="1">
      <c r="A110" s="2" t="s">
        <v>110</v>
      </c>
      <c r="B110" s="2" t="str">
        <f>IFERROR(__xludf.DUMMYFUNCTION("GOOGLETRANSLATE(A110, ""en"", ""mt"")"),"X'inhuma ismijiet alternattivi oħra għall-Gwerra Franċiża u Indjana?")</f>
        <v>X'inhuma ismijiet alternattivi oħra għall-Gwerra Franċiża u Indjana?</v>
      </c>
    </row>
    <row r="111" ht="15.75" customHeight="1">
      <c r="A111" s="2" t="s">
        <v>111</v>
      </c>
      <c r="B111" s="2" t="str">
        <f>IFERROR(__xludf.DUMMYFUNCTION("GOOGLETRANSLATE(A111, ""en"", ""mt"")"),"individwi diġà sinjifikanti")</f>
        <v>individwi diġà sinjifikanti</v>
      </c>
    </row>
    <row r="112" ht="15.75" customHeight="1">
      <c r="A112" s="2" t="s">
        <v>112</v>
      </c>
      <c r="B112" s="2" t="str">
        <f>IFERROR(__xludf.DUMMYFUNCTION("GOOGLETRANSLATE(A112, ""en"", ""mt"")"),"Fejn ivvjaġġa l-ilma fuq in-naħa tal-Lvant tal-Baċin tal-Amażonja wara l-qasma?")</f>
        <v>Fejn ivvjaġġa l-ilma fuq in-naħa tal-Lvant tal-Baċin tal-Amażonja wara l-qasma?</v>
      </c>
    </row>
    <row r="113" ht="15.75" customHeight="1">
      <c r="A113" s="2" t="s">
        <v>113</v>
      </c>
      <c r="B113" s="2" t="str">
        <f>IFERROR(__xludf.DUMMYFUNCTION("GOOGLETRANSLATE(A113, ""en"", ""mt"")"),"L-oġġetti kostitwenti jonqsu biss fir-rigward ta 'xiex?")</f>
        <v>L-oġġetti kostitwenti jonqsu biss fir-rigward ta 'xiex?</v>
      </c>
    </row>
    <row r="114" ht="15.75" customHeight="1">
      <c r="A114" s="2" t="s">
        <v>114</v>
      </c>
      <c r="B114" s="2" t="str">
        <f>IFERROR(__xludf.DUMMYFUNCTION("GOOGLETRANSLATE(A114, ""en"", ""mt"")"),"Liema deċiżjoni ta 'kodifikazzjoni teħtieġ li tittieħed sabiex tiddetermina definizzjoni eżatta tal-lingwa formali?")</f>
        <v>Liema deċiżjoni ta 'kodifikazzjoni teħtieġ li tittieħed sabiex tiddetermina definizzjoni eżatta tal-lingwa formali?</v>
      </c>
    </row>
    <row r="115" ht="15.75" customHeight="1">
      <c r="A115" s="2" t="s">
        <v>115</v>
      </c>
      <c r="B115" s="2" t="str">
        <f>IFERROR(__xludf.DUMMYFUNCTION("GOOGLETRANSLATE(A115, ""en"", ""mt"")"),"Meta bdiet il-Gwerra Bierda?")</f>
        <v>Meta bdiet il-Gwerra Bierda?</v>
      </c>
    </row>
    <row r="116" ht="15.75" customHeight="1">
      <c r="A116" s="2" t="s">
        <v>116</v>
      </c>
      <c r="B116" s="2" t="str">
        <f>IFERROR(__xludf.DUMMYFUNCTION("GOOGLETRANSLATE(A116, ""en"", ""mt"")"),"tfisser li tinvesti")</f>
        <v>tfisser li tinvesti</v>
      </c>
    </row>
    <row r="117" ht="15.75" customHeight="1">
      <c r="A117" s="2" t="s">
        <v>117</v>
      </c>
      <c r="B117" s="2" t="str">
        <f>IFERROR(__xludf.DUMMYFUNCTION("GOOGLETRANSLATE(A117, ""en"", ""mt"")"),"Ħafna ħsarat huma kapaċi jipproduċu terremot ta 'kobor 6.7+, bħalma huma l-ħsara ta' San Andreas, li tista 'tipproduċi avveniment ta' kobor 8.0. Ħsarat oħra jinkludu l-Ħsarat ta 'San Jacinto, il-Ħsarat ta' Puente Hills, u ż-Żona ta 'Ħsarat ta' Elsinore. L"&amp;"-USGS ħarġet tbassir tat-terremot ta 'Kalifornja li jimmudella l-okkorrenza tat-terremot f'Kalifornja.")</f>
        <v>Ħafna ħsarat huma kapaċi jipproduċu terremot ta 'kobor 6.7+, bħalma huma l-ħsara ta' San Andreas, li tista 'tipproduċi avveniment ta' kobor 8.0. Ħsarat oħra jinkludu l-Ħsarat ta 'San Jacinto, il-Ħsarat ta' Puente Hills, u ż-Żona ta 'Ħsarat ta' Elsinore. L-USGS ħarġet tbassir tat-terremot ta 'Kalifornja li jimmudella l-okkorrenza tat-terremot f'Kalifornja.</v>
      </c>
    </row>
    <row r="118" ht="15.75" customHeight="1">
      <c r="A118" s="2" t="s">
        <v>118</v>
      </c>
      <c r="B118" s="2" t="str">
        <f>IFERROR(__xludf.DUMMYFUNCTION("GOOGLETRANSLATE(A118, ""en"", ""mt"")"),"vawċer")</f>
        <v>vawċer</v>
      </c>
    </row>
    <row r="119" ht="15.75" customHeight="1">
      <c r="A119" s="2" t="s">
        <v>119</v>
      </c>
      <c r="B119" s="2" t="str">
        <f>IFERROR(__xludf.DUMMYFUNCTION("GOOGLETRANSLATE(A119, ""en"", ""mt"")"),"Liema skambju f'Varsavja huwa wieħed mill-aktar importanti għall-Ewropa Ċentrali u tal-Lvant?")</f>
        <v>Liema skambju f'Varsavja huwa wieħed mill-aktar importanti għall-Ewropa Ċentrali u tal-Lvant?</v>
      </c>
    </row>
    <row r="120" ht="15.75" customHeight="1">
      <c r="A120" s="2" t="s">
        <v>120</v>
      </c>
      <c r="B120" s="2" t="str">
        <f>IFERROR(__xludf.DUMMYFUNCTION("GOOGLETRANSLATE(A120, ""en"", ""mt"")"),"Xi tfisser Ctenophore bil-Grieg?")</f>
        <v>Xi tfisser Ctenophore bil-Grieg?</v>
      </c>
    </row>
    <row r="121" ht="15.75" customHeight="1">
      <c r="A121" s="2" t="s">
        <v>121</v>
      </c>
      <c r="B121" s="2" t="str">
        <f>IFERROR(__xludf.DUMMYFUNCTION("GOOGLETRANSLATE(A121, ""en"", ""mt"")"),"Cobham-Edmonds")</f>
        <v>Cobham-Edmonds</v>
      </c>
    </row>
    <row r="122" ht="15.75" customHeight="1">
      <c r="A122" s="2" t="s">
        <v>122</v>
      </c>
      <c r="B122" s="2" t="str">
        <f>IFERROR(__xludf.DUMMYFUNCTION("GOOGLETRANSLATE(A122, ""en"", ""mt"")"),"Liema membru tal-alumni tal-università kien magħruf għax-xogħol tiegħu fuq it-teorija tal-portafoll?")</f>
        <v>Liema membru tal-alumni tal-università kien magħruf għax-xogħol tiegħu fuq it-teorija tal-portafoll?</v>
      </c>
    </row>
    <row r="123" ht="15.75" customHeight="1">
      <c r="A123" s="2" t="s">
        <v>123</v>
      </c>
      <c r="B123" s="2" t="str">
        <f>IFERROR(__xludf.DUMMYFUNCTION("GOOGLETRANSLATE(A123, ""en"", ""mt"")"),"bidu ta 'kull sessjoni parlamentari")</f>
        <v>bidu ta 'kull sessjoni parlamentari</v>
      </c>
    </row>
    <row r="124" ht="15.75" customHeight="1">
      <c r="A124" s="2" t="s">
        <v>124</v>
      </c>
      <c r="B124" s="2" t="str">
        <f>IFERROR(__xludf.DUMMYFUNCTION("GOOGLETRANSLATE(A124, ""en"", ""mt"")"),"Liema parti tal-Ġappun kellha nies ikklassifikati ogħla fis-sistema tal-klassi?")</f>
        <v>Liema parti tal-Ġappun kellha nies ikklassifikati ogħla fis-sistema tal-klassi?</v>
      </c>
    </row>
    <row r="125" ht="15.75" customHeight="1">
      <c r="A125" s="2" t="s">
        <v>125</v>
      </c>
      <c r="B125" s="2" t="str">
        <f>IFERROR(__xludf.DUMMYFUNCTION("GOOGLETRANSLATE(A125, ""en"", ""mt"")"),"Meta Varsavja ġiet imrażżna kompletament mal-art billi bombi r-rejds?")</f>
        <v>Meta Varsavja ġiet imrażżna kompletament mal-art billi bombi r-rejds?</v>
      </c>
    </row>
    <row r="126" ht="15.75" customHeight="1">
      <c r="A126" s="2" t="s">
        <v>126</v>
      </c>
      <c r="B126" s="2" t="str">
        <f>IFERROR(__xludf.DUMMYFUNCTION("GOOGLETRANSLATE(A126, ""en"", ""mt"")"),"In-nuqqas ta ’parlament tal-Iskozja")</f>
        <v>In-nuqqas ta ’parlament tal-Iskozja</v>
      </c>
    </row>
    <row r="127" ht="15.75" customHeight="1">
      <c r="A127" s="2" t="s">
        <v>127</v>
      </c>
      <c r="B127" s="2" t="str">
        <f>IFERROR(__xludf.DUMMYFUNCTION("GOOGLETRANSLATE(A127, ""en"", ""mt"")"),"Erba 'rġiel li jattendu l-Kulleġġ Harvard għal kull mara")</f>
        <v>Erba 'rġiel li jattendu l-Kulleġġ Harvard għal kull mara</v>
      </c>
    </row>
    <row r="128" ht="15.75" customHeight="1">
      <c r="A128" s="2" t="s">
        <v>128</v>
      </c>
      <c r="B128" s="2" t="str">
        <f>IFERROR(__xludf.DUMMYFUNCTION("GOOGLETRANSLATE(A128, ""en"", ""mt"")"),"Min ħoloq il-ftehim kooperattiv?")</f>
        <v>Min ħoloq il-ftehim kooperattiv?</v>
      </c>
    </row>
    <row r="129" ht="15.75" customHeight="1">
      <c r="A129" s="2" t="s">
        <v>129</v>
      </c>
      <c r="B129" s="2" t="str">
        <f>IFERROR(__xludf.DUMMYFUNCTION("GOOGLETRANSLATE(A129, ""en"", ""mt"")"),"In-numru atomiku tat-tabella perjodika għall-ossiġnu?")</f>
        <v>In-numru atomiku tat-tabella perjodika għall-ossiġnu?</v>
      </c>
    </row>
    <row r="130" ht="15.75" customHeight="1">
      <c r="A130" s="2" t="s">
        <v>130</v>
      </c>
      <c r="B130" s="2" t="str">
        <f>IFERROR(__xludf.DUMMYFUNCTION("GOOGLETRANSLATE(A130, ""en"", ""mt"")"),"Bond doppju kovalenti")</f>
        <v>Bond doppju kovalenti</v>
      </c>
    </row>
    <row r="131" ht="15.75" customHeight="1">
      <c r="A131" s="2" t="s">
        <v>131</v>
      </c>
      <c r="B131" s="2" t="str">
        <f>IFERROR(__xludf.DUMMYFUNCTION("GOOGLETRANSLATE(A131, ""en"", ""mt"")"),"X'kien l-isem tal-esperiment li ttestja kif oriġina l-ħajja?")</f>
        <v>X'kien l-isem tal-esperiment li ttestja kif oriġina l-ħajja?</v>
      </c>
    </row>
    <row r="132" ht="15.75" customHeight="1">
      <c r="A132" s="2" t="s">
        <v>132</v>
      </c>
      <c r="B132" s="2" t="str">
        <f>IFERROR(__xludf.DUMMYFUNCTION("GOOGLETRANSLATE(A132, ""en"", ""mt"")"),"Kemm-il sena jistgħu jisseparaw tifqigħat tal-Mewt l-Iswed?")</f>
        <v>Kemm-il sena jistgħu jisseparaw tifqigħat tal-Mewt l-Iswed?</v>
      </c>
    </row>
    <row r="133" ht="15.75" customHeight="1">
      <c r="A133" s="2" t="s">
        <v>133</v>
      </c>
      <c r="B133" s="2" t="str">
        <f>IFERROR(__xludf.DUMMYFUNCTION("GOOGLETRANSLATE(A133, ""en"", ""mt"")"),"It-tielet pjan ewlieni wassal għall-kostruzzjoni ta 'bini fejn?")</f>
        <v>It-tielet pjan ewlieni wassal għall-kostruzzjoni ta 'bini fejn?</v>
      </c>
    </row>
    <row r="134" ht="15.75" customHeight="1">
      <c r="A134" s="2" t="s">
        <v>134</v>
      </c>
      <c r="B134" s="2" t="str">
        <f>IFERROR(__xludf.DUMMYFUNCTION("GOOGLETRANSLATE(A134, ""en"", ""mt"")"),"Ġid li jintiret")</f>
        <v>Ġid li jintiret</v>
      </c>
    </row>
    <row r="135" ht="15.75" customHeight="1">
      <c r="A135" s="2" t="s">
        <v>135</v>
      </c>
      <c r="B135" s="2" t="str">
        <f>IFERROR(__xludf.DUMMYFUNCTION("GOOGLETRANSLATE(A135, ""en"", ""mt"")"),"Dan in-netwerk influwenzat mudelli aktar tard ta '")</f>
        <v>Dan in-netwerk influwenzat mudelli aktar tard ta '</v>
      </c>
    </row>
    <row r="136" ht="15.75" customHeight="1">
      <c r="A136" s="2" t="s">
        <v>136</v>
      </c>
      <c r="B136" s="2" t="str">
        <f>IFERROR(__xludf.DUMMYFUNCTION("GOOGLETRANSLATE(A136, ""en"", ""mt"")"),"Acasta Gneiss")</f>
        <v>Acasta Gneiss</v>
      </c>
    </row>
    <row r="137" ht="15.75" customHeight="1">
      <c r="A137" s="2" t="s">
        <v>137</v>
      </c>
      <c r="B137" s="2" t="str">
        <f>IFERROR(__xludf.DUMMYFUNCTION("GOOGLETRANSLATE(A137, ""en"", ""mt"")"),"Fl-2005 kemm impjegati kienu impjegati mill-gvern?")</f>
        <v>Fl-2005 kemm impjegati kienu impjegati mill-gvern?</v>
      </c>
    </row>
    <row r="138" ht="15.75" customHeight="1">
      <c r="A138" s="2" t="s">
        <v>138</v>
      </c>
      <c r="B138" s="2" t="str">
        <f>IFERROR(__xludf.DUMMYFUNCTION("GOOGLETRANSLATE(A138, ""en"", ""mt"")"),"Perjodu Ġeoloġiku")</f>
        <v>Perjodu Ġeoloġiku</v>
      </c>
    </row>
    <row r="139" ht="15.75" customHeight="1">
      <c r="A139" s="2" t="s">
        <v>139</v>
      </c>
      <c r="B139" s="2" t="str">
        <f>IFERROR(__xludf.DUMMYFUNCTION("GOOGLETRANSLATE(A139, ""en"", ""mt"")"),"Distrett ta 'Charleston Orange")</f>
        <v>Distrett ta 'Charleston Orange</v>
      </c>
    </row>
    <row r="140" ht="15.75" customHeight="1">
      <c r="A140" s="2" t="s">
        <v>140</v>
      </c>
      <c r="B140" s="2" t="str">
        <f>IFERROR(__xludf.DUMMYFUNCTION("GOOGLETRANSLATE(A140, ""en"", ""mt"")"),"Fl-aħħar snin tal-era tal-apartheid, il-ġenituri fl-iskejjel tal-gvern abjad ingħataw l-għażla li jikkonvertu għal formola ""semi-privata"" imsejħa Mudell C, u ħafna minn dawn l-iskejjel biddlu l-politiki tal-ammissjonijiet tagħhom biex jaċċettaw tfal ta "&amp;"'razez oħra. Wara t-tranżizzjoni għad-demokrazija, il-forma legali ta '""Mudell Ċ"" ġiet abolita, madankollu, it-terminu jibqa' jintuża biex jiddeskrivi skejjel tal-gvern li qabel kienu riservati għal tfal bojod .. Dawn l-iskejjel għandhom it-tendenza li "&amp;"jipproduċu riżultati akkademiċi aħjar minn skejjel tal-gvern li qabel kienu riservati għal Gruppi oħra ta ’razza. L-iskejjel ta 'qabel ""Mudell C"" mhumiex skejjel privati, peress li huma kkontrollati mill-istat. L-iskejjel kollha fl-Afrika t'Isfel (inklu"&amp;"żi l-iskejjel indipendenti kif ukoll l-iskejjel pubbliċi) għandhom id-dritt li jistabbilixxu ħlasijiet obbligatorji tal-iskejjel, u l-iskejjel tal-Mudell C li qabel kienu għandhom it-tendenza li jistabbilixxu miżati tal-iskola ferm ogħla minn skejjel pubb"&amp;"liċi oħra.")</f>
        <v>Fl-aħħar snin tal-era tal-apartheid, il-ġenituri fl-iskejjel tal-gvern abjad ingħataw l-għażla li jikkonvertu għal formola "semi-privata" imsejħa Mudell C, u ħafna minn dawn l-iskejjel biddlu l-politiki tal-ammissjonijiet tagħhom biex jaċċettaw tfal ta 'razez oħra. Wara t-tranżizzjoni għad-demokrazija, il-forma legali ta '"Mudell Ċ" ġiet abolita, madankollu, it-terminu jibqa' jintuża biex jiddeskrivi skejjel tal-gvern li qabel kienu riservati għal tfal bojod .. Dawn l-iskejjel għandhom it-tendenza li jipproduċu riżultati akkademiċi aħjar minn skejjel tal-gvern li qabel kienu riservati għal Gruppi oħra ta ’razza. L-iskejjel ta 'qabel "Mudell C" mhumiex skejjel privati, peress li huma kkontrollati mill-istat. L-iskejjel kollha fl-Afrika t'Isfel (inklużi l-iskejjel indipendenti kif ukoll l-iskejjel pubbliċi) għandhom id-dritt li jistabbilixxu ħlasijiet obbligatorji tal-iskejjel, u l-iskejjel tal-Mudell C li qabel kienu għandhom it-tendenza li jistabbilixxu miżati tal-iskola ferm ogħla minn skejjel pubbliċi oħra.</v>
      </c>
    </row>
    <row r="141" ht="15.75" customHeight="1">
      <c r="A141" s="2" t="s">
        <v>141</v>
      </c>
      <c r="B141" s="2" t="str">
        <f>IFERROR(__xludf.DUMMYFUNCTION("GOOGLETRANSLATE(A141, ""en"", ""mt"")")," Fejn Turabi poġġa lill-istudenti apatiċi għall-fehmiet tiegħu?")</f>
        <v> Fejn Turabi poġġa lill-istudenti apatiċi għall-fehmiet tiegħu?</v>
      </c>
    </row>
    <row r="142" ht="15.75" customHeight="1">
      <c r="A142" s="2" t="s">
        <v>142</v>
      </c>
      <c r="B142" s="2" t="str">
        <f>IFERROR(__xludf.DUMMYFUNCTION("GOOGLETRANSLATE(A142, ""en"", ""mt"")"),"Wara li Braddock miet, min ikkontrolla l-forzi Ingliżi tal-Amerika t'Isfel?")</f>
        <v>Wara li Braddock miet, min ikkontrolla l-forzi Ingliżi tal-Amerika t'Isfel?</v>
      </c>
    </row>
    <row r="143" ht="15.75" customHeight="1">
      <c r="A143" s="2" t="s">
        <v>143</v>
      </c>
      <c r="B143" s="2" t="str">
        <f>IFERROR(__xludf.DUMMYFUNCTION("GOOGLETRANSLATE(A143, ""en"", ""mt"")"),"Tressqu varjetà ta 'alternattivi għall-Y. Pestis. Twigg issuġġerixxa li l-kawża kienet forma ta 'antrax, u Norman Cantor (2001) ħasbu li setgħet kienet taħlita ta' antrax u pandemiċi oħra. Scott u Duncan argumentaw li l-pandemija kienet forma ta 'mard inf"&amp;"ettiv li jikkaratterizza bħala pesta emorraġika simili għall-Ebola. L-arkeologu Barney Sloane argumenta li m'hemmx biżżejjed evidenza ta 'l-estinzjoni ta' numru kbir ta 'firien fir-rekord arkeoloġiku tal-waterfront medjevali f'Londra u li l-pesta nfirxet "&amp;"malajr wisq biex tappoġġja t-teżi li l-Y. Pestis kien mifrux minn briegħed firien; Huwa jsostni li t-trasmissjoni kellha tkun persuna għal persuna. Madankollu, l-ebda soluzzjoni alternattiva waħda ma kisbet aċċettazzjoni mifruxa. Ħafna studjużi li jargume"&amp;"ntaw għall-Y. Pestis bħala l-aġent ewlieni tal-pandemija jissuġġerixxu li l-firxa u s-sintomi tagħha jistgħu jiġu spjegati permezz ta 'taħlita ta' pesta bubonika ma 'mard ieħor, inklużi tifus, ġidri u infezzjonijiet respiratorji. Minbarra l-infezzjoni bub"&amp;"onika, oħrajn jindikaw settiċemiċi addizzjonali (tip ta '""avvelenament fid-demm"") u pnewmononiċi (pesta fl-ajru li tattakka l-pulmuni quddiem il-bqija tal-ġisem) tifforma l-forom tal-pesta, li ttawwal it-tul ta' tifqigħ madwar l-istaġuni u jgħinu r-rata"&amp;" għolja ta 'mortalità u sintomi rreġistrati addizzjonali tagħha. Fl-2014, xjentisti bis-saħħa pubblika l-Ingilterra ħabbru r-riżultati ta 'eżami ta' 25 korp eżumat miż-żona ta 'Clerkenwell ta' Londra, kif ukoll ta 'testment irreġistrat f'Londra matul il-p"&amp;"erjodu, li appoġġjaw l-ipoteżi pnewmonika.")</f>
        <v>Tressqu varjetà ta 'alternattivi għall-Y. Pestis. Twigg issuġġerixxa li l-kawża kienet forma ta 'antrax, u Norman Cantor (2001) ħasbu li setgħet kienet taħlita ta' antrax u pandemiċi oħra. Scott u Duncan argumentaw li l-pandemija kienet forma ta 'mard infettiv li jikkaratterizza bħala pesta emorraġika simili għall-Ebola. L-arkeologu Barney Sloane argumenta li m'hemmx biżżejjed evidenza ta 'l-estinzjoni ta' numru kbir ta 'firien fir-rekord arkeoloġiku tal-waterfront medjevali f'Londra u li l-pesta nfirxet malajr wisq biex tappoġġja t-teżi li l-Y. Pestis kien mifrux minn briegħed firien; Huwa jsostni li t-trasmissjoni kellha tkun persuna għal persuna. Madankollu, l-ebda soluzzjoni alternattiva waħda ma kisbet aċċettazzjoni mifruxa. Ħafna studjużi li jargumentaw għall-Y. Pestis bħala l-aġent ewlieni tal-pandemija jissuġġerixxu li l-firxa u s-sintomi tagħha jistgħu jiġu spjegati permezz ta 'taħlita ta' pesta bubonika ma 'mard ieħor, inklużi tifus, ġidri u infezzjonijiet respiratorji. Minbarra l-infezzjoni bubonika, oħrajn jindikaw settiċemiċi addizzjonali (tip ta '"avvelenament fid-demm") u pnewmononiċi (pesta fl-ajru li tattakka l-pulmuni quddiem il-bqija tal-ġisem) tifforma l-forom tal-pesta, li ttawwal it-tul ta' tifqigħ madwar l-istaġuni u jgħinu r-rata għolja ta 'mortalità u sintomi rreġistrati addizzjonali tagħha. Fl-2014, xjentisti bis-saħħa pubblika l-Ingilterra ħabbru r-riżultati ta 'eżami ta' 25 korp eżumat miż-żona ta 'Clerkenwell ta' Londra, kif ukoll ta 'testment irreġistrat f'Londra matul il-perjodu, li appoġġjaw l-ipoteżi pnewmonika.</v>
      </c>
    </row>
    <row r="144" ht="15.75" customHeight="1">
      <c r="A144" s="2" t="s">
        <v>144</v>
      </c>
      <c r="B144" s="2" t="str">
        <f>IFERROR(__xludf.DUMMYFUNCTION("GOOGLETRANSLATE(A144, ""en"", ""mt"")"),"Li kkawża li r-riforma qatt ma tidħol fis-seħħ?")</f>
        <v>Li kkawża li r-riforma qatt ma tidħol fis-seħħ?</v>
      </c>
    </row>
    <row r="145" ht="15.75" customHeight="1">
      <c r="A145" s="2" t="s">
        <v>145</v>
      </c>
      <c r="B145" s="2" t="str">
        <f>IFERROR(__xludf.DUMMYFUNCTION("GOOGLETRANSLATE(A145, ""en"", ""mt"")"),"Juan Manuel Santos")</f>
        <v>Juan Manuel Santos</v>
      </c>
    </row>
    <row r="146" ht="15.75" customHeight="1">
      <c r="A146" s="2" t="s">
        <v>146</v>
      </c>
      <c r="B146" s="2" t="str">
        <f>IFERROR(__xludf.DUMMYFUNCTION("GOOGLETRANSLATE(A146, ""en"", ""mt"")"),"Liema emendi kostituzzjonali tal-istat jagħmlu referenza għall-gvern li jiffinanzja l-iskejjel reliġjużi?")</f>
        <v>Liema emendi kostituzzjonali tal-istat jagħmlu referenza għall-gvern li jiffinanzja l-iskejjel reliġjużi?</v>
      </c>
    </row>
    <row r="147" ht="15.75" customHeight="1">
      <c r="A147" s="2" t="s">
        <v>147</v>
      </c>
      <c r="B147" s="2" t="str">
        <f>IFERROR(__xludf.DUMMYFUNCTION("GOOGLETRANSLATE(A147, ""en"", ""mt"")"),"Kemm korpi ta 'ilma jiffurmaw ir-Renu?")</f>
        <v>Kemm korpi ta 'ilma jiffurmaw ir-Renu?</v>
      </c>
    </row>
    <row r="148" ht="15.75" customHeight="1">
      <c r="A148" s="2" t="s">
        <v>148</v>
      </c>
      <c r="B148" s="2" t="str">
        <f>IFERROR(__xludf.DUMMYFUNCTION("GOOGLETRANSLATE(A148, ""en"", ""mt"")"),"X'ikun ma kienx il-firxa tal-ispedizzjoni ta 'Celeron?")</f>
        <v>X'ikun ma kienx il-firxa tal-ispedizzjoni ta 'Celeron?</v>
      </c>
    </row>
    <row r="149" ht="15.75" customHeight="1">
      <c r="A149" s="2" t="s">
        <v>149</v>
      </c>
      <c r="B149" s="2" t="str">
        <f>IFERROR(__xludf.DUMMYFUNCTION("GOOGLETRANSLATE(A149, ""en"", ""mt"")"),"Aqta 'l-Frontier Franċiż Fortizzi Aktar lejn il-Punent u n-Nofsinhar")</f>
        <v>Aqta 'l-Frontier Franċiż Fortizzi Aktar lejn il-Punent u n-Nofsinhar</v>
      </c>
    </row>
    <row r="150" ht="15.75" customHeight="1">
      <c r="A150" s="2" t="s">
        <v>150</v>
      </c>
      <c r="B150" s="2" t="str">
        <f>IFERROR(__xludf.DUMMYFUNCTION("GOOGLETRANSLATE(A150, ""en"", ""mt"")"),"Għal xiex tfisser Fota?")</f>
        <v>Għal xiex tfisser Fota?</v>
      </c>
    </row>
    <row r="151" ht="15.75" customHeight="1">
      <c r="A151" s="2" t="s">
        <v>151</v>
      </c>
      <c r="B151" s="2" t="str">
        <f>IFERROR(__xludf.DUMMYFUNCTION("GOOGLETRANSLATE(A151, ""en"", ""mt"")"),"L-ideat ta 'min saru dejjem aktar radikali matul il-ħabs tiegħu?")</f>
        <v>L-ideat ta 'min saru dejjem aktar radikali matul il-ħabs tiegħu?</v>
      </c>
    </row>
    <row r="152" ht="15.75" customHeight="1">
      <c r="A152" s="2" t="s">
        <v>152</v>
      </c>
      <c r="B152" s="2" t="str">
        <f>IFERROR(__xludf.DUMMYFUNCTION("GOOGLETRANSLATE(A152, ""en"", ""mt"")"),"Liema studjużi legali prestiġjużi huma membri tal-fakultà f'Harvard?")</f>
        <v>Liema studjużi legali prestiġjużi huma membri tal-fakultà f'Harvard?</v>
      </c>
    </row>
    <row r="153" ht="15.75" customHeight="1">
      <c r="A153" s="2" t="s">
        <v>153</v>
      </c>
      <c r="B153" s="2" t="str">
        <f>IFERROR(__xludf.DUMMYFUNCTION("GOOGLETRANSLATE(A153, ""en"", ""mt"")"),"bħala problemi ta 'deċiżjoni")</f>
        <v>bħala problemi ta 'deċiżjoni</v>
      </c>
    </row>
    <row r="154" ht="15.75" customHeight="1">
      <c r="A154" s="2" t="s">
        <v>154</v>
      </c>
      <c r="B154" s="2" t="str">
        <f>IFERROR(__xludf.DUMMYFUNCTION("GOOGLETRANSLATE(A154, ""en"", ""mt"")"),"rivoluzzjoni paċifika")</f>
        <v>rivoluzzjoni paċifika</v>
      </c>
    </row>
    <row r="155" ht="15.75" customHeight="1">
      <c r="A155" s="2" t="s">
        <v>155</v>
      </c>
      <c r="B155" s="2" t="str">
        <f>IFERROR(__xludf.DUMMYFUNCTION("GOOGLETRANSLATE(A155, ""en"", ""mt"")"),"Il-Protokoll ta 'Montreal")</f>
        <v>Il-Protokoll ta 'Montreal</v>
      </c>
    </row>
    <row r="156" ht="15.75" customHeight="1">
      <c r="A156" s="2" t="s">
        <v>156</v>
      </c>
      <c r="B156" s="2" t="str">
        <f>IFERROR(__xludf.DUMMYFUNCTION("GOOGLETRANSLATE(A156, ""en"", ""mt"")"),"Żgura li fl-interpretazzjoni u l-applikazzjoni tat-trattati tkun osservata l-liġi")</f>
        <v>Żgura li fl-interpretazzjoni u l-applikazzjoni tat-trattati tkun osservata l-liġi</v>
      </c>
    </row>
    <row r="157" ht="15.75" customHeight="1">
      <c r="A157" s="2" t="s">
        <v>157</v>
      </c>
      <c r="B157" s="2" t="str">
        <f>IFERROR(__xludf.DUMMYFUNCTION("GOOGLETRANSLATE(A157, ""en"", ""mt"")"),"Kif ħadu l-informazzjoni ta 'Celeron f'Logstown?")</f>
        <v>Kif ħadu l-informazzjoni ta 'Celeron f'Logstown?</v>
      </c>
    </row>
    <row r="158" ht="15.75" customHeight="1">
      <c r="A158" s="2" t="s">
        <v>158</v>
      </c>
      <c r="B158" s="2" t="str">
        <f>IFERROR(__xludf.DUMMYFUNCTION("GOOGLETRANSLATE(A158, ""en"", ""mt"")"),"Min mar il-Fort Dusquesne f'Ġunju 1755?")</f>
        <v>Min mar il-Fort Dusquesne f'Ġunju 1755?</v>
      </c>
    </row>
    <row r="159" ht="15.75" customHeight="1">
      <c r="A159" s="2" t="s">
        <v>159</v>
      </c>
      <c r="B159" s="2" t="str">
        <f>IFERROR(__xludf.DUMMYFUNCTION("GOOGLETRANSLATE(A159, ""en"", ""mt"")"),"Liema xjenzat esperimenta bil-velenu tas-serp fis-seklu 18?")</f>
        <v>Liema xjenzat esperimenta bil-velenu tas-serp fis-seklu 18?</v>
      </c>
    </row>
    <row r="160" ht="15.75" customHeight="1">
      <c r="A160" s="2" t="s">
        <v>160</v>
      </c>
      <c r="B160" s="2" t="str">
        <f>IFERROR(__xludf.DUMMYFUNCTION("GOOGLETRANSLATE(A160, ""en"", ""mt"")"),"Min kienet il-klassi dominanti qabel in-Normanni?")</f>
        <v>Min kienet il-klassi dominanti qabel in-Normanni?</v>
      </c>
    </row>
    <row r="161" ht="15.75" customHeight="1">
      <c r="A161" s="2" t="s">
        <v>161</v>
      </c>
      <c r="B161" s="2" t="str">
        <f>IFERROR(__xludf.DUMMYFUNCTION("GOOGLETRANSLATE(A161, ""en"", ""mt"")"),"Liema tekniki qatt ma inkludew il-mediċina Ċiniża?")</f>
        <v>Liema tekniki qatt ma inkludew il-mediċina Ċiniża?</v>
      </c>
    </row>
    <row r="162" ht="15.75" customHeight="1">
      <c r="A162" s="2" t="s">
        <v>162</v>
      </c>
      <c r="B162" s="2" t="str">
        <f>IFERROR(__xludf.DUMMYFUNCTION("GOOGLETRANSLATE(A162, ""en"", ""mt"")"),"dial-up")</f>
        <v>dial-up</v>
      </c>
    </row>
    <row r="163" ht="15.75" customHeight="1">
      <c r="A163" s="2" t="s">
        <v>163</v>
      </c>
      <c r="B163" s="2" t="str">
        <f>IFERROR(__xludf.DUMMYFUNCTION("GOOGLETRANSLATE(A163, ""en"", ""mt"")"),"O")</f>
        <v>O</v>
      </c>
    </row>
    <row r="164" ht="15.75" customHeight="1">
      <c r="A164" s="2" t="s">
        <v>164</v>
      </c>
      <c r="B164" s="2" t="str">
        <f>IFERROR(__xludf.DUMMYFUNCTION("GOOGLETRANSLATE(A164, ""en"", ""mt"")"),"Liema klassi ta 'kumplessità hija komunement ikkaratterizzata minn algoritmi mhux magħrufa biex ittejjeb is-solvabilità?")</f>
        <v>Liema klassi ta 'kumplessità hija komunement ikkaratterizzata minn algoritmi mhux magħrufa biex ittejjeb is-solvabilità?</v>
      </c>
    </row>
    <row r="165" ht="15.75" customHeight="1">
      <c r="A165" s="2" t="s">
        <v>165</v>
      </c>
      <c r="B165" s="2" t="str">
        <f>IFERROR(__xludf.DUMMYFUNCTION("GOOGLETRANSLATE(A165, ""en"", ""mt"")"),"Liema battalja ġewwa l-Belt ta 'Quebec tilfu l-Ingliżi fl-1760?")</f>
        <v>Liema battalja ġewwa l-Belt ta 'Quebec tilfu l-Ingliżi fl-1760?</v>
      </c>
    </row>
    <row r="166" ht="15.75" customHeight="1">
      <c r="A166" s="2" t="s">
        <v>166</v>
      </c>
      <c r="B166" s="2" t="str">
        <f>IFERROR(__xludf.DUMMYFUNCTION("GOOGLETRANSLATE(A166, ""en"", ""mt"")"),"Liema etniċità kien Frederick William, Elettur ta 'Brandenburg?")</f>
        <v>Liema etniċità kien Frederick William, Elettur ta 'Brandenburg?</v>
      </c>
    </row>
    <row r="167" ht="15.75" customHeight="1">
      <c r="A167" s="2" t="s">
        <v>167</v>
      </c>
      <c r="B167" s="2" t="str">
        <f>IFERROR(__xludf.DUMMYFUNCTION("GOOGLETRANSLATE(A167, ""en"", ""mt"")"),"Liema kanal qatt ma twaqqa 'mis-sema?")</f>
        <v>Liema kanal qatt ma twaqqa 'mis-sema?</v>
      </c>
    </row>
    <row r="168" ht="15.75" customHeight="1">
      <c r="A168" s="2" t="s">
        <v>168</v>
      </c>
      <c r="B168" s="2" t="str">
        <f>IFERROR(__xludf.DUMMYFUNCTION("GOOGLETRANSLATE(A168, ""en"", ""mt"")"),"Sfida għas-sistema legali li tippermetti li jittieħdu dawk id-deċiżjonijiet")</f>
        <v>Sfida għas-sistema legali li tippermetti li jittieħdu dawk id-deċiżjonijiet</v>
      </c>
    </row>
    <row r="169" ht="15.75" customHeight="1">
      <c r="A169" s="2" t="s">
        <v>169</v>
      </c>
      <c r="B169" s="2" t="str">
        <f>IFERROR(__xludf.DUMMYFUNCTION("GOOGLETRANSLATE(A169, ""en"", ""mt"")")," Min iddikjara li ma riedx li Iżrael jisparixxi?")</f>
        <v> Min iddikjara li ma riedx li Iżrael jisparixxi?</v>
      </c>
    </row>
    <row r="170" ht="15.75" customHeight="1">
      <c r="A170" s="2" t="s">
        <v>170</v>
      </c>
      <c r="B170" s="2" t="str">
        <f>IFERROR(__xludf.DUMMYFUNCTION("GOOGLETRANSLATE(A170, ""en"", ""mt"")"),"Min kunċettalizza l-pistun?")</f>
        <v>Min kunċettalizza l-pistun?</v>
      </c>
    </row>
    <row r="171" ht="15.75" customHeight="1">
      <c r="A171" s="2" t="s">
        <v>171</v>
      </c>
      <c r="B171" s="2" t="str">
        <f>IFERROR(__xludf.DUMMYFUNCTION("GOOGLETRANSLATE(A171, ""en"", ""mt"")"),"spjegat id-diviżjoni u l-amministrazzjoni tat-territorju li għadu kif ġie maħkuma")</f>
        <v>spjegat id-diviżjoni u l-amministrazzjoni tat-territorju li għadu kif ġie maħkuma</v>
      </c>
    </row>
    <row r="172" ht="15.75" customHeight="1">
      <c r="A172" s="2" t="s">
        <v>172</v>
      </c>
      <c r="B172" s="2" t="str">
        <f>IFERROR(__xludf.DUMMYFUNCTION("GOOGLETRANSLATE(A172, ""en"", ""mt"")"),"Il-Kompromess tal-1850")</f>
        <v>Il-Kompromess tal-1850</v>
      </c>
    </row>
    <row r="173" ht="15.75" customHeight="1">
      <c r="A173" s="2" t="s">
        <v>173</v>
      </c>
      <c r="B173" s="2" t="str">
        <f>IFERROR(__xludf.DUMMYFUNCTION("GOOGLETRANSLATE(A173, ""en"", ""mt"")"),"Battalja ta 'Marzu ta' Fort Bull")</f>
        <v>Battalja ta 'Marzu ta' Fort Bull</v>
      </c>
    </row>
    <row r="174" ht="15.75" customHeight="1">
      <c r="A174" s="2" t="s">
        <v>174</v>
      </c>
      <c r="B174" s="2" t="str">
        <f>IFERROR(__xludf.DUMMYFUNCTION("GOOGLETRANSLATE(A174, ""en"", ""mt"")"),"X'inhu kunċett ġenerali wieħed li japplika għal elementi ta 'ċrieki kommutattivi?")</f>
        <v>X'inhu kunċett ġenerali wieħed li japplika għal elementi ta 'ċrieki kommutattivi?</v>
      </c>
    </row>
    <row r="175" ht="15.75" customHeight="1">
      <c r="A175" s="2" t="s">
        <v>175</v>
      </c>
      <c r="B175" s="2" t="str">
        <f>IFERROR(__xludf.DUMMYFUNCTION("GOOGLETRANSLATE(A175, ""en"", ""mt"")"),"$ 45,000")</f>
        <v>$ 45,000</v>
      </c>
    </row>
    <row r="176" ht="15.75" customHeight="1">
      <c r="A176" s="2" t="s">
        <v>176</v>
      </c>
      <c r="B176" s="2" t="str">
        <f>IFERROR(__xludf.DUMMYFUNCTION("GOOGLETRANSLATE(A176, ""en"", ""mt"")"),"Fejn isseħħ iċ-ċaħda tas-sħana fiċ-ċiklu ta 'Rankine?")</f>
        <v>Fejn isseħħ iċ-ċaħda tas-sħana fiċ-ċiklu ta 'Rankine?</v>
      </c>
    </row>
    <row r="177" ht="15.75" customHeight="1">
      <c r="A177" s="2" t="s">
        <v>177</v>
      </c>
      <c r="B177" s="2" t="str">
        <f>IFERROR(__xludf.DUMMYFUNCTION("GOOGLETRANSLATE(A177, ""en"", ""mt"")"),"biex tħeġġeġ l-investiment")</f>
        <v>biex tħeġġeġ l-investiment</v>
      </c>
    </row>
    <row r="178" ht="15.75" customHeight="1">
      <c r="A178" s="2" t="s">
        <v>178</v>
      </c>
      <c r="B178" s="2" t="str">
        <f>IFERROR(__xludf.DUMMYFUNCTION("GOOGLETRANSLATE(A178, ""en"", ""mt"")"),"Kemm interazzjonijiet ewlenin ma jafux?")</f>
        <v>Kemm interazzjonijiet ewlenin ma jafux?</v>
      </c>
    </row>
    <row r="179" ht="15.75" customHeight="1">
      <c r="A179" s="2" t="s">
        <v>179</v>
      </c>
      <c r="B179" s="2" t="str">
        <f>IFERROR(__xludf.DUMMYFUNCTION("GOOGLETRANSLATE(A179, ""en"", ""mt"")"),"Kemm hi New Rochelle minn New Paltz?")</f>
        <v>Kemm hi New Rochelle minn New Paltz?</v>
      </c>
    </row>
    <row r="180" ht="15.75" customHeight="1">
      <c r="A180" s="2" t="s">
        <v>180</v>
      </c>
      <c r="B180" s="2" t="str">
        <f>IFERROR(__xludf.DUMMYFUNCTION("GOOGLETRANSLATE(A180, ""en"", ""mt"")"),"Hendrix v impjegat")</f>
        <v>Hendrix v impjegat</v>
      </c>
    </row>
    <row r="181" ht="15.75" customHeight="1">
      <c r="A181" s="2" t="s">
        <v>181</v>
      </c>
      <c r="B181" s="2" t="str">
        <f>IFERROR(__xludf.DUMMYFUNCTION("GOOGLETRANSLATE(A181, ""en"", ""mt"")"),"Liema miżura ta 'problema tal-komputazzjoni tiddefinixxi b'mod wiesa' s-sempliċità inerenti tas-soluzzjoni?")</f>
        <v>Liema miżura ta 'problema tal-komputazzjoni tiddefinixxi b'mod wiesa' s-sempliċità inerenti tas-soluzzjoni?</v>
      </c>
    </row>
    <row r="182" ht="15.75" customHeight="1">
      <c r="A182" s="2" t="s">
        <v>182</v>
      </c>
      <c r="B182" s="2" t="str">
        <f>IFERROR(__xludf.DUMMYFUNCTION("GOOGLETRANSLATE(A182, ""en"", ""mt"")"),"Kif tissejjaħ iż-żona fejn żewġ pjanċi jiċċaqalqu?")</f>
        <v>Kif tissejjaħ iż-żona fejn żewġ pjanċi jiċċaqalqu?</v>
      </c>
    </row>
    <row r="183" ht="15.75" customHeight="1">
      <c r="A183" s="2" t="s">
        <v>183</v>
      </c>
      <c r="B183" s="2" t="str">
        <f>IFERROR(__xludf.DUMMYFUNCTION("GOOGLETRANSLATE(A183, ""en"", ""mt"")"),"1685")</f>
        <v>1685</v>
      </c>
    </row>
    <row r="184" ht="15.75" customHeight="1">
      <c r="A184" s="2" t="s">
        <v>184</v>
      </c>
      <c r="B184" s="2" t="str">
        <f>IFERROR(__xludf.DUMMYFUNCTION("GOOGLETRANSLATE(A184, ""en"", ""mt"")"),"Min huma l-aktar magħrufa għall-iskoperta tal-fossili ta 'John B Watson?")</f>
        <v>Min huma l-aktar magħrufa għall-iskoperta tal-fossili ta 'John B Watson?</v>
      </c>
    </row>
    <row r="185" ht="15.75" customHeight="1">
      <c r="A185" s="2" t="s">
        <v>185</v>
      </c>
      <c r="B185" s="2" t="str">
        <f>IFERROR(__xludf.DUMMYFUNCTION("GOOGLETRANSLATE(A185, ""en"", ""mt"")"),"F’xi żoni rurali fir-Renju Unit")</f>
        <v>F’xi żoni rurali fir-Renju Unit</v>
      </c>
    </row>
    <row r="186" ht="15.75" customHeight="1">
      <c r="A186" s="2" t="s">
        <v>186</v>
      </c>
      <c r="B186" s="2" t="str">
        <f>IFERROR(__xludf.DUMMYFUNCTION("GOOGLETRANSLATE(A186, ""en"", ""mt"")"),"Liema mossa legalizzata riċentement għamlet l-appoġġ tat-tim tal-futbol ta 'Harvard fl-1920?")</f>
        <v>Liema mossa legalizzata riċentement għamlet l-appoġġ tat-tim tal-futbol ta 'Harvard fl-1920?</v>
      </c>
    </row>
    <row r="187" ht="15.75" customHeight="1">
      <c r="A187" s="2" t="s">
        <v>187</v>
      </c>
      <c r="B187" s="2" t="str">
        <f>IFERROR(__xludf.DUMMYFUNCTION("GOOGLETRANSLATE(A187, ""en"", ""mt"")"),"Min ħa t-tron wara l-mewt ta 'Kusala?")</f>
        <v>Min ħa t-tron wara l-mewt ta 'Kusala?</v>
      </c>
    </row>
    <row r="188" ht="15.75" customHeight="1">
      <c r="A188" s="2" t="s">
        <v>188</v>
      </c>
      <c r="B188" s="2" t="str">
        <f>IFERROR(__xludf.DUMMYFUNCTION("GOOGLETRANSLATE(A188, ""en"", ""mt"")"),"X'inhu l-isem problema li tissodisfa l-affermazzjoni ta 'Ladder?")</f>
        <v>X'inhu l-isem problema li tissodisfa l-affermazzjoni ta 'Ladder?</v>
      </c>
    </row>
    <row r="189" ht="15.75" customHeight="1">
      <c r="A189" s="2" t="s">
        <v>189</v>
      </c>
      <c r="B189" s="2" t="str">
        <f>IFERROR(__xludf.DUMMYFUNCTION("GOOGLETRANSLATE(A189, ""en"", ""mt"")"),"X'kienet il-Forza tal-Ajru mhux interessata għas-sistema ta 'messaġġi tagħhom?")</f>
        <v>X'kienet il-Forza tal-Ajru mhux interessata għas-sistema ta 'messaġġi tagħhom?</v>
      </c>
    </row>
    <row r="190" ht="15.75" customHeight="1">
      <c r="A190" s="2" t="s">
        <v>190</v>
      </c>
      <c r="B190" s="2" t="str">
        <f>IFERROR(__xludf.DUMMYFUNCTION("GOOGLETRANSLATE(A190, ""en"", ""mt"")"),"X’kien jemmen li Hutton kien iffurmat f’avveniment katastrofiku wieħed?")</f>
        <v>X’kien jemmen li Hutton kien iffurmat f’avveniment katastrofiku wieħed?</v>
      </c>
    </row>
    <row r="191" ht="15.75" customHeight="1">
      <c r="A191" s="2" t="s">
        <v>191</v>
      </c>
      <c r="B191" s="2" t="str">
        <f>IFERROR(__xludf.DUMMYFUNCTION("GOOGLETRANSLATE(A191, ""en"", ""mt"")"),"X'inhu assoċjat mal-forzi orizzontali?")</f>
        <v>X'inhu assoċjat mal-forzi orizzontali?</v>
      </c>
    </row>
    <row r="192" ht="15.75" customHeight="1">
      <c r="A192" s="2" t="s">
        <v>192</v>
      </c>
      <c r="B192" s="2" t="str">
        <f>IFERROR(__xludf.DUMMYFUNCTION("GOOGLETRANSLATE(A192, ""en"", ""mt"")"),"Liema fluwidu tax-xogħol jintuża fit-turbina tal-fwar tal-merkurju?")</f>
        <v>Liema fluwidu tax-xogħol jintuża fit-turbina tal-fwar tal-merkurju?</v>
      </c>
    </row>
    <row r="193" ht="15.75" customHeight="1">
      <c r="A193" s="2" t="s">
        <v>193</v>
      </c>
      <c r="B193" s="2" t="str">
        <f>IFERROR(__xludf.DUMMYFUNCTION("GOOGLETRANSLATE(A193, ""en"", ""mt"")"),"Exoskeleton")</f>
        <v>Exoskeleton</v>
      </c>
    </row>
    <row r="194" ht="15.75" customHeight="1">
      <c r="A194" s="2" t="s">
        <v>194</v>
      </c>
      <c r="B194" s="2" t="str">
        <f>IFERROR(__xludf.DUMMYFUNCTION("GOOGLETRANSLATE(A194, ""en"", ""mt"")"),"pari ta 'reazzjoni ta' azzjoni")</f>
        <v>pari ta 'reazzjoni ta' azzjoni</v>
      </c>
    </row>
    <row r="195" ht="15.75" customHeight="1">
      <c r="A195" s="2" t="s">
        <v>195</v>
      </c>
      <c r="B195" s="2" t="str">
        <f>IFERROR(__xludf.DUMMYFUNCTION("GOOGLETRANSLATE(A195, ""en"", ""mt"")"),"Kif inhuma ċerti spejjeż li huma faċli biex jiġu evitati maqsuma?")</f>
        <v>Kif inhuma ċerti spejjeż li huma faċli biex jiġu evitati maqsuma?</v>
      </c>
    </row>
    <row r="196" ht="15.75" customHeight="1">
      <c r="A196" s="2" t="s">
        <v>196</v>
      </c>
      <c r="B196" s="2" t="str">
        <f>IFERROR(__xludf.DUMMYFUNCTION("GOOGLETRANSLATE(A196, ""en"", ""mt"")"),"malajr")</f>
        <v>malajr</v>
      </c>
    </row>
    <row r="197" ht="15.75" customHeight="1">
      <c r="A197" s="2" t="s">
        <v>197</v>
      </c>
      <c r="B197" s="2" t="str">
        <f>IFERROR(__xludf.DUMMYFUNCTION("GOOGLETRANSLATE(A197, ""en"", ""mt"")"),"Il-Profeta Mohammad")</f>
        <v>Il-Profeta Mohammad</v>
      </c>
    </row>
    <row r="198" ht="15.75" customHeight="1">
      <c r="A198" s="2" t="s">
        <v>198</v>
      </c>
      <c r="B198" s="2" t="str">
        <f>IFERROR(__xludf.DUMMYFUNCTION("GOOGLETRANSLATE(A198, ""en"", ""mt"")"),"Fejn tikklassifika l-Karpazja f'termini ta 'popolazzjoni fl-UE?")</f>
        <v>Fejn tikklassifika l-Karpazja f'termini ta 'popolazzjoni fl-UE?</v>
      </c>
    </row>
    <row r="199" ht="15.75" customHeight="1">
      <c r="A199" s="2" t="s">
        <v>199</v>
      </c>
      <c r="B199" s="2" t="str">
        <f>IFERROR(__xludf.DUMMYFUNCTION("GOOGLETRANSLATE(A199, ""en"", ""mt"")"),"X'għandhom il-karboidrati l-aktar bil-massa?")</f>
        <v>X'għandhom il-karboidrati l-aktar bil-massa?</v>
      </c>
    </row>
    <row r="200" ht="15.75" customHeight="1">
      <c r="A200" s="2" t="s">
        <v>200</v>
      </c>
      <c r="B200" s="2" t="str">
        <f>IFERROR(__xludf.DUMMYFUNCTION("GOOGLETRANSLATE(A200, ""en"", ""mt"")"),"X'qed tieħu l-partit fuq il-preżent Musulman?")</f>
        <v>X'qed tieħu l-partit fuq il-preżent Musulman?</v>
      </c>
    </row>
    <row r="201" ht="15.75" customHeight="1">
      <c r="A201" s="2" t="s">
        <v>201</v>
      </c>
      <c r="B201" s="2" t="str">
        <f>IFERROR(__xludf.DUMMYFUNCTION("GOOGLETRANSLATE(A201, ""en"", ""mt"")"),"HIV")</f>
        <v>HIV</v>
      </c>
    </row>
    <row r="202" ht="15.75" customHeight="1">
      <c r="A202" s="2" t="s">
        <v>202</v>
      </c>
      <c r="B202" s="2" t="str">
        <f>IFERROR(__xludf.DUMMYFUNCTION("GOOGLETRANSLATE(A202, ""en"", ""mt"")"),"Min hu l-gvernatur attwali tar-Rabat?")</f>
        <v>Min hu l-gvernatur attwali tar-Rabat?</v>
      </c>
    </row>
    <row r="203" ht="15.75" customHeight="1">
      <c r="A203" s="2" t="s">
        <v>203</v>
      </c>
      <c r="B203" s="2" t="str">
        <f>IFERROR(__xludf.DUMMYFUNCTION("GOOGLETRANSLATE(A203, ""en"", ""mt"")"),"Il-popolarità ta 'Jacksonville għall-films kisbet liema titlu?")</f>
        <v>Il-popolarità ta 'Jacksonville għall-films kisbet liema titlu?</v>
      </c>
    </row>
    <row r="204" ht="15.75" customHeight="1">
      <c r="A204" s="2" t="s">
        <v>204</v>
      </c>
      <c r="B204" s="2" t="str">
        <f>IFERROR(__xludf.DUMMYFUNCTION("GOOGLETRANSLATE(A204, ""en"", ""mt"")"),"Kif wieħed jiddeskrivi s-sjuf fi Fresno?")</f>
        <v>Kif wieħed jiddeskrivi s-sjuf fi Fresno?</v>
      </c>
    </row>
    <row r="205" ht="15.75" customHeight="1">
      <c r="A205" s="2" t="s">
        <v>205</v>
      </c>
      <c r="B205" s="2" t="str">
        <f>IFERROR(__xludf.DUMMYFUNCTION("GOOGLETRANSLATE(A205, ""en"", ""mt"")"),"F'liema univers ikun hemm art tal-kanun li taqa 'quddiem l-arblu ta' vapur li jiċċaqlaq?")</f>
        <v>F'liema univers ikun hemm art tal-kanun li taqa 'quddiem l-arblu ta' vapur li jiċċaqlaq?</v>
      </c>
    </row>
    <row r="206" ht="15.75" customHeight="1">
      <c r="A206" s="2" t="s">
        <v>206</v>
      </c>
      <c r="B206" s="2" t="str">
        <f>IFERROR(__xludf.DUMMYFUNCTION("GOOGLETRANSLATE(A206, ""en"", ""mt"")"),"injettur")</f>
        <v>injettur</v>
      </c>
    </row>
    <row r="207" ht="15.75" customHeight="1">
      <c r="A207" s="2" t="s">
        <v>207</v>
      </c>
      <c r="B207" s="2" t="str">
        <f>IFERROR(__xludf.DUMMYFUNCTION("GOOGLETRANSLATE(A207, ""en"", ""mt"")"),"ugwaljanza akbar iżda mhux dħul per capita")</f>
        <v>ugwaljanza akbar iżda mhux dħul per capita</v>
      </c>
    </row>
    <row r="208" ht="15.75" customHeight="1">
      <c r="A208" s="2" t="s">
        <v>208</v>
      </c>
      <c r="B208" s="2" t="str">
        <f>IFERROR(__xludf.DUMMYFUNCTION("GOOGLETRANSLATE(A208, ""en"", ""mt"")"),"Kemm-il linji għandha s-sistema ferrovjarja tal-vjaġġatur?")</f>
        <v>Kemm-il linji għandha s-sistema ferrovjarja tal-vjaġġatur?</v>
      </c>
    </row>
    <row r="209" ht="15.75" customHeight="1">
      <c r="A209" s="2" t="s">
        <v>209</v>
      </c>
      <c r="B209" s="2" t="str">
        <f>IFERROR(__xludf.DUMMYFUNCTION("GOOGLETRANSLATE(A209, ""en"", ""mt"")")," X’ma kienx il-valur idealizzat tal-imperjalizmu?")</f>
        <v> X’ma kienx il-valur idealizzat tal-imperjalizmu?</v>
      </c>
    </row>
    <row r="210" ht="15.75" customHeight="1">
      <c r="A210" s="2" t="s">
        <v>210</v>
      </c>
      <c r="B210" s="2" t="str">
        <f>IFERROR(__xludf.DUMMYFUNCTION("GOOGLETRANSLATE(A210, ""en"", ""mt"")"),"1968")</f>
        <v>1968</v>
      </c>
    </row>
    <row r="211" ht="15.75" customHeight="1">
      <c r="A211" s="2" t="s">
        <v>211</v>
      </c>
      <c r="B211" s="2" t="str">
        <f>IFERROR(__xludf.DUMMYFUNCTION("GOOGLETRANSLATE(A211, ""en"", ""mt"")"),"stat ħieles")</f>
        <v>stat ħieles</v>
      </c>
    </row>
    <row r="212" ht="15.75" customHeight="1">
      <c r="A212" s="2" t="s">
        <v>212</v>
      </c>
      <c r="B212" s="2" t="str">
        <f>IFERROR(__xludf.DUMMYFUNCTION("GOOGLETRANSLATE(A212, ""en"", ""mt"")"),"Eżempju partikolarment sempliċi ta 'test probabilistiku huwa t-test tal-primalità Fermat, li jiddependi fuq il-fatt (it-teorema ftit ta' Fermat) li NP≡N (mod P) għal kwalunkwe n jekk p huwa numru ewlieni. Jekk għandna numru B li rridu nittestjaw għall-pri"&amp;"malità, allura naħdmu NB (Mod B) għal valur każwali ta 'N bħala t-test tagħna. Difett ma 'dan it-test huwa li hemm xi numri komposti (in-numri ta' Carmichael) li jissodisfaw l-identità Fermat minkejja li mhumiex ewlenin, u għalhekk it-test m'għandu l-ebda"&amp;" mod li jiddistingwi bejn numri ewlenin u numri ta 'Carmichael. In-numri ta 'Carmichael huma sostanzjalment aktar rari minn numri ewlenin, għalkemm dan it-test jista' jkun utli għal skopijiet prattiċi. Estensjonijiet aktar qawwija tat-test tal-primalità t"&amp;"al-Fermat, bħalma huma t-testijiet Baillie-PSW, Miller-Rabin u Solovay-Strassen, huma garantiti li jonqsu mill-inqas ftit mill-ħin meta jiġu applikati għal numru kompost.")</f>
        <v>Eżempju partikolarment sempliċi ta 'test probabilistiku huwa t-test tal-primalità Fermat, li jiddependi fuq il-fatt (it-teorema ftit ta' Fermat) li NP≡N (mod P) għal kwalunkwe n jekk p huwa numru ewlieni. Jekk għandna numru B li rridu nittestjaw għall-primalità, allura naħdmu NB (Mod B) għal valur każwali ta 'N bħala t-test tagħna. Difett ma 'dan it-test huwa li hemm xi numri komposti (in-numri ta' Carmichael) li jissodisfaw l-identità Fermat minkejja li mhumiex ewlenin, u għalhekk it-test m'għandu l-ebda mod li jiddistingwi bejn numri ewlenin u numri ta 'Carmichael. In-numri ta 'Carmichael huma sostanzjalment aktar rari minn numri ewlenin, għalkemm dan it-test jista' jkun utli għal skopijiet prattiċi. Estensjonijiet aktar qawwija tat-test tal-primalità tal-Fermat, bħalma huma t-testijiet Baillie-PSW, Miller-Rabin u Solovay-Strassen, huma garantiti li jonqsu mill-inqas ftit mill-ħin meta jiġu applikati għal numru kompost.</v>
      </c>
    </row>
    <row r="213" ht="15.75" customHeight="1">
      <c r="A213" s="2" t="s">
        <v>213</v>
      </c>
      <c r="B213" s="2" t="str">
        <f>IFERROR(__xludf.DUMMYFUNCTION("GOOGLETRANSLATE(A213, ""en"", ""mt"")"),"NBA")</f>
        <v>NBA</v>
      </c>
    </row>
    <row r="214" ht="15.75" customHeight="1">
      <c r="A214" s="2" t="s">
        <v>214</v>
      </c>
      <c r="B214" s="2" t="str">
        <f>IFERROR(__xludf.DUMMYFUNCTION("GOOGLETRANSLATE(A214, ""en"", ""mt"")"),"2.8")</f>
        <v>2.8</v>
      </c>
    </row>
    <row r="215" ht="15.75" customHeight="1">
      <c r="A215" s="2" t="s">
        <v>215</v>
      </c>
      <c r="B215" s="2" t="str">
        <f>IFERROR(__xludf.DUMMYFUNCTION("GOOGLETRANSLATE(A215, ""en"", ""mt"")"),"Ma 'liema tipi ta' mard jintużaw ħafna drabi drogi speċjalizzati?")</f>
        <v>Ma 'liema tipi ta' mard jintużaw ħafna drabi drogi speċjalizzati?</v>
      </c>
    </row>
    <row r="216" ht="15.75" customHeight="1">
      <c r="A216" s="2" t="s">
        <v>216</v>
      </c>
      <c r="B216" s="2" t="str">
        <f>IFERROR(__xludf.DUMMYFUNCTION("GOOGLETRANSLATE(A216, ""en"", ""mt"")"),"Meta ġie mniedi s-servizz diġitali ta 'BSKYB mhux uffiċjalment?")</f>
        <v>Meta ġie mniedi s-servizz diġitali ta 'BSKYB mhux uffiċjalment?</v>
      </c>
    </row>
    <row r="217" ht="15.75" customHeight="1">
      <c r="A217" s="2" t="s">
        <v>217</v>
      </c>
      <c r="B217" s="2" t="str">
        <f>IFERROR(__xludf.DUMMYFUNCTION("GOOGLETRANSLATE(A217, ""en"", ""mt"")"),"L-ebda truppi tal-Armata Regolari Franċiżi ma kienu stazzjonati fl-Amerika ta ’Fuq")</f>
        <v>L-ebda truppi tal-Armata Regolari Franċiżi ma kienu stazzjonati fl-Amerika ta ’Fuq</v>
      </c>
    </row>
    <row r="218" ht="15.75" customHeight="1">
      <c r="A218" s="2" t="s">
        <v>218</v>
      </c>
      <c r="B218" s="2" t="str">
        <f>IFERROR(__xludf.DUMMYFUNCTION("GOOGLETRANSLATE(A218, ""en"", ""mt"")"),"828,000")</f>
        <v>828,000</v>
      </c>
    </row>
    <row r="219" ht="15.75" customHeight="1">
      <c r="A219" s="2" t="s">
        <v>219</v>
      </c>
      <c r="B219" s="2" t="str">
        <f>IFERROR(__xludf.DUMMYFUNCTION("GOOGLETRANSLATE(A219, ""en"", ""mt"")"),"L-ikbar divisor komuni huwa wieħed")</f>
        <v>L-ikbar divisor komuni huwa wieħed</v>
      </c>
    </row>
    <row r="220" ht="15.75" customHeight="1">
      <c r="A220" s="2" t="s">
        <v>220</v>
      </c>
      <c r="B220" s="2" t="str">
        <f>IFERROR(__xludf.DUMMYFUNCTION("GOOGLETRANSLATE(A220, ""en"", ""mt"")"),"Liema żewġ komposti al-MuwaffAQ iddifferenzjaw bejniethom?")</f>
        <v>Liema żewġ komposti al-MuwaffAQ iddifferenzjaw bejniethom?</v>
      </c>
    </row>
    <row r="221" ht="15.75" customHeight="1">
      <c r="A221" s="2" t="s">
        <v>221</v>
      </c>
      <c r="B221" s="2" t="str">
        <f>IFERROR(__xludf.DUMMYFUNCTION("GOOGLETRANSLATE(A221, ""en"", ""mt"")")," Liema forma ta 'kitba ta' kanzunetti ġiet żviluppata fil-wan?")</f>
        <v> Liema forma ta 'kitba ta' kanzunetti ġiet żviluppata fil-wan?</v>
      </c>
    </row>
    <row r="222" ht="15.75" customHeight="1">
      <c r="A222" s="2" t="s">
        <v>222</v>
      </c>
      <c r="B222" s="2" t="str">
        <f>IFERROR(__xludf.DUMMYFUNCTION("GOOGLETRANSLATE(A222, ""en"", ""mt"")"),"Min ippreżenta l-għoti ta ’informazzjoni B-265 lill-Air Force tal-Istati Uniti?")</f>
        <v>Min ippreżenta l-għoti ta ’informazzjoni B-265 lill-Air Force tal-Istati Uniti?</v>
      </c>
    </row>
    <row r="223" ht="15.75" customHeight="1">
      <c r="A223" s="2" t="s">
        <v>223</v>
      </c>
      <c r="B223" s="2" t="str">
        <f>IFERROR(__xludf.DUMMYFUNCTION("GOOGLETRANSLATE(A223, ""en"", ""mt"")"),"L-isponoż għandhom tliet saffi taċ-ċelloli ewlenin u le?")</f>
        <v>L-isponoż għandhom tliet saffi taċ-ċelloli ewlenin u le?</v>
      </c>
    </row>
    <row r="224" ht="15.75" customHeight="1">
      <c r="A224" s="2" t="s">
        <v>224</v>
      </c>
      <c r="B224" s="2" t="str">
        <f>IFERROR(__xludf.DUMMYFUNCTION("GOOGLETRANSLATE(A224, ""en"", ""mt"")"),"magħluq")</f>
        <v>magħluq</v>
      </c>
    </row>
    <row r="225" ht="15.75" customHeight="1">
      <c r="A225" s="2" t="s">
        <v>225</v>
      </c>
      <c r="B225" s="2" t="str">
        <f>IFERROR(__xludf.DUMMYFUNCTION("GOOGLETRANSLATE(A225, ""en"", ""mt"")"),"It-Tieni Gwerra Dinjija")</f>
        <v>It-Tieni Gwerra Dinjija</v>
      </c>
    </row>
    <row r="226" ht="15.75" customHeight="1">
      <c r="A226" s="2" t="s">
        <v>226</v>
      </c>
      <c r="B226" s="2" t="str">
        <f>IFERROR(__xludf.DUMMYFUNCTION("GOOGLETRANSLATE(A226, ""en"", ""mt"")"),"X'inhi waħda mill-aħħar tweġibiet tas-sistema immuni għall-infezzjoni?")</f>
        <v>X'inhi waħda mill-aħħar tweġibiet tas-sistema immuni għall-infezzjoni?</v>
      </c>
    </row>
    <row r="227" ht="15.75" customHeight="1">
      <c r="A227" s="2" t="s">
        <v>227</v>
      </c>
      <c r="B227" s="2" t="str">
        <f>IFERROR(__xludf.DUMMYFUNCTION("GOOGLETRANSLATE(A227, ""en"", ""mt"")"),"Liġi Primarja, Liġi Sekondarja u Liġi Supplimentari")</f>
        <v>Liġi Primarja, Liġi Sekondarja u Liġi Supplimentari</v>
      </c>
    </row>
    <row r="228" ht="15.75" customHeight="1">
      <c r="A228" s="2" t="s">
        <v>228</v>
      </c>
      <c r="B228" s="2" t="str">
        <f>IFERROR(__xludf.DUMMYFUNCTION("GOOGLETRANSLATE(A228, ""en"", ""mt"")"),"Fejn tinsab l-Università ta 'Redland?")</f>
        <v>Fejn tinsab l-Università ta 'Redland?</v>
      </c>
    </row>
    <row r="229" ht="15.75" customHeight="1">
      <c r="A229" s="2" t="s">
        <v>229</v>
      </c>
      <c r="B229" s="2" t="str">
        <f>IFERROR(__xludf.DUMMYFUNCTION("GOOGLETRANSLATE(A229, ""en"", ""mt"")"),"mekkaniżmu li bih Y. pestis ġeneralment kien trasmess")</f>
        <v>mekkaniżmu li bih Y. pestis ġeneralment kien trasmess</v>
      </c>
    </row>
    <row r="230" ht="15.75" customHeight="1">
      <c r="A230" s="2" t="s">
        <v>230</v>
      </c>
      <c r="B230" s="2" t="str">
        <f>IFERROR(__xludf.DUMMYFUNCTION("GOOGLETRANSLATE(A230, ""en"", ""mt"")"),"X'inhuma xi kultant preżenti fil-kuruna tal-firebox tal-bojler?")</f>
        <v>X'inhuma xi kultant preżenti fil-kuruna tal-firebox tal-bojler?</v>
      </c>
    </row>
    <row r="231" ht="15.75" customHeight="1">
      <c r="A231" s="2" t="s">
        <v>231</v>
      </c>
      <c r="B231" s="2" t="str">
        <f>IFERROR(__xludf.DUMMYFUNCTION("GOOGLETRANSLATE(A231, ""en"", ""mt"")"),"Victoria (imqassar bħala Vic) hija stat fix-Xlokk tal-Awstralja. Ir-Rabat huwa l-iktar stat popolat tal-Awstralja u t-tieni l-iktar stat popolat tagħha b’mod ġenerali. Il-biċċa l-kbira tal-popolazzjoni tagħha hija kkonċentrata fiż-żona li tdawwar Port Phi"&amp;"llip Bay, li tinkludi ż-żona metropolitana tal-kapitali tagħha u l-ikbar belt, Melbourne, li hija t-tieni l-akbar belt tal-Awstralja. Ġeografikament l-iżgħar stat fuq il-kontinent Awstraljan, ir-Rabat hija mdawra minn Strada Bass u Tasmanja fin-nofsinhar,"&amp;" [nota 1] New South Wales fit-tramuntana, il-Baħar Tasman lejn il-lvant, u l-Awstralja t'Isfel lejn il-punent.")</f>
        <v>Victoria (imqassar bħala Vic) hija stat fix-Xlokk tal-Awstralja. Ir-Rabat huwa l-iktar stat popolat tal-Awstralja u t-tieni l-iktar stat popolat tagħha b’mod ġenerali. Il-biċċa l-kbira tal-popolazzjoni tagħha hija kkonċentrata fiż-żona li tdawwar Port Phillip Bay, li tinkludi ż-żona metropolitana tal-kapitali tagħha u l-ikbar belt, Melbourne, li hija t-tieni l-akbar belt tal-Awstralja. Ġeografikament l-iżgħar stat fuq il-kontinent Awstraljan, ir-Rabat hija mdawra minn Strada Bass u Tasmanja fin-nofsinhar, [nota 1] New South Wales fit-tramuntana, il-Baħar Tasman lejn il-lvant, u l-Awstralja t'Isfel lejn il-punent.</v>
      </c>
    </row>
    <row r="232" ht="15.75" customHeight="1">
      <c r="A232" s="2" t="s">
        <v>232</v>
      </c>
      <c r="B232" s="2" t="str">
        <f>IFERROR(__xludf.DUMMYFUNCTION("GOOGLETRANSLATE(A232, ""en"", ""mt"")"),"Ir-rwol fit-tixrid tal-għarfien dwar, u l-aċċess għan-netwerking nazzjonali u kien pass importanti fit-triq għall-iżvilupp tal-internet globali")</f>
        <v>Ir-rwol fit-tixrid tal-għarfien dwar, u l-aċċess għan-netwerking nazzjonali u kien pass importanti fit-triq għall-iżvilupp tal-internet globali</v>
      </c>
    </row>
    <row r="233" ht="15.75" customHeight="1">
      <c r="A233" s="2" t="s">
        <v>233</v>
      </c>
      <c r="B233" s="2" t="str">
        <f>IFERROR(__xludf.DUMMYFUNCTION("GOOGLETRANSLATE(A233, ""en"", ""mt"")"),"Ċ ċellula")</f>
        <v>Ċ ċellula</v>
      </c>
    </row>
    <row r="234" ht="15.75" customHeight="1">
      <c r="A234" s="2" t="s">
        <v>234</v>
      </c>
      <c r="B234" s="2" t="str">
        <f>IFERROR(__xludf.DUMMYFUNCTION("GOOGLETRANSLATE(A234, ""en"", ""mt"")"),"Liema persentaġġ ta 'Vittorjani huma xjenzati Kristjani?")</f>
        <v>Liema persentaġġ ta 'Vittorjani huma xjenzati Kristjani?</v>
      </c>
    </row>
    <row r="235" ht="15.75" customHeight="1">
      <c r="A235" s="2" t="s">
        <v>235</v>
      </c>
      <c r="B235" s="2" t="str">
        <f>IFERROR(__xludf.DUMMYFUNCTION("GOOGLETRANSLATE(A235, ""en"", ""mt"")"),"Min kien l-ewwel merċenarju Biżantin li jservi man-Normanni?")</f>
        <v>Min kien l-ewwel merċenarju Biżantin li jservi man-Normanni?</v>
      </c>
    </row>
    <row r="236" ht="15.75" customHeight="1">
      <c r="A236" s="2" t="s">
        <v>236</v>
      </c>
      <c r="B236" s="2" t="str">
        <f>IFERROR(__xludf.DUMMYFUNCTION("GOOGLETRANSLATE(A236, ""en"", ""mt"")"),"Numru dejjem jikber ta 'forom ġodda ta' akkwist jinvolvi x'inhu?")</f>
        <v>Numru dejjem jikber ta 'forom ġodda ta' akkwist jinvolvi x'inhu?</v>
      </c>
    </row>
    <row r="237" ht="15.75" customHeight="1">
      <c r="A237" s="2" t="s">
        <v>237</v>
      </c>
      <c r="B237" s="2" t="str">
        <f>IFERROR(__xludf.DUMMYFUNCTION("GOOGLETRANSLATE(A237, ""en"", ""mt"")"),"OAPEC")</f>
        <v>OAPEC</v>
      </c>
    </row>
    <row r="238" ht="15.75" customHeight="1">
      <c r="A238" s="2" t="s">
        <v>238</v>
      </c>
      <c r="B238" s="2" t="str">
        <f>IFERROR(__xludf.DUMMYFUNCTION("GOOGLETRANSLATE(A238, ""en"", ""mt"")"),"Microsoft x’ħabbret li se tibdel l-isem ta ’OneDrive?")</f>
        <v>Microsoft x’ħabbret li se tibdel l-isem ta ’OneDrive?</v>
      </c>
    </row>
    <row r="239" ht="15.75" customHeight="1">
      <c r="A239" s="2" t="s">
        <v>239</v>
      </c>
      <c r="B239" s="2" t="str">
        <f>IFERROR(__xludf.DUMMYFUNCTION("GOOGLETRANSLATE(A239, ""en"", ""mt"")"),"Meta kummissjoni waslet għal deċiżjoni, x'ġara?")</f>
        <v>Meta kummissjoni waslet għal deċiżjoni, x'ġara?</v>
      </c>
    </row>
    <row r="240" ht="15.75" customHeight="1">
      <c r="A240" s="2" t="s">
        <v>240</v>
      </c>
      <c r="B240" s="2" t="str">
        <f>IFERROR(__xludf.DUMMYFUNCTION("GOOGLETRANSLATE(A240, ""en"", ""mt"")"),"skola uffiċjali")</f>
        <v>skola uffiċjali</v>
      </c>
    </row>
    <row r="241" ht="15.75" customHeight="1">
      <c r="A241" s="2" t="s">
        <v>241</v>
      </c>
      <c r="B241" s="2" t="str">
        <f>IFERROR(__xludf.DUMMYFUNCTION("GOOGLETRANSLATE(A241, ""en"", ""mt"")"),"Il-kontijiet jistgħu jiġu introdotti fil-Parlament f'numru ta 'modi; Il-gvern Skoċċiż jista 'jintroduċi liġijiet jew emendi ġodda għal-liġijiet eżistenti bħala abbozz ta' liġi; Kumitat tal-Parlament jista 'jippreżenta abbozz f'wieħed mill-oqsma taħt il-ma"&amp;"ndat tiegħu; Membru tal-Parlament Skoċċiż jista 'jintroduċi abbozz bħala membru privat; jew kont privat jista 'jiġi sottomess lill-Parlament minn proponent estern. Il-biċċa l-kbira tal-liġijiet tal-abbozzi huma kontijiet tal-gvern introdotti mill-ministri"&amp;" fil-partit governattiv. Il-kontijiet jgħaddu mill-Parlament f'numru ta 'stadji:")</f>
        <v>Il-kontijiet jistgħu jiġu introdotti fil-Parlament f'numru ta 'modi; Il-gvern Skoċċiż jista 'jintroduċi liġijiet jew emendi ġodda għal-liġijiet eżistenti bħala abbozz ta' liġi; Kumitat tal-Parlament jista 'jippreżenta abbozz f'wieħed mill-oqsma taħt il-mandat tiegħu; Membru tal-Parlament Skoċċiż jista 'jintroduċi abbozz bħala membru privat; jew kont privat jista 'jiġi sottomess lill-Parlament minn proponent estern. Il-biċċa l-kbira tal-liġijiet tal-abbozzi huma kontijiet tal-gvern introdotti mill-ministri fil-partit governattiv. Il-kontijiet jgħaddu mill-Parlament f'numru ta 'stadji:</v>
      </c>
    </row>
    <row r="242" ht="15.75" customHeight="1">
      <c r="A242" s="2" t="s">
        <v>242</v>
      </c>
      <c r="B242" s="2" t="str">
        <f>IFERROR(__xludf.DUMMYFUNCTION("GOOGLETRANSLATE(A242, ""en"", ""mt"")"),"fornew żewġ reġimenti ġodda tal-armata tiegħu")</f>
        <v>fornew żewġ reġimenti ġodda tal-armata tiegħu</v>
      </c>
    </row>
    <row r="243" ht="15.75" customHeight="1">
      <c r="A243" s="2" t="s">
        <v>243</v>
      </c>
      <c r="B243" s="2" t="str">
        <f>IFERROR(__xludf.DUMMYFUNCTION("GOOGLETRANSLATE(A243, ""en"", ""mt"")"),"Fejn jinsab l-Osservatorju tal-Punt Apache?")</f>
        <v>Fejn jinsab l-Osservatorju tal-Punt Apache?</v>
      </c>
    </row>
    <row r="244" ht="15.75" customHeight="1">
      <c r="A244" s="2" t="s">
        <v>244</v>
      </c>
      <c r="B244" s="2" t="str">
        <f>IFERROR(__xludf.DUMMYFUNCTION("GOOGLETRANSLATE(A244, ""en"", ""mt"")"),"It-tankijiet tas-saborra tal-vapuri")</f>
        <v>It-tankijiet tas-saborra tal-vapuri</v>
      </c>
    </row>
    <row r="245" ht="15.75" customHeight="1">
      <c r="A245" s="2" t="s">
        <v>245</v>
      </c>
      <c r="B245" s="2" t="str">
        <f>IFERROR(__xludf.DUMMYFUNCTION("GOOGLETRANSLATE(A245, ""en"", ""mt"")"),"Il-parti tan-nofsinhar tal-foresta tal-Amażonja kellha impatt prinċipalment min-nixfa f'liema sena?")</f>
        <v>Il-parti tan-nofsinhar tal-foresta tal-Amażonja kellha impatt prinċipalment min-nixfa f'liema sena?</v>
      </c>
    </row>
    <row r="246" ht="15.75" customHeight="1">
      <c r="A246" s="2" t="s">
        <v>246</v>
      </c>
      <c r="B246" s="2" t="str">
        <f>IFERROR(__xludf.DUMMYFUNCTION("GOOGLETRANSLATE(A246, ""en"", ""mt"")"),"Invażjoni tal-Gran Brittanja")</f>
        <v>Invażjoni tal-Gran Brittanja</v>
      </c>
    </row>
    <row r="247" ht="15.75" customHeight="1">
      <c r="A247" s="2" t="s">
        <v>247</v>
      </c>
      <c r="B247" s="2" t="str">
        <f>IFERROR(__xludf.DUMMYFUNCTION("GOOGLETRANSLATE(A247, ""en"", ""mt"")"),"Min jista 'jkun fil-Kabinett Vittorjan?")</f>
        <v>Min jista 'jkun fil-Kabinett Vittorjan?</v>
      </c>
    </row>
    <row r="248" ht="15.75" customHeight="1">
      <c r="A248" s="2" t="s">
        <v>248</v>
      </c>
      <c r="B248" s="2" t="str">
        <f>IFERROR(__xludf.DUMMYFUNCTION("GOOGLETRANSLATE(A248, ""en"", ""mt"")"),"Meta nbnew l-iżviluppi tad-djar pubbliċi fil-viċinat?")</f>
        <v>Meta nbnew l-iżviluppi tad-djar pubbliċi fil-viċinat?</v>
      </c>
    </row>
    <row r="249" ht="15.75" customHeight="1">
      <c r="A249" s="2" t="s">
        <v>249</v>
      </c>
      <c r="B249" s="2" t="str">
        <f>IFERROR(__xludf.DUMMYFUNCTION("GOOGLETRANSLATE(A249, ""en"", ""mt"")"),"Ctenophore Mnemiopsis Leidyi")</f>
        <v>Ctenophore Mnemiopsis Leidyi</v>
      </c>
    </row>
    <row r="250" ht="15.75" customHeight="1">
      <c r="A250" s="2" t="s">
        <v>250</v>
      </c>
      <c r="B250" s="2" t="str">
        <f>IFERROR(__xludf.DUMMYFUNCTION("GOOGLETRANSLATE(A250, ""en"", ""mt"")"),"Dak li ma jaqax taħt il-qasam tal-analiżi tal-algoritmi&gt;")</f>
        <v>Dak li ma jaqax taħt il-qasam tal-analiżi tal-algoritmi&gt;</v>
      </c>
    </row>
    <row r="251" ht="15.75" customHeight="1">
      <c r="A251" s="2" t="s">
        <v>251</v>
      </c>
      <c r="B251" s="2" t="str">
        <f>IFERROR(__xludf.DUMMYFUNCTION("GOOGLETRANSLATE(A251, ""en"", ""mt"")"),"bajjiet")</f>
        <v>bajjiet</v>
      </c>
    </row>
    <row r="252" ht="15.75" customHeight="1">
      <c r="A252" s="2" t="s">
        <v>252</v>
      </c>
      <c r="B252" s="2" t="str">
        <f>IFERROR(__xludf.DUMMYFUNCTION("GOOGLETRANSLATE(A252, ""en"", ""mt"")"),"Biex tnaqqas iċ-ċansijiet ta 'kombustjoni ___ hija meħtieġa biex timmaniġġja b'mod sikur O.")</f>
        <v>Biex tnaqqas iċ-ċansijiet ta 'kombustjoni ___ hija meħtieġa biex timmaniġġja b'mod sikur O.</v>
      </c>
    </row>
    <row r="253" ht="15.75" customHeight="1">
      <c r="A253" s="2" t="s">
        <v>253</v>
      </c>
      <c r="B253" s="2" t="str">
        <f>IFERROR(__xludf.DUMMYFUNCTION("GOOGLETRANSLATE(A253, ""en"", ""mt"")"),"Meta seħħet il-Costa V Enel?")</f>
        <v>Meta seħħet il-Costa V Enel?</v>
      </c>
    </row>
    <row r="254" ht="15.75" customHeight="1">
      <c r="A254" s="2" t="s">
        <v>254</v>
      </c>
      <c r="B254" s="2" t="str">
        <f>IFERROR(__xludf.DUMMYFUNCTION("GOOGLETRANSLATE(A254, ""en"", ""mt"")"),"Kemm tunnellata ta 'karbonju jiġu assorbiti l-Amażonja f'sena tipika?")</f>
        <v>Kemm tunnellata ta 'karbonju jiġu assorbiti l-Amażonja f'sena tipika?</v>
      </c>
    </row>
    <row r="255" ht="15.75" customHeight="1">
      <c r="A255" s="2" t="s">
        <v>255</v>
      </c>
      <c r="B255" s="2" t="str">
        <f>IFERROR(__xludf.DUMMYFUNCTION("GOOGLETRANSLATE(A255, ""en"", ""mt"")"),"L-akbar megaregion tan-Nofsinhar ta ’California")</f>
        <v>L-akbar megaregion tan-Nofsinhar ta ’California</v>
      </c>
    </row>
    <row r="256" ht="15.75" customHeight="1">
      <c r="A256" s="2" t="s">
        <v>256</v>
      </c>
      <c r="B256" s="2" t="str">
        <f>IFERROR(__xludf.DUMMYFUNCTION("GOOGLETRANSLATE(A256, ""en"", ""mt"")"),"Netwerk Internet2")</f>
        <v>Netwerk Internet2</v>
      </c>
    </row>
    <row r="257" ht="15.75" customHeight="1">
      <c r="A257" s="2" t="s">
        <v>257</v>
      </c>
      <c r="B257" s="2" t="str">
        <f>IFERROR(__xludf.DUMMYFUNCTION("GOOGLETRANSLATE(A257, ""en"", ""mt"")"),"Liema korpi barranin, li huma eqdem mill-blat infushom, iseħħu blat igneous?")</f>
        <v>Liema korpi barranin, li huma eqdem mill-blat infushom, iseħħu blat igneous?</v>
      </c>
    </row>
    <row r="258" ht="15.75" customHeight="1">
      <c r="A258" s="2" t="s">
        <v>258</v>
      </c>
      <c r="B258" s="2" t="str">
        <f>IFERROR(__xludf.DUMMYFUNCTION("GOOGLETRANSLATE(A258, ""en"", ""mt"")"),"L-element jinstab fi kważi l-bijomolekuli kollha li huma importanti għall-ħajja (jew iġġenerata mill-ħajja). Ftit bijomolekuli kumplessi komuni biss, bħal squalene u l-karoteni, ma fihom l-ebda ossiġnu. Mill-komposti organiċi b'relevanza bijoloġika, il-ka"&amp;"rboidrati fihom l-akbar proporzjon mill-massa ta 'ossiġenu. Ix-xaħmijiet kollha, l-aċidi grassi, l-aċidi amminiċi, u l-proteini fihom ossiġnu (minħabba l-preżenza ta 'gruppi ta' karbonil f'dawn l-aċidi u r-residwi ta 'ester tagħhom). L-ossiġnu jseħħ ukoll"&amp;" fil-fosfat (PO3−
4) Gruppi fil-molekuli bijoloġikament importanti li jġorru l-enerġija ATP u ADP, fis-sinsla u l-purini (minbarra adenine) u pirimidini ta 'RNA u DNA, u fl-għadam bħala fosfat tal-kalċju u idrossilapatite.")</f>
        <v>L-element jinstab fi kważi l-bijomolekuli kollha li huma importanti għall-ħajja (jew iġġenerata mill-ħajja). Ftit bijomolekuli kumplessi komuni biss, bħal squalene u l-karoteni, ma fihom l-ebda ossiġnu. Mill-komposti organiċi b'relevanza bijoloġika, il-karboidrati fihom l-akbar proporzjon mill-massa ta 'ossiġenu. Ix-xaħmijiet kollha, l-aċidi grassi, l-aċidi amminiċi, u l-proteini fihom ossiġnu (minħabba l-preżenza ta 'gruppi ta' karbonil f'dawn l-aċidi u r-residwi ta 'ester tagħhom). L-ossiġnu jseħħ ukoll fil-fosfat (PO3−
4) Gruppi fil-molekuli bijoloġikament importanti li jġorru l-enerġija ATP u ADP, fis-sinsla u l-purini (minbarra adenine) u pirimidini ta 'RNA u DNA, u fl-għadam bħala fosfat tal-kalċju u idrossilapatite.</v>
      </c>
    </row>
    <row r="259" ht="15.75" customHeight="1">
      <c r="A259" s="2" t="s">
        <v>259</v>
      </c>
      <c r="B259" s="2" t="str">
        <f>IFERROR(__xludf.DUMMYFUNCTION("GOOGLETRANSLATE(A259, ""en"", ""mt"")"),"X’rapportat RM 3420?")</f>
        <v>X’rapportat RM 3420?</v>
      </c>
    </row>
    <row r="260" ht="15.75" customHeight="1">
      <c r="A260" s="2" t="s">
        <v>260</v>
      </c>
      <c r="B260" s="2" t="str">
        <f>IFERROR(__xludf.DUMMYFUNCTION("GOOGLETRANSLATE(A260, ""en"", ""mt"")"),"Fejn għexu l-kolonizzaturi Ingliżi?")</f>
        <v>Fejn għexu l-kolonizzaturi Ingliżi?</v>
      </c>
    </row>
    <row r="261" ht="15.75" customHeight="1">
      <c r="A261" s="2" t="s">
        <v>261</v>
      </c>
      <c r="B261" s="2" t="str">
        <f>IFERROR(__xludf.DUMMYFUNCTION("GOOGLETRANSLATE(A261, ""en"", ""mt"")"),"pittura, poeżija, u kaligrafija")</f>
        <v>pittura, poeżija, u kaligrafija</v>
      </c>
    </row>
    <row r="262" ht="15.75" customHeight="1">
      <c r="A262" s="2" t="s">
        <v>262</v>
      </c>
      <c r="B262" s="2" t="str">
        <f>IFERROR(__xludf.DUMMYFUNCTION("GOOGLETRANSLATE(A262, ""en"", ""mt"")"),"300 acres")</f>
        <v>300 acres</v>
      </c>
    </row>
    <row r="263" ht="15.75" customHeight="1">
      <c r="A263" s="2" t="s">
        <v>263</v>
      </c>
      <c r="B263" s="2" t="str">
        <f>IFERROR(__xludf.DUMMYFUNCTION("GOOGLETRANSLATE(A263, ""en"", ""mt"")"),"Ir-reġjun kien mexxej f'liema avveniment bejn l-2001 - 2007?")</f>
        <v>Ir-reġjun kien mexxej f'liema avveniment bejn l-2001 - 2007?</v>
      </c>
    </row>
    <row r="264" ht="15.75" customHeight="1">
      <c r="A264" s="2" t="s">
        <v>264</v>
      </c>
      <c r="B264" s="2" t="str">
        <f>IFERROR(__xludf.DUMMYFUNCTION("GOOGLETRANSLATE(A264, ""en"", ""mt"")"),"biex jikseb l-appoġġ tal-Ingliżi u jerġa 'jikseb l-awtorità fuq in-nies tiegħu stess")</f>
        <v>biex jikseb l-appoġġ tal-Ingliżi u jerġa 'jikseb l-awtorità fuq in-nies tiegħu stess</v>
      </c>
    </row>
    <row r="265" ht="15.75" customHeight="1">
      <c r="A265" s="2" t="s">
        <v>265</v>
      </c>
      <c r="B265" s="2" t="str">
        <f>IFERROR(__xludf.DUMMYFUNCTION("GOOGLETRANSLATE(A265, ""en"", ""mt"")"),"X'inhu madwar 18-il mil fin-Nofsinhar ta 'San Jose?")</f>
        <v>X'inhu madwar 18-il mil fin-Nofsinhar ta 'San Jose?</v>
      </c>
    </row>
    <row r="266" ht="15.75" customHeight="1">
      <c r="A266" s="2" t="s">
        <v>266</v>
      </c>
      <c r="B266" s="2" t="str">
        <f>IFERROR(__xludf.DUMMYFUNCTION("GOOGLETRANSLATE(A266, ""en"", ""mt"")"),"Min jipprovdi l-Abbozz tal-Kwantitajiet?")</f>
        <v>Min jipprovdi l-Abbozz tal-Kwantitajiet?</v>
      </c>
    </row>
    <row r="267" ht="15.75" customHeight="1">
      <c r="A267" s="2" t="s">
        <v>267</v>
      </c>
      <c r="B267" s="2" t="str">
        <f>IFERROR(__xludf.DUMMYFUNCTION("GOOGLETRANSLATE(A267, ""en"", ""mt"")"),"L-antiġeni MHC fuq ċelloli normali tal-ġisem huma rikonoxxuti minn liema riċettur fuq ċelloli NK?")</f>
        <v>L-antiġeni MHC fuq ċelloli normali tal-ġisem huma rikonoxxuti minn liema riċettur fuq ċelloli NK?</v>
      </c>
    </row>
    <row r="268" ht="15.75" customHeight="1">
      <c r="A268" s="2" t="s">
        <v>268</v>
      </c>
      <c r="B268" s="2" t="str">
        <f>IFERROR(__xludf.DUMMYFUNCTION("GOOGLETRANSLATE(A268, ""en"", ""mt"")"),"Xi tfisser it-terrazzin mgħarrqa bħalissa?")</f>
        <v>Xi tfisser it-terrazzin mgħarrqa bħalissa?</v>
      </c>
    </row>
    <row r="269" ht="15.75" customHeight="1">
      <c r="A269" s="2" t="s">
        <v>269</v>
      </c>
      <c r="B269" s="2" t="str">
        <f>IFERROR(__xludf.DUMMYFUNCTION("GOOGLETRANSLATE(A269, ""en"", ""mt"")"),"Sekwenza stratigrafika")</f>
        <v>Sekwenza stratigrafika</v>
      </c>
    </row>
    <row r="270" ht="15.75" customHeight="1">
      <c r="A270" s="2" t="s">
        <v>270</v>
      </c>
      <c r="B270" s="2" t="str">
        <f>IFERROR(__xludf.DUMMYFUNCTION("GOOGLETRANSLATE(A270, ""en"", ""mt"")"),"passiġġier")</f>
        <v>passiġġier</v>
      </c>
    </row>
    <row r="271" ht="15.75" customHeight="1">
      <c r="A271" s="2" t="s">
        <v>271</v>
      </c>
      <c r="B271" s="2" t="str">
        <f>IFERROR(__xludf.DUMMYFUNCTION("GOOGLETRANSLATE(A271, ""en"", ""mt"")"),"X'tip ta 'professjonisti m'għandhomx l-ispiżjara?")</f>
        <v>X'tip ta 'professjonisti m'għandhomx l-ispiżjara?</v>
      </c>
    </row>
    <row r="272" ht="15.75" customHeight="1">
      <c r="A272" s="2" t="s">
        <v>272</v>
      </c>
      <c r="B272" s="2" t="str">
        <f>IFERROR(__xludf.DUMMYFUNCTION("GOOGLETRANSLATE(A272, ""en"", ""mt"")"),"Meta nstab id-deheb qrib Ballarat?")</f>
        <v>Meta nstab id-deheb qrib Ballarat?</v>
      </c>
    </row>
    <row r="273" ht="15.75" customHeight="1">
      <c r="A273" s="2" t="s">
        <v>273</v>
      </c>
      <c r="B273" s="2" t="str">
        <f>IFERROR(__xludf.DUMMYFUNCTION("GOOGLETRANSLATE(A273, ""en"", ""mt"")"),"X'inhu kkunsmat kemm fil-kombustjoni kif ukoll fir-respirazzjoni?")</f>
        <v>X'inhu kkunsmat kemm fil-kombustjoni kif ukoll fir-respirazzjoni?</v>
      </c>
    </row>
    <row r="274" ht="15.75" customHeight="1">
      <c r="A274" s="2" t="s">
        <v>274</v>
      </c>
      <c r="B274" s="2" t="str">
        <f>IFERROR(__xludf.DUMMYFUNCTION("GOOGLETRANSLATE(A274, ""en"", ""mt"")"),"Liema xiri ta 'armi ta' pajjiż mill-Istati Uniti sar 5 darbiet aktar minn Iżrael?")</f>
        <v>Liema xiri ta 'armi ta' pajjiż mill-Istati Uniti sar 5 darbiet aktar minn Iżrael?</v>
      </c>
    </row>
    <row r="275" ht="15.75" customHeight="1">
      <c r="A275" s="2" t="s">
        <v>275</v>
      </c>
      <c r="B275" s="2" t="str">
        <f>IFERROR(__xludf.DUMMYFUNCTION("GOOGLETRANSLATE(A275, ""en"", ""mt"")"),"Mhux sorpriż, ir-rebħa tal-Mujahideen mas-Sovjetiċi fis-snin 1980 irnexxielha tipproduċi xiex?")</f>
        <v>Mhux sorpriż, ir-rebħa tal-Mujahideen mas-Sovjetiċi fis-snin 1980 irnexxielha tipproduċi xiex?</v>
      </c>
    </row>
    <row r="276" ht="15.75" customHeight="1">
      <c r="A276" s="2" t="s">
        <v>276</v>
      </c>
      <c r="B276" s="2" t="str">
        <f>IFERROR(__xludf.DUMMYFUNCTION("GOOGLETRANSLATE(A276, ""en"", ""mt"")"),"Il-kriżi tal-enerġija wasslet għal interess akbar fl-enerġija rinnovabbli, l-enerġija nukleari u l-fjuwils fossili domestiċi. Hemm kritika li l-politiki tal-enerġija Amerikani mill-kriżi ġew iddominati mill-ħsieb tal-mentalità tal-kriżi, li jippromwovu so"&amp;"luzzjonijiet ta 'malajr għaljin u soluzzjonijiet ta' sparatura waħda li jinjoraw ir-realtajiet tas-suq u tat-teknoloġija. Minflok ma jipprovdu regoli stabbli li jappoġġjaw riċerka bażika filwaqt li jħallu ħafna ambitu għall-intraprenditorija u l-innovazzj"&amp;"oni, il-kungressi u l-presidenti appoġġjaw ripetutament politiki li jwiegħdu soluzzjonijiet li huma politikament spedjenti, iżda li l-prospetti tagħhom huma dubjużi.")</f>
        <v>Il-kriżi tal-enerġija wasslet għal interess akbar fl-enerġija rinnovabbli, l-enerġija nukleari u l-fjuwils fossili domestiċi. Hemm kritika li l-politiki tal-enerġija Amerikani mill-kriżi ġew iddominati mill-ħsieb tal-mentalità tal-kriżi, li jippromwovu soluzzjonijiet ta 'malajr għaljin u soluzzjonijiet ta' sparatura waħda li jinjoraw ir-realtajiet tas-suq u tat-teknoloġija. Minflok ma jipprovdu regoli stabbli li jappoġġjaw riċerka bażika filwaqt li jħallu ħafna ambitu għall-intraprenditorija u l-innovazzjoni, il-kungressi u l-presidenti appoġġjaw ripetutament politiki li jwiegħdu soluzzjonijiet li huma politikament spedjenti, iżda li l-prospetti tagħhom huma dubjużi.</v>
      </c>
    </row>
    <row r="277" ht="15.75" customHeight="1">
      <c r="A277" s="2" t="s">
        <v>277</v>
      </c>
      <c r="B277" s="2" t="str">
        <f>IFERROR(__xludf.DUMMYFUNCTION("GOOGLETRANSLATE(A277, ""en"", ""mt"")"),"Dak li fil-fatt ikkawża l-pesta?")</f>
        <v>Dak li fil-fatt ikkawża l-pesta?</v>
      </c>
    </row>
    <row r="278" ht="15.75" customHeight="1">
      <c r="A278" s="2" t="s">
        <v>278</v>
      </c>
      <c r="B278" s="2" t="str">
        <f>IFERROR(__xludf.DUMMYFUNCTION("GOOGLETRANSLATE(A278, ""en"", ""mt"")"),"Għal liema tip ta 'trattament mhumiex meħtieġa l-ispiżjara?")</f>
        <v>Għal liema tip ta 'trattament mhumiex meħtieġa l-ispiżjara?</v>
      </c>
    </row>
    <row r="279" ht="15.75" customHeight="1">
      <c r="A279" s="2" t="s">
        <v>279</v>
      </c>
      <c r="B279" s="2" t="str">
        <f>IFERROR(__xludf.DUMMYFUNCTION("GOOGLETRANSLATE(A279, ""en"", ""mt"")"),"ħin u ħażna")</f>
        <v>ħin u ħażna</v>
      </c>
    </row>
    <row r="280" ht="15.75" customHeight="1">
      <c r="A280" s="2" t="s">
        <v>280</v>
      </c>
      <c r="B280" s="2" t="str">
        <f>IFERROR(__xludf.DUMMYFUNCTION("GOOGLETRANSLATE(A280, ""en"", ""mt"")"),"Fejn il-Brittaniku l-Qadim ma ċempilx id-dar?")</f>
        <v>Fejn il-Brittaniku l-Qadim ma ċempilx id-dar?</v>
      </c>
    </row>
    <row r="281" ht="15.75" customHeight="1">
      <c r="A281" s="2" t="s">
        <v>281</v>
      </c>
      <c r="B281" s="2" t="str">
        <f>IFERROR(__xludf.DUMMYFUNCTION("GOOGLETRANSLATE(A281, ""en"", ""mt"")"),"Għal xiex iwassal in-nuqqas ta 'edukazzjoni?")</f>
        <v>Għal xiex iwassal in-nuqqas ta 'edukazzjoni?</v>
      </c>
    </row>
    <row r="282" ht="15.75" customHeight="1">
      <c r="A282" s="2" t="s">
        <v>282</v>
      </c>
      <c r="B282" s="2" t="str">
        <f>IFERROR(__xludf.DUMMYFUNCTION("GOOGLETRANSLATE(A282, ""en"", ""mt"")"),"Liema strateġija tintuża minn patoġeni biex tiltaqa 'mas-sistema immuni innata?")</f>
        <v>Liema strateġija tintuża minn patoġeni biex tiltaqa 'mas-sistema immuni innata?</v>
      </c>
    </row>
    <row r="283" ht="15.75" customHeight="1">
      <c r="A283" s="2" t="s">
        <v>283</v>
      </c>
      <c r="B283" s="2" t="str">
        <f>IFERROR(__xludf.DUMMYFUNCTION("GOOGLETRANSLATE(A283, ""en"", ""mt"")"),"Kemm għandu għoli ta 'deni li xi ħadd ibati mill-pesta settiċemika?")</f>
        <v>Kemm għandu għoli ta 'deni li xi ħadd ibati mill-pesta settiċemika?</v>
      </c>
    </row>
    <row r="284" ht="15.75" customHeight="1">
      <c r="A284" s="2" t="s">
        <v>284</v>
      </c>
      <c r="B284" s="2" t="str">
        <f>IFERROR(__xludf.DUMMYFUNCTION("GOOGLETRANSLATE(A284, ""en"", ""mt"")"),"Il-Gvernatur Robert Dinwiddie kellu investiment f'liema kumpanija sinifikanti?")</f>
        <v>Il-Gvernatur Robert Dinwiddie kellu investiment f'liema kumpanija sinifikanti?</v>
      </c>
    </row>
    <row r="285" ht="15.75" customHeight="1">
      <c r="A285" s="2" t="s">
        <v>285</v>
      </c>
      <c r="B285" s="2" t="str">
        <f>IFERROR(__xludf.DUMMYFUNCTION("GOOGLETRANSLATE(A285, ""en"", ""mt"")"),"Evalwazzjoni tal-adegwatezza tat-terapija tal-mediċina")</f>
        <v>Evalwazzjoni tal-adegwatezza tat-terapija tal-mediċina</v>
      </c>
    </row>
    <row r="286" ht="15.75" customHeight="1">
      <c r="A286" s="2" t="s">
        <v>286</v>
      </c>
      <c r="B286" s="2" t="str">
        <f>IFERROR(__xludf.DUMMYFUNCTION("GOOGLETRANSLATE(A286, ""en"", ""mt"")"),"Il-movimenti tal-lobates combs huma kkontrollati minn xiex?")</f>
        <v>Il-movimenti tal-lobates combs huma kkontrollati minn xiex?</v>
      </c>
    </row>
    <row r="287" ht="15.75" customHeight="1">
      <c r="A287" s="2" t="s">
        <v>287</v>
      </c>
      <c r="B287" s="2" t="str">
        <f>IFERROR(__xludf.DUMMYFUNCTION("GOOGLETRANSLATE(A287, ""en"", ""mt"")"),"Blueprint")</f>
        <v>Blueprint</v>
      </c>
    </row>
    <row r="288" ht="15.75" customHeight="1">
      <c r="A288" s="2" t="s">
        <v>288</v>
      </c>
      <c r="B288" s="2" t="str">
        <f>IFERROR(__xludf.DUMMYFUNCTION("GOOGLETRANSLATE(A288, ""en"", ""mt"")"),"Liema qrati m'għandhomx id-dmir li jinterpretaw il-liġi domestika kemm jista 'jkun?")</f>
        <v>Liema qrati m'għandhomx id-dmir li jinterpretaw il-liġi domestika kemm jista 'jkun?</v>
      </c>
    </row>
    <row r="289" ht="15.75" customHeight="1">
      <c r="A289" s="2" t="s">
        <v>289</v>
      </c>
      <c r="B289" s="2" t="str">
        <f>IFERROR(__xludf.DUMMYFUNCTION("GOOGLETRANSLATE(A289, ""en"", ""mt"")"),"Tymnet kien netwerk ta 'komunikazzjonijiet ta' dejta internazzjonali bil-kwartjieri ġenerali f'San Jose, CA li utilizza l-interfaces ta 'pakkett ta' sejħa virtwali u uża X.25, SNA / SDLC, BSC u ASCII interfaces biex jgħaqqdu kompjuters ospitanti (servers)"&amp;" f'eluf ta 'kumpaniji kbar, istituzzjonijiet edukattivi, u aġenziji tal-gvern. L-utenti tipikament konnessi permezz ta 'konnessjonijiet dial-up jew konnessjonijiet ta' async iddedikati. In-negozju kien jikkonsisti minn netwerk pubbliku kbir li appoġġa lil"&amp;"l-utenti dial-up u negozju ta 'netwerk privat li ppermetta aġenziji tal-gvern u kumpaniji kbar (l-aktar banek u linji tal-ajru) biex jibnu n-netwerks iddedikati tagħhom stess. In-netwerks privati ​​spiss kienu konnessi permezz ta ’gateways man-netwerk pub"&amp;"bliku biex jilħqu postijiet mhux fuq in-netwerk privat. Tymnet kien ukoll konness ma 'għexieren ta' netwerks pubbliċi oħra fl-Istati Uniti u internazzjonalment permezz ta 'gateways X.25 / x.75. (Nota interessanti: Tymnet ma kienx imsemmi wara s-Sur Tyme. "&amp;"Impjegat ieħor issuġġerixxa l-isem.)")</f>
        <v>Tymnet kien netwerk ta 'komunikazzjonijiet ta' dejta internazzjonali bil-kwartjieri ġenerali f'San Jose, CA li utilizza l-interfaces ta 'pakkett ta' sejħa virtwali u uża X.25, SNA / SDLC, BSC u ASCII interfaces biex jgħaqqdu kompjuters ospitanti (servers) f'eluf ta 'kumpaniji kbar, istituzzjonijiet edukattivi, u aġenziji tal-gvern. L-utenti tipikament konnessi permezz ta 'konnessjonijiet dial-up jew konnessjonijiet ta' async iddedikati. In-negozju kien jikkonsisti minn netwerk pubbliku kbir li appoġġa lill-utenti dial-up u negozju ta 'netwerk privat li ppermetta aġenziji tal-gvern u kumpaniji kbar (l-aktar banek u linji tal-ajru) biex jibnu n-netwerks iddedikati tagħhom stess. In-netwerks privati ​​spiss kienu konnessi permezz ta ’gateways man-netwerk pubbliku biex jilħqu postijiet mhux fuq in-netwerk privat. Tymnet kien ukoll konness ma 'għexieren ta' netwerks pubbliċi oħra fl-Istati Uniti u internazzjonalment permezz ta 'gateways X.25 / x.75. (Nota interessanti: Tymnet ma kienx imsemmi wara s-Sur Tyme. Impjegat ieħor issuġġerixxa l-isem.)</v>
      </c>
    </row>
    <row r="290" ht="15.75" customHeight="1">
      <c r="A290" s="2" t="s">
        <v>290</v>
      </c>
      <c r="B290" s="2" t="str">
        <f>IFERROR(__xludf.DUMMYFUNCTION("GOOGLETRANSLATE(A290, ""en"", ""mt"")"),"Riċettur taċ-ċelloli T")</f>
        <v>Riċettur taċ-ċelloli T</v>
      </c>
    </row>
    <row r="291" ht="15.75" customHeight="1">
      <c r="A291" s="2" t="s">
        <v>291</v>
      </c>
      <c r="B291" s="2" t="str">
        <f>IFERROR(__xludf.DUMMYFUNCTION("GOOGLETRANSLATE(A291, ""en"", ""mt"")")," X'għan m'għandux l-Iżlamiżmu meta niġu għas-soċjetà u l-gvern?")</f>
        <v> X'għan m'għandux l-Iżlamiżmu meta niġu għas-soċjetà u l-gvern?</v>
      </c>
    </row>
    <row r="292" ht="15.75" customHeight="1">
      <c r="A292" s="2" t="s">
        <v>292</v>
      </c>
      <c r="B292" s="2" t="str">
        <f>IFERROR(__xludf.DUMMYFUNCTION("GOOGLETRANSLATE(A292, ""en"", ""mt"")"),"Matul liema għaxar snin kien hemm żieda fl-applikazzjonijiet tal-istudenti?")</f>
        <v>Matul liema għaxar snin kien hemm żieda fl-applikazzjonijiet tal-istudenti?</v>
      </c>
    </row>
    <row r="293" ht="15.75" customHeight="1">
      <c r="A293" s="2" t="s">
        <v>293</v>
      </c>
      <c r="B293" s="2" t="str">
        <f>IFERROR(__xludf.DUMMYFUNCTION("GOOGLETRANSLATE(A293, ""en"", ""mt"")"),"Liema entitajiet kellhom jiżviluppaw prinċipji ddedikati għar-riżoluzzjoni tal-kunflitti bejn liġijiet ta 'sistemi differenti?")</f>
        <v>Liema entitajiet kellhom jiżviluppaw prinċipji ddedikati għar-riżoluzzjoni tal-kunflitti bejn liġijiet ta 'sistemi differenti?</v>
      </c>
    </row>
    <row r="294" ht="15.75" customHeight="1">
      <c r="A294" s="2" t="s">
        <v>294</v>
      </c>
      <c r="B294" s="2" t="str">
        <f>IFERROR(__xludf.DUMMYFUNCTION("GOOGLETRANSLATE(A294, ""en"", ""mt"")"),"Lvant Nofsani")</f>
        <v>Lvant Nofsani</v>
      </c>
    </row>
    <row r="295" ht="15.75" customHeight="1">
      <c r="A295" s="2" t="s">
        <v>295</v>
      </c>
      <c r="B295" s="2" t="str">
        <f>IFERROR(__xludf.DUMMYFUNCTION("GOOGLETRANSLATE(A295, ""en"", ""mt"")"),"Projbit")</f>
        <v>Projbit</v>
      </c>
    </row>
    <row r="296" ht="15.75" customHeight="1">
      <c r="A296" s="2" t="s">
        <v>296</v>
      </c>
      <c r="B296" s="2" t="str">
        <f>IFERROR(__xludf.DUMMYFUNCTION("GOOGLETRANSLATE(A296, ""en"", ""mt"")"),"X'inhuma tliet affarijiet li huwa r-rwol tal-kuntrattur ewlieni?")</f>
        <v>X'inhuma tliet affarijiet li huwa r-rwol tal-kuntrattur ewlieni?</v>
      </c>
    </row>
    <row r="297" ht="15.75" customHeight="1">
      <c r="A297" s="2" t="s">
        <v>297</v>
      </c>
      <c r="B297" s="2" t="str">
        <f>IFERROR(__xludf.DUMMYFUNCTION("GOOGLETRANSLATE(A297, ""en"", ""mt"")"),"Liema tipi ta 'magni huma magni tal-fwar?")</f>
        <v>Liema tipi ta 'magni huma magni tal-fwar?</v>
      </c>
    </row>
    <row r="298" ht="15.75" customHeight="1">
      <c r="A298" s="2" t="s">
        <v>298</v>
      </c>
      <c r="B298" s="2" t="str">
        <f>IFERROR(__xludf.DUMMYFUNCTION("GOOGLETRANSLATE(A298, ""en"", ""mt"")"),"Andrew Lortie")</f>
        <v>Andrew Lortie</v>
      </c>
    </row>
    <row r="299" ht="15.75" customHeight="1">
      <c r="A299" s="2" t="s">
        <v>299</v>
      </c>
      <c r="B299" s="2" t="str">
        <f>IFERROR(__xludf.DUMMYFUNCTION("GOOGLETRANSLATE(A299, ""en"", ""mt"")"),"Kemm hemm sodod l-Istitut ta 'l-Onkoloġija ta' Maria Sklodowska-Curie?")</f>
        <v>Kemm hemm sodod l-Istitut ta 'l-Onkoloġija ta' Maria Sklodowska-Curie?</v>
      </c>
    </row>
    <row r="300" ht="15.75" customHeight="1">
      <c r="A300" s="2" t="s">
        <v>300</v>
      </c>
      <c r="B300" s="2" t="str">
        <f>IFERROR(__xludf.DUMMYFUNCTION("GOOGLETRANSLATE(A300, ""en"", ""mt"")"),"Telf tal-bijodiversità")</f>
        <v>Telf tal-bijodiversità</v>
      </c>
    </row>
    <row r="301" ht="15.75" customHeight="1">
      <c r="A301" s="2" t="s">
        <v>301</v>
      </c>
      <c r="B301" s="2" t="str">
        <f>IFERROR(__xludf.DUMMYFUNCTION("GOOGLETRANSLATE(A301, ""en"", ""mt"")"),"FCC v. Pacifica Foundation")</f>
        <v>FCC v. Pacifica Foundation</v>
      </c>
    </row>
    <row r="302" ht="15.75" customHeight="1">
      <c r="A302" s="2" t="s">
        <v>302</v>
      </c>
      <c r="B302" s="2" t="str">
        <f>IFERROR(__xludf.DUMMYFUNCTION("GOOGLETRANSLATE(A302, ""en"", ""mt"")"),"X'inhu flimkien mal-prezzijiet tal-għasafar biex jagħmluha diffiċli jew impossibbli għal nies foqra li jżommu l-pass?")</f>
        <v>X'inhu flimkien mal-prezzijiet tal-għasafar biex jagħmluha diffiċli jew impossibbli għal nies foqra li jżommu l-pass?</v>
      </c>
    </row>
    <row r="303" ht="15.75" customHeight="1">
      <c r="A303" s="2" t="s">
        <v>303</v>
      </c>
      <c r="B303" s="2" t="str">
        <f>IFERROR(__xludf.DUMMYFUNCTION("GOOGLETRANSLATE(A303, ""en"", ""mt"")"),"Liema rapport juri varjazzjonijiet ta 'temperatura inqas?")</f>
        <v>Liema rapport juri varjazzjonijiet ta 'temperatura inqas?</v>
      </c>
    </row>
    <row r="304" ht="15.75" customHeight="1">
      <c r="A304" s="2" t="s">
        <v>304</v>
      </c>
      <c r="B304" s="2" t="str">
        <f>IFERROR(__xludf.DUMMYFUNCTION("GOOGLETRANSLATE(A304, ""en"", ""mt"")"),"Il-kolonizzatur ta 'Charleston Elie Prioleau kien minn liema belt Franċiża?")</f>
        <v>Il-kolonizzatur ta 'Charleston Elie Prioleau kien minn liema belt Franċiża?</v>
      </c>
    </row>
    <row r="305" ht="15.75" customHeight="1">
      <c r="A305" s="2" t="s">
        <v>305</v>
      </c>
      <c r="B305" s="2" t="str">
        <f>IFERROR(__xludf.DUMMYFUNCTION("GOOGLETRANSLATE(A305, ""en"", ""mt"")"),"Stratigraphers")</f>
        <v>Stratigraphers</v>
      </c>
    </row>
    <row r="306" ht="15.75" customHeight="1">
      <c r="A306" s="2" t="s">
        <v>306</v>
      </c>
      <c r="B306" s="2" t="str">
        <f>IFERROR(__xludf.DUMMYFUNCTION("GOOGLETRANSLATE(A306, ""en"", ""mt"")"),"Li żviluppa Datapac")</f>
        <v>Li żviluppa Datapac</v>
      </c>
    </row>
    <row r="307" ht="15.75" customHeight="1">
      <c r="A307" s="2" t="s">
        <v>307</v>
      </c>
      <c r="B307" s="2" t="str">
        <f>IFERROR(__xludf.DUMMYFUNCTION("GOOGLETRANSLATE(A307, ""en"", ""mt"")"),"X’dajer fir-Renu minħabba t-tneħħija tal-art fiż-żoni tal-art?")</f>
        <v>X’dajer fir-Renu minħabba t-tneħħija tal-art fiż-żoni tal-art?</v>
      </c>
    </row>
    <row r="308" ht="15.75" customHeight="1">
      <c r="A308" s="2" t="s">
        <v>308</v>
      </c>
      <c r="B308" s="2" t="str">
        <f>IFERROR(__xludf.DUMMYFUNCTION("GOOGLETRANSLATE(A308, ""en"", ""mt"")"),"Attakk tal-patoġen")</f>
        <v>Attakk tal-patoġen</v>
      </c>
    </row>
    <row r="309" ht="15.75" customHeight="1">
      <c r="A309" s="2" t="s">
        <v>309</v>
      </c>
      <c r="B309" s="2" t="str">
        <f>IFERROR(__xludf.DUMMYFUNCTION("GOOGLETRANSLATE(A309, ""en"", ""mt"")"),"F'liema sena Thomas Newcomen irċieva privattiva tal-magna bil-fwar?")</f>
        <v>F'liema sena Thomas Newcomen irċieva privattiva tal-magna bil-fwar?</v>
      </c>
    </row>
    <row r="310" ht="15.75" customHeight="1">
      <c r="A310" s="2" t="s">
        <v>310</v>
      </c>
      <c r="B310" s="2" t="str">
        <f>IFERROR(__xludf.DUMMYFUNCTION("GOOGLETRANSLATE(A310, ""en"", ""mt"")"),"Rawnds tal-Kura tal-Pazjent Għażla tal-Prodott tad-Droga")</f>
        <v>Rawnds tal-Kura tal-Pazjent Għażla tal-Prodott tad-Droga</v>
      </c>
    </row>
    <row r="311" ht="15.75" customHeight="1">
      <c r="A311" s="2" t="s">
        <v>311</v>
      </c>
      <c r="B311" s="2" t="str">
        <f>IFERROR(__xludf.DUMMYFUNCTION("GOOGLETRANSLATE(A311, ""en"", ""mt"")"),"F'liema belt Ingliża għexet l-iktar Huguenots?")</f>
        <v>F'liema belt Ingliża għexet l-iktar Huguenots?</v>
      </c>
    </row>
    <row r="312" ht="15.75" customHeight="1">
      <c r="A312" s="2" t="s">
        <v>312</v>
      </c>
      <c r="B312" s="2" t="str">
        <f>IFERROR(__xludf.DUMMYFUNCTION("GOOGLETRANSLATE(A312, ""en"", ""mt"")"),"Skond it-teorema ta 'Wilson, liema fatt għandu jkun diviżibbli minn P jekk xi numru sħiħ p&gt; 1 għandu jkun ikkunsidrat bħala prim?")</f>
        <v>Skond it-teorema ta 'Wilson, liema fatt għandu jkun diviżibbli minn P jekk xi numru sħiħ p&gt; 1 għandu jkun ikkunsidrat bħala prim?</v>
      </c>
    </row>
    <row r="313" ht="15.75" customHeight="1">
      <c r="A313" s="2" t="s">
        <v>313</v>
      </c>
      <c r="B313" s="2" t="str">
        <f>IFERROR(__xludf.DUMMYFUNCTION("GOOGLETRANSLATE(A313, ""en"", ""mt"")"),"Barro sab li hemm ftit relazzjoni bejn l-inugwaljanza tad-dħul u r-rati ta 'xiex?")</f>
        <v>Barro sab li hemm ftit relazzjoni bejn l-inugwaljanza tad-dħul u r-rati ta 'xiex?</v>
      </c>
    </row>
    <row r="314" ht="15.75" customHeight="1">
      <c r="A314" s="2" t="s">
        <v>314</v>
      </c>
      <c r="B314" s="2" t="str">
        <f>IFERROR(__xludf.DUMMYFUNCTION("GOOGLETRANSLATE(A314, ""en"", ""mt"")"),"Konsiderazzjonijiet mikro-fiżiċi jagħtu xi ngħidu?")</f>
        <v>Konsiderazzjonijiet mikro-fiżiċi jagħtu xi ngħidu?</v>
      </c>
    </row>
    <row r="315" ht="15.75" customHeight="1">
      <c r="A315" s="2" t="s">
        <v>315</v>
      </c>
      <c r="B315" s="2" t="str">
        <f>IFERROR(__xludf.DUMMYFUNCTION("GOOGLETRANSLATE(A315, ""en"", ""mt"")"),"F'liema sena se jkun lest iċ-Ċentru Presidenzjali ta 'Barack Obama?")</f>
        <v>F'liema sena se jkun lest iċ-Ċentru Presidenzjali ta 'Barack Obama?</v>
      </c>
    </row>
    <row r="316" ht="15.75" customHeight="1">
      <c r="A316" s="2" t="s">
        <v>316</v>
      </c>
      <c r="B316" s="2" t="str">
        <f>IFERROR(__xludf.DUMMYFUNCTION("GOOGLETRANSLATE(A316, ""en"", ""mt"")"),"tieħu dejn")</f>
        <v>tieħu dejn</v>
      </c>
    </row>
    <row r="317" ht="15.75" customHeight="1">
      <c r="A317" s="2" t="s">
        <v>317</v>
      </c>
      <c r="B317" s="2" t="str">
        <f>IFERROR(__xludf.DUMMYFUNCTION("GOOGLETRANSLATE(A317, ""en"", ""mt"")"),"qawwi, elettromanjetiku")</f>
        <v>qawwi, elettromanjetiku</v>
      </c>
    </row>
    <row r="318" ht="15.75" customHeight="1">
      <c r="A318" s="2" t="s">
        <v>318</v>
      </c>
      <c r="B318" s="2" t="str">
        <f>IFERROR(__xludf.DUMMYFUNCTION("GOOGLETRANSLATE(A318, ""en"", ""mt"")"),"X'inhu ossiġnu paired?")</f>
        <v>X'inhu ossiġnu paired?</v>
      </c>
    </row>
    <row r="319" ht="15.75" customHeight="1">
      <c r="A319" s="2" t="s">
        <v>319</v>
      </c>
      <c r="B319" s="2" t="str">
        <f>IFERROR(__xludf.DUMMYFUNCTION("GOOGLETRANSLATE(A319, ""en"", ""mt"")"),"X'għandhom komuni dawn il-mudelli kollha?")</f>
        <v>X'għandhom komuni dawn il-mudelli kollha?</v>
      </c>
    </row>
    <row r="320" ht="15.75" customHeight="1">
      <c r="A320" s="2" t="s">
        <v>320</v>
      </c>
      <c r="B320" s="2" t="str">
        <f>IFERROR(__xludf.DUMMYFUNCTION("GOOGLETRANSLATE(A320, ""en"", ""mt"")"),"X'kienet maħluqa l-Assoċjazzjoni Amerikana tal-Karozzi?")</f>
        <v>X'kienet maħluqa l-Assoċjazzjoni Amerikana tal-Karozzi?</v>
      </c>
    </row>
    <row r="321" ht="15.75" customHeight="1">
      <c r="A321" s="2" t="s">
        <v>321</v>
      </c>
      <c r="B321" s="2" t="str">
        <f>IFERROR(__xludf.DUMMYFUNCTION("GOOGLETRANSLATE(A321, ""en"", ""mt"")")," Dak li naqas meta sofra n-nazzjonaliżmu Għarbi?")</f>
        <v> Dak li naqas meta sofra n-nazzjonaliżmu Għarbi?</v>
      </c>
    </row>
    <row r="322" ht="15.75" customHeight="1">
      <c r="A322" s="2" t="s">
        <v>322</v>
      </c>
      <c r="B322" s="2" t="str">
        <f>IFERROR(__xludf.DUMMYFUNCTION("GOOGLETRANSLATE(A322, ""en"", ""mt"")"),"X'inhu jinsab f'dan id-distrett?")</f>
        <v>X'inhu jinsab f'dan id-distrett?</v>
      </c>
    </row>
    <row r="323" ht="15.75" customHeight="1">
      <c r="A323" s="2" t="s">
        <v>323</v>
      </c>
      <c r="B323" s="2" t="str">
        <f>IFERROR(__xludf.DUMMYFUNCTION("GOOGLETRANSLATE(A323, ""en"", ""mt"")"),"ċelloli T tal-għajnuna, ċelloli T ċitotossiċi")</f>
        <v>ċelloli T tal-għajnuna, ċelloli T ċitotossiċi</v>
      </c>
    </row>
    <row r="324" ht="15.75" customHeight="1">
      <c r="A324" s="2" t="s">
        <v>324</v>
      </c>
      <c r="B324" s="2" t="str">
        <f>IFERROR(__xludf.DUMMYFUNCTION("GOOGLETRANSLATE(A324, ""en"", ""mt"")"),"Liema reliġjon kienet predominata fl-Imperu Ruman Qaddis?")</f>
        <v>Liema reliġjon kienet predominata fl-Imperu Ruman Qaddis?</v>
      </c>
    </row>
    <row r="325" ht="15.75" customHeight="1">
      <c r="A325" s="2" t="s">
        <v>325</v>
      </c>
      <c r="B325" s="2" t="str">
        <f>IFERROR(__xludf.DUMMYFUNCTION("GOOGLETRANSLATE(A325, ""en"", ""mt"")"),"Il-bini huwa lest biex jokkupa")</f>
        <v>Il-bini huwa lest biex jokkupa</v>
      </c>
    </row>
    <row r="326" ht="15.75" customHeight="1">
      <c r="A326" s="2" t="s">
        <v>326</v>
      </c>
      <c r="B326" s="2" t="str">
        <f>IFERROR(__xludf.DUMMYFUNCTION("GOOGLETRANSLATE(A326, ""en"", ""mt"")"),"X'inhi l-forza bejn żewġ postijiet relatati?")</f>
        <v>X'inhi l-forza bejn żewġ postijiet relatati?</v>
      </c>
    </row>
    <row r="327" ht="15.75" customHeight="1">
      <c r="A327" s="2" t="s">
        <v>327</v>
      </c>
      <c r="B327" s="2" t="str">
        <f>IFERROR(__xludf.DUMMYFUNCTION("GOOGLETRANSLATE(A327, ""en"", ""mt"")"),"Industrija tal-bjankerija Irlandiża")</f>
        <v>Industrija tal-bjankerija Irlandiża</v>
      </c>
    </row>
    <row r="328" ht="15.75" customHeight="1">
      <c r="A328" s="2" t="s">
        <v>328</v>
      </c>
      <c r="B328" s="2" t="str">
        <f>IFERROR(__xludf.DUMMYFUNCTION("GOOGLETRANSLATE(A328, ""en"", ""mt"")"),"Kemm hemm stejjer li għandhom il-pavillion Lavietes?")</f>
        <v>Kemm hemm stejjer li għandhom il-pavillion Lavietes?</v>
      </c>
    </row>
    <row r="329" ht="15.75" customHeight="1">
      <c r="A329" s="2" t="s">
        <v>329</v>
      </c>
      <c r="B329" s="2" t="str">
        <f>IFERROR(__xludf.DUMMYFUNCTION("GOOGLETRANSLATE(A329, ""en"", ""mt"")"),"X'tip ta 'magni saru mifruxa madwar l-aħħar tas-seklu 20?")</f>
        <v>X'tip ta 'magni saru mifruxa madwar l-aħħar tas-seklu 20?</v>
      </c>
    </row>
    <row r="330" ht="15.75" customHeight="1">
      <c r="A330" s="2" t="s">
        <v>330</v>
      </c>
      <c r="B330" s="2" t="str">
        <f>IFERROR(__xludf.DUMMYFUNCTION("GOOGLETRANSLATE(A330, ""en"", ""mt"")"),"X'kien l-ewwel netwerk tal-internet2 imsemmi")</f>
        <v>X'kien l-ewwel netwerk tal-internet2 imsemmi</v>
      </c>
    </row>
    <row r="331" ht="15.75" customHeight="1">
      <c r="A331" s="2" t="s">
        <v>331</v>
      </c>
      <c r="B331" s="2" t="str">
        <f>IFERROR(__xludf.DUMMYFUNCTION("GOOGLETRANSLATE(A331, ""en"", ""mt"")"),"Jekk forza qed tipponta orizzontalment lejn il-Grigal, kemm forzi tista 'taqsam il-forza?")</f>
        <v>Jekk forza qed tipponta orizzontalment lejn il-Grigal, kemm forzi tista 'taqsam il-forza?</v>
      </c>
    </row>
    <row r="332" ht="15.75" customHeight="1">
      <c r="A332" s="2" t="s">
        <v>332</v>
      </c>
      <c r="B332" s="2" t="str">
        <f>IFERROR(__xludf.DUMMYFUNCTION("GOOGLETRANSLATE(A332, ""en"", ""mt"")"),"tropikali")</f>
        <v>tropikali</v>
      </c>
    </row>
    <row r="333" ht="15.75" customHeight="1">
      <c r="A333" s="2" t="s">
        <v>333</v>
      </c>
      <c r="B333" s="2" t="str">
        <f>IFERROR(__xludf.DUMMYFUNCTION("GOOGLETRANSLATE(A333, ""en"", ""mt"")"),"maġġuri")</f>
        <v>maġġuri</v>
      </c>
    </row>
    <row r="334" ht="15.75" customHeight="1">
      <c r="A334" s="2" t="s">
        <v>334</v>
      </c>
      <c r="B334" s="2" t="str">
        <f>IFERROR(__xludf.DUMMYFUNCTION("GOOGLETRANSLATE(A334, ""en"", ""mt"")"),"it-tarf oppost minn ħalq")</f>
        <v>it-tarf oppost minn ħalq</v>
      </c>
    </row>
    <row r="335" ht="15.75" customHeight="1">
      <c r="A335" s="2" t="s">
        <v>335</v>
      </c>
      <c r="B335" s="2" t="str">
        <f>IFERROR(__xludf.DUMMYFUNCTION("GOOGLETRANSLATE(A335, ""en"", ""mt"")"),"Xi jfittex li jikseb ir-ramifikazzjoni tal-ġeometrija?")</f>
        <v>Xi jfittex li jikseb ir-ramifikazzjoni tal-ġeometrija?</v>
      </c>
    </row>
    <row r="336" ht="15.75" customHeight="1">
      <c r="A336" s="2" t="s">
        <v>336</v>
      </c>
      <c r="B336" s="2" t="str">
        <f>IFERROR(__xludf.DUMMYFUNCTION("GOOGLETRANSLATE(A336, ""en"", ""mt"")"),"X'tip ta 'rivoluzzjoni favur Maududi?")</f>
        <v>X'tip ta 'rivoluzzjoni favur Maududi?</v>
      </c>
    </row>
    <row r="337" ht="15.75" customHeight="1">
      <c r="A337" s="2" t="s">
        <v>337</v>
      </c>
      <c r="B337" s="2" t="str">
        <f>IFERROR(__xludf.DUMMYFUNCTION("GOOGLETRANSLATE(A337, ""en"", ""mt"")"),"Kemm mill-popolazzjoni ta 'Londra saret immigranti?")</f>
        <v>Kemm mill-popolazzjoni ta 'Londra saret immigranti?</v>
      </c>
    </row>
    <row r="338" ht="15.75" customHeight="1">
      <c r="A338" s="2" t="s">
        <v>338</v>
      </c>
      <c r="B338" s="2" t="str">
        <f>IFERROR(__xludf.DUMMYFUNCTION("GOOGLETRANSLATE(A338, ""en"", ""mt"")"),"L-abolizzjoni tal-kalifat Ottoman huwa maħsub li ntemm liema sistema?")</f>
        <v>L-abolizzjoni tal-kalifat Ottoman huwa maħsub li ntemm liema sistema?</v>
      </c>
    </row>
    <row r="339" ht="15.75" customHeight="1">
      <c r="A339" s="2" t="s">
        <v>339</v>
      </c>
      <c r="B339" s="2" t="str">
        <f>IFERROR(__xludf.DUMMYFUNCTION("GOOGLETRANSLATE(A339, ""en"", ""mt"")"),"Il-problemi tas-saħħa kienu aktar baxxi f'postijiet b'livelli ogħla ta 'xiex?")</f>
        <v>Il-problemi tas-saħħa kienu aktar baxxi f'postijiet b'livelli ogħla ta 'xiex?</v>
      </c>
    </row>
    <row r="340" ht="15.75" customHeight="1">
      <c r="A340" s="2" t="s">
        <v>340</v>
      </c>
      <c r="B340" s="2" t="str">
        <f>IFERROR(__xludf.DUMMYFUNCTION("GOOGLETRANSLATE(A340, ""en"", ""mt"")"),"L-1 seklu QK")</f>
        <v>L-1 seklu QK</v>
      </c>
    </row>
    <row r="341" ht="15.75" customHeight="1">
      <c r="A341" s="2" t="s">
        <v>341</v>
      </c>
      <c r="B341" s="2" t="str">
        <f>IFERROR(__xludf.DUMMYFUNCTION("GOOGLETRANSLATE(A341, ""en"", ""mt"")"),"Newton qal li l-aċċellerazzjoni tad-dinja madwar il-qamar irrappreżentat xiex?")</f>
        <v>Newton qal li l-aċċellerazzjoni tad-dinja madwar il-qamar irrappreżentat xiex?</v>
      </c>
    </row>
    <row r="342" ht="15.75" customHeight="1">
      <c r="A342" s="2" t="s">
        <v>342</v>
      </c>
      <c r="B342" s="2" t="str">
        <f>IFERROR(__xludf.DUMMYFUNCTION("GOOGLETRANSLATE(A342, ""en"", ""mt"")"),"adattattiv")</f>
        <v>adattattiv</v>
      </c>
    </row>
    <row r="343" ht="15.75" customHeight="1">
      <c r="A343" s="2" t="s">
        <v>343</v>
      </c>
      <c r="B343" s="2" t="str">
        <f>IFERROR(__xludf.DUMMYFUNCTION("GOOGLETRANSLATE(A343, ""en"", ""mt"")"),"X'inhu l-isem tal-kolonja Franċiża stabbilita fl-1564?")</f>
        <v>X'inhu l-isem tal-kolonja Franċiża stabbilita fl-1564?</v>
      </c>
    </row>
    <row r="344" ht="15.75" customHeight="1">
      <c r="A344" s="2" t="s">
        <v>344</v>
      </c>
      <c r="B344" s="2" t="str">
        <f>IFERROR(__xludf.DUMMYFUNCTION("GOOGLETRANSLATE(A344, ""en"", ""mt"")"),"Kull ġurnata tas-seduta, normalment fil-5 pm, l-MSPs jiddeċiedu dwar il-mozzjonijiet u l-emendi kollha li ġew imċaqalqa dak il-jum. Dan il- ""ħin ta 'deċiżjoni"" huwa mħabbar mill-ħoss tad-diviżjoni tal-qanpiena, li tinstema' fil-kampus parlamentari u twi"&amp;"ssijiet tal-MSPs li mhumiex fil-kamra biex jirritornaw u jivvutaw. Fil-ħin tad-deċiżjoni, l-uffiċjal li jippresiedi jpoġġi mistoqsijiet dwar il-mozzjonijiet u l-emendi billi jaqra l-isem tal-mozzjoni jew l-emenda kif ukoll il-proponent u jistaqsi ""aħna l"&amp;"koll miftiehma?"", Li l-ewwel kamra tivvota mill-ħalq. Jekk ikun hemm dissens li jinstema ', l-uffiċjal li jippresiedi jħabbar ""se jkun hemm diviżjoni"" u l-membri jivvutaw permezz ta' consoles elettroniċi fuq l-iskrivaniji tagħhom. Kull MSP għandu karta"&amp;" ta 'aċċess unika b'mikroċipp li, meta jiddaħħal fil-console, jidentifikahom u jippermettilhom jivvutaw. Bħala riżultat, ir-riżultat ta 'kull diviżjoni huwa magħruf f'sekondi.")</f>
        <v>Kull ġurnata tas-seduta, normalment fil-5 pm, l-MSPs jiddeċiedu dwar il-mozzjonijiet u l-emendi kollha li ġew imċaqalqa dak il-jum. Dan il- "ħin ta 'deċiżjoni" huwa mħabbar mill-ħoss tad-diviżjoni tal-qanpiena, li tinstema' fil-kampus parlamentari u twissijiet tal-MSPs li mhumiex fil-kamra biex jirritornaw u jivvutaw. Fil-ħin tad-deċiżjoni, l-uffiċjal li jippresiedi jpoġġi mistoqsijiet dwar il-mozzjonijiet u l-emendi billi jaqra l-isem tal-mozzjoni jew l-emenda kif ukoll il-proponent u jistaqsi "aħna lkoll miftiehma?", Li l-ewwel kamra tivvota mill-ħalq. Jekk ikun hemm dissens li jinstema ', l-uffiċjal li jippresiedi jħabbar "se jkun hemm diviżjoni" u l-membri jivvutaw permezz ta' consoles elettroniċi fuq l-iskrivaniji tagħhom. Kull MSP għandu karta ta 'aċċess unika b'mikroċipp li, meta jiddaħħal fil-console, jidentifikahom u jippermettilhom jivvutaw. Bħala riżultat, ir-riżultat ta 'kull diviżjoni huwa magħruf f'sekondi.</v>
      </c>
    </row>
    <row r="345" ht="15.75" customHeight="1">
      <c r="A345" s="2" t="s">
        <v>345</v>
      </c>
      <c r="B345" s="2" t="str">
        <f>IFERROR(__xludf.DUMMYFUNCTION("GOOGLETRANSLATE(A345, ""en"", ""mt"")"),"id-data")</f>
        <v>id-data</v>
      </c>
    </row>
    <row r="346" ht="15.75" customHeight="1">
      <c r="A346" s="2" t="s">
        <v>346</v>
      </c>
      <c r="B346" s="2" t="str">
        <f>IFERROR(__xludf.DUMMYFUNCTION("GOOGLETRANSLATE(A346, ""en"", ""mt"")"),"Għaliex Ctenophores huma estremament rari daqs il-fossili?")</f>
        <v>Għaliex Ctenophores huma estremament rari daqs il-fossili?</v>
      </c>
    </row>
    <row r="347" ht="15.75" customHeight="1">
      <c r="A347" s="2" t="s">
        <v>347</v>
      </c>
      <c r="B347" s="2" t="str">
        <f>IFERROR(__xludf.DUMMYFUNCTION("GOOGLETRANSLATE(A347, ""en"", ""mt"")"),"Flimkien ma 'tagħlim, boroż ta' studju, vawċers, donazzjonijiet u għotjiet, minn fejn ġej il-finanzjament għall-iskejjel privati?")</f>
        <v>Flimkien ma 'tagħlim, boroż ta' studju, vawċers, donazzjonijiet u għotjiet, minn fejn ġej il-finanzjament għall-iskejjel privati?</v>
      </c>
    </row>
    <row r="348" ht="15.75" customHeight="1">
      <c r="A348" s="2" t="s">
        <v>348</v>
      </c>
      <c r="B348" s="2" t="str">
        <f>IFERROR(__xludf.DUMMYFUNCTION("GOOGLETRANSLATE(A348, ""en"", ""mt"")"),"Madwar 61.1% tal-Vittorjani jiddeskrivu lilhom infushom bħala Kristjani. Kattoliċi Rumani jiffurmaw l-akbar grupp reliġjuż uniku fl-istat b’26,7% tal-popolazzjoni Vittorjana, segwita minn Anglikani u membri tal-knisja li tgħaqqad. Il-Buddiżmu huwa l-akbar"&amp;" reliġjon mhux Kristjana tal-istat, b'168,637 membru bħala l-iktar ċensiment riċenti. Victoria hija wkoll dar ta ’152,775 Musulmani u 45,150 Lhud. L-Induiżmu huwa r-reliġjon li qed tikber bl-iktar mod mgħaġġel. Madwar 20% tal-Vittorjani ma jitolbu l-ebda "&amp;"reliġjon. Fost dawk li jiddikjaraw affiljazzjoni reliġjuża, l-attendenza tal-knisja hija baxxa.")</f>
        <v>Madwar 61.1% tal-Vittorjani jiddeskrivu lilhom infushom bħala Kristjani. Kattoliċi Rumani jiffurmaw l-akbar grupp reliġjuż uniku fl-istat b’26,7% tal-popolazzjoni Vittorjana, segwita minn Anglikani u membri tal-knisja li tgħaqqad. Il-Buddiżmu huwa l-akbar reliġjon mhux Kristjana tal-istat, b'168,637 membru bħala l-iktar ċensiment riċenti. Victoria hija wkoll dar ta ’152,775 Musulmani u 45,150 Lhud. L-Induiżmu huwa r-reliġjon li qed tikber bl-iktar mod mgħaġġel. Madwar 20% tal-Vittorjani ma jitolbu l-ebda reliġjon. Fost dawk li jiddikjaraw affiljazzjoni reliġjuża, l-attendenza tal-knisja hija baxxa.</v>
      </c>
    </row>
    <row r="349" ht="15.75" customHeight="1">
      <c r="A349" s="2" t="s">
        <v>349</v>
      </c>
      <c r="B349" s="2" t="str">
        <f>IFERROR(__xludf.DUMMYFUNCTION("GOOGLETRANSLATE(A349, ""en"", ""mt"")"),"F'liema sena l-Iskejjel tal-Medju Ingliż taċ-Ċina?")</f>
        <v>F'liema sena l-Iskejjel tal-Medju Ingliż taċ-Ċina?</v>
      </c>
    </row>
    <row r="350" ht="15.75" customHeight="1">
      <c r="A350" s="2" t="s">
        <v>350</v>
      </c>
      <c r="B350" s="2" t="str">
        <f>IFERROR(__xludf.DUMMYFUNCTION("GOOGLETRANSLATE(A350, ""en"", ""mt"")"),"X'inhi tip tipiku ta 'problema tal-komputazzjoni li r-risposta tagħha hija jew yer jew le?")</f>
        <v>X'inhi tip tipiku ta 'problema tal-komputazzjoni li r-risposta tagħha hija jew yer jew le?</v>
      </c>
    </row>
    <row r="351" ht="15.75" customHeight="1">
      <c r="A351" s="2" t="s">
        <v>351</v>
      </c>
      <c r="B351" s="2" t="str">
        <f>IFERROR(__xludf.DUMMYFUNCTION("GOOGLETRANSLATE(A351, ""en"", ""mt"")"),"Mokotów")</f>
        <v>Mokotów</v>
      </c>
    </row>
    <row r="352" ht="15.75" customHeight="1">
      <c r="A352" s="2" t="s">
        <v>352</v>
      </c>
      <c r="B352" s="2" t="str">
        <f>IFERROR(__xludf.DUMMYFUNCTION("GOOGLETRANSLATE(A352, ""en"", ""mt"")"),"F'liema data ġiet iddikjarata Victoria indipendenti minn New South Wales?")</f>
        <v>F'liema data ġiet iddikjarata Victoria indipendenti minn New South Wales?</v>
      </c>
    </row>
    <row r="353" ht="15.75" customHeight="1">
      <c r="A353" s="2" t="s">
        <v>353</v>
      </c>
      <c r="B353" s="2" t="str">
        <f>IFERROR(__xludf.DUMMYFUNCTION("GOOGLETRANSLATE(A353, ""en"", ""mt"")"),"Għaliex il-qgħad jgħin fit-tkabbir?")</f>
        <v>Għaliex il-qgħad jgħin fit-tkabbir?</v>
      </c>
    </row>
    <row r="354" ht="15.75" customHeight="1">
      <c r="A354" s="2" t="s">
        <v>354</v>
      </c>
      <c r="B354" s="2" t="str">
        <f>IFERROR(__xludf.DUMMYFUNCTION("GOOGLETRANSLATE(A354, ""en"", ""mt"")"),"Aktar minn 26,000 kilometru kwadru (10,000 sq mi) ta 'art agrikola Vittorjana jinżergħu għall-qamħ, l-aktar fil-punent tal-istat. Aktar minn 50% ta 'din iż-żona hija miżrugħa għall-qamħ, 33% għal xgħir u 7% għall-ħafur. 6,000 kilometru kwadru ieħor (2,300"&amp;" sq mi) jinżergħu għall-ħuxlief. Fl-2003–04, il-bdiewa Vittorjani pproduċew aktar minn 3 miljun tunnellata ta 'qamħ u 2 miljun tunnellata ta' xgħir. L-irziezet Vittorjani jipproduċu kważi 90% tal-lanġas Awstraljani u t-tielet tuffieħ. Huwa wkoll mexxej fi"&amp;"l-produzzjoni tal-frott tal-ġebel. L-uċuħ tal-ħaxix ewlenin jinkludu l-ispraġ, il-brokkoli, il-karrotti, il-patata u t-tadam. Is-sena li għaddiet, ġew prodotti 121,200 tunnellata ta ’lanġas u 270,000 tunnellata tadam.")</f>
        <v>Aktar minn 26,000 kilometru kwadru (10,000 sq mi) ta 'art agrikola Vittorjana jinżergħu għall-qamħ, l-aktar fil-punent tal-istat. Aktar minn 50% ta 'din iż-żona hija miżrugħa għall-qamħ, 33% għal xgħir u 7% għall-ħafur. 6,000 kilometru kwadru ieħor (2,300 sq mi) jinżergħu għall-ħuxlief. Fl-2003–04, il-bdiewa Vittorjani pproduċew aktar minn 3 miljun tunnellata ta 'qamħ u 2 miljun tunnellata ta' xgħir. L-irziezet Vittorjani jipproduċu kważi 90% tal-lanġas Awstraljani u t-tielet tuffieħ. Huwa wkoll mexxej fil-produzzjoni tal-frott tal-ġebel. L-uċuħ tal-ħaxix ewlenin jinkludu l-ispraġ, il-brokkoli, il-karrotti, il-patata u t-tadam. Is-sena li għaddiet, ġew prodotti 121,200 tunnellata ta ’lanġas u 270,000 tunnellata tadam.</v>
      </c>
    </row>
    <row r="355" ht="15.75" customHeight="1">
      <c r="A355" s="2" t="s">
        <v>355</v>
      </c>
      <c r="B355" s="2" t="str">
        <f>IFERROR(__xludf.DUMMYFUNCTION("GOOGLETRANSLATE(A355, ""en"", ""mt"")"),"X'inhu l-ilma tas-solubilità fl-ossiġnu li jiddependi minnu?")</f>
        <v>X'inhu l-ilma tas-solubilità fl-ossiġnu li jiddependi minnu?</v>
      </c>
    </row>
    <row r="356" ht="15.75" customHeight="1">
      <c r="A356" s="2" t="s">
        <v>356</v>
      </c>
      <c r="B356" s="2" t="str">
        <f>IFERROR(__xludf.DUMMYFUNCTION("GOOGLETRANSLATE(A356, ""en"", ""mt"")"),"Fejn kienu l-irvellijiet ċatti tal-lambing?")</f>
        <v>Fejn kienu l-irvellijiet ċatti tal-lambing?</v>
      </c>
    </row>
    <row r="357" ht="15.75" customHeight="1">
      <c r="A357" s="2" t="s">
        <v>357</v>
      </c>
      <c r="B357" s="2" t="str">
        <f>IFERROR(__xludf.DUMMYFUNCTION("GOOGLETRANSLATE(A357, ""en"", ""mt"")"),"Meta ġiet invaduta l-Iskozja minn William?")</f>
        <v>Meta ġiet invaduta l-Iskozja minn William?</v>
      </c>
    </row>
    <row r="358" ht="15.75" customHeight="1">
      <c r="A358" s="2" t="s">
        <v>358</v>
      </c>
      <c r="B358" s="2" t="str">
        <f>IFERROR(__xludf.DUMMYFUNCTION("GOOGLETRANSLATE(A358, ""en"", ""mt"")"),"Ġeneratur tat-turbo stabbilit bi propulsjoni pprovduta minn muturi elettriċi")</f>
        <v>Ġeneratur tat-turbo stabbilit bi propulsjoni pprovduta minn muturi elettriċi</v>
      </c>
    </row>
    <row r="359" ht="15.75" customHeight="1">
      <c r="A359" s="2" t="s">
        <v>359</v>
      </c>
      <c r="B359" s="2" t="str">
        <f>IFERROR(__xludf.DUMMYFUNCTION("GOOGLETRANSLATE(A359, ""en"", ""mt"")"),"1191")</f>
        <v>1191</v>
      </c>
    </row>
    <row r="360" ht="15.75" customHeight="1">
      <c r="A360" s="2" t="s">
        <v>360</v>
      </c>
      <c r="B360" s="2" t="str">
        <f>IFERROR(__xludf.DUMMYFUNCTION("GOOGLETRANSLATE(A360, ""en"", ""mt"")"),"Fejn irid il-Ħamas jistabbilixxi stat Iżlamiku?")</f>
        <v>Fejn irid il-Ħamas jistabbilixxi stat Iżlamiku?</v>
      </c>
    </row>
    <row r="361" ht="15.75" customHeight="1">
      <c r="A361" s="2" t="s">
        <v>361</v>
      </c>
      <c r="B361" s="2" t="str">
        <f>IFERROR(__xludf.DUMMYFUNCTION("GOOGLETRANSLATE(A361, ""en"", ""mt"")"),"Liema tip ta 'ċellula jintuża wkoll għar-rispons immuni fil-biċċa l-kbira tat-tipi ta' ħajja invertebrata?")</f>
        <v>Liema tip ta 'ċellula jintuża wkoll għar-rispons immuni fil-biċċa l-kbira tat-tipi ta' ħajja invertebrata?</v>
      </c>
    </row>
    <row r="362" ht="15.75" customHeight="1">
      <c r="A362" s="2" t="s">
        <v>362</v>
      </c>
      <c r="B362" s="2" t="str">
        <f>IFERROR(__xludf.DUMMYFUNCTION("GOOGLETRANSLATE(A362, ""en"", ""mt"")"),"Kemm minn dawk li ħarbu minn Franza komplew isiru tobba?")</f>
        <v>Kemm minn dawk li ħarbu minn Franza komplew isiru tobba?</v>
      </c>
    </row>
    <row r="363" ht="15.75" customHeight="1">
      <c r="A363" s="2" t="s">
        <v>363</v>
      </c>
      <c r="B363" s="2" t="str">
        <f>IFERROR(__xludf.DUMMYFUNCTION("GOOGLETRANSLATE(A363, ""en"", ""mt"")"),"is-sovran")</f>
        <v>is-sovran</v>
      </c>
    </row>
    <row r="364" ht="15.75" customHeight="1">
      <c r="A364" s="2" t="s">
        <v>364</v>
      </c>
      <c r="B364" s="2" t="str">
        <f>IFERROR(__xludf.DUMMYFUNCTION("GOOGLETRANSLATE(A364, ""en"", ""mt"")"),"nukleari")</f>
        <v>nukleari</v>
      </c>
    </row>
    <row r="365" ht="15.75" customHeight="1">
      <c r="A365" s="2" t="s">
        <v>365</v>
      </c>
      <c r="B365" s="2" t="str">
        <f>IFERROR(__xludf.DUMMYFUNCTION("GOOGLETRANSLATE(A365, ""en"", ""mt"")"),"Thomas Savery")</f>
        <v>Thomas Savery</v>
      </c>
    </row>
    <row r="366" ht="15.75" customHeight="1">
      <c r="A366" s="2" t="s">
        <v>366</v>
      </c>
      <c r="B366" s="2" t="str">
        <f>IFERROR(__xludf.DUMMYFUNCTION("GOOGLETRANSLATE(A366, ""en"", ""mt"")"),"David Graeber u Donald Johanson")</f>
        <v>David Graeber u Donald Johanson</v>
      </c>
    </row>
    <row r="367" ht="15.75" customHeight="1">
      <c r="A367" s="2" t="s">
        <v>367</v>
      </c>
      <c r="B367" s="2" t="str">
        <f>IFERROR(__xludf.DUMMYFUNCTION("GOOGLETRANSLATE(A367, ""en"", ""mt"")"),"X'inhu r-reġjun tan-Nofsinhar fejn il-Protestanti huma kkonċentrati?")</f>
        <v>X'inhu r-reġjun tan-Nofsinhar fejn il-Protestanti huma kkonċentrati?</v>
      </c>
    </row>
    <row r="368" ht="15.75" customHeight="1">
      <c r="A368" s="2" t="s">
        <v>368</v>
      </c>
      <c r="B368" s="2" t="str">
        <f>IFERROR(__xludf.DUMMYFUNCTION("GOOGLETRANSLATE(A368, ""en"", ""mt"")"),"Is-sema q Silver Set Top Boxes")</f>
        <v>Is-sema q Silver Set Top Boxes</v>
      </c>
    </row>
    <row r="369" ht="15.75" customHeight="1">
      <c r="A369" s="2" t="s">
        <v>369</v>
      </c>
      <c r="B369" s="2" t="str">
        <f>IFERROR(__xludf.DUMMYFUNCTION("GOOGLETRANSLATE(A369, ""en"", ""mt"")"),"Kemm hemm mhux Musulmani fil-Greater London?")</f>
        <v>Kemm hemm mhux Musulmani fil-Greater London?</v>
      </c>
    </row>
    <row r="370" ht="15.75" customHeight="1">
      <c r="A370" s="2" t="s">
        <v>370</v>
      </c>
      <c r="B370" s="2" t="str">
        <f>IFERROR(__xludf.DUMMYFUNCTION("GOOGLETRANSLATE(A370, ""en"", ""mt"")"),"Meta Tamara żżewweġ avukat?")</f>
        <v>Meta Tamara żżewweġ avukat?</v>
      </c>
    </row>
    <row r="371" ht="15.75" customHeight="1">
      <c r="A371" s="2" t="s">
        <v>371</v>
      </c>
      <c r="B371" s="2" t="str">
        <f>IFERROR(__xludf.DUMMYFUNCTION("GOOGLETRANSLATE(A371, ""en"", ""mt"")"),"X'inhu differenti bejn l-ispiżeriji onlajn u l-ispiżeriji tal-komunità?")</f>
        <v>X'inhu differenti bejn l-ispiżeriji onlajn u l-ispiżeriji tal-komunità?</v>
      </c>
    </row>
    <row r="372" ht="15.75" customHeight="1">
      <c r="A372" s="2" t="s">
        <v>372</v>
      </c>
      <c r="B372" s="2" t="str">
        <f>IFERROR(__xludf.DUMMYFUNCTION("GOOGLETRANSLATE(A372, ""en"", ""mt"")"),"Polonez")</f>
        <v>Polonez</v>
      </c>
    </row>
    <row r="373" ht="15.75" customHeight="1">
      <c r="A373" s="2" t="s">
        <v>373</v>
      </c>
      <c r="B373" s="2" t="str">
        <f>IFERROR(__xludf.DUMMYFUNCTION("GOOGLETRANSLATE(A373, ""en"", ""mt"")"),"simultanju")</f>
        <v>simultanju</v>
      </c>
    </row>
    <row r="374" ht="15.75" customHeight="1">
      <c r="A374" s="2" t="s">
        <v>374</v>
      </c>
      <c r="B374" s="2" t="str">
        <f>IFERROR(__xludf.DUMMYFUNCTION("GOOGLETRANSLATE(A374, ""en"", ""mt"")"),"Min jista 'l-Kummissjoni Amerikana tista' tieħu proċeduri kontra?")</f>
        <v>Min jista 'l-Kummissjoni Amerikana tista' tieħu proċeduri kontra?</v>
      </c>
    </row>
    <row r="375" ht="15.75" customHeight="1">
      <c r="A375" s="2" t="s">
        <v>375</v>
      </c>
      <c r="B375" s="2" t="str">
        <f>IFERROR(__xludf.DUMMYFUNCTION("GOOGLETRANSLATE(A375, ""en"", ""mt"")"),"istokompatibilità")</f>
        <v>istokompatibilità</v>
      </c>
    </row>
    <row r="376" ht="15.75" customHeight="1">
      <c r="A376" s="2" t="s">
        <v>376</v>
      </c>
      <c r="B376" s="2" t="str">
        <f>IFERROR(__xludf.DUMMYFUNCTION("GOOGLETRANSLATE(A376, ""en"", ""mt"")"),"7 sa 10 fil-mija")</f>
        <v>7 sa 10 fil-mija</v>
      </c>
    </row>
    <row r="377" ht="15.75" customHeight="1">
      <c r="A377" s="2" t="s">
        <v>377</v>
      </c>
      <c r="B377" s="2" t="str">
        <f>IFERROR(__xludf.DUMMYFUNCTION("GOOGLETRANSLATE(A377, ""en"", ""mt"")"),"Għaliex il-pulizija u s-servizzi tan-nar jaqgħu taħt il-ħsieb tal-Parlament Skoċċiż?")</f>
        <v>Għaliex il-pulizija u s-servizzi tan-nar jaqgħu taħt il-ħsieb tal-Parlament Skoċċiż?</v>
      </c>
    </row>
    <row r="378" ht="15.75" customHeight="1">
      <c r="A378" s="2" t="s">
        <v>378</v>
      </c>
      <c r="B378" s="2" t="str">
        <f>IFERROR(__xludf.DUMMYFUNCTION("GOOGLETRANSLATE(A378, ""en"", ""mt"")"),"It-tip ta 'tnaqqis qed jintuża")</f>
        <v>It-tip ta 'tnaqqis qed jintuża</v>
      </c>
    </row>
    <row r="379" ht="15.75" customHeight="1">
      <c r="A379" s="2" t="s">
        <v>379</v>
      </c>
      <c r="B379" s="2" t="str">
        <f>IFERROR(__xludf.DUMMYFUNCTION("GOOGLETRANSLATE(A379, ""en"", ""mt"")"),"X'tip ta 'teatru jidhru l-kwartieri?")</f>
        <v>X'tip ta 'teatru jidhru l-kwartieri?</v>
      </c>
    </row>
    <row r="380" ht="15.75" customHeight="1">
      <c r="A380" s="2" t="s">
        <v>380</v>
      </c>
      <c r="B380" s="2" t="str">
        <f>IFERROR(__xludf.DUMMYFUNCTION("GOOGLETRANSLATE(A380, ""en"", ""mt"")"),"Numru ta 'bibien f'ċirkwit")</f>
        <v>Numru ta 'bibien f'ċirkwit</v>
      </c>
    </row>
    <row r="381" ht="15.75" customHeight="1">
      <c r="A381" s="2" t="s">
        <v>381</v>
      </c>
      <c r="B381" s="2" t="str">
        <f>IFERROR(__xludf.DUMMYFUNCTION("GOOGLETRANSLATE(A381, ""en"", ""mt"")"),"X'impatt l-inugwaljanza bejn is-sessi fil-pagi?")</f>
        <v>X'impatt l-inugwaljanza bejn is-sessi fil-pagi?</v>
      </c>
    </row>
    <row r="382" ht="15.75" customHeight="1">
      <c r="A382" s="2" t="s">
        <v>382</v>
      </c>
      <c r="B382" s="2" t="str">
        <f>IFERROR(__xludf.DUMMYFUNCTION("GOOGLETRANSLATE(A382, ""en"", ""mt"")"),"X'inhi l-oriġini tal-ispiżerija klinika?")</f>
        <v>X'inhi l-oriġini tal-ispiżerija klinika?</v>
      </c>
    </row>
    <row r="383" ht="15.75" customHeight="1">
      <c r="A383" s="2" t="s">
        <v>383</v>
      </c>
      <c r="B383" s="2" t="str">
        <f>IFERROR(__xludf.DUMMYFUNCTION("GOOGLETRANSLATE(A383, ""en"", ""mt"")"),"Kif kienu l-irġiel li għamlu kompiti bħal dawk tal-ispiżjara tal-lum fil-Ġappun fil-perjodi ta 'Asuka u Nara?")</f>
        <v>Kif kienu l-irġiel li għamlu kompiti bħal dawk tal-ispiżjara tal-lum fil-Ġappun fil-perjodi ta 'Asuka u Nara?</v>
      </c>
    </row>
    <row r="384" ht="15.75" customHeight="1">
      <c r="A384" s="2" t="s">
        <v>384</v>
      </c>
      <c r="B384" s="2" t="str">
        <f>IFERROR(__xludf.DUMMYFUNCTION("GOOGLETRANSLATE(A384, ""en"", ""mt"")"),"Chemotaxis")</f>
        <v>Chemotaxis</v>
      </c>
    </row>
    <row r="385" ht="15.75" customHeight="1">
      <c r="A385" s="2" t="s">
        <v>385</v>
      </c>
      <c r="B385" s="2" t="str">
        <f>IFERROR(__xludf.DUMMYFUNCTION("GOOGLETRANSLATE(A385, ""en"", ""mt"")"),"La kuxjenzjuż u lanqas ta 'benefiċċju soċjali")</f>
        <v>La kuxjenzjuż u lanqas ta 'benefiċċju soċjali</v>
      </c>
    </row>
    <row r="386" ht="15.75" customHeight="1">
      <c r="A386" s="2" t="s">
        <v>386</v>
      </c>
      <c r="B386" s="2" t="str">
        <f>IFERROR(__xludf.DUMMYFUNCTION("GOOGLETRANSLATE(A386, ""en"", ""mt"")"),"5,984")</f>
        <v>5,984</v>
      </c>
    </row>
    <row r="387" ht="15.75" customHeight="1">
      <c r="A387" s="2" t="s">
        <v>387</v>
      </c>
      <c r="B387" s="2" t="str">
        <f>IFERROR(__xludf.DUMMYFUNCTION("GOOGLETRANSLATE(A387, ""en"", ""mt"")"),"X'inhi kelma oħra għall-inklużjonijiet fil-blat sedimentarji?")</f>
        <v>X'inhi kelma oħra għall-inklużjonijiet fil-blat sedimentarji?</v>
      </c>
    </row>
    <row r="388" ht="15.75" customHeight="1">
      <c r="A388" s="2" t="s">
        <v>388</v>
      </c>
      <c r="B388" s="2" t="str">
        <f>IFERROR(__xludf.DUMMYFUNCTION("GOOGLETRANSLATE(A388, ""en"", ""mt"")"),"Magħhom ingħaqdu magħhom it-tradizzjonijiet antiki tal-omm?")</f>
        <v>Magħhom ingħaqdu magħhom it-tradizzjonijiet antiki tal-omm?</v>
      </c>
    </row>
    <row r="389" ht="15.75" customHeight="1">
      <c r="A389" s="2" t="s">
        <v>389</v>
      </c>
      <c r="B389" s="2" t="str">
        <f>IFERROR(__xludf.DUMMYFUNCTION("GOOGLETRANSLATE(A389, ""en"", ""mt"")"),"Fis-sena 2000 kemm kienu mitlufa kilometri kwadri tal-foresta tal-Amażonja?")</f>
        <v>Fis-sena 2000 kemm kienu mitlufa kilometri kwadri tal-foresta tal-Amażonja?</v>
      </c>
    </row>
    <row r="390" ht="15.75" customHeight="1">
      <c r="A390" s="2" t="s">
        <v>390</v>
      </c>
      <c r="B390" s="2" t="str">
        <f>IFERROR(__xludf.DUMMYFUNCTION("GOOGLETRANSLATE(A390, ""en"", ""mt"")"),"P mhix daqs np")</f>
        <v>P mhix daqs np</v>
      </c>
    </row>
    <row r="391" ht="15.75" customHeight="1">
      <c r="A391" s="2" t="s">
        <v>391</v>
      </c>
      <c r="B391" s="2" t="str">
        <f>IFERROR(__xludf.DUMMYFUNCTION("GOOGLETRANSLATE(A391, ""en"", ""mt"")"),"X'jista 'jiġi ddikjarat bħala problemi ta' deċiżjoni?")</f>
        <v>X'jista 'jiġi ddikjarat bħala problemi ta' deċiżjoni?</v>
      </c>
    </row>
    <row r="392" ht="15.75" customHeight="1">
      <c r="A392" s="2" t="s">
        <v>392</v>
      </c>
      <c r="B392" s="2" t="str">
        <f>IFERROR(__xludf.DUMMYFUNCTION("GOOGLETRANSLATE(A392, ""en"", ""mt"")"),"Flimkien ma 'avvanzi fil-komunikazzjoni, l-Ewropa kompliet ukoll tavvanza fit-teknoloġija militari. Kimiċi Ewropej għamlu splussivi fatali li jistgħu jintużaw fil-ġlieda kontra, u bl-innovazzjonijiet fil-makkinarju setgħu jimmanifatturaw armi tan-nar imte"&amp;"jba. Fis-snin 1880, il-magna gun kienet saret arma effettiva fil-kamp ta 'battalja. Din it-teknoloġija tat lill-armati Ewropej vantaġġ fuq l-avversarji tagħhom, peress li l-armati f'pajjiżi inqas żviluppati kienu għadhom jiġġieldu bi vleġeġ, xwabel u tark"&amp;"i tal-ġilda (e.g. iż-Żulus fl-Afrika t'Isfel matul il-Gwerra Anglo-Żulu tal-1879).")</f>
        <v>Flimkien ma 'avvanzi fil-komunikazzjoni, l-Ewropa kompliet ukoll tavvanza fit-teknoloġija militari. Kimiċi Ewropej għamlu splussivi fatali li jistgħu jintużaw fil-ġlieda kontra, u bl-innovazzjonijiet fil-makkinarju setgħu jimmanifatturaw armi tan-nar imtejba. Fis-snin 1880, il-magna gun kienet saret arma effettiva fil-kamp ta 'battalja. Din it-teknoloġija tat lill-armati Ewropej vantaġġ fuq l-avversarji tagħhom, peress li l-armati f'pajjiżi inqas żviluppati kienu għadhom jiġġieldu bi vleġeġ, xwabel u tarki tal-ġilda (e.g. iż-Żulus fl-Afrika t'Isfel matul il-Gwerra Anglo-Żulu tal-1879).</v>
      </c>
    </row>
    <row r="393" ht="15.75" customHeight="1">
      <c r="A393" s="2" t="s">
        <v>393</v>
      </c>
      <c r="B393" s="2" t="str">
        <f>IFERROR(__xludf.DUMMYFUNCTION("GOOGLETRANSLATE(A393, ""en"", ""mt"")"),"X'inhuma t-tliet tweġibiet sħaħ għal problema ta 'deċiżjoni?")</f>
        <v>X'inhuma t-tliet tweġibiet sħaħ għal problema ta 'deċiżjoni?</v>
      </c>
    </row>
    <row r="394" ht="15.75" customHeight="1">
      <c r="A394" s="2" t="s">
        <v>394</v>
      </c>
      <c r="B394" s="2" t="str">
        <f>IFERROR(__xludf.DUMMYFUNCTION("GOOGLETRANSLATE(A394, ""en"", ""mt"")"),"Kif xi kultant jissejjaħ iċ-ċiklu Rankine?")</f>
        <v>Kif xi kultant jissejjaħ iċ-ċiklu Rankine?</v>
      </c>
    </row>
    <row r="395" ht="15.75" customHeight="1">
      <c r="A395" s="2" t="s">
        <v>395</v>
      </c>
      <c r="B395" s="2" t="str">
        <f>IFERROR(__xludf.DUMMYFUNCTION("GOOGLETRANSLATE(A395, ""en"", ""mt"")"),"riflessiva")</f>
        <v>riflessiva</v>
      </c>
    </row>
    <row r="396" ht="15.75" customHeight="1">
      <c r="A396" s="2" t="s">
        <v>396</v>
      </c>
      <c r="B396" s="2" t="str">
        <f>IFERROR(__xludf.DUMMYFUNCTION("GOOGLETRANSLATE(A396, ""en"", ""mt"")"),"Ewropa Ċentrali")</f>
        <v>Ewropa Ċentrali</v>
      </c>
    </row>
    <row r="397" ht="15.75" customHeight="1">
      <c r="A397" s="2" t="s">
        <v>397</v>
      </c>
      <c r="B397" s="2" t="str">
        <f>IFERROR(__xludf.DUMMYFUNCTION("GOOGLETRANSLATE(A397, ""en"", ""mt"")"),"6 ta 'Ottubru, 1973")</f>
        <v>6 ta 'Ottubru, 1973</v>
      </c>
    </row>
    <row r="398" ht="15.75" customHeight="1">
      <c r="A398" s="2" t="s">
        <v>398</v>
      </c>
      <c r="B398" s="2" t="str">
        <f>IFERROR(__xludf.DUMMYFUNCTION("GOOGLETRANSLATE(A398, ""en"", ""mt"")"),"Fejn Moncalm niżel biex jattakka, ħalla l-biċċa l-kbira mhux protett?")</f>
        <v>Fejn Moncalm niżel biex jattakka, ħalla l-biċċa l-kbira mhux protett?</v>
      </c>
    </row>
    <row r="399" ht="15.75" customHeight="1">
      <c r="A399" s="2" t="s">
        <v>399</v>
      </c>
      <c r="B399" s="2" t="str">
        <f>IFERROR(__xludf.DUMMYFUNCTION("GOOGLETRANSLATE(A399, ""en"", ""mt"")"),"Min kien Masovia II ta 'Boleslaw?")</f>
        <v>Min kien Masovia II ta 'Boleslaw?</v>
      </c>
    </row>
    <row r="400" ht="15.75" customHeight="1">
      <c r="A400" s="2" t="s">
        <v>400</v>
      </c>
      <c r="B400" s="2" t="str">
        <f>IFERROR(__xludf.DUMMYFUNCTION("GOOGLETRANSLATE(A400, ""en"", ""mt"")"),"Kemm nisa bagħtu Duquesne biex ittaffi lil Saint-Pierre?")</f>
        <v>Kemm nisa bagħtu Duquesne biex ittaffi lil Saint-Pierre?</v>
      </c>
    </row>
    <row r="401" ht="15.75" customHeight="1">
      <c r="A401" s="2" t="s">
        <v>401</v>
      </c>
      <c r="B401" s="2" t="str">
        <f>IFERROR(__xludf.DUMMYFUNCTION("GOOGLETRANSLATE(A401, ""en"", ""mt"")"),"X'inhu diffiċli li ssib dwar l-oriġini ta 'Grand Canyon Rock sakemm ma jiġix analizzat f'laboratorju?")</f>
        <v>X'inhu diffiċli li ssib dwar l-oriġini ta 'Grand Canyon Rock sakemm ma jiġix analizzat f'laboratorju?</v>
      </c>
    </row>
    <row r="402" ht="15.75" customHeight="1">
      <c r="A402" s="2" t="s">
        <v>402</v>
      </c>
      <c r="B402" s="2" t="str">
        <f>IFERROR(__xludf.DUMMYFUNCTION("GOOGLETRANSLATE(A402, ""en"", ""mt"")")," Liema akkademja Tugh Temur qered?")</f>
        <v> Liema akkademja Tugh Temur qered?</v>
      </c>
    </row>
    <row r="403" ht="15.75" customHeight="1">
      <c r="A403" s="2" t="s">
        <v>403</v>
      </c>
      <c r="B403" s="2" t="str">
        <f>IFERROR(__xludf.DUMMYFUNCTION("GOOGLETRANSLATE(A403, ""en"", ""mt"")"),"F’liema pajjiż għamlet il-Y. P. Orientalis ġenoma toriġina?")</f>
        <v>F’liema pajjiż għamlet il-Y. P. Orientalis ġenoma toriġina?</v>
      </c>
    </row>
    <row r="404" ht="15.75" customHeight="1">
      <c r="A404" s="2" t="s">
        <v>404</v>
      </c>
      <c r="B404" s="2" t="str">
        <f>IFERROR(__xludf.DUMMYFUNCTION("GOOGLETRANSLATE(A404, ""en"", ""mt"")"),"X'inhu terminu ieħor għat-tqassir tal-avveniment ta 'espansjoni?")</f>
        <v>X'inhu terminu ieħor għat-tqassir tal-avveniment ta 'espansjoni?</v>
      </c>
    </row>
    <row r="405" ht="15.75" customHeight="1">
      <c r="A405" s="2" t="s">
        <v>405</v>
      </c>
      <c r="B405" s="2" t="str">
        <f>IFERROR(__xludf.DUMMYFUNCTION("GOOGLETRANSLATE(A405, ""en"", ""mt"")"),"X'tip ta 'klima żżomm in-Nofsinhar ta' California?")</f>
        <v>X'tip ta 'klima żżomm in-Nofsinhar ta' California?</v>
      </c>
    </row>
    <row r="406" ht="15.75" customHeight="1">
      <c r="A406" s="2" t="s">
        <v>406</v>
      </c>
      <c r="B406" s="2" t="str">
        <f>IFERROR(__xludf.DUMMYFUNCTION("GOOGLETRANSLATE(A406, ""en"", ""mt"")"),"bżieżaq ta 'gass inert, l-aktar nitroġenu u elju, li jiffurmaw fid-demm tagħhom")</f>
        <v>bżieżaq ta 'gass inert, l-aktar nitroġenu u elju, li jiffurmaw fid-demm tagħhom</v>
      </c>
    </row>
    <row r="407" ht="15.75" customHeight="1">
      <c r="A407" s="2" t="s">
        <v>407</v>
      </c>
      <c r="B407" s="2" t="str">
        <f>IFERROR(__xludf.DUMMYFUNCTION("GOOGLETRANSLATE(A407, ""en"", ""mt"")"),"Għal xiex ġie arrestat Joseph Haas?")</f>
        <v>Għal xiex ġie arrestat Joseph Haas?</v>
      </c>
    </row>
    <row r="408" ht="15.75" customHeight="1">
      <c r="A408" s="2" t="s">
        <v>408</v>
      </c>
      <c r="B408" s="2" t="str">
        <f>IFERROR(__xludf.DUMMYFUNCTION("GOOGLETRANSLATE(A408, ""en"", ""mt"")"),"Stoking")</f>
        <v>Stoking</v>
      </c>
    </row>
    <row r="409" ht="15.75" customHeight="1">
      <c r="A409" s="2" t="s">
        <v>409</v>
      </c>
      <c r="B409" s="2" t="str">
        <f>IFERROR(__xludf.DUMMYFUNCTION("GOOGLETRANSLATE(A409, ""en"", ""mt"")"),"Kif huma spazjati l-pettnijiet?")</f>
        <v>Kif huma spazjati l-pettnijiet?</v>
      </c>
    </row>
    <row r="410" ht="15.75" customHeight="1">
      <c r="A410" s="2" t="s">
        <v>410</v>
      </c>
      <c r="B410" s="2" t="str">
        <f>IFERROR(__xludf.DUMMYFUNCTION("GOOGLETRANSLATE(A410, ""en"", ""mt"")"),"Kemm mill-ispedizzjonijiet ippjanati ta 'Pitt kellhom suċċess?")</f>
        <v>Kemm mill-ispedizzjonijiet ippjanati ta 'Pitt kellhom suċċess?</v>
      </c>
    </row>
    <row r="411" ht="15.75" customHeight="1">
      <c r="A411" s="2" t="s">
        <v>411</v>
      </c>
      <c r="B411" s="2" t="str">
        <f>IFERROR(__xludf.DUMMYFUNCTION("GOOGLETRANSLATE(A411, ""en"", ""mt"")"),"Kif jissejjaħ l-iktar punt baxx tal-baċin tar-Renu?")</f>
        <v>Kif jissejjaħ l-iktar punt baxx tal-baċin tar-Renu?</v>
      </c>
    </row>
    <row r="412" ht="15.75" customHeight="1">
      <c r="A412" s="2" t="s">
        <v>412</v>
      </c>
      <c r="B412" s="2" t="str">
        <f>IFERROR(__xludf.DUMMYFUNCTION("GOOGLETRANSLATE(A412, ""en"", ""mt"")"),"""Konvertiti Ġodda""")</f>
        <v>"Konvertiti Ġodda"</v>
      </c>
    </row>
    <row r="413" ht="15.75" customHeight="1">
      <c r="A413" s="2" t="s">
        <v>413</v>
      </c>
      <c r="B413" s="2" t="str">
        <f>IFERROR(__xludf.DUMMYFUNCTION("GOOGLETRANSLATE(A413, ""en"", ""mt"")"),"Kemm speċi ta 'ctenophora ġew ivvalidati?")</f>
        <v>Kemm speċi ta 'ctenophora ġew ivvalidati?</v>
      </c>
    </row>
    <row r="414" ht="15.75" customHeight="1">
      <c r="A414" s="2" t="s">
        <v>414</v>
      </c>
      <c r="B414" s="2" t="str">
        <f>IFERROR(__xludf.DUMMYFUNCTION("GOOGLETRANSLATE(A414, ""en"", ""mt"")"),"X'inhi marda awtoimmuni li taffettwa n-nisa b'mod preferenzjali?")</f>
        <v>X'inhi marda awtoimmuni li taffettwa n-nisa b'mod preferenzjali?</v>
      </c>
    </row>
    <row r="415" ht="15.75" customHeight="1">
      <c r="A415" s="2" t="s">
        <v>415</v>
      </c>
      <c r="B415" s="2" t="str">
        <f>IFERROR(__xludf.DUMMYFUNCTION("GOOGLETRANSLATE(A415, ""en"", ""mt"")"),"ospiti responsabbli għal twassil affidabbli ta 'dejta")</f>
        <v>ospiti responsabbli għal twassil affidabbli ta 'dejta</v>
      </c>
    </row>
    <row r="416" ht="15.75" customHeight="1">
      <c r="A416" s="2" t="s">
        <v>416</v>
      </c>
      <c r="B416" s="2" t="str">
        <f>IFERROR(__xludf.DUMMYFUNCTION("GOOGLETRANSLATE(A416, ""en"", ""mt"")"),"Merit Network, Inc., korporazzjoni indipendenti bla skop ta 'qligħ 501 (c) (3) regolata mill-universitajiet pubbliċi ta' Michigan, ġiet iffurmata fl-1966 bħala l-informazzjoni dwar ir-riċerka edukattiva ta 'Michigan biex tesplora netwerking tal-kompjuter "&amp;"bejn tlieta mill-universitajiet pubbliċi ta' Michigan bħala mezz għal tgħin l-iżvilupp edukattiv u ekonomiku tal-istat. Bl-appoġġ inizjali mill-Istat ta 'Michigan u l-Fondazzjoni Nazzjonali tax-Xjenza (NSF), in-netwerk li jinxtegħel il-pakketti l-ewwel in"&amp;"twera f'Diċembru 1971 meta sar konnessjoni interattiva għall-ospitanti bejn is-sistemi tal-kompjuter IBM Mainframe fl-Università ta' Michigan f'Ann f'Ann Arbor u Wayne State University f'Detroit. F’Ottubru 1972 il-konnessjonijiet mal-mainframe CDC fil-Mic"&amp;"higan State University fil-East Lansing temmew it-Triad. Matul id-diversi snin li ġejjin minbarra l-ospitanti biex jospitaw konnessjonijiet interattivi n-netwerk kien imsaħħaħ biex jappoġġja t-terminal għal konnessjonijiet ospitanti, ospitanti għal konnes"&amp;"sjonijiet tal-lott ospitanti (sottomissjoni ta 'impjiegi remoti, stampar mill-bogħod, trasferiment ta' fajls tal-lott), trasferiment ta 'fajl interattiv, gateways għat-Tymnet u Networks tad-Dejta Pubblika tat-Telenet, X.25 Attachments ospitanti, Gateways "&amp;"għal X.25 Networks tad-Dejta, Ethernet Hosts mehmuża, u eventwalment TCP / IP u universitajiet pubbliċi addizzjonali fil-Michigan jingħaqdu man-netwerk. Dan kollu stabbilixxa l-istadju għar-rwol ta 'Merit fil-proġett NSFNET li jibda f'nofs is-snin 1980.")</f>
        <v>Merit Network, Inc., korporazzjoni indipendenti bla skop ta 'qligħ 501 (c) (3) regolata mill-universitajiet pubbliċi ta' Michigan, ġiet iffurmata fl-1966 bħala l-informazzjoni dwar ir-riċerka edukattiva ta 'Michigan biex tesplora netwerking tal-kompjuter bejn tlieta mill-universitajiet pubbliċi ta' Michigan bħala mezz għal tgħin l-iżvilupp edukattiv u ekonomiku tal-istat. Bl-appoġġ inizjali mill-Istat ta 'Michigan u l-Fondazzjoni Nazzjonali tax-Xjenza (NSF), in-netwerk li jinxtegħel il-pakketti l-ewwel intwera f'Diċembru 1971 meta sar konnessjoni interattiva għall-ospitanti bejn is-sistemi tal-kompjuter IBM Mainframe fl-Università ta' Michigan f'Ann f'Ann Arbor u Wayne State University f'Detroit. F’Ottubru 1972 il-konnessjonijiet mal-mainframe CDC fil-Michigan State University fil-East Lansing temmew it-Triad. Matul id-diversi snin li ġejjin minbarra l-ospitanti biex jospitaw konnessjonijiet interattivi n-netwerk kien imsaħħaħ biex jappoġġja t-terminal għal konnessjonijiet ospitanti, ospitanti għal konnessjonijiet tal-lott ospitanti (sottomissjoni ta 'impjiegi remoti, stampar mill-bogħod, trasferiment ta' fajls tal-lott), trasferiment ta 'fajl interattiv, gateways għat-Tymnet u Networks tad-Dejta Pubblika tat-Telenet, X.25 Attachments ospitanti, Gateways għal X.25 Networks tad-Dejta, Ethernet Hosts mehmuża, u eventwalment TCP / IP u universitajiet pubbliċi addizzjonali fil-Michigan jingħaqdu man-netwerk. Dan kollu stabbilixxa l-istadju għar-rwol ta 'Merit fil-proġett NSFNET li jibda f'nofs is-snin 1980.</v>
      </c>
    </row>
    <row r="417" ht="15.75" customHeight="1">
      <c r="A417" s="2" t="s">
        <v>417</v>
      </c>
      <c r="B417" s="2" t="str">
        <f>IFERROR(__xludf.DUMMYFUNCTION("GOOGLETRANSLATE(A417, ""en"", ""mt"")"),"Min hu l-Gvernatur tal-Bank Ċentrali tal-Indja?")</f>
        <v>Min hu l-Gvernatur tal-Bank Ċentrali tal-Indja?</v>
      </c>
    </row>
    <row r="418" ht="15.75" customHeight="1">
      <c r="A418" s="2" t="s">
        <v>418</v>
      </c>
      <c r="B418" s="2" t="str">
        <f>IFERROR(__xludf.DUMMYFUNCTION("GOOGLETRANSLATE(A418, ""en"", ""mt"")"),"Min ma jiddefinixxix dak li jikkostitwixxi relazzjoni ta 'pazjent-futtur?")</f>
        <v>Min ma jiddefinixxix dak li jikkostitwixxi relazzjoni ta 'pazjent-futtur?</v>
      </c>
    </row>
    <row r="419" ht="15.75" customHeight="1">
      <c r="A419" s="2" t="s">
        <v>419</v>
      </c>
      <c r="B419" s="2" t="str">
        <f>IFERROR(__xludf.DUMMYFUNCTION("GOOGLETRANSLATE(A419, ""en"", ""mt"")")," Meta l-Moskea tal-Moskea Undercover Channel 8 ta 'Channel 8?")</f>
        <v> Meta l-Moskea tal-Moskea Undercover Channel 8 ta 'Channel 8?</v>
      </c>
    </row>
    <row r="420" ht="15.75" customHeight="1">
      <c r="A420" s="2" t="s">
        <v>420</v>
      </c>
      <c r="B420" s="2" t="str">
        <f>IFERROR(__xludf.DUMMYFUNCTION("GOOGLETRANSLATE(A420, ""en"", ""mt"")"),"Ir-reġjun ta 'fuq tar-Renu nbidel b'mod sinifikanti minn programm ta' rilaxx tar-Renu fis-seklu 19. Ir-rata tal-fluss żdiedet u l-livell tal-ilma ta ’taħt l-art naqas b’mod sinifikanti. Fergħat mejta nixfu u l-ammont ta 'foresti fuq il-pjanuri ta' l-għarg"&amp;"ħar naqas sew. Min-naħa Franċiża, il-Grand Canal D'Alsace kien imħaffer, li jġorr parti sinifikanti mill-ilma tax-xmara, u t-traffiku kollu. F’xi postijiet, hemm pixxini kbar ta ’kumpens, pereżempju l-Bassin de Compensation de Plobsheim enormi fl-Alsace.")</f>
        <v>Ir-reġjun ta 'fuq tar-Renu nbidel b'mod sinifikanti minn programm ta' rilaxx tar-Renu fis-seklu 19. Ir-rata tal-fluss żdiedet u l-livell tal-ilma ta ’taħt l-art naqas b’mod sinifikanti. Fergħat mejta nixfu u l-ammont ta 'foresti fuq il-pjanuri ta' l-għargħar naqas sew. Min-naħa Franċiża, il-Grand Canal D'Alsace kien imħaffer, li jġorr parti sinifikanti mill-ilma tax-xmara, u t-traffiku kollu. F’xi postijiet, hemm pixxini kbar ta ’kumpens, pereżempju l-Bassin de Compensation de Plobsheim enormi fl-Alsace.</v>
      </c>
    </row>
    <row r="421" ht="15.75" customHeight="1">
      <c r="A421" s="2" t="s">
        <v>421</v>
      </c>
      <c r="B421" s="2" t="str">
        <f>IFERROR(__xludf.DUMMYFUNCTION("GOOGLETRANSLATE(A421, ""en"", ""mt"")"),"Ma setgħux jaħkmu ċ-Ċiniż miktub, imma ġeneralment jistgħu jitkellmu sew")</f>
        <v>Ma setgħux jaħkmu ċ-Ċiniż miktub, imma ġeneralment jistgħu jitkellmu sew</v>
      </c>
    </row>
    <row r="422" ht="15.75" customHeight="1">
      <c r="A422" s="2" t="s">
        <v>422</v>
      </c>
      <c r="B422" s="2" t="str">
        <f>IFERROR(__xludf.DUMMYFUNCTION("GOOGLETRANSLATE(A422, ""en"", ""mt"")"),"L-azzjonijiet kollha mill-istituzzjonijiet tal-UE jistgħu jkunu soġġetti għal reviżjoni ġudizzjarja")</f>
        <v>L-azzjonijiet kollha mill-istituzzjonijiet tal-UE jistgħu jkunu soġġetti għal reviżjoni ġudizzjarja</v>
      </c>
    </row>
    <row r="423" ht="15.75" customHeight="1">
      <c r="A423" s="2" t="s">
        <v>423</v>
      </c>
      <c r="B423" s="2" t="str">
        <f>IFERROR(__xludf.DUMMYFUNCTION("GOOGLETRANSLATE(A423, ""en"", ""mt"")"),"Madwar 9.81 metri kull sekonda")</f>
        <v>Madwar 9.81 metri kull sekonda</v>
      </c>
    </row>
    <row r="424" ht="15.75" customHeight="1">
      <c r="A424" s="2" t="s">
        <v>424</v>
      </c>
      <c r="B424" s="2" t="str">
        <f>IFERROR(__xludf.DUMMYFUNCTION("GOOGLETRANSLATE(A424, ""en"", ""mt"")"),"Meta nbena ċ-Ċentru tal-Atletika Gerald Ratner?")</f>
        <v>Meta nbena ċ-Ċentru tal-Atletika Gerald Ratner?</v>
      </c>
    </row>
    <row r="425" ht="15.75" customHeight="1">
      <c r="A425" s="2" t="s">
        <v>425</v>
      </c>
      <c r="B425" s="2" t="str">
        <f>IFERROR(__xludf.DUMMYFUNCTION("GOOGLETRANSLATE(A425, ""en"", ""mt"")"),"Mujahideen Musulman Afganistan")</f>
        <v>Mujahideen Musulman Afganistan</v>
      </c>
    </row>
    <row r="426" ht="15.75" customHeight="1">
      <c r="A426" s="2" t="s">
        <v>426</v>
      </c>
      <c r="B426" s="2" t="str">
        <f>IFERROR(__xludf.DUMMYFUNCTION("GOOGLETRANSLATE(A426, ""en"", ""mt"")"),"X'inhu l-isem tal-fraternità tas-servizz tal-komunità ko-ed?")</f>
        <v>X'inhu l-isem tal-fraternità tas-servizz tal-komunità ko-ed?</v>
      </c>
    </row>
    <row r="427" ht="15.75" customHeight="1">
      <c r="A427" s="2" t="s">
        <v>427</v>
      </c>
      <c r="B427" s="2" t="str">
        <f>IFERROR(__xludf.DUMMYFUNCTION("GOOGLETRANSLATE(A427, ""en"", ""mt"")"),"F’liema sena ġie introdott sett ta ’bidliet sinifikanti fir-regola inkluż il-pass 'il quddiem?")</f>
        <v>F’liema sena ġie introdott sett ta ’bidliet sinifikanti fir-regola inkluż il-pass 'il quddiem?</v>
      </c>
    </row>
    <row r="428" ht="15.75" customHeight="1">
      <c r="A428" s="2" t="s">
        <v>428</v>
      </c>
      <c r="B428" s="2" t="str">
        <f>IFERROR(__xludf.DUMMYFUNCTION("GOOGLETRANSLATE(A428, ""en"", ""mt"")"),"ROCOCO")</f>
        <v>ROCOCO</v>
      </c>
    </row>
    <row r="429" ht="15.75" customHeight="1">
      <c r="A429" s="2" t="s">
        <v>429</v>
      </c>
      <c r="B429" s="2" t="str">
        <f>IFERROR(__xludf.DUMMYFUNCTION("GOOGLETRANSLATE(A429, ""en"", ""mt"")"),"Il-kontijiet tat-TV Sky tat-Talbiet")</f>
        <v>Il-kontijiet tat-TV Sky tat-Talbiet</v>
      </c>
    </row>
    <row r="430" ht="15.75" customHeight="1">
      <c r="A430" s="2" t="s">
        <v>430</v>
      </c>
      <c r="B430" s="2" t="str">
        <f>IFERROR(__xludf.DUMMYFUNCTION("GOOGLETRANSLATE(A430, ""en"", ""mt"")"),"timu u mudullun")</f>
        <v>timu u mudullun</v>
      </c>
    </row>
    <row r="431" ht="15.75" customHeight="1">
      <c r="A431" s="2" t="s">
        <v>431</v>
      </c>
      <c r="B431" s="2" t="str">
        <f>IFERROR(__xludf.DUMMYFUNCTION("GOOGLETRANSLATE(A431, ""en"", ""mt"")"),"Xi jfisser il-portafoll sportiv ta 'BSKYB?")</f>
        <v>Xi jfisser il-portafoll sportiv ta 'BSKYB?</v>
      </c>
    </row>
    <row r="432" ht="15.75" customHeight="1">
      <c r="A432" s="2" t="s">
        <v>432</v>
      </c>
      <c r="B432" s="2" t="str">
        <f>IFERROR(__xludf.DUMMYFUNCTION("GOOGLETRANSLATE(A432, ""en"", ""mt"")"),"regoli")</f>
        <v>regoli</v>
      </c>
    </row>
    <row r="433" ht="15.75" customHeight="1">
      <c r="A433" s="2" t="s">
        <v>433</v>
      </c>
      <c r="B433" s="2" t="str">
        <f>IFERROR(__xludf.DUMMYFUNCTION("GOOGLETRANSLATE(A433, ""en"", ""mt"")"),"Disinn Ibni")</f>
        <v>Disinn Ibni</v>
      </c>
    </row>
    <row r="434" ht="15.75" customHeight="1">
      <c r="A434" s="2" t="s">
        <v>434</v>
      </c>
      <c r="B434" s="2" t="str">
        <f>IFERROR(__xludf.DUMMYFUNCTION("GOOGLETRANSLATE(A434, ""en"", ""mt"")"),"L-istorja tal-magna tal-fwar tinfirex lura sa l-ewwel seklu WK; L-ewwel magna tal-fwar rudimentarja rreġistrata hija l-eolipile deskritta mill-eroj tal-matematiku Grieg ta ’Lixandra. Fis-sekli li ġejjin, il-ftit ""magni"" li jaħdmu bil-fwar kienu magħrufa"&amp;", bħall-apparat ta 'l-eolipile, essenzjalment sperimentali użati mill-inventuri biex juru l-proprjetajiet tal-fwar. Apparat rudimentarju tat-turbina tal-fwar ġie deskritt minn Taqi al-Din fl-1551 u minn Giovanni Branca fl-1629. Jerónimo de Ayanz y Beaumon"&amp;"t irċieva privattivi fl-1606 għal ħamsin invenzjonijiet li jaħdmu bil-fwar, inkluża pompa tal-ilma biex tixxotta l-minjieri inundati. Denis Papin, refuġjat Huguenot, għamel xi xogħol utli fuq il-fwar diġestur fl-1679, u l-ewwel uża pistun biex jgħolli l-p"&amp;"iżijiet fl-1690.")</f>
        <v>L-istorja tal-magna tal-fwar tinfirex lura sa l-ewwel seklu WK; L-ewwel magna tal-fwar rudimentarja rreġistrata hija l-eolipile deskritta mill-eroj tal-matematiku Grieg ta ’Lixandra. Fis-sekli li ġejjin, il-ftit "magni" li jaħdmu bil-fwar kienu magħrufa, bħall-apparat ta 'l-eolipile, essenzjalment sperimentali użati mill-inventuri biex juru l-proprjetajiet tal-fwar. Apparat rudimentarju tat-turbina tal-fwar ġie deskritt minn Taqi al-Din fl-1551 u minn Giovanni Branca fl-1629. Jerónimo de Ayanz y Beaumont irċieva privattivi fl-1606 għal ħamsin invenzjonijiet li jaħdmu bil-fwar, inkluża pompa tal-ilma biex tixxotta l-minjieri inundati. Denis Papin, refuġjat Huguenot, għamel xi xogħol utli fuq il-fwar diġestur fl-1679, u l-ewwel uża pistun biex jgħolli l-piżijiet fl-1690.</v>
      </c>
    </row>
    <row r="435" ht="15.75" customHeight="1">
      <c r="A435" s="2" t="s">
        <v>435</v>
      </c>
      <c r="B435" s="2" t="str">
        <f>IFERROR(__xludf.DUMMYFUNCTION("GOOGLETRANSLATE(A435, ""en"", ""mt"")"),"Liema linji gwida jintużaw għar-reviżjonijiet tal-IPCC?")</f>
        <v>Liema linji gwida jintużaw għar-reviżjonijiet tal-IPCC?</v>
      </c>
    </row>
    <row r="436" ht="15.75" customHeight="1">
      <c r="A436" s="2" t="s">
        <v>436</v>
      </c>
      <c r="B436" s="2" t="str">
        <f>IFERROR(__xludf.DUMMYFUNCTION("GOOGLETRANSLATE(A436, ""en"", ""mt"")"),"Pjazza tal-Parlament, High Street u George IV Bridge f'Edinburgu")</f>
        <v>Pjazza tal-Parlament, High Street u George IV Bridge f'Edinburgu</v>
      </c>
    </row>
    <row r="437" ht="15.75" customHeight="1">
      <c r="A437" s="2" t="s">
        <v>437</v>
      </c>
      <c r="B437" s="2" t="str">
        <f>IFERROR(__xludf.DUMMYFUNCTION("GOOGLETRANSLATE(A437, ""en"", ""mt"")"),"X'jiġri jekk membru ma jivvotax il-linja tal-partit?")</f>
        <v>X'jiġri jekk membru ma jivvotax il-linja tal-partit?</v>
      </c>
    </row>
    <row r="438" ht="15.75" customHeight="1">
      <c r="A438" s="2" t="s">
        <v>438</v>
      </c>
      <c r="B438" s="2" t="str">
        <f>IFERROR(__xludf.DUMMYFUNCTION("GOOGLETRANSLATE(A438, ""en"", ""mt"")"),"Meta nstab id-deheb qrib Birmingham?")</f>
        <v>Meta nstab id-deheb qrib Birmingham?</v>
      </c>
    </row>
    <row r="439" ht="15.75" customHeight="1">
      <c r="A439" s="2" t="s">
        <v>439</v>
      </c>
      <c r="B439" s="2" t="str">
        <f>IFERROR(__xludf.DUMMYFUNCTION("GOOGLETRANSLATE(A439, ""en"", ""mt"")"),"Fejn kienu ċċentrati l-popolazzjonijiet fil-kolonji?")</f>
        <v>Fejn kienu ċċentrati l-popolazzjonijiet fil-kolonji?</v>
      </c>
    </row>
    <row r="440" ht="15.75" customHeight="1">
      <c r="A440" s="2" t="s">
        <v>440</v>
      </c>
      <c r="B440" s="2" t="str">
        <f>IFERROR(__xludf.DUMMYFUNCTION("GOOGLETRANSLATE(A440, ""en"", ""mt"")"),"Ftit mijiet ta 'piedi")</f>
        <v>Ftit mijiet ta 'piedi</v>
      </c>
    </row>
    <row r="441" ht="15.75" customHeight="1">
      <c r="A441" s="2" t="s">
        <v>441</v>
      </c>
      <c r="B441" s="2" t="str">
        <f>IFERROR(__xludf.DUMMYFUNCTION("GOOGLETRANSLATE(A441, ""en"", ""mt"")"),"Kont privat")</f>
        <v>Kont privat</v>
      </c>
    </row>
    <row r="442" ht="15.75" customHeight="1">
      <c r="A442" s="2" t="s">
        <v>442</v>
      </c>
      <c r="B442" s="2" t="str">
        <f>IFERROR(__xludf.DUMMYFUNCTION("GOOGLETRANSLATE(A442, ""en"", ""mt"")"),"1639")</f>
        <v>1639</v>
      </c>
    </row>
    <row r="443" ht="15.75" customHeight="1">
      <c r="A443" s="2" t="s">
        <v>443</v>
      </c>
      <c r="B443" s="2" t="str">
        <f>IFERROR(__xludf.DUMMYFUNCTION("GOOGLETRANSLATE(A443, ""en"", ""mt"")")," Min kien it-3 biex imexxi d-dinastija Yuan?")</f>
        <v> Min kien it-3 biex imexxi d-dinastija Yuan?</v>
      </c>
    </row>
    <row r="444" ht="15.75" customHeight="1">
      <c r="A444" s="2" t="s">
        <v>444</v>
      </c>
      <c r="B444" s="2" t="str">
        <f>IFERROR(__xludf.DUMMYFUNCTION("GOOGLETRANSLATE(A444, ""en"", ""mt"")"),"22 ta 'Novembru")</f>
        <v>22 ta 'Novembru</v>
      </c>
    </row>
    <row r="445" ht="15.75" customHeight="1">
      <c r="A445" s="2" t="s">
        <v>445</v>
      </c>
      <c r="B445" s="2" t="str">
        <f>IFERROR(__xludf.DUMMYFUNCTION("GOOGLETRANSLATE(A445, ""en"", ""mt"")"),"Il-veloċità tal-qlib tal-pakketti hija ddeterminata minn liema fattur?")</f>
        <v>Il-veloċità tal-qlib tal-pakketti hija ddeterminata minn liema fattur?</v>
      </c>
    </row>
    <row r="446" ht="15.75" customHeight="1">
      <c r="A446" s="2" t="s">
        <v>446</v>
      </c>
      <c r="B446" s="2" t="str">
        <f>IFERROR(__xludf.DUMMYFUNCTION("GOOGLETRANSLATE(A446, ""en"", ""mt"")"),"X'inhu l-bini tal-Lbiċ tal-Paċifiku bħalissa magħruf bħala?")</f>
        <v>X'inhu l-bini tal-Lbiċ tal-Paċifiku bħalissa magħruf bħala?</v>
      </c>
    </row>
    <row r="447" ht="15.75" customHeight="1">
      <c r="A447" s="2" t="s">
        <v>447</v>
      </c>
      <c r="B447" s="2" t="str">
        <f>IFERROR(__xludf.DUMMYFUNCTION("GOOGLETRANSLATE(A447, ""en"", ""mt"")"),"Howard Zinn jikteb, ""Jista 'jkun hemm ħafna drabi meta d-dimostranti jagħżlu li jmorru l-ħabs, bħala mod kif ikomplu l-protesta tagħhom, bħala mod kif ifakkru lil pajjiżhom ta' inġustizzja. Iżda dan huwa differenti mill-kunċett li jridu jmorru l-ħabs bħa"&amp;"la Parti minn regola marbuta mad-diżubbidjenza ċivili. Il-punt ewlieni huwa li l-ispirtu ta 'protesta għandu jinżamm it-triq kollha, kemm jekk isir billi jibqa' l-ħabs, jew billi jevadiha. Li taċċetta l-ħabs b'mod penitenti bħala adeżjoni għal 'ir-regoli "&amp;"""Huwa li jaqleb f'daqqa għal spirtu ta 'sussistenza, biex iwaqqa' s-serjetà tal-protesta ... b'mod partikolari, l-insistenza neo-konservattiva fuq motiv ħati għandha tiġi eliminata.""")</f>
        <v>Howard Zinn jikteb, "Jista 'jkun hemm ħafna drabi meta d-dimostranti jagħżlu li jmorru l-ħabs, bħala mod kif ikomplu l-protesta tagħhom, bħala mod kif ifakkru lil pajjiżhom ta' inġustizzja. Iżda dan huwa differenti mill-kunċett li jridu jmorru l-ħabs bħala Parti minn regola marbuta mad-diżubbidjenza ċivili. Il-punt ewlieni huwa li l-ispirtu ta 'protesta għandu jinżamm it-triq kollha, kemm jekk isir billi jibqa' l-ħabs, jew billi jevadiha. Li taċċetta l-ħabs b'mod penitenti bħala adeżjoni għal 'ir-regoli "Huwa li jaqleb f'daqqa għal spirtu ta 'sussistenza, biex iwaqqa' s-serjetà tal-protesta ... b'mod partikolari, l-insistenza neo-konservattiva fuq motiv ħati għandha tiġi eliminata."</v>
      </c>
    </row>
    <row r="448" ht="15.75" customHeight="1">
      <c r="A448" s="2" t="s">
        <v>448</v>
      </c>
      <c r="B448" s="2" t="str">
        <f>IFERROR(__xludf.DUMMYFUNCTION("GOOGLETRANSLATE(A448, ""en"", ""mt"")"),"Min ma kinitx l-unika awtorità governattiva li kapaċi tibda proposti leġiżlattivi?")</f>
        <v>Min ma kinitx l-unika awtorità governattiva li kapaċi tibda proposti leġiżlattivi?</v>
      </c>
    </row>
    <row r="449" ht="15.75" customHeight="1">
      <c r="A449" s="2" t="s">
        <v>449</v>
      </c>
      <c r="B449" s="2" t="str">
        <f>IFERROR(__xludf.DUMMYFUNCTION("GOOGLETRANSLATE(A449, ""en"", ""mt"")"),"Id-Dinastija Yuan (Ċiniż: 元 朝; Pinyin: Yuán Cháo), uffiċjalment il-Yuan il-Kbir (Ċiniż: 大 大; pinyin: Dà Yuán; Mongoljan: Yehe Yuan Ulus [A]), kien l-imperu jew id-dinastija li tiddeċiedi taċ-Ċina stabbilita mill-Kublija Khan, mexxej tal-klann Borjigin Mon"&amp;"goljan. Għalkemm il-Mongoli kienu ddeċidew territorji inklużi ċ-Ċina tat-Tramuntana tal-lum għal għexieren ta ’snin, ma kienx sal-1271 li Kublai Khan ipproklama uffiċjalment id-dinastija fl-istil tradizzjonali Ċiniż. L-isfera tiegħu kienet, minn dan il-pu"&amp;"nt, iżolata mill-Khanates l-oħra u kkontrollat ​​il-biċċa l-kbira taċ-Ċina preżenti u ż-żoni tal-madwar tagħha, inklużi l-Mongolja moderna u l-Korea. Kienet l-ewwel dinastija barranija li ddeċidiet iċ-Ċina kollha u damet sal-1368, u wara l-ħakkiema Genghi"&amp;"sid tagħha rritornaw lejn art twelidhom u komplew jiddeċiedu d-dinastija tat-tramuntana tal-Yuan. Uħud mill-imperaturi Mongoljani tal-Yuan ħasbu l-lingwa Ċiniża, filwaqt li oħrajn użaw biss il-lingwa nattiva tagħhom (i.e. Mongoljani) u l-iskrittura 'Phags"&amp;"-Pa.")</f>
        <v>Id-Dinastija Yuan (Ċiniż: 元 朝; Pinyin: Yuán Cháo), uffiċjalment il-Yuan il-Kbir (Ċiniż: 大 大; pinyin: Dà Yuán; Mongoljan: Yehe Yuan Ulus [A]), kien l-imperu jew id-dinastija li tiddeċiedi taċ-Ċina stabbilita mill-Kublija Khan, mexxej tal-klann Borjigin Mongoljan. Għalkemm il-Mongoli kienu ddeċidew territorji inklużi ċ-Ċina tat-Tramuntana tal-lum għal għexieren ta ’snin, ma kienx sal-1271 li Kublai Khan ipproklama uffiċjalment id-dinastija fl-istil tradizzjonali Ċiniż. L-isfera tiegħu kienet, minn dan il-punt, iżolata mill-Khanates l-oħra u kkontrollat ​​il-biċċa l-kbira taċ-Ċina preżenti u ż-żoni tal-madwar tagħha, inklużi l-Mongolja moderna u l-Korea. Kienet l-ewwel dinastija barranija li ddeċidiet iċ-Ċina kollha u damet sal-1368, u wara l-ħakkiema Genghisid tagħha rritornaw lejn art twelidhom u komplew jiddeċiedu d-dinastija tat-tramuntana tal-Yuan. Uħud mill-imperaturi Mongoljani tal-Yuan ħasbu l-lingwa Ċiniża, filwaqt li oħrajn użaw biss il-lingwa nattiva tagħhom (i.e. Mongoljani) u l-iskrittura 'Phags-Pa.</v>
      </c>
    </row>
    <row r="450" ht="15.75" customHeight="1">
      <c r="A450" s="2" t="s">
        <v>450</v>
      </c>
      <c r="B450" s="2" t="str">
        <f>IFERROR(__xludf.DUMMYFUNCTION("GOOGLETRANSLATE(A450, ""en"", ""mt"")"),"irġiel fis-suq tax-xogħol")</f>
        <v>irġiel fis-suq tax-xogħol</v>
      </c>
    </row>
    <row r="451" ht="15.75" customHeight="1">
      <c r="A451" s="2" t="s">
        <v>451</v>
      </c>
      <c r="B451" s="2" t="str">
        <f>IFERROR(__xludf.DUMMYFUNCTION("GOOGLETRANSLATE(A451, ""en"", ""mt"")"),"L-ipoteżi ta 'Riemann mhux ippruvata, li tmur mill-1859, tiddikjara li ħlief għal S = −2, −4, ..., iż-żero kollha tal-funzjoni ζ għandhom parti reali daqs 1/2. Il-konnessjoni man-numri ewlenin hija li essenzjalment tgħid li l-primes huma mqassma regolarme"&amp;"nt kemm jista 'jkun. [Kjarifika meħtieġa] mil-lat fiżiku, bejn wieħed u ieħor jiddikjara li l-irregolarità fid-distribuzzjoni tal-primes ġejja biss minn ħoss bl-addoċċ. Mil-lat matematiku, bejn wieħed u ieħor jiddikjara li d-distribuzzjoni bla sintomi ta "&amp;"'primes (madwar x / log X ta' numri inqas minn X huma primes, it-teorema tan-numru ewlieni) iżomm ukoll għal intervalli ferm iqsar ta 'tul madwar l-għerq kwadru ta' X (għal intervalli qrib x). Din l-ipoteżi hija ġeneralment maħsuba li hija korretta. B'mod"&amp;" partikolari, l-iktar suppożizzjoni sempliċi hija li l-primes m'għandhomx ikollhom irregolaritajiet sinifikanti mingħajr raġuni tajba.")</f>
        <v>L-ipoteżi ta 'Riemann mhux ippruvata, li tmur mill-1859, tiddikjara li ħlief għal S = −2, −4, ..., iż-żero kollha tal-funzjoni ζ għandhom parti reali daqs 1/2. Il-konnessjoni man-numri ewlenin hija li essenzjalment tgħid li l-primes huma mqassma regolarment kemm jista 'jkun. [Kjarifika meħtieġa] mil-lat fiżiku, bejn wieħed u ieħor jiddikjara li l-irregolarità fid-distribuzzjoni tal-primes ġejja biss minn ħoss bl-addoċċ. Mil-lat matematiku, bejn wieħed u ieħor jiddikjara li d-distribuzzjoni bla sintomi ta 'primes (madwar x / log X ta' numri inqas minn X huma primes, it-teorema tan-numru ewlieni) iżomm ukoll għal intervalli ferm iqsar ta 'tul madwar l-għerq kwadru ta' X (għal intervalli qrib x). Din l-ipoteżi hija ġeneralment maħsuba li hija korretta. B'mod partikolari, l-iktar suppożizzjoni sempliċi hija li l-primes m'għandhomx ikollhom irregolaritajiet sinifikanti mingħajr raġuni tajba.</v>
      </c>
    </row>
    <row r="452" ht="15.75" customHeight="1">
      <c r="A452" s="2" t="s">
        <v>452</v>
      </c>
      <c r="B452" s="2" t="str">
        <f>IFERROR(__xludf.DUMMYFUNCTION("GOOGLETRANSLATE(A452, ""en"", ""mt"")"),"Liema għażla tipikament titħalla tiddependi fi sforz biex iżżomm livell ta 'astrazzjoni?")</f>
        <v>Liema għażla tipikament titħalla tiddependi fi sforz biex iżżomm livell ta 'astrazzjoni?</v>
      </c>
    </row>
    <row r="453" ht="15.75" customHeight="1">
      <c r="A453" s="2" t="s">
        <v>453</v>
      </c>
      <c r="B453" s="2" t="str">
        <f>IFERROR(__xludf.DUMMYFUNCTION("GOOGLETRANSLATE(A453, ""en"", ""mt"")"),"Liema tliet affarijiet għandek bżonn biex iseħħ il-manifattura?")</f>
        <v>Liema tliet affarijiet għandek bżonn biex iseħħ il-manifattura?</v>
      </c>
    </row>
    <row r="454" ht="15.75" customHeight="1">
      <c r="A454" s="2" t="s">
        <v>454</v>
      </c>
      <c r="B454" s="2" t="str">
        <f>IFERROR(__xludf.DUMMYFUNCTION("GOOGLETRANSLATE(A454, ""en"", ""mt"")"),"Kemm hemm Musulmani fil-Greater London?")</f>
        <v>Kemm hemm Musulmani fil-Greater London?</v>
      </c>
    </row>
    <row r="455" ht="15.75" customHeight="1">
      <c r="A455" s="2" t="s">
        <v>455</v>
      </c>
      <c r="B455" s="2" t="str">
        <f>IFERROR(__xludf.DUMMYFUNCTION("GOOGLETRANSLATE(A455, ""en"", ""mt"")"),"wieqaf u ġġieled għall-aħħar")</f>
        <v>wieqaf u ġġieled għall-aħħar</v>
      </c>
    </row>
    <row r="456" ht="15.75" customHeight="1">
      <c r="A456" s="2" t="s">
        <v>456</v>
      </c>
      <c r="B456" s="2" t="str">
        <f>IFERROR(__xludf.DUMMYFUNCTION("GOOGLETRANSLATE(A456, ""en"", ""mt"")"),"Min kien l-ewwel sultan ta ’Franza li ssaltan waqt ir-Riforma?")</f>
        <v>Min kien l-ewwel sultan ta ’Franza li ssaltan waqt ir-Riforma?</v>
      </c>
    </row>
    <row r="457" ht="15.75" customHeight="1">
      <c r="A457" s="2" t="s">
        <v>457</v>
      </c>
      <c r="B457" s="2" t="str">
        <f>IFERROR(__xludf.DUMMYFUNCTION("GOOGLETRANSLATE(A457, ""en"", ""mt"")"),"spirtu ta ’protesta")</f>
        <v>spirtu ta ’protesta</v>
      </c>
    </row>
    <row r="458" ht="15.75" customHeight="1">
      <c r="A458" s="2" t="s">
        <v>458</v>
      </c>
      <c r="B458" s="2" t="str">
        <f>IFERROR(__xludf.DUMMYFUNCTION("GOOGLETRANSLATE(A458, ""en"", ""mt"")"),"is-siġġijiet tal-grupp ta 'ħidma")</f>
        <v>is-siġġijiet tal-grupp ta 'ħidma</v>
      </c>
    </row>
    <row r="459" ht="15.75" customHeight="1">
      <c r="A459" s="2" t="s">
        <v>459</v>
      </c>
      <c r="B459" s="2" t="str">
        <f>IFERROR(__xludf.DUMMYFUNCTION("GOOGLETRANSLATE(A459, ""en"", ""mt"")"),"X'inhu eżempju ta 'komponent tal-pompa?")</f>
        <v>X'inhu eżempju ta 'komponent tal-pompa?</v>
      </c>
    </row>
    <row r="460" ht="15.75" customHeight="1">
      <c r="A460" s="2" t="s">
        <v>460</v>
      </c>
      <c r="B460" s="2" t="str">
        <f>IFERROR(__xludf.DUMMYFUNCTION("GOOGLETRANSLATE(A460, ""en"", ""mt"")"),"Kemm nies fi Quzhou huma dixxendenti minn Confucius?")</f>
        <v>Kemm nies fi Quzhou huma dixxendenti minn Confucius?</v>
      </c>
    </row>
    <row r="461" ht="15.75" customHeight="1">
      <c r="A461" s="2" t="s">
        <v>461</v>
      </c>
      <c r="B461" s="2" t="str">
        <f>IFERROR(__xludf.DUMMYFUNCTION("GOOGLETRANSLATE(A461, ""en"", ""mt"")"),"Pac-12")</f>
        <v>Pac-12</v>
      </c>
    </row>
    <row r="462" ht="15.75" customHeight="1">
      <c r="A462" s="2" t="s">
        <v>462</v>
      </c>
      <c r="B462" s="2" t="str">
        <f>IFERROR(__xludf.DUMMYFUNCTION("GOOGLETRANSLATE(A462, ""en"", ""mt"")"),"X'kien għan fit-tul tal-politika barranija Franċiża tul ir-Renu?")</f>
        <v>X'kien għan fit-tul tal-politika barranija Franċiża tul ir-Renu?</v>
      </c>
    </row>
    <row r="463" ht="15.75" customHeight="1">
      <c r="A463" s="2" t="s">
        <v>463</v>
      </c>
      <c r="B463" s="2" t="str">
        <f>IFERROR(__xludf.DUMMYFUNCTION("GOOGLETRANSLATE(A463, ""en"", ""mt"")"),"X'inhu l-ajruport l-aktar traffikuż mill-volum tal-passiġġieri fl-Istati Uniti?")</f>
        <v>X'inhu l-ajruport l-aktar traffikuż mill-volum tal-passiġġieri fl-Istati Uniti?</v>
      </c>
    </row>
    <row r="464" ht="15.75" customHeight="1">
      <c r="A464" s="2" t="s">
        <v>464</v>
      </c>
      <c r="B464" s="2" t="str">
        <f>IFERROR(__xludf.DUMMYFUNCTION("GOOGLETRANSLATE(A464, ""en"", ""mt"")"),"Shirley u Johnson.")</f>
        <v>Shirley u Johnson.</v>
      </c>
    </row>
    <row r="465" ht="15.75" customHeight="1">
      <c r="A465" s="2" t="s">
        <v>465</v>
      </c>
      <c r="B465" s="2" t="str">
        <f>IFERROR(__xludf.DUMMYFUNCTION("GOOGLETRANSLATE(A465, ""en"", ""mt"")")," Dak li l-partitarji tal-Iżlamiżmu ma jemmnux li jirriflettu l-opinjonijiet tagħhom?")</f>
        <v> Dak li l-partitarji tal-Iżlamiżmu ma jemmnux li jirriflettu l-opinjonijiet tagħhom?</v>
      </c>
    </row>
    <row r="466" ht="15.75" customHeight="1">
      <c r="A466" s="2" t="s">
        <v>466</v>
      </c>
      <c r="B466" s="2" t="str">
        <f>IFERROR(__xludf.DUMMYFUNCTION("GOOGLETRANSLATE(A466, ""en"", ""mt"")"),"Armata Ħamra E.")</f>
        <v>Armata Ħamra E.</v>
      </c>
    </row>
    <row r="467" ht="15.75" customHeight="1">
      <c r="A467" s="2" t="s">
        <v>467</v>
      </c>
      <c r="B467" s="2" t="str">
        <f>IFERROR(__xludf.DUMMYFUNCTION("GOOGLETRANSLATE(A467, ""en"", ""mt"")"),"X’qed fl-aħħar vertebrati?")</f>
        <v>X’qed fl-aħħar vertebrati?</v>
      </c>
    </row>
    <row r="468" ht="15.75" customHeight="1">
      <c r="A468" s="2" t="s">
        <v>468</v>
      </c>
      <c r="B468" s="2" t="str">
        <f>IFERROR(__xludf.DUMMYFUNCTION("GOOGLETRANSLATE(A468, ""en"", ""mt"")"),"kull sekwenza")</f>
        <v>kull sekwenza</v>
      </c>
    </row>
    <row r="469" ht="15.75" customHeight="1">
      <c r="A469" s="2" t="s">
        <v>469</v>
      </c>
      <c r="B469" s="2" t="str">
        <f>IFERROR(__xludf.DUMMYFUNCTION("GOOGLETRANSLATE(A469, ""en"", ""mt"")"),"Inġinier tal-Kostruzzjoni jew Maniġer tal-Proġett")</f>
        <v>Inġinier tal-Kostruzzjoni jew Maniġer tal-Proġett</v>
      </c>
    </row>
    <row r="470" ht="15.75" customHeight="1">
      <c r="A470" s="2" t="s">
        <v>470</v>
      </c>
      <c r="B470" s="2" t="str">
        <f>IFERROR(__xludf.DUMMYFUNCTION("GOOGLETRANSLATE(A470, ""en"", ""mt"")"),"Espansjoni termali")</f>
        <v>Espansjoni termali</v>
      </c>
    </row>
    <row r="471" ht="15.75" customHeight="1">
      <c r="A471" s="2" t="s">
        <v>471</v>
      </c>
      <c r="B471" s="2" t="str">
        <f>IFERROR(__xludf.DUMMYFUNCTION("GOOGLETRANSLATE(A471, ""en"", ""mt"")"),"Liema reliġjon kienet Janet Gray?")</f>
        <v>Liema reliġjon kienet Janet Gray?</v>
      </c>
    </row>
    <row r="472" ht="15.75" customHeight="1">
      <c r="A472" s="2" t="s">
        <v>472</v>
      </c>
      <c r="B472" s="2" t="str">
        <f>IFERROR(__xludf.DUMMYFUNCTION("GOOGLETRANSLATE(A472, ""en"", ""mt"")"),"Għaliex Oxfam u Credit Suisse jemmnu li s-sejbiet tagħhom qed jiġu ddubitati?")</f>
        <v>Għaliex Oxfam u Credit Suisse jemmnu li s-sejbiet tagħhom qed jiġu ddubitati?</v>
      </c>
    </row>
    <row r="473" ht="15.75" customHeight="1">
      <c r="A473" s="2" t="s">
        <v>473</v>
      </c>
      <c r="B473" s="2" t="str">
        <f>IFERROR(__xludf.DUMMYFUNCTION("GOOGLETRANSLATE(A473, ""en"", ""mt"")"),"X'inhu l-eżempju ta 'mudell ta' magna li jiddevja minn magna b'ħafna tape aċċettata ġeneralment?")</f>
        <v>X'inhu l-eżempju ta 'mudell ta' magna li jiddevja minn magna b'ħafna tape aċċettata ġeneralment?</v>
      </c>
    </row>
    <row r="474" ht="15.75" customHeight="1">
      <c r="A474" s="2" t="s">
        <v>474</v>
      </c>
      <c r="B474" s="2" t="str">
        <f>IFERROR(__xludf.DUMMYFUNCTION("GOOGLETRANSLATE(A474, ""en"", ""mt"")"),"F'liema għaxar snin l-U ta 'C affiljat ma' bosta kulleġġi nazzjonali?")</f>
        <v>F'liema għaxar snin l-U ta 'C affiljat ma' bosta kulleġġi nazzjonali?</v>
      </c>
    </row>
    <row r="475" ht="15.75" customHeight="1">
      <c r="A475" s="2" t="s">
        <v>475</v>
      </c>
      <c r="B475" s="2" t="str">
        <f>IFERROR(__xludf.DUMMYFUNCTION("GOOGLETRANSLATE(A475, ""en"", ""mt"")"),"Sfida akbar għas-sistema legali li tippermetti li jittieħdu dawk id-deċiżjonijiet")</f>
        <v>Sfida akbar għas-sistema legali li tippermetti li jittieħdu dawk id-deċiżjonijiet</v>
      </c>
    </row>
    <row r="476" ht="15.75" customHeight="1">
      <c r="A476" s="2" t="s">
        <v>476</v>
      </c>
      <c r="B476" s="2" t="str">
        <f>IFERROR(__xludf.DUMMYFUNCTION("GOOGLETRANSLATE(A476, ""en"", ""mt"")"),"Il-kategorija l-oħra ta 'skejjel huma dawk immexxija u parzjalment jew kompletament iffinanzjati minn individwi privati, organizzazzjonijiet privati ​​u gruppi reliġjużi. Dawk li jaċċettaw fondi tal-gvern huma msejħa skejjel 'megħjuna'. L-iskejjel privati"&amp;" ​​'mhux megħjuna' huma ffinanzjati bis-sħiħ minn partijiet privati. L-istandard u l-kwalità tal-edukazzjoni huma pjuttost għoljin. Teknikament, dawn jiġu kklassifikati bħala skejjel privati, iżda ħafna minnhom għandhom l-isem ""skola pubblika"" mehmuża m"&amp;"agħhom, e.g., l-Iskola Pubblika Galaxy f'Katmandu. Ħafna mill-familji tal-klassi tan-nofs jibagħtu lil uliedhom fi skejjel bħal dawn, li jistgħu jkunu fil-belt tagħhom stess jew 'il bogħod, bħall-iskejjel tal-imbarkazzjoni. Il-mezz ta 'edukazzjoni huwa l-"&amp;"Ingliż, iżda bħala suġġett obbligatorju, in-Nepali u / jew il-lingwa uffiċjali tal-istat huwa mgħallem ukoll. L-edukazzjoni qabel l-iskola hija l-aktar limitata għal skejjel organizzati tal-viċinat tal-viċinat.")</f>
        <v>Il-kategorija l-oħra ta 'skejjel huma dawk immexxija u parzjalment jew kompletament iffinanzjati minn individwi privati, organizzazzjonijiet privati ​​u gruppi reliġjużi. Dawk li jaċċettaw fondi tal-gvern huma msejħa skejjel 'megħjuna'. L-iskejjel privati ​​'mhux megħjuna' huma ffinanzjati bis-sħiħ minn partijiet privati. L-istandard u l-kwalità tal-edukazzjoni huma pjuttost għoljin. Teknikament, dawn jiġu kklassifikati bħala skejjel privati, iżda ħafna minnhom għandhom l-isem "skola pubblika" mehmuża magħhom, e.g., l-Iskola Pubblika Galaxy f'Katmandu. Ħafna mill-familji tal-klassi tan-nofs jibagħtu lil uliedhom fi skejjel bħal dawn, li jistgħu jkunu fil-belt tagħhom stess jew 'il bogħod, bħall-iskejjel tal-imbarkazzjoni. Il-mezz ta 'edukazzjoni huwa l-Ingliż, iżda bħala suġġett obbligatorju, in-Nepali u / jew il-lingwa uffiċjali tal-istat huwa mgħallem ukoll. L-edukazzjoni qabel l-iskola hija l-aktar limitata għal skejjel organizzati tal-viċinat tal-viċinat.</v>
      </c>
    </row>
    <row r="477" ht="15.75" customHeight="1">
      <c r="A477" s="2" t="s">
        <v>477</v>
      </c>
      <c r="B477" s="2" t="str">
        <f>IFERROR(__xludf.DUMMYFUNCTION("GOOGLETRANSLATE(A477, ""en"", ""mt"")"),"Min Edward għamel l-Arċisqof ta 'Canterbury?")</f>
        <v>Min Edward għamel l-Arċisqof ta 'Canterbury?</v>
      </c>
    </row>
    <row r="478" ht="15.75" customHeight="1">
      <c r="A478" s="2" t="s">
        <v>478</v>
      </c>
      <c r="B478" s="2" t="str">
        <f>IFERROR(__xludf.DUMMYFUNCTION("GOOGLETRANSLATE(A478, ""en"", ""mt"")"),"Thomas B. Edsall")</f>
        <v>Thomas B. Edsall</v>
      </c>
    </row>
    <row r="479" ht="15.75" customHeight="1">
      <c r="A479" s="2" t="s">
        <v>479</v>
      </c>
      <c r="B479" s="2" t="str">
        <f>IFERROR(__xludf.DUMMYFUNCTION("GOOGLETRANSLATE(A479, ""en"", ""mt"")"),"Meta ġiet skoperta l-Laguna Zuider Zee Brackish?")</f>
        <v>Meta ġiet skoperta l-Laguna Zuider Zee Brackish?</v>
      </c>
    </row>
    <row r="480" ht="15.75" customHeight="1">
      <c r="A480" s="2" t="s">
        <v>480</v>
      </c>
      <c r="B480" s="2" t="str">
        <f>IFERROR(__xludf.DUMMYFUNCTION("GOOGLETRANSLATE(A480, ""en"", ""mt"")"),"Laqgħa f'Albany")</f>
        <v>Laqgħa f'Albany</v>
      </c>
    </row>
    <row r="481" ht="15.75" customHeight="1">
      <c r="A481" s="2" t="s">
        <v>481</v>
      </c>
      <c r="B481" s="2" t="str">
        <f>IFERROR(__xludf.DUMMYFUNCTION("GOOGLETRANSLATE(A481, ""en"", ""mt"")"),"Is-sopravivenza mhix fil-qalba ta 'liema kunċett għall-ħaddiema?")</f>
        <v>Is-sopravivenza mhix fil-qalba ta 'liema kunċett għall-ħaddiema?</v>
      </c>
    </row>
    <row r="482" ht="15.75" customHeight="1">
      <c r="A482" s="2" t="s">
        <v>482</v>
      </c>
      <c r="B482" s="2" t="str">
        <f>IFERROR(__xludf.DUMMYFUNCTION("GOOGLETRANSLATE(A482, ""en"", ""mt"")"),"Liema Ġeneral Brittaniku nnegozja f'Toronto?")</f>
        <v>Liema Ġeneral Brittaniku nnegozja f'Toronto?</v>
      </c>
    </row>
    <row r="483" ht="15.75" customHeight="1">
      <c r="A483" s="2" t="s">
        <v>483</v>
      </c>
      <c r="B483" s="2" t="str">
        <f>IFERROR(__xludf.DUMMYFUNCTION("GOOGLETRANSLATE(A483, ""en"", ""mt"")"),"Dak li ma jieħu l-ebda enerġija biex jippakkjahom flimkien?")</f>
        <v>Dak li ma jieħu l-ebda enerġija biex jippakkjahom flimkien?</v>
      </c>
    </row>
    <row r="484" ht="15.75" customHeight="1">
      <c r="A484" s="2" t="s">
        <v>484</v>
      </c>
      <c r="B484" s="2" t="str">
        <f>IFERROR(__xludf.DUMMYFUNCTION("GOOGLETRANSLATE(A484, ""en"", ""mt"")"),"X'inhi tip ta 'rispons ta' difiża li jagħmel l-impjant kollu reżistenti għal aġent partikolari?")</f>
        <v>X'inhi tip ta 'rispons ta' difiża li jagħmel l-impjant kollu reżistenti għal aġent partikolari?</v>
      </c>
    </row>
    <row r="485" ht="15.75" customHeight="1">
      <c r="A485" s="2" t="s">
        <v>485</v>
      </c>
      <c r="B485" s="2" t="str">
        <f>IFERROR(__xludf.DUMMYFUNCTION("GOOGLETRANSLATE(A485, ""en"", ""mt"")"),"n&gt; 3")</f>
        <v>n&gt; 3</v>
      </c>
    </row>
    <row r="486" ht="15.75" customHeight="1">
      <c r="A486" s="2" t="s">
        <v>486</v>
      </c>
      <c r="B486" s="2" t="str">
        <f>IFERROR(__xludf.DUMMYFUNCTION("GOOGLETRANSLATE(A486, ""en"", ""mt"")"),"port addizzjonali")</f>
        <v>port addizzjonali</v>
      </c>
    </row>
    <row r="487" ht="15.75" customHeight="1">
      <c r="A487" s="2" t="s">
        <v>487</v>
      </c>
      <c r="B487" s="2" t="str">
        <f>IFERROR(__xludf.DUMMYFUNCTION("GOOGLETRANSLATE(A487, ""en"", ""mt"")"),"Liema trattament mediku jintuża biex jibbenefika pazjenti b'disturbi tal-fuklar u tal-pulmun?")</f>
        <v>Liema trattament mediku jintuża biex jibbenefika pazjenti b'disturbi tal-fuklar u tal-pulmun?</v>
      </c>
    </row>
    <row r="488" ht="15.75" customHeight="1">
      <c r="A488" s="2" t="s">
        <v>488</v>
      </c>
      <c r="B488" s="2" t="str">
        <f>IFERROR(__xludf.DUMMYFUNCTION("GOOGLETRANSLATE(A488, ""en"", ""mt"")"),"Min minbarra Woodrow Wilson innifsu kellu l-idea għall-inkjesta?")</f>
        <v>Min minbarra Woodrow Wilson innifsu kellu l-idea għall-inkjesta?</v>
      </c>
    </row>
    <row r="489" ht="15.75" customHeight="1">
      <c r="A489" s="2" t="s">
        <v>489</v>
      </c>
      <c r="B489" s="2" t="str">
        <f>IFERROR(__xludf.DUMMYFUNCTION("GOOGLETRANSLATE(A489, ""en"", ""mt"")"),"Min jaċċetta l-kunċett ta 'l-ipoteżi tal-kurva Kuznets?")</f>
        <v>Min jaċċetta l-kunċett ta 'l-ipoteżi tal-kurva Kuznets?</v>
      </c>
    </row>
    <row r="490" ht="15.75" customHeight="1">
      <c r="A490" s="2" t="s">
        <v>490</v>
      </c>
      <c r="B490" s="2" t="str">
        <f>IFERROR(__xludf.DUMMYFUNCTION("GOOGLETRANSLATE(A490, ""en"", ""mt"")"),"""Tnaqqis fost problemi kombinatorji""")</f>
        <v>"Tnaqqis fost problemi kombinatorji"</v>
      </c>
    </row>
    <row r="491" ht="15.75" customHeight="1">
      <c r="A491" s="2" t="s">
        <v>491</v>
      </c>
      <c r="B491" s="2" t="str">
        <f>IFERROR(__xludf.DUMMYFUNCTION("GOOGLETRANSLATE(A491, ""en"", ""mt"")"),"Min għamel talbiet esaġerati dwar ċiviltà kumplessa fl-Amażonja?")</f>
        <v>Min għamel talbiet esaġerati dwar ċiviltà kumplessa fl-Amażonja?</v>
      </c>
    </row>
    <row r="492" ht="15.75" customHeight="1">
      <c r="A492" s="2" t="s">
        <v>492</v>
      </c>
      <c r="B492" s="2" t="str">
        <f>IFERROR(__xludf.DUMMYFUNCTION("GOOGLETRANSLATE(A492, ""en"", ""mt"")")," Meta Genghis Khan qatel lil Khan kbir?")</f>
        <v> Meta Genghis Khan qatel lil Khan kbir?</v>
      </c>
    </row>
    <row r="493" ht="15.75" customHeight="1">
      <c r="A493" s="2" t="s">
        <v>493</v>
      </c>
      <c r="B493" s="2" t="str">
        <f>IFERROR(__xludf.DUMMYFUNCTION("GOOGLETRANSLATE(A493, ""en"", ""mt"")"),"Elettronegatività")</f>
        <v>Elettronegatività</v>
      </c>
    </row>
    <row r="494" ht="15.75" customHeight="1">
      <c r="A494" s="2" t="s">
        <v>494</v>
      </c>
      <c r="B494" s="2" t="str">
        <f>IFERROR(__xludf.DUMMYFUNCTION("GOOGLETRANSLATE(A494, ""en"", ""mt"")"),"F'liema pajjiż kostitwenti tar-Renju Unit jinsab Merthyr Tydfil?")</f>
        <v>F'liema pajjiż kostitwenti tar-Renju Unit jinsab Merthyr Tydfil?</v>
      </c>
    </row>
    <row r="495" ht="15.75" customHeight="1">
      <c r="A495" s="2" t="s">
        <v>495</v>
      </c>
      <c r="B495" s="2" t="str">
        <f>IFERROR(__xludf.DUMMYFUNCTION("GOOGLETRANSLATE(A495, ""en"", ""mt"")"),"Ma 'min għaqqad il-BSKYB għaliex kien parti mill-konsorzju?")</f>
        <v>Ma 'min għaqqad il-BSKYB għaliex kien parti mill-konsorzju?</v>
      </c>
    </row>
    <row r="496" ht="15.75" customHeight="1">
      <c r="A496" s="2" t="s">
        <v>496</v>
      </c>
      <c r="B496" s="2" t="str">
        <f>IFERROR(__xludf.DUMMYFUNCTION("GOOGLETRANSLATE(A496, ""en"", ""mt"")"),"L-imblokk Ingliż tal-kosta Franċiża limitat it-tbaħħir Franċiż.")</f>
        <v>L-imblokk Ingliż tal-kosta Franċiża limitat it-tbaħħir Franċiż.</v>
      </c>
    </row>
    <row r="497" ht="15.75" customHeight="1">
      <c r="A497" s="2" t="s">
        <v>497</v>
      </c>
      <c r="B497" s="2" t="str">
        <f>IFERROR(__xludf.DUMMYFUNCTION("GOOGLETRANSLATE(A497, ""en"", ""mt"")"),"Is-snin 1960")</f>
        <v>Is-snin 1960</v>
      </c>
    </row>
    <row r="498" ht="15.75" customHeight="1">
      <c r="A498" s="2" t="s">
        <v>498</v>
      </c>
      <c r="B498" s="2" t="str">
        <f>IFERROR(__xludf.DUMMYFUNCTION("GOOGLETRANSLATE(A498, ""en"", ""mt"")"),"proċess edukattiv jew da'wah")</f>
        <v>proċess edukattiv jew da'wah</v>
      </c>
    </row>
    <row r="499" ht="15.75" customHeight="1">
      <c r="A499" s="2" t="s">
        <v>499</v>
      </c>
      <c r="B499" s="2" t="str">
        <f>IFERROR(__xludf.DUMMYFUNCTION("GOOGLETRANSLATE(A499, ""en"", ""mt"")"),"Permezz tal-għaqda tad-definizzjoni ta 'kurrent elettriku bħala r-rata tal-ħin tal-bidla tal-ħlas elettriku, regola tal-multiplikazzjoni tal-vettur imsejħa l-liġi ta' Lorentz tiddeskrivi l-forza fuq ħlas li jiċċaqlaq f'qasam manjetiku. Il-konnessjoni bejn"&amp;" l-elettriku u l-manjetiżmu tippermetti d-deskrizzjoni ta 'forza elettromanjetika unifikata li taġixxi fuq ħlas. Din il-forza tista 'tinkiteb bħala somma tal-forza elettrostatika (minħabba l-kamp elettriku) u l-forza manjetika (minħabba l-kamp manjetiku)."&amp;" Iddikjarat bis-sħiħ, din hija l-liġi:")</f>
        <v>Permezz tal-għaqda tad-definizzjoni ta 'kurrent elettriku bħala r-rata tal-ħin tal-bidla tal-ħlas elettriku, regola tal-multiplikazzjoni tal-vettur imsejħa l-liġi ta' Lorentz tiddeskrivi l-forza fuq ħlas li jiċċaqlaq f'qasam manjetiku. Il-konnessjoni bejn l-elettriku u l-manjetiżmu tippermetti d-deskrizzjoni ta 'forza elettromanjetika unifikata li taġixxi fuq ħlas. Din il-forza tista 'tinkiteb bħala somma tal-forza elettrostatika (minħabba l-kamp elettriku) u l-forza manjetika (minħabba l-kamp manjetiku). Iddikjarat bis-sħiħ, din hija l-liġi:</v>
      </c>
    </row>
    <row r="500" ht="15.75" customHeight="1">
      <c r="A500" s="2" t="s">
        <v>500</v>
      </c>
      <c r="B500" s="2" t="str">
        <f>IFERROR(__xludf.DUMMYFUNCTION("GOOGLETRANSLATE(A500, ""en"", ""mt"")"),"Biża 'ta' Ħajjithom")</f>
        <v>Biża 'ta' Ħajjithom</v>
      </c>
    </row>
    <row r="501" ht="15.75" customHeight="1">
      <c r="A501" s="2" t="s">
        <v>501</v>
      </c>
      <c r="B501" s="2" t="str">
        <f>IFERROR(__xludf.DUMMYFUNCTION("GOOGLETRANSLATE(A501, ""en"", ""mt"")"),"San Lawrenz u Mississippi Watersheds")</f>
        <v>San Lawrenz u Mississippi Watersheds</v>
      </c>
    </row>
    <row r="502" ht="15.75" customHeight="1">
      <c r="A502" s="2" t="s">
        <v>502</v>
      </c>
      <c r="B502" s="2" t="str">
        <f>IFERROR(__xludf.DUMMYFUNCTION("GOOGLETRANSLATE(A502, ""en"", ""mt"")"),"Liema kumpanija għandha l-ACB?")</f>
        <v>Liema kumpanija għandha l-ACB?</v>
      </c>
    </row>
    <row r="503" ht="15.75" customHeight="1">
      <c r="A503" s="2" t="s">
        <v>503</v>
      </c>
      <c r="B503" s="2" t="str">
        <f>IFERROR(__xludf.DUMMYFUNCTION("GOOGLETRANSLATE(A503, ""en"", ""mt"")"),"Taħt liema trattat il-Kummissjoni Ewropea tista 'tieħu azzjoni kontra l-Istati Membri?")</f>
        <v>Taħt liema trattat il-Kummissjoni Ewropea tista 'tieħu azzjoni kontra l-Istati Membri?</v>
      </c>
    </row>
    <row r="504" ht="15.75" customHeight="1">
      <c r="A504" s="2" t="s">
        <v>504</v>
      </c>
      <c r="B504" s="2" t="str">
        <f>IFERROR(__xludf.DUMMYFUNCTION("GOOGLETRANSLATE(A504, ""en"", ""mt"")"),"Erba 'Klassijiet (Tip I - IV)")</f>
        <v>Erba 'Klassijiet (Tip I - IV)</v>
      </c>
    </row>
    <row r="505" ht="15.75" customHeight="1">
      <c r="A505" s="2" t="s">
        <v>505</v>
      </c>
      <c r="B505" s="2" t="str">
        <f>IFERROR(__xludf.DUMMYFUNCTION("GOOGLETRANSLATE(A505, ""en"", ""mt"")"),"Il-fossili sabu li kienu maħsuba li kienu ċ-ċtenofori kemm kellhom?")</f>
        <v>Il-fossili sabu li kienu maħsuba li kienu ċ-ċtenofori kemm kellhom?</v>
      </c>
    </row>
    <row r="506" ht="15.75" customHeight="1">
      <c r="A506" s="2" t="s">
        <v>506</v>
      </c>
      <c r="B506" s="2" t="str">
        <f>IFERROR(__xludf.DUMMYFUNCTION("GOOGLETRANSLATE(A506, ""en"", ""mt"")"),"Prinċipji Ġenerali tal-Liġi tal-Unjoni Ewropea")</f>
        <v>Prinċipji Ġenerali tal-Liġi tal-Unjoni Ewropea</v>
      </c>
    </row>
    <row r="507" ht="15.75" customHeight="1">
      <c r="A507" s="2" t="s">
        <v>507</v>
      </c>
      <c r="B507" s="2" t="str">
        <f>IFERROR(__xludf.DUMMYFUNCTION("GOOGLETRANSLATE(A507, ""en"", ""mt"")"),"immultiplikat żewġ numri interi")</f>
        <v>immultiplikat żewġ numri interi</v>
      </c>
    </row>
    <row r="508" ht="15.75" customHeight="1">
      <c r="A508" s="2" t="s">
        <v>508</v>
      </c>
      <c r="B508" s="2" t="str">
        <f>IFERROR(__xludf.DUMMYFUNCTION("GOOGLETRANSLATE(A508, ""en"", ""mt"")"),"Min għen iħallas għall-ewwel struttura tal-bini tal-università?")</f>
        <v>Min għen iħallas għall-ewwel struttura tal-bini tal-università?</v>
      </c>
    </row>
    <row r="509" ht="15.75" customHeight="1">
      <c r="A509" s="2" t="s">
        <v>509</v>
      </c>
      <c r="B509" s="2" t="str">
        <f>IFERROR(__xludf.DUMMYFUNCTION("GOOGLETRANSLATE(A509, ""en"", ""mt"")"),"Kemm abbonati ntilfu fi żmien xahrejn mit-tnedija minn BSKYB?")</f>
        <v>Kemm abbonati ntilfu fi żmien xahrejn mit-tnedija minn BSKYB?</v>
      </c>
    </row>
    <row r="510" ht="15.75" customHeight="1">
      <c r="A510" s="2" t="s">
        <v>510</v>
      </c>
      <c r="B510" s="2" t="str">
        <f>IFERROR(__xludf.DUMMYFUNCTION("GOOGLETRANSLATE(A510, ""en"", ""mt"")"),"Liema perjodu għalaq l-oċean Tethys?")</f>
        <v>Liema perjodu għalaq l-oċean Tethys?</v>
      </c>
    </row>
    <row r="511" ht="15.75" customHeight="1">
      <c r="A511" s="2" t="s">
        <v>511</v>
      </c>
      <c r="B511" s="2" t="str">
        <f>IFERROR(__xludf.DUMMYFUNCTION("GOOGLETRANSLATE(A511, ""en"", ""mt"")"),"Strateġija waħda ta 'Iżlamizzazzjoni hija li taħtaf il-poter b'liema metodi?")</f>
        <v>Strateġija waħda ta 'Iżlamizzazzjoni hija li taħtaf il-poter b'liema metodi?</v>
      </c>
    </row>
    <row r="512" ht="15.75" customHeight="1">
      <c r="A512" s="2" t="s">
        <v>512</v>
      </c>
      <c r="B512" s="2" t="str">
        <f>IFERROR(__xludf.DUMMYFUNCTION("GOOGLETRANSLATE(A512, ""en"", ""mt"")"),"Robert A. Millikan")</f>
        <v>Robert A. Millikan</v>
      </c>
    </row>
    <row r="513" ht="15.75" customHeight="1">
      <c r="A513" s="2" t="s">
        <v>513</v>
      </c>
      <c r="B513" s="2" t="str">
        <f>IFERROR(__xludf.DUMMYFUNCTION("GOOGLETRANSLATE(A513, ""en"", ""mt"")"),"jaħbi Lhudi fid-dar tagħhom")</f>
        <v>jaħbi Lhudi fid-dar tagħhom</v>
      </c>
    </row>
    <row r="514" ht="15.75" customHeight="1">
      <c r="A514" s="2" t="s">
        <v>514</v>
      </c>
      <c r="B514" s="2" t="str">
        <f>IFERROR(__xludf.DUMMYFUNCTION("GOOGLETRANSLATE(A514, ""en"", ""mt"")"),"X'inhu l-iktar rivali intens ta 'Harvard?")</f>
        <v>X'inhu l-iktar rivali intens ta 'Harvard?</v>
      </c>
    </row>
    <row r="515" ht="15.75" customHeight="1">
      <c r="A515" s="2" t="s">
        <v>515</v>
      </c>
      <c r="B515" s="2" t="str">
        <f>IFERROR(__xludf.DUMMYFUNCTION("GOOGLETRANSLATE(A515, ""en"", ""mt"")"),"Stadju 2")</f>
        <v>Stadju 2</v>
      </c>
    </row>
    <row r="516" ht="15.75" customHeight="1">
      <c r="A516" s="2" t="s">
        <v>516</v>
      </c>
      <c r="B516" s="2" t="str">
        <f>IFERROR(__xludf.DUMMYFUNCTION("GOOGLETRANSLATE(A516, ""en"", ""mt"")"),"X'tip ta 'ċelloli T jgħinu kemm bl-immunità innnate kif ukoll adattattiva?")</f>
        <v>X'tip ta 'ċelloli T jgħinu kemm bl-immunità innnate kif ukoll adattattiva?</v>
      </c>
    </row>
    <row r="517" ht="15.75" customHeight="1">
      <c r="A517" s="2" t="s">
        <v>517</v>
      </c>
      <c r="B517" s="2" t="str">
        <f>IFERROR(__xludf.DUMMYFUNCTION("GOOGLETRANSLATE(A517, ""en"", ""mt"")"),"Diversi gruppi alleati")</f>
        <v>Diversi gruppi alleati</v>
      </c>
    </row>
    <row r="518" ht="15.75" customHeight="1">
      <c r="A518" s="2" t="s">
        <v>518</v>
      </c>
      <c r="B518" s="2" t="str">
        <f>IFERROR(__xludf.DUMMYFUNCTION("GOOGLETRANSLATE(A518, ""en"", ""mt"")"),"Fil-kodifikazzjoni ta 'oġġetti matematiċi, x'inhu l-mod li bih huma espressi b'mod komuni?")</f>
        <v>Fil-kodifikazzjoni ta 'oġġetti matematiċi, x'inhu l-mod li bih huma espressi b'mod komuni?</v>
      </c>
    </row>
    <row r="519" ht="15.75" customHeight="1">
      <c r="A519" s="2" t="s">
        <v>519</v>
      </c>
      <c r="B519" s="2" t="str">
        <f>IFERROR(__xludf.DUMMYFUNCTION("GOOGLETRANSLATE(A519, ""en"", ""mt"")"),"Kemm studenti ġew irreġistrati fi skejjel pubbliċi barra r-Rabat?")</f>
        <v>Kemm studenti ġew irreġistrati fi skejjel pubbliċi barra r-Rabat?</v>
      </c>
    </row>
    <row r="520" ht="15.75" customHeight="1">
      <c r="A520" s="2" t="s">
        <v>520</v>
      </c>
      <c r="B520" s="2" t="str">
        <f>IFERROR(__xludf.DUMMYFUNCTION("GOOGLETRANSLATE(A520, ""en"", ""mt"")"),"Liema funzjoni hija relatata man-numri ewlenin?")</f>
        <v>Liema funzjoni hija relatata man-numri ewlenin?</v>
      </c>
    </row>
    <row r="521" ht="15.75" customHeight="1">
      <c r="A521" s="2" t="s">
        <v>521</v>
      </c>
      <c r="B521" s="2" t="str">
        <f>IFERROR(__xludf.DUMMYFUNCTION("GOOGLETRANSLATE(A521, ""en"", ""mt"")"),"""In-Nofsinhar ta 'California"" mhix indikazzjoni ġeografika formali, u d-definizzjonijiet ta' dak li jikkostitwixxi n-Nofsinhar ta 'California ivarjaw. Ġeografikament, il-punt tan-nofs tan-nofsinhar ta 'California jinsab eżattament 37 ° 9' 58.23 ""Latitu"&amp;"dni, madwar 11-il mil (18 km) fin-Nofsinhar ta 'San Jose; madankollu, dan ma jikkoinċidix ma' l-użu popolari tat-terminu. Meta l-istat huwa maqsum fihom Żewġ żoni (it-Tramuntana u n-Nofsinhar ta 'Kalifornja), it-terminu ""Southern California"" ġeneralment"&amp;" jirreferi għall-għaxar kontej l-iktar fin-Nofsinhar tal-istat. Din id-definizzjoni tikkoinċidi sewwa mal-linji tal-kontea f'35 ° 47 ′ 28 ″ 28 ″ latitudni tat-tramuntana, li jiffurmaw it-tramuntana Fruntieri ta 'San Luis Obispo, Kern, u San Bernardino Cou"&amp;"nties. Definizzjoni oħra għan-Nofsinhar ta' California tuża l-konċepiment tal-punt u l-Muntanji Tehachapi bħala l-konfini tat-tramuntana.")</f>
        <v>"In-Nofsinhar ta 'California" mhix indikazzjoni ġeografika formali, u d-definizzjonijiet ta' dak li jikkostitwixxi n-Nofsinhar ta 'California ivarjaw. Ġeografikament, il-punt tan-nofs tan-nofsinhar ta 'California jinsab eżattament 37 ° 9' 58.23 "Latitudni, madwar 11-il mil (18 km) fin-Nofsinhar ta 'San Jose; madankollu, dan ma jikkoinċidix ma' l-użu popolari tat-terminu. Meta l-istat huwa maqsum fihom Żewġ żoni (it-Tramuntana u n-Nofsinhar ta 'Kalifornja), it-terminu "Southern California" ġeneralment jirreferi għall-għaxar kontej l-iktar fin-Nofsinhar tal-istat. Din id-definizzjoni tikkoinċidi sewwa mal-linji tal-kontea f'35 ° 47 ′ 28 ″ 28 ″ latitudni tat-tramuntana, li jiffurmaw it-tramuntana Fruntieri ta 'San Luis Obispo, Kern, u San Bernardino Counties. Definizzjoni oħra għan-Nofsinhar ta' California tuża l-konċepiment tal-punt u l-Muntanji Tehachapi bħala l-konfini tat-tramuntana.</v>
      </c>
    </row>
    <row r="522" ht="15.75" customHeight="1">
      <c r="A522" s="2" t="s">
        <v>522</v>
      </c>
      <c r="B522" s="2" t="str">
        <f>IFERROR(__xludf.DUMMYFUNCTION("GOOGLETRANSLATE(A522, ""en"", ""mt"")"),"Liema metafori spjegaw it-tisħin globali?")</f>
        <v>Liema metafori spjegaw it-tisħin globali?</v>
      </c>
    </row>
    <row r="523" ht="15.75" customHeight="1">
      <c r="A523" s="2" t="s">
        <v>523</v>
      </c>
      <c r="B523" s="2" t="str">
        <f>IFERROR(__xludf.DUMMYFUNCTION("GOOGLETRANSLATE(A523, ""en"", ""mt"")"),"X'tip ta 'diżubbidjenza ċivili hija akkumpanjata minn aggressjoni?")</f>
        <v>X'tip ta 'diżubbidjenza ċivili hija akkumpanjata minn aggressjoni?</v>
      </c>
    </row>
    <row r="524" ht="15.75" customHeight="1">
      <c r="A524" s="2" t="s">
        <v>524</v>
      </c>
      <c r="B524" s="2" t="str">
        <f>IFERROR(__xludf.DUMMYFUNCTION("GOOGLETRANSLATE(A524, ""en"", ""mt"")"),"Mekkaniżmi ta 'tqassim mill-ġdid bħal programmi ta' benesseri soċjali")</f>
        <v>Mekkaniżmi ta 'tqassim mill-ġdid bħal programmi ta' benesseri soċjali</v>
      </c>
    </row>
    <row r="525" ht="15.75" customHeight="1">
      <c r="A525" s="2" t="s">
        <v>525</v>
      </c>
      <c r="B525" s="2" t="str">
        <f>IFERROR(__xludf.DUMMYFUNCTION("GOOGLETRANSLATE(A525, ""en"", ""mt"")"),"Minbarra l-avvenimenti kulturali, liema programmi oħra tat-televiżjoni għandha Victoria?")</f>
        <v>Minbarra l-avvenimenti kulturali, liema programmi oħra tat-televiżjoni għandha Victoria?</v>
      </c>
    </row>
    <row r="526" ht="15.75" customHeight="1">
      <c r="A526" s="2" t="s">
        <v>526</v>
      </c>
      <c r="B526" s="2" t="str">
        <f>IFERROR(__xludf.DUMMYFUNCTION("GOOGLETRANSLATE(A526, ""en"", ""mt"")"),"X’waqqaf Paul-Louis Simond fl-1898?")</f>
        <v>X’waqqaf Paul-Louis Simond fl-1898?</v>
      </c>
    </row>
    <row r="527" ht="15.75" customHeight="1">
      <c r="A527" s="2" t="s">
        <v>527</v>
      </c>
      <c r="B527" s="2" t="str">
        <f>IFERROR(__xludf.DUMMYFUNCTION("GOOGLETRANSLATE(A527, ""en"", ""mt"")"),"Wieħed mill-oġġetti tal-aġenda tal-FIS kien li jġiegħel lin-nisa jibdew jagħmlu xiex?")</f>
        <v>Wieħed mill-oġġetti tal-aġenda tal-FIS kien li jġiegħel lin-nisa jibdew jagħmlu xiex?</v>
      </c>
    </row>
    <row r="528" ht="15.75" customHeight="1">
      <c r="A528" s="2" t="s">
        <v>528</v>
      </c>
      <c r="B528" s="2" t="str">
        <f>IFERROR(__xludf.DUMMYFUNCTION("GOOGLETRANSLATE(A528, ""en"", ""mt"")"),"X'għadu ma sar biex jiġu stabbiliti soluzzjonijiet f'perjodu ta 'żmien raġonevoli?")</f>
        <v>X'għadu ma sar biex jiġu stabbiliti soluzzjonijiet f'perjodu ta 'żmien raġonevoli?</v>
      </c>
    </row>
    <row r="529" ht="15.75" customHeight="1">
      <c r="A529" s="2" t="s">
        <v>529</v>
      </c>
      <c r="B529" s="2" t="str">
        <f>IFERROR(__xludf.DUMMYFUNCTION("GOOGLETRANSLATE(A529, ""en"", ""mt"")"),"Minn xiex kien jirrikjedi li l-Artikolu 20 tat-termini tal-Armistizju Alleati kien jirrikjedi li l-Ġermanja tirtira?")</f>
        <v>Minn xiex kien jirrikjedi li l-Artikolu 20 tat-termini tal-Armistizju Alleati kien jirrikjedi li l-Ġermanja tirtira?</v>
      </c>
    </row>
    <row r="530" ht="15.75" customHeight="1">
      <c r="A530" s="2" t="s">
        <v>530</v>
      </c>
      <c r="B530" s="2" t="str">
        <f>IFERROR(__xludf.DUMMYFUNCTION("GOOGLETRANSLATE(A530, ""en"", ""mt"")"),"operazzjonijiet li jeħtieġu veloċità kostanti")</f>
        <v>operazzjonijiet li jeħtieġu veloċità kostanti</v>
      </c>
    </row>
    <row r="531" ht="15.75" customHeight="1">
      <c r="A531" s="2" t="s">
        <v>531</v>
      </c>
      <c r="B531" s="2" t="str">
        <f>IFERROR(__xludf.DUMMYFUNCTION("GOOGLETRANSLATE(A531, ""en"", ""mt"")"),"Sebgħa")</f>
        <v>Sebgħa</v>
      </c>
    </row>
    <row r="532" ht="15.75" customHeight="1">
      <c r="A532" s="2" t="s">
        <v>532</v>
      </c>
      <c r="B532" s="2" t="str">
        <f>IFERROR(__xludf.DUMMYFUNCTION("GOOGLETRANSLATE(A532, ""en"", ""mt"")"),"Kif kien jissejjaħ ix-xogħol ta 'Ghandi?")</f>
        <v>Kif kien jissejjaħ ix-xogħol ta 'Ghandi?</v>
      </c>
    </row>
    <row r="533" ht="15.75" customHeight="1">
      <c r="A533" s="2" t="s">
        <v>533</v>
      </c>
      <c r="B533" s="2" t="str">
        <f>IFERROR(__xludf.DUMMYFUNCTION("GOOGLETRANSLATE(A533, ""en"", ""mt"")"),"il-klijent tal-perit u l-kuntrattur ewlieni")</f>
        <v>il-klijent tal-perit u l-kuntrattur ewlieni</v>
      </c>
    </row>
    <row r="534" ht="15.75" customHeight="1">
      <c r="A534" s="2" t="s">
        <v>534</v>
      </c>
      <c r="B534" s="2" t="str">
        <f>IFERROR(__xludf.DUMMYFUNCTION("GOOGLETRANSLATE(A534, ""en"", ""mt"")"),"F'liema pajjiż hemm Kostantinopli?")</f>
        <v>F'liema pajjiż hemm Kostantinopli?</v>
      </c>
    </row>
    <row r="535" ht="15.75" customHeight="1">
      <c r="A535" s="2" t="s">
        <v>535</v>
      </c>
      <c r="B535" s="2" t="str">
        <f>IFERROR(__xludf.DUMMYFUNCTION("GOOGLETRANSLATE(A535, ""en"", ""mt"")"),"Matul il-kunflitt Iżrael-Liban tal-2006")</f>
        <v>Matul il-kunflitt Iżrael-Liban tal-2006</v>
      </c>
    </row>
    <row r="536" ht="15.75" customHeight="1">
      <c r="A536" s="2" t="s">
        <v>536</v>
      </c>
      <c r="B536" s="2" t="str">
        <f>IFERROR(__xludf.DUMMYFUNCTION("GOOGLETRANSLATE(A536, ""en"", ""mt"")"),"Musulmani Konservattivi")</f>
        <v>Musulmani Konservattivi</v>
      </c>
    </row>
    <row r="537" ht="15.75" customHeight="1">
      <c r="A537" s="2" t="s">
        <v>537</v>
      </c>
      <c r="B537" s="2" t="str">
        <f>IFERROR(__xludf.DUMMYFUNCTION("GOOGLETRANSLATE(A537, ""en"", ""mt"")"),"Majjistral")</f>
        <v>Majjistral</v>
      </c>
    </row>
    <row r="538" ht="15.75" customHeight="1">
      <c r="A538" s="2" t="s">
        <v>538</v>
      </c>
      <c r="B538" s="2" t="str">
        <f>IFERROR(__xludf.DUMMYFUNCTION("GOOGLETRANSLATE(A538, ""en"", ""mt"")")," Ma 'min baqa' Duke Yansheng Kong Duanyou?")</f>
        <v> Ma 'min baqa' Duke Yansheng Kong Duanyou?</v>
      </c>
    </row>
    <row r="539" ht="15.75" customHeight="1">
      <c r="A539" s="2" t="s">
        <v>539</v>
      </c>
      <c r="B539" s="2" t="str">
        <f>IFERROR(__xludf.DUMMYFUNCTION("GOOGLETRANSLATE(A539, ""en"", ""mt"")"),"Min kien il-mexxej tar-reġim Iżlamista fis-Sudan?")</f>
        <v>Min kien il-mexxej tar-reġim Iżlamista fis-Sudan?</v>
      </c>
    </row>
    <row r="540" ht="15.75" customHeight="1">
      <c r="A540" s="2" t="s">
        <v>540</v>
      </c>
      <c r="B540" s="2" t="str">
        <f>IFERROR(__xludf.DUMMYFUNCTION("GOOGLETRANSLATE(A540, ""en"", ""mt"")"),"X'inhu l-post preżenti ta 'din il-knisja?")</f>
        <v>X'inhu l-post preżenti ta 'din il-knisja?</v>
      </c>
    </row>
    <row r="541" ht="15.75" customHeight="1">
      <c r="A541" s="2" t="s">
        <v>541</v>
      </c>
      <c r="B541" s="2" t="str">
        <f>IFERROR(__xludf.DUMMYFUNCTION("GOOGLETRANSLATE(A541, ""en"", ""mt"")"),"Speċi reattivi ta 'ossiġnu, bħal jone superoxide (O−
2) u perossidu tal-idroġenu (h
2o
2), huma prodotti sekondarji perikolużi ta 'użu ta' ossiġnu f'organiżmi. Partijiet mis-sistema immunitarja ta 'organiżmi ogħla joħolqu perossidu, superossidu u ossiġnu "&amp;"singlet biex jeqirdu mikrobi li jinvadu. Speċi reattivi ta 'ossiġnu għandhom ukoll rwol importanti fir-rispons ipersensittiv ta' pjanti kontra attakk ta 'patoġeni. L-ossiġnu huwa tossiku għal organiżmi anerobiċi obbligatament, li kienu l-forma dominanti t"&amp;"al-ħajja bikrija fid-dinja sakemm o
2 bdew jakkumulaw fl-atmosfera madwar 2.5 biljun sena ilu matul l-avveniment tal-ossiġenazzjoni l-kbira, madwar biljun sena wara l-ewwel dehra ta 'dawn l-organiżmi.")</f>
        <v>Speċi reattivi ta 'ossiġnu, bħal jone superoxide (O−
2) u perossidu tal-idroġenu (h
2o
2), huma prodotti sekondarji perikolużi ta 'użu ta' ossiġnu f'organiżmi. Partijiet mis-sistema immunitarja ta 'organiżmi ogħla joħolqu perossidu, superossidu u ossiġnu singlet biex jeqirdu mikrobi li jinvadu. Speċi reattivi ta 'ossiġnu għandhom ukoll rwol importanti fir-rispons ipersensittiv ta' pjanti kontra attakk ta 'patoġeni. L-ossiġnu huwa tossiku għal organiżmi anerobiċi obbligatament, li kienu l-forma dominanti tal-ħajja bikrija fid-dinja sakemm o
2 bdew jakkumulaw fl-atmosfera madwar 2.5 biljun sena ilu matul l-avveniment tal-ossiġenazzjoni l-kbira, madwar biljun sena wara l-ewwel dehra ta 'dawn l-organiżmi.</v>
      </c>
    </row>
    <row r="542" ht="15.75" customHeight="1">
      <c r="A542" s="2" t="s">
        <v>542</v>
      </c>
      <c r="B542" s="2" t="str">
        <f>IFERROR(__xludf.DUMMYFUNCTION("GOOGLETRANSLATE(A542, ""en"", ""mt"")"),"X'inhuma xi eżempji ta 'swieq?")</f>
        <v>X'inhuma xi eżempji ta 'swieq?</v>
      </c>
    </row>
    <row r="543" ht="15.75" customHeight="1">
      <c r="A543" s="2" t="s">
        <v>543</v>
      </c>
      <c r="B543" s="2" t="str">
        <f>IFERROR(__xludf.DUMMYFUNCTION("GOOGLETRANSLATE(A543, ""en"", ""mt"")"),"Il-proċedura tkompli sa liema?")</f>
        <v>Il-proċedura tkompli sa liema?</v>
      </c>
    </row>
    <row r="544" ht="15.75" customHeight="1">
      <c r="A544" s="2" t="s">
        <v>544</v>
      </c>
      <c r="B544" s="2" t="str">
        <f>IFERROR(__xludf.DUMMYFUNCTION("GOOGLETRANSLATE(A544, ""en"", ""mt"")"),"Il-Konvenzjoni Ewropea dwar id-Drittijiet tal-Bniedem")</f>
        <v>Il-Konvenzjoni Ewropea dwar id-Drittijiet tal-Bniedem</v>
      </c>
    </row>
    <row r="545" ht="15.75" customHeight="1">
      <c r="A545" s="2" t="s">
        <v>545</v>
      </c>
      <c r="B545" s="2" t="str">
        <f>IFERROR(__xludf.DUMMYFUNCTION("GOOGLETRANSLATE(A545, ""en"", ""mt"")"),"X'inhi l-iktar forma komuni ta 'ossiġnu fuq il-pjaneta?")</f>
        <v>X'inhi l-iktar forma komuni ta 'ossiġnu fuq il-pjaneta?</v>
      </c>
    </row>
    <row r="546" ht="15.75" customHeight="1">
      <c r="A546" s="2" t="s">
        <v>546</v>
      </c>
      <c r="B546" s="2" t="str">
        <f>IFERROR(__xludf.DUMMYFUNCTION("GOOGLETRANSLATE(A546, ""en"", ""mt"")"),"Artikolu 49")</f>
        <v>Artikolu 49</v>
      </c>
    </row>
    <row r="547" ht="15.75" customHeight="1">
      <c r="A547" s="2" t="s">
        <v>547</v>
      </c>
      <c r="B547" s="2" t="str">
        <f>IFERROR(__xludf.DUMMYFUNCTION("GOOGLETRANSLATE(A547, ""en"", ""mt"")"),"1,230 kilometru (764 mil)")</f>
        <v>1,230 kilometru (764 mil)</v>
      </c>
    </row>
    <row r="548" ht="15.75" customHeight="1">
      <c r="A548" s="2" t="s">
        <v>548</v>
      </c>
      <c r="B548" s="2" t="str">
        <f>IFERROR(__xludf.DUMMYFUNCTION("GOOGLETRANSLATE(A548, ""en"", ""mt"")"),"1974 Mustang i")</f>
        <v>1974 Mustang i</v>
      </c>
    </row>
    <row r="549" ht="15.75" customHeight="1">
      <c r="A549" s="2" t="s">
        <v>549</v>
      </c>
      <c r="B549" s="2" t="str">
        <f>IFERROR(__xludf.DUMMYFUNCTION("GOOGLETRANSLATE(A549, ""en"", ""mt"")"),"Differenzi fil-valur miżjud mix-xogħol, il-kapital u l-art")</f>
        <v>Differenzi fil-valur miżjud mix-xogħol, il-kapital u l-art</v>
      </c>
    </row>
    <row r="550" ht="15.75" customHeight="1">
      <c r="A550" s="2" t="s">
        <v>550</v>
      </c>
      <c r="B550" s="2" t="str">
        <f>IFERROR(__xludf.DUMMYFUNCTION("GOOGLETRANSLATE(A550, ""en"", ""mt"")"),"lingwa formali")</f>
        <v>lingwa formali</v>
      </c>
    </row>
    <row r="551" ht="15.75" customHeight="1">
      <c r="A551" s="2" t="s">
        <v>551</v>
      </c>
      <c r="B551" s="2" t="str">
        <f>IFERROR(__xludf.DUMMYFUNCTION("GOOGLETRANSLATE(A551, ""en"", ""mt"")"),"Liema Prinċipat sab William the Conquerer?")</f>
        <v>Liema Prinċipat sab William the Conquerer?</v>
      </c>
    </row>
    <row r="552" ht="15.75" customHeight="1">
      <c r="A552" s="2" t="s">
        <v>552</v>
      </c>
      <c r="B552" s="2" t="str">
        <f>IFERROR(__xludf.DUMMYFUNCTION("GOOGLETRANSLATE(A552, ""en"", ""mt"")"),"importazzjoni maqbuda")</f>
        <v>importazzjoni maqbuda</v>
      </c>
    </row>
    <row r="553" ht="15.75" customHeight="1">
      <c r="A553" s="2" t="s">
        <v>553</v>
      </c>
      <c r="B553" s="2" t="str">
        <f>IFERROR(__xludf.DUMMYFUNCTION("GOOGLETRANSLATE(A553, ""en"", ""mt"")"),"Typhoon inauspicious")</f>
        <v>Typhoon inauspicious</v>
      </c>
    </row>
    <row r="554" ht="15.75" customHeight="1">
      <c r="A554" s="2" t="s">
        <v>554</v>
      </c>
      <c r="B554" s="2" t="str">
        <f>IFERROR(__xludf.DUMMYFUNCTION("GOOGLETRANSLATE(A554, ""en"", ""mt"")"),"Ħolqien ta 'pjan komprensiv ta' terapija ta 'mediċina għal problemi speċifiċi għall-pazjent")</f>
        <v>Ħolqien ta 'pjan komprensiv ta' terapija ta 'mediċina għal problemi speċifiċi għall-pazjent</v>
      </c>
    </row>
    <row r="555" ht="15.75" customHeight="1">
      <c r="A555" s="2" t="s">
        <v>555</v>
      </c>
      <c r="B555" s="2" t="str">
        <f>IFERROR(__xludf.DUMMYFUNCTION("GOOGLETRANSLATE(A555, ""en"", ""mt"")"),"Dan kien jipproduċi wkoll dokument kostituzzjonali wieħed")</f>
        <v>Dan kien jipproduċi wkoll dokument kostituzzjonali wieħed</v>
      </c>
    </row>
    <row r="556" ht="15.75" customHeight="1">
      <c r="A556" s="2" t="s">
        <v>556</v>
      </c>
      <c r="B556" s="2" t="str">
        <f>IFERROR(__xludf.DUMMYFUNCTION("GOOGLETRANSLATE(A556, ""en"", ""mt"")"),"idroġenu")</f>
        <v>idroġenu</v>
      </c>
    </row>
    <row r="557" ht="15.75" customHeight="1">
      <c r="A557" s="2" t="s">
        <v>557</v>
      </c>
      <c r="B557" s="2" t="str">
        <f>IFERROR(__xludf.DUMMYFUNCTION("GOOGLETRANSLATE(A557, ""en"", ""mt"")"),"Meta kienet il-mewġ tas-sħana li fih Hopetoun irreġistra l-ogħla temperatura tiegħu?")</f>
        <v>Meta kienet il-mewġ tas-sħana li fih Hopetoun irreġistra l-ogħla temperatura tiegħu?</v>
      </c>
    </row>
    <row r="558" ht="15.75" customHeight="1">
      <c r="A558" s="2" t="s">
        <v>558</v>
      </c>
      <c r="B558" s="2" t="str">
        <f>IFERROR(__xludf.DUMMYFUNCTION("GOOGLETRANSLATE(A558, ""en"", ""mt"")"),"ħamsa")</f>
        <v>ħamsa</v>
      </c>
    </row>
    <row r="559" ht="15.75" customHeight="1">
      <c r="A559" s="2" t="s">
        <v>559</v>
      </c>
      <c r="B559" s="2" t="str">
        <f>IFERROR(__xludf.DUMMYFUNCTION("GOOGLETRANSLATE(A559, ""en"", ""mt"")"),"Ix-Xmara San Ġwann")</f>
        <v>Ix-Xmara San Ġwann</v>
      </c>
    </row>
    <row r="560" ht="15.75" customHeight="1">
      <c r="A560" s="2" t="s">
        <v>560</v>
      </c>
      <c r="B560" s="2" t="str">
        <f>IFERROR(__xludf.DUMMYFUNCTION("GOOGLETRANSLATE(A560, ""en"", ""mt"")"),"X'kien il-mija massimu tal-kontenut ta 'alkoħol li liġi Ġermaniża teħtieġ li l-ispirti u l-likuri kollha jkollhom?")</f>
        <v>X'kien il-mija massimu tal-kontenut ta 'alkoħol li liġi Ġermaniża teħtieġ li l-ispirti u l-likuri kollha jkollhom?</v>
      </c>
    </row>
    <row r="561" ht="15.75" customHeight="1">
      <c r="A561" s="2" t="s">
        <v>561</v>
      </c>
      <c r="B561" s="2" t="str">
        <f>IFERROR(__xludf.DUMMYFUNCTION("GOOGLETRANSLATE(A561, ""en"", ""mt"")"),"X'inhuma t-tliet sorsi ewlenin tal-liġi tal-Unjoni Ewropea?")</f>
        <v>X'inhuma t-tliet sorsi ewlenin tal-liġi tal-Unjoni Ewropea?</v>
      </c>
    </row>
    <row r="562" ht="15.75" customHeight="1">
      <c r="A562" s="2" t="s">
        <v>562</v>
      </c>
      <c r="B562" s="2" t="str">
        <f>IFERROR(__xludf.DUMMYFUNCTION("GOOGLETRANSLATE(A562, ""en"", ""mt"")"),"Linux sar powerhouse tan-netwerking fis-snin 1980 għal liema raġuni?")</f>
        <v>Linux sar powerhouse tan-netwerking fis-snin 1980 għal liema raġuni?</v>
      </c>
    </row>
    <row r="563" ht="15.75" customHeight="1">
      <c r="A563" s="2" t="s">
        <v>563</v>
      </c>
      <c r="B563" s="2" t="str">
        <f>IFERROR(__xludf.DUMMYFUNCTION("GOOGLETRANSLATE(A563, ""en"", ""mt"")"),"Fl-1973 x'tiftaħ Mazda fl-Istati Uniti?")</f>
        <v>Fl-1973 x'tiftaħ Mazda fl-Istati Uniti?</v>
      </c>
    </row>
    <row r="564" ht="15.75" customHeight="1">
      <c r="A564" s="2" t="s">
        <v>564</v>
      </c>
      <c r="B564" s="2" t="str">
        <f>IFERROR(__xludf.DUMMYFUNCTION("GOOGLETRANSLATE(A564, ""en"", ""mt"")"),"X'kienet it-tama ta 'Larry Roberts?")</f>
        <v>X'kienet it-tama ta 'Larry Roberts?</v>
      </c>
    </row>
    <row r="565" ht="15.75" customHeight="1">
      <c r="A565" s="2" t="s">
        <v>565</v>
      </c>
      <c r="B565" s="2" t="str">
        <f>IFERROR(__xludf.DUMMYFUNCTION("GOOGLETRANSLATE(A565, ""en"", ""mt"")"),"Kemm il-Kattoliċi Franċiżi mietu wara li l-Huguenots irritaljaw?")</f>
        <v>Kemm il-Kattoliċi Franċiżi mietu wara li l-Huguenots irritaljaw?</v>
      </c>
    </row>
    <row r="566" ht="15.75" customHeight="1">
      <c r="A566" s="2" t="s">
        <v>566</v>
      </c>
      <c r="B566" s="2" t="str">
        <f>IFERROR(__xludf.DUMMYFUNCTION("GOOGLETRANSLATE(A566, ""en"", ""mt"")"),"Kemm familji għal kull mil kwadru hemm fi Fresno?")</f>
        <v>Kemm familji għal kull mil kwadru hemm fi Fresno?</v>
      </c>
    </row>
    <row r="567" ht="15.75" customHeight="1">
      <c r="A567" s="2" t="s">
        <v>567</v>
      </c>
      <c r="B567" s="2" t="str">
        <f>IFERROR(__xludf.DUMMYFUNCTION("GOOGLETRANSLATE(A567, ""en"", ""mt"")"),"kwantifikat")</f>
        <v>kwantifikat</v>
      </c>
    </row>
    <row r="568" ht="15.75" customHeight="1">
      <c r="A568" s="2" t="s">
        <v>568</v>
      </c>
      <c r="B568" s="2" t="str">
        <f>IFERROR(__xludf.DUMMYFUNCTION("GOOGLETRANSLATE(A568, ""en"", ""mt"")"),"It-tieni nofs tas-seklu 20")</f>
        <v>It-tieni nofs tas-seklu 20</v>
      </c>
    </row>
    <row r="569" ht="15.75" customHeight="1">
      <c r="A569" s="2" t="s">
        <v>569</v>
      </c>
      <c r="B569" s="2" t="str">
        <f>IFERROR(__xludf.DUMMYFUNCTION("GOOGLETRANSLATE(A569, ""en"", ""mt"")"),"Min hu r-rivali primarju tat-tim tal-hockey Crimson Harvard?")</f>
        <v>Min hu r-rivali primarju tat-tim tal-hockey Crimson Harvard?</v>
      </c>
    </row>
    <row r="570" ht="15.75" customHeight="1">
      <c r="A570" s="2" t="s">
        <v>570</v>
      </c>
      <c r="B570" s="2" t="str">
        <f>IFERROR(__xludf.DUMMYFUNCTION("GOOGLETRANSLATE(A570, ""en"", ""mt"")"),"It-tielet liġi ta 'Newton tafferma l-proporzjonalità inversa ta' aċċellerazzjoni għal xiex?")</f>
        <v>It-tielet liġi ta 'Newton tafferma l-proporzjonalità inversa ta' aċċellerazzjoni għal xiex?</v>
      </c>
    </row>
    <row r="571" ht="15.75" customHeight="1">
      <c r="A571" s="2" t="s">
        <v>571</v>
      </c>
      <c r="B571" s="2" t="str">
        <f>IFERROR(__xludf.DUMMYFUNCTION("GOOGLETRANSLATE(A571, ""en"", ""mt"")"),"Ta 'liema forma huma primes razzjonali?")</f>
        <v>Ta 'liema forma huma primes razzjonali?</v>
      </c>
    </row>
    <row r="572" ht="15.75" customHeight="1">
      <c r="A572" s="2" t="s">
        <v>572</v>
      </c>
      <c r="B572" s="2" t="str">
        <f>IFERROR(__xludf.DUMMYFUNCTION("GOOGLETRANSLATE(A572, ""en"", ""mt"")"),"Xi tfisser Warszawa fil-Pollakk?")</f>
        <v>Xi tfisser Warszawa fil-Pollakk?</v>
      </c>
    </row>
    <row r="573" ht="15.75" customHeight="1">
      <c r="A573" s="2" t="s">
        <v>573</v>
      </c>
      <c r="B573" s="2" t="str">
        <f>IFERROR(__xludf.DUMMYFUNCTION("GOOGLETRANSLATE(A573, ""en"", ""mt"")"),"Liema pajjiż fl-1985 iffirma trattat biex jagħtih status speċjali?")</f>
        <v>Liema pajjiż fl-1985 iffirma trattat biex jagħtih status speċjali?</v>
      </c>
    </row>
    <row r="574" ht="15.75" customHeight="1">
      <c r="A574" s="2" t="s">
        <v>574</v>
      </c>
      <c r="B574" s="2" t="str">
        <f>IFERROR(__xludf.DUMMYFUNCTION("GOOGLETRANSLATE(A574, ""en"", ""mt"")"),"Watt x’għamel il-magna ta ’Newcomen bejn l-1763 u l-1775?")</f>
        <v>Watt x’għamel il-magna ta ’Newcomen bejn l-1763 u l-1775?</v>
      </c>
    </row>
    <row r="575" ht="15.75" customHeight="1">
      <c r="A575" s="2" t="s">
        <v>575</v>
      </c>
      <c r="B575" s="2" t="str">
        <f>IFERROR(__xludf.DUMMYFUNCTION("GOOGLETRANSLATE(A575, ""en"", ""mt"")"),"Wilson's")</f>
        <v>Wilson's</v>
      </c>
    </row>
    <row r="576" ht="15.75" customHeight="1">
      <c r="A576" s="2" t="s">
        <v>576</v>
      </c>
      <c r="B576" s="2" t="str">
        <f>IFERROR(__xludf.DUMMYFUNCTION("GOOGLETRANSLATE(A576, ""en"", ""mt"")"),"Fix-Xjenza, l-alumni jinkludu l-astronomi Carl Sagan, kontributur prominenti għar-riċerka xjentifika tal-ħajja extraterrestrial, u Edwin Hubble, magħrufa għall- ""Liġi ta 'Hubble"", l-astronawt tan-NASA John M. M. Grunsfeld, il-ġenetista James Watson, l-i"&amp;"ktar magħruf bħala wieħed mill-ko- Discoverters of the Structure of DNA, Fiżiċista Esperimentali Luis Alvarez, Ambjentalista Popolari David Suzuki, Balloonist Jeannette Piccard, Bijoloġisti Ernest Everett Just u Lynn Margulis, Xjentist tal-Kompjuter Richa"&amp;"rd Hamming, il-kreatur tal-Kodiċi Hamming, l-iżviluppatur tal-batterija tal-Lithium, John B. , ir-riċevitur tal-Midalja tal-Matematika u tal-Fields Paul Joseph Cohen, u l-ġeokimista Clair Cameron Patterson, li żviluppaw il-metodu ta 'dating taċ-ċomb tal-u"&amp;"ranju fid-dating taċ-ċomb taċ-ċomb. Il-fiżiċista u r-riċerkatur nukleari Stanton Friedman, li ħadem fuq xi proġetti bikrija li jinvolvu sistemi ta 'propulsjoni spazjali li jaħdmu bl-enerġija nukleari, huwa wkoll gradwat (M.SC).")</f>
        <v>Fix-Xjenza, l-alumni jinkludu l-astronomi Carl Sagan, kontributur prominenti għar-riċerka xjentifika tal-ħajja extraterrestrial, u Edwin Hubble, magħrufa għall- "Liġi ta 'Hubble", l-astronawt tan-NASA John M. M. Grunsfeld, il-ġenetista James Watson, l-iktar magħruf bħala wieħed mill-ko- Discoverters of the Structure of DNA, Fiżiċista Esperimentali Luis Alvarez, Ambjentalista Popolari David Suzuki, Balloonist Jeannette Piccard, Bijoloġisti Ernest Everett Just u Lynn Margulis, Xjentist tal-Kompjuter Richard Hamming, il-kreatur tal-Kodiċi Hamming, l-iżviluppatur tal-batterija tal-Lithium, John B. , ir-riċevitur tal-Midalja tal-Matematika u tal-Fields Paul Joseph Cohen, u l-ġeokimista Clair Cameron Patterson, li żviluppaw il-metodu ta 'dating taċ-ċomb tal-uranju fid-dating taċ-ċomb taċ-ċomb. Il-fiżiċista u r-riċerkatur nukleari Stanton Friedman, li ħadem fuq xi proġetti bikrija li jinvolvu sistemi ta 'propulsjoni spazjali li jaħdmu bl-enerġija nukleari, huwa wkoll gradwat (M.SC).</v>
      </c>
    </row>
    <row r="577" ht="15.75" customHeight="1">
      <c r="A577" s="2" t="s">
        <v>577</v>
      </c>
      <c r="B577" s="2" t="str">
        <f>IFERROR(__xludf.DUMMYFUNCTION("GOOGLETRANSLATE(A577, ""en"", ""mt"")"),"tul in-nofs")</f>
        <v>tul in-nofs</v>
      </c>
    </row>
    <row r="578" ht="15.75" customHeight="1">
      <c r="A578" s="2" t="s">
        <v>578</v>
      </c>
      <c r="B578" s="2" t="str">
        <f>IFERROR(__xludf.DUMMYFUNCTION("GOOGLETRANSLATE(A578, ""en"", ""mt"")"),"Liema persentaġġ ta 'studenti fi Grundgesetz attendew skejjel privati ​​fl-2008?")</f>
        <v>Liema persentaġġ ta 'studenti fi Grundgesetz attendew skejjel privati ​​fl-2008?</v>
      </c>
    </row>
    <row r="579" ht="15.75" customHeight="1">
      <c r="A579" s="2" t="s">
        <v>579</v>
      </c>
      <c r="B579" s="2" t="str">
        <f>IFERROR(__xludf.DUMMYFUNCTION("GOOGLETRANSLATE(A579, ""en"", ""mt"")"),"F’liema seklu missjunarji stabbilixxew b’mod partikolari l-iskejjel tal-knisja fl-Afrika t'Isfel?")</f>
        <v>F’liema seklu missjunarji stabbilixxew b’mod partikolari l-iskejjel tal-knisja fl-Afrika t'Isfel?</v>
      </c>
    </row>
    <row r="580" ht="15.75" customHeight="1">
      <c r="A580" s="2" t="s">
        <v>580</v>
      </c>
      <c r="B580" s="2" t="str">
        <f>IFERROR(__xludf.DUMMYFUNCTION("GOOGLETRANSLATE(A580, ""en"", ""mt"")"),"Rivoluzzjoni Kulturali")</f>
        <v>Rivoluzzjoni Kulturali</v>
      </c>
    </row>
    <row r="581" ht="15.75" customHeight="1">
      <c r="A581" s="2" t="s">
        <v>581</v>
      </c>
      <c r="B581" s="2" t="str">
        <f>IFERROR(__xludf.DUMMYFUNCTION("GOOGLETRANSLATE(A581, ""en"", ""mt"")"),"taljoli mobbli")</f>
        <v>taljoli mobbli</v>
      </c>
    </row>
    <row r="582" ht="15.75" customHeight="1">
      <c r="A582" s="2" t="s">
        <v>582</v>
      </c>
      <c r="B582" s="2" t="str">
        <f>IFERROR(__xludf.DUMMYFUNCTION("GOOGLETRANSLATE(A582, ""en"", ""mt"")"),"X'inhu użat minn ebda forma ta 'invertebrat?")</f>
        <v>X'inhu użat minn ebda forma ta 'invertebrat?</v>
      </c>
    </row>
    <row r="583" ht="15.75" customHeight="1">
      <c r="A583" s="2" t="s">
        <v>583</v>
      </c>
      <c r="B583" s="2" t="str">
        <f>IFERROR(__xludf.DUMMYFUNCTION("GOOGLETRANSLATE(A583, ""en"", ""mt"")"),"L-Istati Uniti hija mħassba dwar il-konfront tal-Lvant Nofsani ma 'liema pajjiż ieħor?")</f>
        <v>L-Istati Uniti hija mħassba dwar il-konfront tal-Lvant Nofsani ma 'liema pajjiż ieħor?</v>
      </c>
    </row>
    <row r="584" ht="15.75" customHeight="1">
      <c r="A584" s="2" t="s">
        <v>584</v>
      </c>
      <c r="B584" s="2" t="str">
        <f>IFERROR(__xludf.DUMMYFUNCTION("GOOGLETRANSLATE(A584, ""en"", ""mt"")"),"Immaniġġja d-dipartiment tal-ispiżerija u oqsma speċjalizzati fil-prattika tal-ispiżerija")</f>
        <v>Immaniġġja d-dipartiment tal-ispiżerija u oqsma speċjalizzati fil-prattika tal-ispiżerija</v>
      </c>
    </row>
    <row r="585" ht="15.75" customHeight="1">
      <c r="A585" s="2" t="s">
        <v>585</v>
      </c>
      <c r="B585" s="2" t="str">
        <f>IFERROR(__xludf.DUMMYFUNCTION("GOOGLETRANSLATE(A585, ""en"", ""mt"")"),"X'kienu l-pjanijiet Ingliżi alleati mal-Franċiżi?")</f>
        <v>X'kienu l-pjanijiet Ingliżi alleati mal-Franċiżi?</v>
      </c>
    </row>
    <row r="586" ht="15.75" customHeight="1">
      <c r="A586" s="2" t="s">
        <v>586</v>
      </c>
      <c r="B586" s="2" t="str">
        <f>IFERROR(__xludf.DUMMYFUNCTION("GOOGLETRANSLATE(A586, ""en"", ""mt"")"),"Residenti lesti li jħallsu rata ogħla tas-suq għall-akkomodazzjoni")</f>
        <v>Residenti lesti li jħallsu rata ogħla tas-suq għall-akkomodazzjoni</v>
      </c>
    </row>
    <row r="587" ht="15.75" customHeight="1">
      <c r="A587" s="2" t="s">
        <v>587</v>
      </c>
      <c r="B587" s="2" t="str">
        <f>IFERROR(__xludf.DUMMYFUNCTION("GOOGLETRANSLATE(A587, ""en"", ""mt"")"),"Min ħaseb li s-sistema tal-klassi soċjali tal-wan m'għandhiex tissejjaħ klassijiet soċjali?")</f>
        <v>Min ħaseb li s-sistema tal-klassi soċjali tal-wan m'għandhiex tissejjaħ klassijiet soċjali?</v>
      </c>
    </row>
    <row r="588" ht="15.75" customHeight="1">
      <c r="A588" s="2" t="s">
        <v>588</v>
      </c>
      <c r="B588" s="2" t="str">
        <f>IFERROR(__xludf.DUMMYFUNCTION("GOOGLETRANSLATE(A588, ""en"", ""mt"")"),"L-ilma fuq in-naħa tal-Lvant jitlaq 'il bogħod minn liema oċean?")</f>
        <v>L-ilma fuq in-naħa tal-Lvant jitlaq 'il bogħod minn liema oċean?</v>
      </c>
    </row>
    <row r="589" ht="15.75" customHeight="1">
      <c r="A589" s="2" t="s">
        <v>589</v>
      </c>
      <c r="B589" s="2" t="str">
        <f>IFERROR(__xludf.DUMMYFUNCTION("GOOGLETRANSLATE(A589, ""en"", ""mt"")"),"Meta ġew introdotti l-kanali bażiċi għall-ewwel darba minn BSKYB?")</f>
        <v>Meta ġew introdotti l-kanali bażiċi għall-ewwel darba minn BSKYB?</v>
      </c>
    </row>
    <row r="590" ht="15.75" customHeight="1">
      <c r="A590" s="2" t="s">
        <v>590</v>
      </c>
      <c r="B590" s="2" t="str">
        <f>IFERROR(__xludf.DUMMYFUNCTION("GOOGLETRANSLATE(A590, ""en"", ""mt"")"),"Meta mqabbel ma 'bliet Amerikani oħra, x'inhu d-daqs ta' Melbourne?")</f>
        <v>Meta mqabbel ma 'bliet Amerikani oħra, x'inhu d-daqs ta' Melbourne?</v>
      </c>
    </row>
    <row r="591" ht="15.75" customHeight="1">
      <c r="A591" s="2" t="s">
        <v>591</v>
      </c>
      <c r="B591" s="2" t="str">
        <f>IFERROR(__xludf.DUMMYFUNCTION("GOOGLETRANSLATE(A591, ""en"", ""mt"")"),"Fejn l-ilma kiesaħ u sħun jiltaqa 'ma' l-ilma sħun?")</f>
        <v>Fejn l-ilma kiesaħ u sħun jiltaqa 'ma' l-ilma sħun?</v>
      </c>
    </row>
    <row r="592" ht="15.75" customHeight="1">
      <c r="A592" s="2" t="s">
        <v>592</v>
      </c>
      <c r="B592" s="2" t="str">
        <f>IFERROR(__xludf.DUMMYFUNCTION("GOOGLETRANSLATE(A592, ""en"", ""mt"")"),"Dettalji speċifiċi tal-mudell tal-komputazzjoni użat")</f>
        <v>Dettalji speċifiċi tal-mudell tal-komputazzjoni użat</v>
      </c>
    </row>
    <row r="593" ht="15.75" customHeight="1">
      <c r="A593" s="2" t="s">
        <v>593</v>
      </c>
      <c r="B593" s="2" t="str">
        <f>IFERROR(__xludf.DUMMYFUNCTION("GOOGLETRANSLATE(A593, ""en"", ""mt"")"),"Min kiteb fuljett li jiddeskrivi l-ideat mhux radikali tal-estremisti?")</f>
        <v>Min kiteb fuljett li jiddeskrivi l-ideat mhux radikali tal-estremisti?</v>
      </c>
    </row>
    <row r="594" ht="15.75" customHeight="1">
      <c r="A594" s="2" t="s">
        <v>594</v>
      </c>
      <c r="B594" s="2" t="str">
        <f>IFERROR(__xludf.DUMMYFUNCTION("GOOGLETRANSLATE(A594, ""en"", ""mt"")"),"Kif huma kkunsidrati l-komposti li fihom l-ossiġnu fil-kummerċ?")</f>
        <v>Kif huma kkunsidrati l-komposti li fihom l-ossiġnu fil-kummerċ?</v>
      </c>
    </row>
    <row r="595" ht="15.75" customHeight="1">
      <c r="A595" s="2" t="s">
        <v>595</v>
      </c>
      <c r="B595" s="2" t="str">
        <f>IFERROR(__xludf.DUMMYFUNCTION("GOOGLETRANSLATE(A595, ""en"", ""mt"")"),"Liema studji jużaw il-pluton emplacement?")</f>
        <v>Liema studji jużaw il-pluton emplacement?</v>
      </c>
    </row>
    <row r="596" ht="15.75" customHeight="1">
      <c r="A596" s="2" t="s">
        <v>596</v>
      </c>
      <c r="B596" s="2" t="str">
        <f>IFERROR(__xludf.DUMMYFUNCTION("GOOGLETRANSLATE(A596, ""en"", ""mt"")"),"Liema pajjiż bħalissa għandu grupp li jsejħu lilhom infushom Huguenots?")</f>
        <v>Liema pajjiż bħalissa għandu grupp li jsejħu lilhom infushom Huguenots?</v>
      </c>
    </row>
    <row r="597" ht="15.75" customHeight="1">
      <c r="A597" s="2" t="s">
        <v>597</v>
      </c>
      <c r="B597" s="2" t="str">
        <f>IFERROR(__xludf.DUMMYFUNCTION("GOOGLETRANSLATE(A597, ""en"", ""mt"")"),"Acasta Gneiss tal-Slave Craton fil-Majjistral tal-Kanada")</f>
        <v>Acasta Gneiss tal-Slave Craton fil-Majjistral tal-Kanada</v>
      </c>
    </row>
    <row r="598" ht="15.75" customHeight="1">
      <c r="A598" s="2" t="s">
        <v>598</v>
      </c>
      <c r="B598" s="2" t="str">
        <f>IFERROR(__xludf.DUMMYFUNCTION("GOOGLETRANSLATE(A598, ""en"", ""mt"")"),"Dipartimenti tat-Teknoloġija tal-Informazzjoni jew għal kumpaniji tal-bejjiegħ tat-teknoloġija tal-informazzjoni dwar il-kura tas-saħħa")</f>
        <v>Dipartimenti tat-Teknoloġija tal-Informazzjoni jew għal kumpaniji tal-bejjiegħ tat-teknoloġija tal-informazzjoni dwar il-kura tas-saħħa</v>
      </c>
    </row>
    <row r="599" ht="15.75" customHeight="1">
      <c r="A599" s="2" t="s">
        <v>599</v>
      </c>
      <c r="B599" s="2" t="str">
        <f>IFERROR(__xludf.DUMMYFUNCTION("GOOGLETRANSLATE(A599, ""en"", ""mt"")"),"F’Mejju 2010, il-Parlament ġie rilokat fejn?")</f>
        <v>F’Mejju 2010, il-Parlament ġie rilokat fejn?</v>
      </c>
    </row>
    <row r="600" ht="15.75" customHeight="1">
      <c r="A600" s="2" t="s">
        <v>600</v>
      </c>
      <c r="B600" s="2" t="str">
        <f>IFERROR(__xludf.DUMMYFUNCTION("GOOGLETRANSLATE(A600, ""en"", ""mt"")"),"awtomazzjoni")</f>
        <v>awtomazzjoni</v>
      </c>
    </row>
    <row r="601" ht="15.75" customHeight="1">
      <c r="A601" s="2" t="s">
        <v>601</v>
      </c>
      <c r="B601" s="2" t="str">
        <f>IFERROR(__xludf.DUMMYFUNCTION("GOOGLETRANSLATE(A601, ""en"", ""mt"")"),"Għalkemm il-kosts tan-Nofsinhar tal-Kalifornja ta 'ambjent urban żviluppat ħafna, kemm minnu tħalla mhux żviluppat?")</f>
        <v>Għalkemm il-kosts tan-Nofsinhar tal-Kalifornja ta 'ambjent urban żviluppat ħafna, kemm minnu tħalla mhux żviluppat?</v>
      </c>
    </row>
    <row r="602" ht="15.75" customHeight="1">
      <c r="A602" s="2" t="s">
        <v>602</v>
      </c>
      <c r="B602" s="2" t="str">
        <f>IFERROR(__xludf.DUMMYFUNCTION("GOOGLETRANSLATE(A602, ""en"", ""mt"")"),"Mejju 2000")</f>
        <v>Mejju 2000</v>
      </c>
    </row>
    <row r="603" ht="15.75" customHeight="1">
      <c r="A603" s="2" t="s">
        <v>603</v>
      </c>
      <c r="B603" s="2" t="str">
        <f>IFERROR(__xludf.DUMMYFUNCTION("GOOGLETRANSLATE(A603, ""en"", ""mt"")"),"Kemm huwa Jacksonville minn Miami?")</f>
        <v>Kemm huwa Jacksonville minn Miami?</v>
      </c>
    </row>
    <row r="604" ht="15.75" customHeight="1">
      <c r="A604" s="2" t="s">
        <v>604</v>
      </c>
      <c r="B604" s="2" t="str">
        <f>IFERROR(__xludf.DUMMYFUNCTION("GOOGLETRANSLATE(A604, ""en"", ""mt"")"),"Kemm hemm fergħat il-laguna Zuider Zee Brackish?")</f>
        <v>Kemm hemm fergħat il-laguna Zuider Zee Brackish?</v>
      </c>
    </row>
    <row r="605" ht="15.75" customHeight="1">
      <c r="A605" s="2" t="s">
        <v>605</v>
      </c>
      <c r="B605" s="2" t="str">
        <f>IFERROR(__xludf.DUMMYFUNCTION("GOOGLETRANSLATE(A605, ""en"", ""mt"")"),"X'inhi t-tul tas-sena akkademika ta 'Harvard?")</f>
        <v>X'inhi t-tul tas-sena akkademika ta 'Harvard?</v>
      </c>
    </row>
    <row r="606" ht="15.75" customHeight="1">
      <c r="A606" s="2" t="s">
        <v>606</v>
      </c>
      <c r="B606" s="2" t="str">
        <f>IFERROR(__xludf.DUMMYFUNCTION("GOOGLETRANSLATE(A606, ""en"", ""mt"")"),"Film siekta")</f>
        <v>Film siekta</v>
      </c>
    </row>
    <row r="607" ht="15.75" customHeight="1">
      <c r="A607" s="2" t="s">
        <v>607</v>
      </c>
      <c r="B607" s="2" t="str">
        <f>IFERROR(__xludf.DUMMYFUNCTION("GOOGLETRANSLATE(A607, ""en"", ""mt"")"),"Liema attivitajiet oħra l-UNFCCC teħtieġ li titħaddem l-IPCC?")</f>
        <v>Liema attivitajiet oħra l-UNFCCC teħtieġ li titħaddem l-IPCC?</v>
      </c>
    </row>
    <row r="608" ht="15.75" customHeight="1">
      <c r="A608" s="2" t="s">
        <v>608</v>
      </c>
      <c r="B608" s="2" t="str">
        <f>IFERROR(__xludf.DUMMYFUNCTION("GOOGLETRANSLATE(A608, ""en"", ""mt"")"),"HT kif tistinka biex tagħti l-enerġija?")</f>
        <v>HT kif tistinka biex tagħti l-enerġija?</v>
      </c>
    </row>
    <row r="609" ht="15.75" customHeight="1">
      <c r="A609" s="2" t="s">
        <v>609</v>
      </c>
      <c r="B609" s="2" t="str">
        <f>IFERROR(__xludf.DUMMYFUNCTION("GOOGLETRANSLATE(A609, ""en"", ""mt"")"),"Ir-raffineriji, il-proċess kimiku, il-ġenerazzjoni tal-enerġija, l-imtieħen u l-impjanti tal-manifattura huma taħt liema settur tal-kostruzzjoni?")</f>
        <v>Ir-raffineriji, il-proċess kimiku, il-ġenerazzjoni tal-enerġija, l-imtieħen u l-impjanti tal-manifattura huma taħt liema settur tal-kostruzzjoni?</v>
      </c>
    </row>
    <row r="610" ht="15.75" customHeight="1">
      <c r="A610" s="2" t="s">
        <v>610</v>
      </c>
      <c r="B610" s="2" t="str">
        <f>IFERROR(__xludf.DUMMYFUNCTION("GOOGLETRANSLATE(A610, ""en"", ""mt"")"),"Min minbarra l-Afrika Kolonizzata Ingliża?")</f>
        <v>Min minbarra l-Afrika Kolonizzata Ingliża?</v>
      </c>
    </row>
    <row r="611" ht="15.75" customHeight="1">
      <c r="A611" s="2" t="s">
        <v>611</v>
      </c>
      <c r="B611" s="2" t="str">
        <f>IFERROR(__xludf.DUMMYFUNCTION("GOOGLETRANSLATE(A611, ""en"", ""mt"")"),"kieku ma kinux diskriminatorji")</f>
        <v>kieku ma kinux diskriminatorji</v>
      </c>
    </row>
    <row r="612" ht="15.75" customHeight="1">
      <c r="A612" s="2" t="s">
        <v>612</v>
      </c>
      <c r="B612" s="2" t="str">
        <f>IFERROR(__xludf.DUMMYFUNCTION("GOOGLETRANSLATE(A612, ""en"", ""mt"")"),"Liema pajjiż kellu jiġbed lura mill-Peniżola tas-Sinaj?")</f>
        <v>Liema pajjiż kellu jiġbed lura mill-Peniżola tas-Sinaj?</v>
      </c>
    </row>
    <row r="613" ht="15.75" customHeight="1">
      <c r="A613" s="2" t="s">
        <v>613</v>
      </c>
      <c r="B613" s="2" t="str">
        <f>IFERROR(__xludf.DUMMYFUNCTION("GOOGLETRANSLATE(A613, ""en"", ""mt"")"),"elettromanjetiku unifikat")</f>
        <v>elettromanjetiku unifikat</v>
      </c>
    </row>
    <row r="614" ht="15.75" customHeight="1">
      <c r="A614" s="2" t="s">
        <v>614</v>
      </c>
      <c r="B614" s="2" t="str">
        <f>IFERROR(__xludf.DUMMYFUNCTION("GOOGLETRANSLATE(A614, ""en"", ""mt"")"),"Min għandu s-setgħa li jibda leġislazzjoni fl-Unjoni Ewropea?")</f>
        <v>Min għandu s-setgħa li jibda leġislazzjoni fl-Unjoni Ewropea?</v>
      </c>
    </row>
    <row r="615" ht="15.75" customHeight="1">
      <c r="A615" s="2" t="s">
        <v>615</v>
      </c>
      <c r="B615" s="2" t="str">
        <f>IFERROR(__xludf.DUMMYFUNCTION("GOOGLETRANSLATE(A615, ""en"", ""mt"")"),"X'kienet it-teorija ppreżentata r-Royal Society?")</f>
        <v>X'kienet it-teorija ppreżentata r-Royal Society?</v>
      </c>
    </row>
    <row r="616" ht="15.75" customHeight="1">
      <c r="A616" s="2" t="s">
        <v>616</v>
      </c>
      <c r="B616" s="2" t="str">
        <f>IFERROR(__xludf.DUMMYFUNCTION("GOOGLETRANSLATE(A616, ""en"", ""mt"")"),"""Argument iblah"" u ""nuqqas ta 'ħruġ ... devjazzjoni.""")</f>
        <v>"Argument iblah" u "nuqqas ta 'ħruġ ... devjazzjoni."</v>
      </c>
    </row>
    <row r="617" ht="15.75" customHeight="1">
      <c r="A617" s="2" t="s">
        <v>617</v>
      </c>
      <c r="B617" s="2" t="str">
        <f>IFERROR(__xludf.DUMMYFUNCTION("GOOGLETRANSLATE(A617, ""en"", ""mt"")"),"Liema twemmin reliġjuż ġenerali n-nazzjonijiet li rċivew refuġjati Huguenot kellhom komuni?")</f>
        <v>Liema twemmin reliġjuż ġenerali n-nazzjonijiet li rċivew refuġjati Huguenot kellhom komuni?</v>
      </c>
    </row>
    <row r="618" ht="15.75" customHeight="1">
      <c r="A618" s="2" t="s">
        <v>618</v>
      </c>
      <c r="B618" s="2" t="str">
        <f>IFERROR(__xludf.DUMMYFUNCTION("GOOGLETRANSLATE(A618, ""en"", ""mt"")"),"Epitelju")</f>
        <v>Epitelju</v>
      </c>
    </row>
    <row r="619" ht="15.75" customHeight="1">
      <c r="A619" s="2" t="s">
        <v>619</v>
      </c>
      <c r="B619" s="2" t="str">
        <f>IFERROR(__xludf.DUMMYFUNCTION("GOOGLETRANSLATE(A619, ""en"", ""mt"")"),"X’ma għamlux l-elite Mongolja?")</f>
        <v>X’ma għamlux l-elite Mongolja?</v>
      </c>
    </row>
    <row r="620" ht="15.75" customHeight="1">
      <c r="A620" s="2" t="s">
        <v>620</v>
      </c>
      <c r="B620" s="2" t="str">
        <f>IFERROR(__xludf.DUMMYFUNCTION("GOOGLETRANSLATE(A620, ""en"", ""mt"")"),"Il-liwja fuq ir-Renu tmur mill-punent għal liema direzzjoni?")</f>
        <v>Il-liwja fuq ir-Renu tmur mill-punent għal liema direzzjoni?</v>
      </c>
    </row>
    <row r="621" ht="15.75" customHeight="1">
      <c r="A621" s="2" t="s">
        <v>621</v>
      </c>
      <c r="B621" s="2" t="str">
        <f>IFERROR(__xludf.DUMMYFUNCTION("GOOGLETRANSLATE(A621, ""en"", ""mt"")"),"Tnaqqis tas-Sajjar, Tnaqqis tal-Karp")</f>
        <v>Tnaqqis tas-Sajjar, Tnaqqis tal-Karp</v>
      </c>
    </row>
    <row r="622" ht="15.75" customHeight="1">
      <c r="A622" s="2" t="s">
        <v>622</v>
      </c>
      <c r="B622" s="2" t="str">
        <f>IFERROR(__xludf.DUMMYFUNCTION("GOOGLETRANSLATE(A622, ""en"", ""mt"")"),"F’liema seklu ġiet stabbilita l-Afrika t'Isfel bħala pajjiż?")</f>
        <v>F’liema seklu ġiet stabbilita l-Afrika t'Isfel bħala pajjiż?</v>
      </c>
    </row>
    <row r="623" ht="15.75" customHeight="1">
      <c r="A623" s="2" t="s">
        <v>623</v>
      </c>
      <c r="B623" s="2" t="str">
        <f>IFERROR(__xludf.DUMMYFUNCTION("GOOGLETRANSLATE(A623, ""en"", ""mt"")"),"Artikolu 294 TFEU")</f>
        <v>Artikolu 294 TFEU</v>
      </c>
    </row>
    <row r="624" ht="15.75" customHeight="1">
      <c r="A624" s="2" t="s">
        <v>624</v>
      </c>
      <c r="B624" s="2" t="str">
        <f>IFERROR(__xludf.DUMMYFUNCTION("GOOGLETRANSLATE(A624, ""en"", ""mt"")"),"Min hu abbozz ta ’liġi msemmi għal deċiżjoni dwar jekk hux fil-poteri tal-Parlament?")</f>
        <v>Min hu abbozz ta ’liġi msemmi għal deċiżjoni dwar jekk hux fil-poteri tal-Parlament?</v>
      </c>
    </row>
    <row r="625" ht="15.75" customHeight="1">
      <c r="A625" s="2" t="s">
        <v>625</v>
      </c>
      <c r="B625" s="2" t="str">
        <f>IFERROR(__xludf.DUMMYFUNCTION("GOOGLETRANSLATE(A625, ""en"", ""mt"")"),"Dak li joffri definizzjoni kunċettwali tal-forza?")</f>
        <v>Dak li joffri definizzjoni kunċettwali tal-forza?</v>
      </c>
    </row>
    <row r="626" ht="15.75" customHeight="1">
      <c r="A626" s="2" t="s">
        <v>626</v>
      </c>
      <c r="B626" s="2" t="str">
        <f>IFERROR(__xludf.DUMMYFUNCTION("GOOGLETRANSLATE(A626, ""en"", ""mt"")"),"Economic_inequality")</f>
        <v>Economic_inequality</v>
      </c>
    </row>
    <row r="627" ht="15.75" customHeight="1">
      <c r="A627" s="2" t="s">
        <v>627</v>
      </c>
      <c r="B627" s="2" t="str">
        <f>IFERROR(__xludf.DUMMYFUNCTION("GOOGLETRANSLATE(A627, ""en"", ""mt"")"),"Kontinwazzjoni tal-Imperu Mongoljan")</f>
        <v>Kontinwazzjoni tal-Imperu Mongoljan</v>
      </c>
    </row>
    <row r="628" ht="15.75" customHeight="1">
      <c r="A628" s="2" t="s">
        <v>628</v>
      </c>
      <c r="B628" s="2" t="str">
        <f>IFERROR(__xludf.DUMMYFUNCTION("GOOGLETRANSLATE(A628, ""en"", ""mt"")"),"X'inhu terminu ieħor għal tqassir eċċessiv?")</f>
        <v>X'inhu terminu ieħor għal tqassir eċċessiv?</v>
      </c>
    </row>
    <row r="629" ht="15.75" customHeight="1">
      <c r="A629" s="2" t="s">
        <v>629</v>
      </c>
      <c r="B629" s="2" t="str">
        <f>IFERROR(__xludf.DUMMYFUNCTION("GOOGLETRANSLATE(A629, ""en"", ""mt"")"),"X'tip ta 'soundtracks huma obbligatorji bil-films tas-sema u l-kanali tal-box office tas-sema?")</f>
        <v>X'tip ta 'soundtracks huma obbligatorji bil-films tas-sema u l-kanali tal-box office tas-sema?</v>
      </c>
    </row>
    <row r="630" ht="15.75" customHeight="1">
      <c r="A630" s="2" t="s">
        <v>630</v>
      </c>
      <c r="B630" s="2" t="str">
        <f>IFERROR(__xludf.DUMMYFUNCTION("GOOGLETRANSLATE(A630, ""en"", ""mt"")"),"Il-Huguenots kienu l-ewwel Ewropej li jgħixu f’liema borough moderna ta ’New York?")</f>
        <v>Il-Huguenots kienu l-ewwel Ewropej li jgħixu f’liema borough moderna ta ’New York?</v>
      </c>
    </row>
    <row r="631" ht="15.75" customHeight="1">
      <c r="A631" s="2" t="s">
        <v>631</v>
      </c>
      <c r="B631" s="2" t="str">
        <f>IFERROR(__xludf.DUMMYFUNCTION("GOOGLETRANSLATE(A631, ""en"", ""mt"")"),"ossiġnu gassuż")</f>
        <v>ossiġnu gassuż</v>
      </c>
    </row>
    <row r="632" ht="15.75" customHeight="1">
      <c r="A632" s="2" t="s">
        <v>632</v>
      </c>
      <c r="B632" s="2" t="str">
        <f>IFERROR(__xludf.DUMMYFUNCTION("GOOGLETRANSLATE(A632, ""en"", ""mt"")"),"Qabel ma l-fondazzjoni tkun tista 'titħaffer, il-kuntratturi huma tipikament meħtieġa biex jivverifikaw u jkollhom linji ta' utilità eżistenti mmarkati, jew mill-utilitajiet infushom jew permezz ta 'kumpanija li tispeċjalizza f'dawn is-servizzi. Dan inaqq"&amp;"as il-probabbiltà ta 'ħsara lill-faċilitajiet elettriċi, tad-drenaġġ, tat-telefon u tal-kejbil eżistenti, li jistgħu jikkawżaw qtugħ u sitwazzjonijiet potenzjalment perikolużi. Matul il-kostruzzjoni ta 'bini, l-ispettur tal-bini muniċipali jispezzjona l-b"&amp;"ini perjodikament biex jiżgura li l-kostruzzjoni taderixxi mal-pjanijiet approvati u l-kodiċi tal-bini lokali. Ladarba l-kostruzzjoni tkun kompluta u ġiet mgħoddija spezzjoni finali, jista 'jinħareġ permess ta' okkupazzjoni.")</f>
        <v>Qabel ma l-fondazzjoni tkun tista 'titħaffer, il-kuntratturi huma tipikament meħtieġa biex jivverifikaw u jkollhom linji ta' utilità eżistenti mmarkati, jew mill-utilitajiet infushom jew permezz ta 'kumpanija li tispeċjalizza f'dawn is-servizzi. Dan inaqqas il-probabbiltà ta 'ħsara lill-faċilitajiet elettriċi, tad-drenaġġ, tat-telefon u tal-kejbil eżistenti, li jistgħu jikkawżaw qtugħ u sitwazzjonijiet potenzjalment perikolużi. Matul il-kostruzzjoni ta 'bini, l-ispettur tal-bini muniċipali jispezzjona l-bini perjodikament biex jiżgura li l-kostruzzjoni taderixxi mal-pjanijiet approvati u l-kodiċi tal-bini lokali. Ladarba l-kostruzzjoni tkun kompluta u ġiet mgħoddija spezzjoni finali, jista 'jinħareġ permess ta' okkupazzjoni.</v>
      </c>
    </row>
    <row r="633" ht="15.75" customHeight="1">
      <c r="A633" s="2" t="s">
        <v>633</v>
      </c>
      <c r="B633" s="2" t="str">
        <f>IFERROR(__xludf.DUMMYFUNCTION("GOOGLETRANSLATE(A633, ""en"", ""mt"")"),"Liema fortifikazzjoni kienet mibnija fis-seklu 18 wara t-telfa tar-rewwixta ta 'Novembru?")</f>
        <v>Liema fortifikazzjoni kienet mibnija fis-seklu 18 wara t-telfa tar-rewwixta ta 'Novembru?</v>
      </c>
    </row>
    <row r="634" ht="15.75" customHeight="1">
      <c r="A634" s="2" t="s">
        <v>634</v>
      </c>
      <c r="B634" s="2" t="str">
        <f>IFERROR(__xludf.DUMMYFUNCTION("GOOGLETRANSLATE(A634, ""en"", ""mt"")"),"Pierre L’Oseleleur")</f>
        <v>Pierre L’Oseleleur</v>
      </c>
    </row>
    <row r="635" ht="15.75" customHeight="1">
      <c r="A635" s="2" t="s">
        <v>635</v>
      </c>
      <c r="B635" s="2" t="str">
        <f>IFERROR(__xludf.DUMMYFUNCTION("GOOGLETRANSLATE(A635, ""en"", ""mt"")"),"Min kien l-ewwel rebbieħa tal-laureat femminili?")</f>
        <v>Min kien l-ewwel rebbieħa tal-laureat femminili?</v>
      </c>
    </row>
    <row r="636" ht="15.75" customHeight="1">
      <c r="A636" s="2" t="s">
        <v>636</v>
      </c>
      <c r="B636" s="2" t="str">
        <f>IFERROR(__xludf.DUMMYFUNCTION("GOOGLETRANSLATE(A636, ""en"", ""mt"")"),"Għaxra")</f>
        <v>Għaxra</v>
      </c>
    </row>
    <row r="637" ht="15.75" customHeight="1">
      <c r="A637" s="2" t="s">
        <v>637</v>
      </c>
      <c r="B637" s="2" t="str">
        <f>IFERROR(__xludf.DUMMYFUNCTION("GOOGLETRANSLATE(A637, ""en"", ""mt"")"),"Minn liema sistema tal-muntanji huma l-Alpi OMEO bħala parti?")</f>
        <v>Minn liema sistema tal-muntanji huma l-Alpi OMEO bħala parti?</v>
      </c>
    </row>
    <row r="638" ht="15.75" customHeight="1">
      <c r="A638" s="2" t="s">
        <v>638</v>
      </c>
      <c r="B638" s="2" t="str">
        <f>IFERROR(__xludf.DUMMYFUNCTION("GOOGLETRANSLATE(A638, ""en"", ""mt"")"),"Fil-mudell b'saffi tad-Dinja, huwa x'inhu s-saff l-iktar imbiegħed?")</f>
        <v>Fil-mudell b'saffi tad-Dinja, huwa x'inhu s-saff l-iktar imbiegħed?</v>
      </c>
    </row>
    <row r="639" ht="15.75" customHeight="1">
      <c r="A639" s="2" t="s">
        <v>639</v>
      </c>
      <c r="B639" s="2" t="str">
        <f>IFERROR(__xludf.DUMMYFUNCTION("GOOGLETRANSLATE(A639, ""en"", ""mt"")"),"Pan-Iżlamiżmu Sunni")</f>
        <v>Pan-Iżlamiżmu Sunni</v>
      </c>
    </row>
    <row r="640" ht="15.75" customHeight="1">
      <c r="A640" s="2" t="s">
        <v>640</v>
      </c>
      <c r="B640" s="2" t="str">
        <f>IFERROR(__xludf.DUMMYFUNCTION("GOOGLETRANSLATE(A640, ""en"", ""mt"")"),"Ħafna mill-istess deċiżjonijiet u prinċipji li japplikaw f'investigazzjonijiet u arresti kriminali oħra jinqalgħu wkoll f'każijiet ta 'diżubbidjenza ċivili. Pereżempju, is-suspettat jista 'jkollu bżonn jiddeċiedi jekk jagħtix tfittxija ta' kunsens jew le,"&amp;" u jekk tkellemx jew le ma 'uffiċjali tal-pulizija jew le. Ġeneralment huwa miftiehem fi ħdan il-komunità legali, u ħafna drabi huwa maħsub fil-komunità attivisti, li suspettat jitkellem ma 'investigaturi kriminali jista' jservi l-ebda skop utli, u jista "&amp;"'jkun ta' ħsara. Madankollu, xi diżubbidjenti ċivili madankollu sabuha diffiċli biex jirreżistu li jirrispondu għall-mistoqsijiet tal-investigaturi, xi kultant minħabba nuqqas ta 'fehim tar-ramifikazzjonijiet legali, jew minħabba l-biża' li tidher rude. U"&amp;"koll, xi diżubbidjenti ċivili jfittxu li jużaw l-arrest bħala opportunità biex jagħmlu impressjoni fuq l-uffiċjali. Thoreau kiteb, ""Il-proxxmu ċivili tiegħi, il-ġbir tat-taxxa, huwa l-bniedem stess li għandi nittratta - għax wara kollox, ma 'l-irġiel u m"&amp;"hux mal-parċmina li kont nitfa' - u huwa volontarjament għażel li jkun aġent tal-gvern. Kif għandu jkun jaf sew li hu u jagħmel bħala uffiċjal tal-gvern, jew bħala raġel, sakemm ikun obbligat jikkunsidra jekk hux se jittratta lili, il-proxxmu tiegħu, li g"&amp;"ħalih hu għandu rispett, bħala Ġirien u raġel imħasseb sew, jew bħala maniac u jfixklu l-paċi, u ara jekk jistax jaqbeż din l-ostruzzjoni lejn il-viċinat tiegħu mingħajr ħsieb jew diskors aktar imxerred u aktar impetuż li jikkorrispondu mal-azzjoni tiegħu"&amp;". """)</f>
        <v>Ħafna mill-istess deċiżjonijiet u prinċipji li japplikaw f'investigazzjonijiet u arresti kriminali oħra jinqalgħu wkoll f'każijiet ta 'diżubbidjenza ċivili. Pereżempju, is-suspettat jista 'jkollu bżonn jiddeċiedi jekk jagħtix tfittxija ta' kunsens jew le, u jekk tkellemx jew le ma 'uffiċjali tal-pulizija jew le. Ġeneralment huwa miftiehem fi ħdan il-komunità legali, u ħafna drabi huwa maħsub fil-komunità attivisti, li suspettat jitkellem ma 'investigaturi kriminali jista' jservi l-ebda skop utli, u jista 'jkun ta' ħsara. Madankollu, xi diżubbidjenti ċivili madankollu sabuha diffiċli biex jirreżistu li jirrispondu għall-mistoqsijiet tal-investigaturi, xi kultant minħabba nuqqas ta 'fehim tar-ramifikazzjonijiet legali, jew minħabba l-biża' li tidher rude. Ukoll, xi diżubbidjenti ċivili jfittxu li jużaw l-arrest bħala opportunità biex jagħmlu impressjoni fuq l-uffiċjali. Thoreau kiteb, "Il-proxxmu ċivili tiegħi, il-ġbir tat-taxxa, huwa l-bniedem stess li għandi nittratta - għax wara kollox, ma 'l-irġiel u mhux mal-parċmina li kont nitfa' - u huwa volontarjament għażel li jkun aġent tal-gvern. Kif għandu jkun jaf sew li hu u jagħmel bħala uffiċjal tal-gvern, jew bħala raġel, sakemm ikun obbligat jikkunsidra jekk hux se jittratta lili, il-proxxmu tiegħu, li għalih hu għandu rispett, bħala Ġirien u raġel imħasseb sew, jew bħala maniac u jfixklu l-paċi, u ara jekk jistax jaqbeż din l-ostruzzjoni lejn il-viċinat tiegħu mingħajr ħsieb jew diskors aktar imxerred u aktar impetuż li jikkorrispondu mal-azzjoni tiegħu. "</v>
      </c>
    </row>
    <row r="641" ht="15.75" customHeight="1">
      <c r="A641" s="2" t="s">
        <v>641</v>
      </c>
      <c r="B641" s="2" t="str">
        <f>IFERROR(__xludf.DUMMYFUNCTION("GOOGLETRANSLATE(A641, ""en"", ""mt"")"),"1972")</f>
        <v>1972</v>
      </c>
    </row>
    <row r="642" ht="15.75" customHeight="1">
      <c r="A642" s="2" t="s">
        <v>642</v>
      </c>
      <c r="B642" s="2" t="str">
        <f>IFERROR(__xludf.DUMMYFUNCTION("GOOGLETRANSLATE(A642, ""en"", ""mt"")"),"Kemm ħallsu l-istudenti b'kollox biex imorru Harvard fl-2007?")</f>
        <v>Kemm ħallsu l-istudenti b'kollox biex imorru Harvard fl-2007?</v>
      </c>
    </row>
    <row r="643" ht="15.75" customHeight="1">
      <c r="A643" s="2" t="s">
        <v>643</v>
      </c>
      <c r="B643" s="2" t="str">
        <f>IFERROR(__xludf.DUMMYFUNCTION("GOOGLETRANSLATE(A643, ""en"", ""mt"")"),"Korp kbir ta 'xogħol matematiku xorta jkun validu meta jsejjaħ 1 prim, iżda t-teorema fundamentali ta' Euclid ta 'l-aritmetika (imsemmija hawn fuq) ma żżommx kif intqal. Pereżempju, in-numru 15 jista 'jiġi kkunsidrat bħala 3 · 5 u 1 · 3 · 5; Jekk 1 ġew am"&amp;"messi bħala prim, dawn iż-żewġ preżentazzjonijiet ikunu kkunsidrati fatturizzazzjonijiet differenti ta '15 f'numri ewlenin, u għalhekk id-dikjarazzjoni ta 'dak it-teorema kellha tiġi modifikata. Bl-istess mod, l-passatur ta 'Eratosthenes ma jaħdimx sew je"&amp;"kk 1 kien ikkunsidrat bħala prim: verżjoni modifikata ta' l-għarbiel li tqis 1 bħala Prime li telimina l-multipli kollha ta '1 (jiġifieri, in-numri l-oħra kollha) u tipproduċi bħala output biss in-numru uniku 1. Barra minn hekk, in-numri ewlenin għandhom "&amp;"diversi proprjetajiet li n-numru 1 jonqos, bħar-relazzjoni tan-numru mal-valur korrispondenti tiegħu tal-funzjoni totjenti ta 'Euler jew is-somma tal-funzjoni tad-diviżuri.")</f>
        <v>Korp kbir ta 'xogħol matematiku xorta jkun validu meta jsejjaħ 1 prim, iżda t-teorema fundamentali ta' Euclid ta 'l-aritmetika (imsemmija hawn fuq) ma żżommx kif intqal. Pereżempju, in-numru 15 jista 'jiġi kkunsidrat bħala 3 · 5 u 1 · 3 · 5; Jekk 1 ġew ammessi bħala prim, dawn iż-żewġ preżentazzjonijiet ikunu kkunsidrati fatturizzazzjonijiet differenti ta '15 f'numri ewlenin, u għalhekk id-dikjarazzjoni ta 'dak it-teorema kellha tiġi modifikata. Bl-istess mod, l-passatur ta 'Eratosthenes ma jaħdimx sew jekk 1 kien ikkunsidrat bħala prim: verżjoni modifikata ta' l-għarbiel li tqis 1 bħala Prime li telimina l-multipli kollha ta '1 (jiġifieri, in-numri l-oħra kollha) u tipproduċi bħala output biss in-numru uniku 1. Barra minn hekk, in-numri ewlenin għandhom diversi proprjetajiet li n-numru 1 jonqos, bħar-relazzjoni tan-numru mal-valur korrispondenti tiegħu tal-funzjoni totjenti ta 'Euler jew is-somma tal-funzjoni tad-diviżuri.</v>
      </c>
    </row>
    <row r="644" ht="15.75" customHeight="1">
      <c r="A644" s="2" t="s">
        <v>644</v>
      </c>
      <c r="B644" s="2" t="str">
        <f>IFERROR(__xludf.DUMMYFUNCTION("GOOGLETRANSLATE(A644, ""en"", ""mt"")"),"Iwweldjar ta 'oxyacetylene")</f>
        <v>Iwweldjar ta 'oxyacetylene</v>
      </c>
    </row>
    <row r="645" ht="15.75" customHeight="1">
      <c r="A645" s="2" t="s">
        <v>645</v>
      </c>
      <c r="B645" s="2" t="str">
        <f>IFERROR(__xludf.DUMMYFUNCTION("GOOGLETRANSLATE(A645, ""en"", ""mt"")"),"X'tip ta 'proġetti huma appoġġjati b'mod wiesa'?")</f>
        <v>X'tip ta 'proġetti huma appoġġjati b'mod wiesa'?</v>
      </c>
    </row>
    <row r="646" ht="15.75" customHeight="1">
      <c r="A646" s="2" t="s">
        <v>646</v>
      </c>
      <c r="B646" s="2" t="str">
        <f>IFERROR(__xludf.DUMMYFUNCTION("GOOGLETRANSLATE(A646, ""en"", ""mt"")"),"Għal xiex huwa magħruf il-Pedanius Dioscorides?")</f>
        <v>Għal xiex huwa magħruf il-Pedanius Dioscorides?</v>
      </c>
    </row>
    <row r="647" ht="15.75" customHeight="1">
      <c r="A647" s="2" t="s">
        <v>647</v>
      </c>
      <c r="B647" s="2" t="str">
        <f>IFERROR(__xludf.DUMMYFUNCTION("GOOGLETRANSLATE(A647, ""en"", ""mt"")"),"ċelloli T regolatorji")</f>
        <v>ċelloli T regolatorji</v>
      </c>
    </row>
    <row r="648" ht="15.75" customHeight="1">
      <c r="A648" s="2" t="s">
        <v>648</v>
      </c>
      <c r="B648" s="2" t="str">
        <f>IFERROR(__xludf.DUMMYFUNCTION("GOOGLETRANSLATE(A648, ""en"", ""mt"")"),"Meta beda t-tisħin mgħaġġel u jgħin il-veġetazzjoni?")</f>
        <v>Meta beda t-tisħin mgħaġġel u jgħin il-veġetazzjoni?</v>
      </c>
    </row>
    <row r="649" ht="15.75" customHeight="1">
      <c r="A649" s="2" t="s">
        <v>649</v>
      </c>
      <c r="B649" s="2" t="str">
        <f>IFERROR(__xludf.DUMMYFUNCTION("GOOGLETRANSLATE(A649, ""en"", ""mt"")"),"Liema algoritmu huwa dejjem prattiku?")</f>
        <v>Liema algoritmu huwa dejjem prattiku?</v>
      </c>
    </row>
    <row r="650" ht="15.75" customHeight="1">
      <c r="A650" s="2" t="s">
        <v>650</v>
      </c>
      <c r="B650" s="2" t="str">
        <f>IFERROR(__xludf.DUMMYFUNCTION("GOOGLETRANSLATE(A650, ""en"", ""mt"")"),"il-mistoqsija tal-punent lothian")</f>
        <v>il-mistoqsija tal-punent lothian</v>
      </c>
    </row>
    <row r="651" ht="15.75" customHeight="1">
      <c r="A651" s="2" t="s">
        <v>651</v>
      </c>
      <c r="B651" s="2" t="str">
        <f>IFERROR(__xludf.DUMMYFUNCTION("GOOGLETRANSLATE(A651, ""en"", ""mt"")"),"Liema funzjoni hija relatata man-numri ta 'Basel?")</f>
        <v>Liema funzjoni hija relatata man-numri ta 'Basel?</v>
      </c>
    </row>
    <row r="652" ht="15.75" customHeight="1">
      <c r="A652" s="2" t="s">
        <v>652</v>
      </c>
      <c r="B652" s="2" t="str">
        <f>IFERROR(__xludf.DUMMYFUNCTION("GOOGLETRANSLATE(A652, ""en"", ""mt"")"),"livell waqa '")</f>
        <v>livell waqa '</v>
      </c>
    </row>
    <row r="653" ht="15.75" customHeight="1">
      <c r="A653" s="2" t="s">
        <v>653</v>
      </c>
      <c r="B653" s="2" t="str">
        <f>IFERROR(__xludf.DUMMYFUNCTION("GOOGLETRANSLATE(A653, ""en"", ""mt"")"),"Liema diviżjoni toffri aktar minn fergħa waħda ta 'studji li ma jaqblux ma' l-erbgħa l-oħra?")</f>
        <v>Liema diviżjoni toffri aktar minn fergħa waħda ta 'studji li ma jaqblux ma' l-erbgħa l-oħra?</v>
      </c>
    </row>
    <row r="654" ht="15.75" customHeight="1">
      <c r="A654" s="2" t="s">
        <v>654</v>
      </c>
      <c r="B654" s="2" t="str">
        <f>IFERROR(__xludf.DUMMYFUNCTION("GOOGLETRANSLATE(A654, ""en"", ""mt"")"),"X’sib Simon Conway fuq il-fergħat ta ’Lagerstatte?")</f>
        <v>X’sib Simon Conway fuq il-fergħat ta ’Lagerstatte?</v>
      </c>
    </row>
    <row r="655" ht="15.75" customHeight="1">
      <c r="A655" s="2" t="s">
        <v>655</v>
      </c>
      <c r="B655" s="2" t="str">
        <f>IFERROR(__xludf.DUMMYFUNCTION("GOOGLETRANSLATE(A655, ""en"", ""mt"")"),"sorgu")</f>
        <v>sorgu</v>
      </c>
    </row>
    <row r="656" ht="15.75" customHeight="1">
      <c r="A656" s="2" t="s">
        <v>656</v>
      </c>
      <c r="B656" s="2" t="str">
        <f>IFERROR(__xludf.DUMMYFUNCTION("GOOGLETRANSLATE(A656, ""en"", ""mt"")"),"Liema tip ta 'klima jista' jkun ippermetta lill-foresta tropikali tinfirex madwar il-kontinent?")</f>
        <v>Liema tip ta 'klima jista' jkun ippermetta lill-foresta tropikali tinfirex madwar il-kontinent?</v>
      </c>
    </row>
    <row r="657" ht="15.75" customHeight="1">
      <c r="A657" s="2" t="s">
        <v>657</v>
      </c>
      <c r="B657" s="2" t="str">
        <f>IFERROR(__xludf.DUMMYFUNCTION("GOOGLETRANSLATE(A657, ""en"", ""mt"")"),"Gvernijiet Komunisti")</f>
        <v>Gvernijiet Komunisti</v>
      </c>
    </row>
    <row r="658" ht="15.75" customHeight="1">
      <c r="A658" s="2" t="s">
        <v>658</v>
      </c>
      <c r="B658" s="2" t="str">
        <f>IFERROR(__xludf.DUMMYFUNCTION("GOOGLETRANSLATE(A658, ""en"", ""mt"")"),"racket")</f>
        <v>racket</v>
      </c>
    </row>
    <row r="659" ht="15.75" customHeight="1">
      <c r="A659" s="2" t="s">
        <v>659</v>
      </c>
      <c r="B659" s="2" t="str">
        <f>IFERROR(__xludf.DUMMYFUNCTION("GOOGLETRANSLATE(A659, ""en"", ""mt"")"),"MPEG-2 konformi mad-DVB")</f>
        <v>MPEG-2 konformi mad-DVB</v>
      </c>
    </row>
    <row r="660" ht="15.75" customHeight="1">
      <c r="A660" s="2" t="s">
        <v>660</v>
      </c>
      <c r="B660" s="2" t="str">
        <f>IFERROR(__xludf.DUMMYFUNCTION("GOOGLETRANSLATE(A660, ""en"", ""mt"")"),"l-ewwel ministru")</f>
        <v>l-ewwel ministru</v>
      </c>
    </row>
    <row r="661" ht="15.75" customHeight="1">
      <c r="A661" s="2" t="s">
        <v>661</v>
      </c>
      <c r="B661" s="2" t="str">
        <f>IFERROR(__xludf.DUMMYFUNCTION("GOOGLETRANSLATE(A661, ""en"", ""mt"")"),"Kemm hemm lacemakers immigranti hemm f'Bedfordshire?")</f>
        <v>Kemm hemm lacemakers immigranti hemm f'Bedfordshire?</v>
      </c>
    </row>
    <row r="662" ht="15.75" customHeight="1">
      <c r="A662" s="2" t="s">
        <v>662</v>
      </c>
      <c r="B662" s="2" t="str">
        <f>IFERROR(__xludf.DUMMYFUNCTION("GOOGLETRANSLATE(A662, ""en"", ""mt"")"),"Richard Trevithick")</f>
        <v>Richard Trevithick</v>
      </c>
    </row>
    <row r="663" ht="15.75" customHeight="1">
      <c r="A663" s="2" t="s">
        <v>663</v>
      </c>
      <c r="B663" s="2" t="str">
        <f>IFERROR(__xludf.DUMMYFUNCTION("GOOGLETRANSLATE(A663, ""en"", ""mt"")"),"Kemm għandhom ħafna aurikoli?")</f>
        <v>Kemm għandhom ħafna aurikoli?</v>
      </c>
    </row>
    <row r="664" ht="15.75" customHeight="1">
      <c r="A664" s="2" t="s">
        <v>664</v>
      </c>
      <c r="B664" s="2" t="str">
        <f>IFERROR(__xludf.DUMMYFUNCTION("GOOGLETRANSLATE(A664, ""en"", ""mt"")"),"differenza fil-qligħ")</f>
        <v>differenza fil-qligħ</v>
      </c>
    </row>
    <row r="665" ht="15.75" customHeight="1">
      <c r="A665" s="2" t="s">
        <v>665</v>
      </c>
      <c r="B665" s="2" t="str">
        <f>IFERROR(__xludf.DUMMYFUNCTION("GOOGLETRANSLATE(A665, ""en"", ""mt"")"),"X'inhu eżempju ta 'firebox?")</f>
        <v>X'inhu eżempju ta 'firebox?</v>
      </c>
    </row>
    <row r="666" ht="15.75" customHeight="1">
      <c r="A666" s="2" t="s">
        <v>666</v>
      </c>
      <c r="B666" s="2" t="str">
        <f>IFERROR(__xludf.DUMMYFUNCTION("GOOGLETRANSLATE(A666, ""en"", ""mt"")"),"Liema ċitokini huma responsabbli għall-komunikazzjoni bejn iċ-ċelloli bojod tad-demm?")</f>
        <v>Liema ċitokini huma responsabbli għall-komunikazzjoni bejn iċ-ċelloli bojod tad-demm?</v>
      </c>
    </row>
    <row r="667" ht="15.75" customHeight="1">
      <c r="A667" s="2" t="s">
        <v>667</v>
      </c>
      <c r="B667" s="2" t="str">
        <f>IFERROR(__xludf.DUMMYFUNCTION("GOOGLETRANSLATE(A667, ""en"", ""mt"")"),"Liema ormon tas-sess maskili huwa immunostimulatur?")</f>
        <v>Liema ormon tas-sess maskili huwa immunostimulatur?</v>
      </c>
    </row>
    <row r="668" ht="15.75" customHeight="1">
      <c r="A668" s="2" t="s">
        <v>668</v>
      </c>
      <c r="B668" s="2" t="str">
        <f>IFERROR(__xludf.DUMMYFUNCTION("GOOGLETRANSLATE(A668, ""en"", ""mt"")"),"Liema grupp għandu rwol primarju li jifli xhieda?")</f>
        <v>Liema grupp għandu rwol primarju li jifli xhieda?</v>
      </c>
    </row>
    <row r="669" ht="15.75" customHeight="1">
      <c r="A669" s="2" t="s">
        <v>669</v>
      </c>
      <c r="B669" s="2" t="str">
        <f>IFERROR(__xludf.DUMMYFUNCTION("GOOGLETRANSLATE(A669, ""en"", ""mt"")"),"L-Università tat-Teknoloġija ta 'Varsavja")</f>
        <v>L-Università tat-Teknoloġija ta 'Varsavja</v>
      </c>
    </row>
    <row r="670" ht="15.75" customHeight="1">
      <c r="A670" s="2" t="s">
        <v>670</v>
      </c>
      <c r="B670" s="2" t="str">
        <f>IFERROR(__xludf.DUMMYFUNCTION("GOOGLETRANSLATE(A670, ""en"", ""mt"")"),"Liema kanali tneħħew min-netwerk f'Marzu tal-2007?")</f>
        <v>Liema kanali tneħħew min-netwerk f'Marzu tal-2007?</v>
      </c>
    </row>
    <row r="671" ht="15.75" customHeight="1">
      <c r="A671" s="2" t="s">
        <v>671</v>
      </c>
      <c r="B671" s="2" t="str">
        <f>IFERROR(__xludf.DUMMYFUNCTION("GOOGLETRANSLATE(A671, ""en"", ""mt"")"),"Il-Parlament Skoċċiż kif jiskrutinja lin-nies?")</f>
        <v>Il-Parlament Skoċċiż kif jiskrutinja lin-nies?</v>
      </c>
    </row>
    <row r="672" ht="15.75" customHeight="1">
      <c r="A672" s="2" t="s">
        <v>672</v>
      </c>
      <c r="B672" s="2" t="str">
        <f>IFERROR(__xludf.DUMMYFUNCTION("GOOGLETRANSLATE(A672, ""en"", ""mt"")"),"Il-Lag Constance jikkonsisti fi tliet korpi ta 'l-ilma: l-Obersee (""Upper Lake""), The Untersee (""Lower Lake""), u medda ta' konnessjoni tar-Renu, imsejħa Seerhein (""Lag Rhine""). Il-lag jinsab fil-Ġermanja, l-Isvizzera u l-Awstrija ħdejn l-Alpi. Speċi"&amp;"fikament, ix-xtut tagħha jinsabu fl-istati Ġermaniżi tal-Bavarja u Baden-Württemberg, l-istat Awstrijak ta 'Vorarlberg, u l-kantuni Żvizzeri ta' Thurgau u San Gallen. Ir-Rhine jiċċirkola fiha min-nofsinhar wara l-fruntiera Żvizzera-Awstrijana. Jinsab madw"&amp;"ar 47 ° 39′N 9 ° 19′E / 47.650 ° N 9.317 ° E / 47.650; 9.317.")</f>
        <v>Il-Lag Constance jikkonsisti fi tliet korpi ta 'l-ilma: l-Obersee ("Upper Lake"), The Untersee ("Lower Lake"), u medda ta' konnessjoni tar-Renu, imsejħa Seerhein ("Lag Rhine"). Il-lag jinsab fil-Ġermanja, l-Isvizzera u l-Awstrija ħdejn l-Alpi. Speċifikament, ix-xtut tagħha jinsabu fl-istati Ġermaniżi tal-Bavarja u Baden-Württemberg, l-istat Awstrijak ta 'Vorarlberg, u l-kantuni Żvizzeri ta' Thurgau u San Gallen. Ir-Rhine jiċċirkola fiha min-nofsinhar wara l-fruntiera Żvizzera-Awstrijana. Jinsab madwar 47 ° 39′N 9 ° 19′E / 47.650 ° N 9.317 ° E / 47.650; 9.317.</v>
      </c>
    </row>
    <row r="673" ht="15.75" customHeight="1">
      <c r="A673" s="2" t="s">
        <v>673</v>
      </c>
      <c r="B673" s="2" t="str">
        <f>IFERROR(__xludf.DUMMYFUNCTION("GOOGLETRANSLATE(A673, ""en"", ""mt"")"),"Fejn huma l-eqdem kollezzjoni ta 'mapep, gazettes u atlasi tal-Amerika ta' l-Amerika?")</f>
        <v>Fejn huma l-eqdem kollezzjoni ta 'mapep, gazettes u atlasi tal-Amerika ta' l-Amerika?</v>
      </c>
    </row>
    <row r="674" ht="15.75" customHeight="1">
      <c r="A674" s="2" t="s">
        <v>674</v>
      </c>
      <c r="B674" s="2" t="str">
        <f>IFERROR(__xludf.DUMMYFUNCTION("GOOGLETRANSLATE(A674, ""en"", ""mt"")"),"Għal xiex jintużaw cilia?")</f>
        <v>Għal xiex jintużaw cilia?</v>
      </c>
    </row>
    <row r="675" ht="15.75" customHeight="1">
      <c r="A675" s="2" t="s">
        <v>675</v>
      </c>
      <c r="B675" s="2" t="str">
        <f>IFERROR(__xludf.DUMMYFUNCTION("GOOGLETRANSLATE(A675, ""en"", ""mt"")"),"Fejn relazzjoni bejn il-bnedmin kisbet attenzjoni akbar?")</f>
        <v>Fejn relazzjoni bejn il-bnedmin kisbet attenzjoni akbar?</v>
      </c>
    </row>
    <row r="676" ht="15.75" customHeight="1">
      <c r="A676" s="2" t="s">
        <v>676</v>
      </c>
      <c r="B676" s="2" t="str">
        <f>IFERROR(__xludf.DUMMYFUNCTION("GOOGLETRANSLATE(A676, ""en"", ""mt"")"),"Min kien il-President tal-Kumitat tal-Kamra dwar l-Enerġija u l-Kummerċ?")</f>
        <v>Min kien il-President tal-Kumitat tal-Kamra dwar l-Enerġija u l-Kummerċ?</v>
      </c>
    </row>
    <row r="677" ht="15.75" customHeight="1">
      <c r="A677" s="2" t="s">
        <v>677</v>
      </c>
      <c r="B677" s="2" t="str">
        <f>IFERROR(__xludf.DUMMYFUNCTION("GOOGLETRANSLATE(A677, ""en"", ""mt"")"),"X’sar matul l-2000-2017?")</f>
        <v>X’sar matul l-2000-2017?</v>
      </c>
    </row>
    <row r="678" ht="15.75" customHeight="1">
      <c r="A678" s="2" t="s">
        <v>678</v>
      </c>
      <c r="B678" s="2" t="str">
        <f>IFERROR(__xludf.DUMMYFUNCTION("GOOGLETRANSLATE(A678, ""en"", ""mt"")"),"Il-Landgrave Brittanika Edmund Bellinger")</f>
        <v>Il-Landgrave Brittanika Edmund Bellinger</v>
      </c>
    </row>
    <row r="679" ht="15.75" customHeight="1">
      <c r="A679" s="2" t="s">
        <v>679</v>
      </c>
      <c r="B679" s="2" t="str">
        <f>IFERROR(__xludf.DUMMYFUNCTION("GOOGLETRANSLATE(A679, ""en"", ""mt"")"),"Il-biċċa l-kbira ta 'Huguenot émigrés irrilokaw għal nazzjonijiet Ewropej Protestanti bħall-Ingilterra, Wales, l-Iskozja, id-Danimarka, l-Isvezja, l-Isvizzera, ir-Repubblika Olandiża, l-elettorat ta' Brandenburg u l-elettorat tal-Palatinat fl-Imperu Ruman"&amp;" qaddis, id-Duchy ta 'Prussia, il-kanal Gżejjer, u l-Irlanda. Huma nfirxu wkoll lil hinn mill-Ewropa għall-Kolonja tal-Kap Olandiża fl-Afrika t'Isfel, l-Indji tal-Lvant Olandiżi, il-Karibew, u bosta mill-kolonji Ingliżi ta 'l-Amerika ta' Fuq, u Quebec, fe"&amp;"jn ġew aċċettati u tħallew jaduraw liberament.")</f>
        <v>Il-biċċa l-kbira ta 'Huguenot émigrés irrilokaw għal nazzjonijiet Ewropej Protestanti bħall-Ingilterra, Wales, l-Iskozja, id-Danimarka, l-Isvezja, l-Isvizzera, ir-Repubblika Olandiża, l-elettorat ta' Brandenburg u l-elettorat tal-Palatinat fl-Imperu Ruman qaddis, id-Duchy ta 'Prussia, il-kanal Gżejjer, u l-Irlanda. Huma nfirxu wkoll lil hinn mill-Ewropa għall-Kolonja tal-Kap Olandiża fl-Afrika t'Isfel, l-Indji tal-Lvant Olandiżi, il-Karibew, u bosta mill-kolonji Ingliżi ta 'l-Amerika ta' Fuq, u Quebec, fejn ġew aċċettati u tħallew jaduraw liberament.</v>
      </c>
    </row>
    <row r="680" ht="15.75" customHeight="1">
      <c r="A680" s="2" t="s">
        <v>680</v>
      </c>
      <c r="B680" s="2" t="str">
        <f>IFERROR(__xludf.DUMMYFUNCTION("GOOGLETRANSLATE(A680, ""en"", ""mt"")"),"X'kien ippjanat Bhutto li jipprojbixxi fi żmien sitt xhur, qabel ma ġie mwaqqa '?")</f>
        <v>X'kien ippjanat Bhutto li jipprojbixxi fi żmien sitt xhur, qabel ma ġie mwaqqa '?</v>
      </c>
    </row>
    <row r="681" ht="15.75" customHeight="1">
      <c r="A681" s="2" t="s">
        <v>681</v>
      </c>
      <c r="B681" s="2" t="str">
        <f>IFERROR(__xludf.DUMMYFUNCTION("GOOGLETRANSLATE(A681, ""en"", ""mt"")"),"Meta Joseph Scheele skopra l-ossiġnu?")</f>
        <v>Meta Joseph Scheele skopra l-ossiġnu?</v>
      </c>
    </row>
    <row r="682" ht="15.75" customHeight="1">
      <c r="A682" s="2" t="s">
        <v>682</v>
      </c>
      <c r="B682" s="2" t="str">
        <f>IFERROR(__xludf.DUMMYFUNCTION("GOOGLETRANSLATE(A682, ""en"", ""mt"")"),"Minn xiex jista 'jsofri pjan ta' kontinġenza?")</f>
        <v>Minn xiex jista 'jsofri pjan ta' kontinġenza?</v>
      </c>
    </row>
    <row r="683" ht="15.75" customHeight="1">
      <c r="A683" s="2" t="s">
        <v>683</v>
      </c>
      <c r="B683" s="2" t="str">
        <f>IFERROR(__xludf.DUMMYFUNCTION("GOOGLETRANSLATE(A683, ""en"", ""mt"")"),"X'tip ta 'valv jintuża minn molol riċenti?")</f>
        <v>X'tip ta 'valv jintuża minn molol riċenti?</v>
      </c>
    </row>
    <row r="684" ht="15.75" customHeight="1">
      <c r="A684" s="2" t="s">
        <v>684</v>
      </c>
      <c r="B684" s="2" t="str">
        <f>IFERROR(__xludf.DUMMYFUNCTION("GOOGLETRANSLATE(A684, ""en"", ""mt"")"),"X'inhu l-metodu ta 'ħażna ta' kompost krijoġeniku u kimiku?")</f>
        <v>X'inhu l-metodu ta 'ħażna ta' kompost krijoġeniku u kimiku?</v>
      </c>
    </row>
    <row r="685" ht="15.75" customHeight="1">
      <c r="A685" s="2" t="s">
        <v>685</v>
      </c>
      <c r="B685" s="2" t="str">
        <f>IFERROR(__xludf.DUMMYFUNCTION("GOOGLETRANSLATE(A685, ""en"", ""mt"")"),"Għal liema responsabbiltajiet kienu limitati t-tekniċi tal-ispiżerija?")</f>
        <v>Għal liema responsabbiltajiet kienu limitati t-tekniċi tal-ispiżerija?</v>
      </c>
    </row>
    <row r="686" ht="15.75" customHeight="1">
      <c r="A686" s="2" t="s">
        <v>686</v>
      </c>
      <c r="B686" s="2" t="str">
        <f>IFERROR(__xludf.DUMMYFUNCTION("GOOGLETRANSLATE(A686, ""en"", ""mt"")"),"F'liema tip ta 'ċirku jistgħu jintużaw l-ideali ewlenin għall-validazzjoni tat-teorija tan-numri?")</f>
        <v>F'liema tip ta 'ċirku jistgħu jintużaw l-ideali ewlenin għall-validazzjoni tat-teorija tan-numri?</v>
      </c>
    </row>
    <row r="687" ht="15.75" customHeight="1">
      <c r="A687" s="2" t="s">
        <v>687</v>
      </c>
      <c r="B687" s="2" t="str">
        <f>IFERROR(__xludf.DUMMYFUNCTION("GOOGLETRANSLATE(A687, ""en"", ""mt"")"),"$ 680 biljun")</f>
        <v>$ 680 biljun</v>
      </c>
    </row>
    <row r="688" ht="15.75" customHeight="1">
      <c r="A688" s="2" t="s">
        <v>688</v>
      </c>
      <c r="B688" s="2" t="str">
        <f>IFERROR(__xludf.DUMMYFUNCTION("GOOGLETRANSLATE(A688, ""en"", ""mt"")"),"In-nies bi dħul ogħla għandhom inqas aċċess għalih?")</f>
        <v>In-nies bi dħul ogħla għandhom inqas aċċess għalih?</v>
      </c>
    </row>
    <row r="689" ht="15.75" customHeight="1">
      <c r="A689" s="2" t="s">
        <v>689</v>
      </c>
      <c r="B689" s="2" t="str">
        <f>IFERROR(__xludf.DUMMYFUNCTION("GOOGLETRANSLATE(A689, ""en"", ""mt"")"),"Liema seklu Maurus Servius onoratus ta l-kummentarju tiegħu dwar l-Aeneid ta 'Vergil lil Herodotus?")</f>
        <v>Liema seklu Maurus Servius onoratus ta l-kummentarju tiegħu dwar l-Aeneid ta 'Vergil lil Herodotus?</v>
      </c>
    </row>
    <row r="690" ht="15.75" customHeight="1">
      <c r="A690" s="2" t="s">
        <v>690</v>
      </c>
      <c r="B690" s="2" t="str">
        <f>IFERROR(__xludf.DUMMYFUNCTION("GOOGLETRANSLATE(A690, ""en"", ""mt"")"),"F'liema għaxar snin inbena l-klabb tal-pajjiż?")</f>
        <v>F'liema għaxar snin inbena l-klabb tal-pajjiż?</v>
      </c>
    </row>
    <row r="691" ht="15.75" customHeight="1">
      <c r="A691" s="2" t="s">
        <v>691</v>
      </c>
      <c r="B691" s="2" t="str">
        <f>IFERROR(__xludf.DUMMYFUNCTION("GOOGLETRANSLATE(A691, ""en"", ""mt"")"),"Kienu ċ-ċentri ta 'profitt")</f>
        <v>Kienu ċ-ċentri ta 'profitt</v>
      </c>
    </row>
    <row r="692" ht="15.75" customHeight="1">
      <c r="A692" s="2" t="s">
        <v>692</v>
      </c>
      <c r="B692" s="2" t="str">
        <f>IFERROR(__xludf.DUMMYFUNCTION("GOOGLETRANSLATE(A692, ""en"", ""mt"")"),"kwantitattiv")</f>
        <v>kwantitattiv</v>
      </c>
    </row>
    <row r="693" ht="15.75" customHeight="1">
      <c r="A693" s="2" t="s">
        <v>693</v>
      </c>
      <c r="B693" s="2" t="str">
        <f>IFERROR(__xludf.DUMMYFUNCTION("GOOGLETRANSLATE(A693, ""en"", ""mt"")"),"X'inhi l-popolazzjoni ta 'l-Olanda?")</f>
        <v>X'inhi l-popolazzjoni ta 'l-Olanda?</v>
      </c>
    </row>
    <row r="694" ht="15.75" customHeight="1">
      <c r="A694" s="2" t="s">
        <v>694</v>
      </c>
      <c r="B694" s="2" t="str">
        <f>IFERROR(__xludf.DUMMYFUNCTION("GOOGLETRANSLATE(A694, ""en"", ""mt"")"),"Fl-aħħar wasslet it-teorija elettromanjetika?")</f>
        <v>Fl-aħħar wasslet it-teorija elettromanjetika?</v>
      </c>
    </row>
    <row r="695" ht="15.75" customHeight="1">
      <c r="A695" s="2" t="s">
        <v>695</v>
      </c>
      <c r="B695" s="2" t="str">
        <f>IFERROR(__xludf.DUMMYFUNCTION("GOOGLETRANSLATE(A695, ""en"", ""mt"")"),"Reazzjoni ta 'azzjoni")</f>
        <v>Reazzjoni ta 'azzjoni</v>
      </c>
    </row>
    <row r="696" ht="15.75" customHeight="1">
      <c r="A696" s="2" t="s">
        <v>696</v>
      </c>
      <c r="B696" s="2" t="str">
        <f>IFERROR(__xludf.DUMMYFUNCTION("GOOGLETRANSLATE(A696, ""en"", ""mt"")"),"pH jew ħadid disponibbli")</f>
        <v>pH jew ħadid disponibbli</v>
      </c>
    </row>
    <row r="697" ht="15.75" customHeight="1">
      <c r="A697" s="2" t="s">
        <v>697</v>
      </c>
      <c r="B697" s="2" t="str">
        <f>IFERROR(__xludf.DUMMYFUNCTION("GOOGLETRANSLATE(A697, ""en"", ""mt"")"),"jifformalizza front unifikat fil-kummerċ u n-negozjati ma 'diversi Indjani")</f>
        <v>jifformalizza front unifikat fil-kummerċ u n-negozjati ma 'diversi Indjani</v>
      </c>
    </row>
    <row r="698" ht="15.75" customHeight="1">
      <c r="A698" s="2" t="s">
        <v>698</v>
      </c>
      <c r="B698" s="2" t="str">
        <f>IFERROR(__xludf.DUMMYFUNCTION("GOOGLETRANSLATE(A698, ""en"", ""mt"")"),"X'inhi mġieba kriminali waħda li hija diffiċli biex tieqaf mill-awtoritajiet?")</f>
        <v>X'inhi mġieba kriminali waħda li hija diffiċli biex tieqaf mill-awtoritajiet?</v>
      </c>
    </row>
    <row r="699" ht="15.75" customHeight="1">
      <c r="A699" s="2" t="s">
        <v>699</v>
      </c>
      <c r="B699" s="2" t="str">
        <f>IFERROR(__xludf.DUMMYFUNCTION("GOOGLETRANSLATE(A699, ""en"", ""mt"")"),"Min iżżewweġ lil Cnut il-Kbir?")</f>
        <v>Min iżżewweġ lil Cnut il-Kbir?</v>
      </c>
    </row>
    <row r="700" ht="15.75" customHeight="1">
      <c r="A700" s="2" t="s">
        <v>700</v>
      </c>
      <c r="B700" s="2" t="str">
        <f>IFERROR(__xludf.DUMMYFUNCTION("GOOGLETRANSLATE(A700, ""en"", ""mt"")"),"20")</f>
        <v>20</v>
      </c>
    </row>
    <row r="701" ht="15.75" customHeight="1">
      <c r="A701" s="2" t="s">
        <v>701</v>
      </c>
      <c r="B701" s="2" t="str">
        <f>IFERROR(__xludf.DUMMYFUNCTION("GOOGLETRANSLATE(A701, ""en"", ""mt"")"),"Kalifat")</f>
        <v>Kalifat</v>
      </c>
    </row>
    <row r="702" ht="15.75" customHeight="1">
      <c r="A702" s="2" t="s">
        <v>702</v>
      </c>
      <c r="B702" s="2" t="str">
        <f>IFERROR(__xludf.DUMMYFUNCTION("GOOGLETRANSLATE(A702, ""en"", ""mt"")"),"Liema żewġ nisa rrifjutaw li jikkommettu sperġur ​​fil-Ktieb tal-Eżodu?")</f>
        <v>Liema żewġ nisa rrifjutaw li jikkommettu sperġur ​​fil-Ktieb tal-Eżodu?</v>
      </c>
    </row>
    <row r="703" ht="15.75" customHeight="1">
      <c r="A703" s="2" t="s">
        <v>703</v>
      </c>
      <c r="B703" s="2" t="str">
        <f>IFERROR(__xludf.DUMMYFUNCTION("GOOGLETRANSLATE(A703, ""en"", ""mt"")"),"Liema skeda ta 'żmien titwessa' aktar fir-raba 'skala?")</f>
        <v>Liema skeda ta 'żmien titwessa' aktar fir-raba 'skala?</v>
      </c>
    </row>
    <row r="704" ht="15.75" customHeight="1">
      <c r="A704" s="2" t="s">
        <v>704</v>
      </c>
      <c r="B704" s="2" t="str">
        <f>IFERROR(__xludf.DUMMYFUNCTION("GOOGLETRANSLATE(A704, ""en"", ""mt"")"),"X'jiġri fl-istess delta?")</f>
        <v>X'jiġri fl-istess delta?</v>
      </c>
    </row>
    <row r="705" ht="15.75" customHeight="1">
      <c r="A705" s="2" t="s">
        <v>705</v>
      </c>
      <c r="B705" s="2" t="str">
        <f>IFERROR(__xludf.DUMMYFUNCTION("GOOGLETRANSLATE(A705, ""en"", ""mt"")"),"Liema kunċett ma jżommx it-tifsira tiegħu fil-mekkanika kwantistika?")</f>
        <v>Liema kunċett ma jżommx it-tifsira tiegħu fil-mekkanika kwantistika?</v>
      </c>
    </row>
    <row r="706" ht="15.75" customHeight="1">
      <c r="A706" s="2" t="s">
        <v>706</v>
      </c>
      <c r="B706" s="2" t="str">
        <f>IFERROR(__xludf.DUMMYFUNCTION("GOOGLETRANSLATE(A706, ""en"", ""mt"")")," Liema dnub kienu l-mexxejja li l-estremisti attakkaw innoċenti?")</f>
        <v> Liema dnub kienu l-mexxejja li l-estremisti attakkaw innoċenti?</v>
      </c>
    </row>
    <row r="707" ht="15.75" customHeight="1">
      <c r="A707" s="2" t="s">
        <v>707</v>
      </c>
      <c r="B707" s="2" t="str">
        <f>IFERROR(__xludf.DUMMYFUNCTION("GOOGLETRANSLATE(A707, ""en"", ""mt"")"),"estiż")</f>
        <v>estiż</v>
      </c>
    </row>
    <row r="708" ht="15.75" customHeight="1">
      <c r="A708" s="2" t="s">
        <v>708</v>
      </c>
      <c r="B708" s="2" t="str">
        <f>IFERROR(__xludf.DUMMYFUNCTION("GOOGLETRANSLATE(A708, ""en"", ""mt"")"),"X'inhuma l-konsiderazzjonijiet ta 'Malum Projbitu?")</f>
        <v>X'inhuma l-konsiderazzjonijiet ta 'Malum Projbitu?</v>
      </c>
    </row>
    <row r="709" ht="15.75" customHeight="1">
      <c r="A709" s="2" t="s">
        <v>709</v>
      </c>
      <c r="B709" s="2" t="str">
        <f>IFERROR(__xludf.DUMMYFUNCTION("GOOGLETRANSLATE(A709, ""en"", ""mt"")"),"Ftit truppi Ingliżi")</f>
        <v>Ftit truppi Ingliżi</v>
      </c>
    </row>
    <row r="710" ht="15.75" customHeight="1">
      <c r="A710" s="2" t="s">
        <v>710</v>
      </c>
      <c r="B710" s="2" t="str">
        <f>IFERROR(__xludf.DUMMYFUNCTION("GOOGLETRANSLATE(A710, ""en"", ""mt"")"),"Liema matematiku Ingliż ħa kburi li għamel xogħol li huwa ħass li ma kellu l-ebda benefiċċju matematiku?")</f>
        <v>Liema matematiku Ingliż ħa kburi li għamel xogħol li huwa ħass li ma kellu l-ebda benefiċċju matematiku?</v>
      </c>
    </row>
    <row r="711" ht="15.75" customHeight="1">
      <c r="A711" s="2" t="s">
        <v>711</v>
      </c>
      <c r="B711" s="2" t="str">
        <f>IFERROR(__xludf.DUMMYFUNCTION("GOOGLETRANSLATE(A711, ""en"", ""mt"")"),"Qabel l-Għargħar ta 'Santa Eliżabetta (1421), il-Meuse ħarġet eżatt fin-Nofsinhar tal-linja tal-lum MerWede-Oute Maas lejn il-Baħar tat-Tramuntana u ffurmat estwarju simili għall-arċipelagu ma' Waal u Lek. Din is-sistema ta 'bosta bajjiet, xmajjar estiżi "&amp;"simili għall-estwarju, ħafna gżejjer u bidliet kostanti tal-kosta, hija diffiċli biex timmaġina llum. Mill-1421 sal-1904, il-Meuse u Waal ingħaqdu aktar 'il fuq f'Gorinchem biex jiffurmaw MerWede. Għal raġunijiet ta 'protezzjoni ta' l-għargħar, il-Meuse ġ"&amp;"iet separata mill-Waal permezz ta 'serratura u ddevjat f'żbokk ġdid imsejjaħ ""Bergse Maas"", imbagħad Amer u mbagħad flussi fl-ex Bay Hollands Diep.")</f>
        <v>Qabel l-Għargħar ta 'Santa Eliżabetta (1421), il-Meuse ħarġet eżatt fin-Nofsinhar tal-linja tal-lum MerWede-Oute Maas lejn il-Baħar tat-Tramuntana u ffurmat estwarju simili għall-arċipelagu ma' Waal u Lek. Din is-sistema ta 'bosta bajjiet, xmajjar estiżi simili għall-estwarju, ħafna gżejjer u bidliet kostanti tal-kosta, hija diffiċli biex timmaġina llum. Mill-1421 sal-1904, il-Meuse u Waal ingħaqdu aktar 'il fuq f'Gorinchem biex jiffurmaw MerWede. Għal raġunijiet ta 'protezzjoni ta' l-għargħar, il-Meuse ġiet separata mill-Waal permezz ta 'serratura u ddevjat f'żbokk ġdid imsejjaħ "Bergse Maas", imbagħad Amer u mbagħad flussi fl-ex Bay Hollands Diep.</v>
      </c>
    </row>
    <row r="712" ht="15.75" customHeight="1">
      <c r="A712" s="2" t="s">
        <v>712</v>
      </c>
      <c r="B712" s="2" t="str">
        <f>IFERROR(__xludf.DUMMYFUNCTION("GOOGLETRANSLATE(A712, ""en"", ""mt"")"),"Kemm hemm tipi moderni ta 'testijiet ta' primalità għal numri ġenerali n?")</f>
        <v>Kemm hemm tipi moderni ta 'testijiet ta' primalità għal numri ġenerali n?</v>
      </c>
    </row>
    <row r="713" ht="15.75" customHeight="1">
      <c r="A713" s="2" t="s">
        <v>713</v>
      </c>
      <c r="B713" s="2" t="str">
        <f>IFERROR(__xludf.DUMMYFUNCTION("GOOGLETRANSLATE(A713, ""en"", ""mt"")"),"X'inhi l-formula għall-jone ossiġenu reattiv?")</f>
        <v>X'inhi l-formula għall-jone ossiġenu reattiv?</v>
      </c>
    </row>
    <row r="714" ht="15.75" customHeight="1">
      <c r="A714" s="2" t="s">
        <v>714</v>
      </c>
      <c r="B714" s="2" t="str">
        <f>IFERROR(__xludf.DUMMYFUNCTION("GOOGLETRANSLATE(A714, ""en"", ""mt"")"),"X'inhu l-ogħla impatt fuq l-akkumulazzjoni tal-ġid u l-inugwaljanza tad-dħul li tirriżulta?")</f>
        <v>X'inhu l-ogħla impatt fuq l-akkumulazzjoni tal-ġid u l-inugwaljanza tad-dħul li tirriżulta?</v>
      </c>
    </row>
    <row r="715" ht="15.75" customHeight="1">
      <c r="A715" s="2" t="s">
        <v>715</v>
      </c>
      <c r="B715" s="2" t="str">
        <f>IFERROR(__xludf.DUMMYFUNCTION("GOOGLETRANSLATE(A715, ""en"", ""mt"")"),"X'inhi konnessjoni virtwali?")</f>
        <v>X'inhi konnessjoni virtwali?</v>
      </c>
    </row>
    <row r="716" ht="15.75" customHeight="1">
      <c r="A716" s="2" t="s">
        <v>716</v>
      </c>
      <c r="B716" s="2" t="str">
        <f>IFERROR(__xludf.DUMMYFUNCTION("GOOGLETRANSLATE(A716, ""en"", ""mt"")"),"Liema kaxxa ta 'fuq tas-sett ma tistax tibqa' turi xandiriet UHD?")</f>
        <v>Liema kaxxa ta 'fuq tas-sett ma tistax tibqa' turi xandiriet UHD?</v>
      </c>
    </row>
    <row r="717" ht="15.75" customHeight="1">
      <c r="A717" s="2" t="s">
        <v>717</v>
      </c>
      <c r="B717" s="2" t="str">
        <f>IFERROR(__xludf.DUMMYFUNCTION("GOOGLETRANSLATE(A717, ""en"", ""mt"")"),"Dak li jintroduċi l-inugwaljanza f'pajjiż?")</f>
        <v>Dak li jintroduċi l-inugwaljanza f'pajjiż?</v>
      </c>
    </row>
    <row r="718" ht="15.75" customHeight="1">
      <c r="A718" s="2" t="s">
        <v>718</v>
      </c>
      <c r="B718" s="2" t="str">
        <f>IFERROR(__xludf.DUMMYFUNCTION("GOOGLETRANSLATE(A718, ""en"", ""mt"")"),"Liema xogħol tlesta f'Dartmouth?")</f>
        <v>Liema xogħol tlesta f'Dartmouth?</v>
      </c>
    </row>
    <row r="719" ht="15.75" customHeight="1">
      <c r="A719" s="2" t="s">
        <v>719</v>
      </c>
      <c r="B719" s="2" t="str">
        <f>IFERROR(__xludf.DUMMYFUNCTION("GOOGLETRANSLATE(A719, ""en"", ""mt"")"),"Fid-dijossiġnu kif huma ż-żewġ atomi tal-ossiġnu marbuta flimkien?")</f>
        <v>Fid-dijossiġnu kif huma ż-żewġ atomi tal-ossiġnu marbuta flimkien?</v>
      </c>
    </row>
    <row r="720" ht="15.75" customHeight="1">
      <c r="A720" s="2" t="s">
        <v>720</v>
      </c>
      <c r="B720" s="2" t="str">
        <f>IFERROR(__xludf.DUMMYFUNCTION("GOOGLETRANSLATE(A720, ""en"", ""mt"")"),"Loop Open")</f>
        <v>Loop Open</v>
      </c>
    </row>
    <row r="721" ht="15.75" customHeight="1">
      <c r="A721" s="2" t="s">
        <v>721</v>
      </c>
      <c r="B721" s="2" t="str">
        <f>IFERROR(__xludf.DUMMYFUNCTION("GOOGLETRANSLATE(A721, ""en"", ""mt"")"),"Dak li kiber fil-punt dejjaq fix-xmara taħt il-ħakma Spanjola?")</f>
        <v>Dak li kiber fil-punt dejjaq fix-xmara taħt il-ħakma Spanjola?</v>
      </c>
    </row>
    <row r="722" ht="15.75" customHeight="1">
      <c r="A722" s="2" t="s">
        <v>722</v>
      </c>
      <c r="B722" s="2" t="str">
        <f>IFERROR(__xludf.DUMMYFUNCTION("GOOGLETRANSLATE(A722, ""en"", ""mt"")"),"it-tul kollu tal-lag")</f>
        <v>it-tul kollu tal-lag</v>
      </c>
    </row>
    <row r="723" ht="15.75" customHeight="1">
      <c r="A723" s="2" t="s">
        <v>723</v>
      </c>
      <c r="B723" s="2" t="str">
        <f>IFERROR(__xludf.DUMMYFUNCTION("GOOGLETRANSLATE(A723, ""en"", ""mt"")"),"Min għamel l-ewwel li jkejjel il-valur tal-kostanti tal-gravitazzjoni universali ta ’Newton?")</f>
        <v>Min għamel l-ewwel li jkejjel il-valur tal-kostanti tal-gravitazzjoni universali ta ’Newton?</v>
      </c>
    </row>
    <row r="724" ht="15.75" customHeight="1">
      <c r="A724" s="2" t="s">
        <v>724</v>
      </c>
      <c r="B724" s="2" t="str">
        <f>IFERROR(__xludf.DUMMYFUNCTION("GOOGLETRANSLATE(A724, ""en"", ""mt"")"),"Liema organizzazzjoni ħarġet tbassir ta 'terremot ta' Kalifornja?")</f>
        <v>Liema organizzazzjoni ħarġet tbassir ta 'terremot ta' Kalifornja?</v>
      </c>
    </row>
    <row r="725" ht="15.75" customHeight="1">
      <c r="A725" s="2" t="s">
        <v>725</v>
      </c>
      <c r="B725" s="2" t="str">
        <f>IFERROR(__xludf.DUMMYFUNCTION("GOOGLETRANSLATE(A725, ""en"", ""mt"")"),"Jirrifjuta b'mod kollettiv li jiffirma l-ħelsien mill-arrest sakemm jintlaħqu ċerti talbiet")</f>
        <v>Jirrifjuta b'mod kollettiv li jiffirma l-ħelsien mill-arrest sakemm jintlaħqu ċerti talbiet</v>
      </c>
    </row>
    <row r="726" ht="15.75" customHeight="1">
      <c r="A726" s="2" t="s">
        <v>726</v>
      </c>
      <c r="B726" s="2" t="str">
        <f>IFERROR(__xludf.DUMMYFUNCTION("GOOGLETRANSLATE(A726, ""en"", ""mt"")"),"X'għamel il-bdil ta 'blokka ta' messaġġi adattivi distribwiti")</f>
        <v>X'għamel il-bdil ta 'blokka ta' messaġġi adattivi distribwiti</v>
      </c>
    </row>
    <row r="727" ht="15.75" customHeight="1">
      <c r="A727" s="2" t="s">
        <v>727</v>
      </c>
      <c r="B727" s="2" t="str">
        <f>IFERROR(__xludf.DUMMYFUNCTION("GOOGLETRANSLATE(A727, ""en"", ""mt"")"),"X'inhi l-iktar interazzjoni ewlenija b'saħħitha?")</f>
        <v>X'inhi l-iktar interazzjoni ewlenija b'saħħitha?</v>
      </c>
    </row>
    <row r="728" ht="15.75" customHeight="1">
      <c r="A728" s="2" t="s">
        <v>728</v>
      </c>
      <c r="B728" s="2" t="str">
        <f>IFERROR(__xludf.DUMMYFUNCTION("GOOGLETRANSLATE(A728, ""en"", ""mt"")"),"F'liema każ il-Qorti tal-Ġustizzja rrevediet il-projbizzjonijiet Żvediżi fuq ir-reklamar lil tfal żgħar taħt it-12?")</f>
        <v>F'liema każ il-Qorti tal-Ġustizzja rrevediet il-projbizzjonijiet Żvediżi fuq ir-reklamar lil tfal żgħar taħt it-12?</v>
      </c>
    </row>
    <row r="729" ht="15.75" customHeight="1">
      <c r="A729" s="2" t="s">
        <v>729</v>
      </c>
      <c r="B729" s="2" t="str">
        <f>IFERROR(__xludf.DUMMYFUNCTION("GOOGLETRANSLATE(A729, ""en"", ""mt"")"),"Minbarra l-problema tal-bejjiegħ li jivvjaġġa, x'inhu eżempju ieħor ta 'problema ta' funzjoni?")</f>
        <v>Minbarra l-problema tal-bejjiegħ li jivvjaġġa, x'inhu eżempju ieħor ta 'problema ta' funzjoni?</v>
      </c>
    </row>
    <row r="730" ht="15.75" customHeight="1">
      <c r="A730" s="2" t="s">
        <v>730</v>
      </c>
      <c r="B730" s="2" t="str">
        <f>IFERROR(__xludf.DUMMYFUNCTION("GOOGLETRANSLATE(A730, ""en"", ""mt"")"),"Kemm huwa twil terminu wieħed għal president elett tas-CJEU?")</f>
        <v>Kemm huwa twil terminu wieħed għal president elett tas-CJEU?</v>
      </c>
    </row>
    <row r="731" ht="15.75" customHeight="1">
      <c r="A731" s="2" t="s">
        <v>731</v>
      </c>
      <c r="B731" s="2" t="str">
        <f>IFERROR(__xludf.DUMMYFUNCTION("GOOGLETRANSLATE(A731, ""en"", ""mt"")"),"Internet2 huwa konsorzju ta 'netwerking tal-kompjuter ta' l-Istati Uniti mhux għall-profitt immexxi minn membri mill-komunitajiet ta 'riċerka u edukazzjoni, industrija u gvern. Il-komunità tal-Internet2, fi sħubija ma 'QWest, bniet l-ewwel netwerk Interne"&amp;"t2, imsejjaħ Abilene, fl-1998 u kienet investitur ewlieni fil-proġett Nazzjonali Lambdarail (NLR). Fl-2006, Internet2 ħabbret sħubija ma 'komunikazzjonijiet ta' Livell 3 biex tniedi netwerk ġdid ta 'nazzjon fjamant, li tagħti spinta lill-kapaċità tagħha m"&amp;"inn 10 GBit / s għal 100 Gbit / s. F'Ottubru, 2007, Internet2 irtira uffiċjalment Abilene u issa tirreferi għan-netwerk ġdid u ogħla ta 'kapaċità tagħha bħala n-netwerk Internet2.")</f>
        <v>Internet2 huwa konsorzju ta 'netwerking tal-kompjuter ta' l-Istati Uniti mhux għall-profitt immexxi minn membri mill-komunitajiet ta 'riċerka u edukazzjoni, industrija u gvern. Il-komunità tal-Internet2, fi sħubija ma 'QWest, bniet l-ewwel netwerk Internet2, imsejjaħ Abilene, fl-1998 u kienet investitur ewlieni fil-proġett Nazzjonali Lambdarail (NLR). Fl-2006, Internet2 ħabbret sħubija ma 'komunikazzjonijiet ta' Livell 3 biex tniedi netwerk ġdid ta 'nazzjon fjamant, li tagħti spinta lill-kapaċità tagħha minn 10 GBit / s għal 100 Gbit / s. F'Ottubru, 2007, Internet2 irtira uffiċjalment Abilene u issa tirreferi għan-netwerk ġdid u ogħla ta 'kapaċità tagħha bħala n-netwerk Internet2.</v>
      </c>
    </row>
    <row r="732" ht="15.75" customHeight="1">
      <c r="A732" s="2" t="s">
        <v>732</v>
      </c>
      <c r="B732" s="2" t="str">
        <f>IFERROR(__xludf.DUMMYFUNCTION("GOOGLETRANSLATE(A732, ""en"", ""mt"")"),"Meta ntemmet il-vjolenza fil-gwerra?")</f>
        <v>Meta ntemmet il-vjolenza fil-gwerra?</v>
      </c>
    </row>
    <row r="733" ht="15.75" customHeight="1">
      <c r="A733" s="2" t="s">
        <v>733</v>
      </c>
      <c r="B733" s="2" t="str">
        <f>IFERROR(__xludf.DUMMYFUNCTION("GOOGLETRANSLATE(A733, ""en"", ""mt"")"),"1,600 mil")</f>
        <v>1,600 mil</v>
      </c>
    </row>
    <row r="734" ht="15.75" customHeight="1">
      <c r="A734" s="2" t="s">
        <v>734</v>
      </c>
      <c r="B734" s="2" t="str">
        <f>IFERROR(__xludf.DUMMYFUNCTION("GOOGLETRANSLATE(A734, ""en"", ""mt"")"),"pajjiżi ifqar")</f>
        <v>pajjiżi ifqar</v>
      </c>
    </row>
    <row r="735" ht="15.75" customHeight="1">
      <c r="A735" s="2" t="s">
        <v>735</v>
      </c>
      <c r="B735" s="2" t="str">
        <f>IFERROR(__xludf.DUMMYFUNCTION("GOOGLETRANSLATE(A735, ""en"", ""mt"")"),"Wonjong")</f>
        <v>Wonjong</v>
      </c>
    </row>
    <row r="736" ht="15.75" customHeight="1">
      <c r="A736" s="2" t="s">
        <v>736</v>
      </c>
      <c r="B736" s="2" t="str">
        <f>IFERROR(__xludf.DUMMYFUNCTION("GOOGLETRANSLATE(A736, ""en"", ""mt"")"),"twettaq riċerka u lanqas tissorvelja d-dejta relatata mal-klima")</f>
        <v>twettaq riċerka u lanqas tissorvelja d-dejta relatata mal-klima</v>
      </c>
    </row>
    <row r="737" ht="15.75" customHeight="1">
      <c r="A737" s="2" t="s">
        <v>737</v>
      </c>
      <c r="B737" s="2" t="str">
        <f>IFERROR(__xludf.DUMMYFUNCTION("GOOGLETRANSLATE(A737, ""en"", ""mt"")"),"Liema deċiżjoni wasslet għal tweġiba minn pajjiż ostili prinċipali?")</f>
        <v>Liema deċiżjoni wasslet għal tweġiba minn pajjiż ostili prinċipali?</v>
      </c>
    </row>
    <row r="738" ht="15.75" customHeight="1">
      <c r="A738" s="2" t="s">
        <v>738</v>
      </c>
      <c r="B738" s="2" t="str">
        <f>IFERROR(__xludf.DUMMYFUNCTION("GOOGLETRANSLATE(A738, ""en"", ""mt"")"),"Ir-rati ta 'mortalità f'żoni rurali matul il-pandemija tas-seklu 14 kienu inkonsistenti mal-pesta bubonika moderna")</f>
        <v>Ir-rati ta 'mortalità f'żoni rurali matul il-pandemija tas-seklu 14 kienu inkonsistenti mal-pesta bubonika moderna</v>
      </c>
    </row>
    <row r="739" ht="15.75" customHeight="1">
      <c r="A739" s="2" t="s">
        <v>739</v>
      </c>
      <c r="B739" s="2" t="str">
        <f>IFERROR(__xludf.DUMMYFUNCTION("GOOGLETRANSLATE(A739, ""en"", ""mt"")"),"gwerra, ġuħ, u temp")</f>
        <v>gwerra, ġuħ, u temp</v>
      </c>
    </row>
    <row r="740" ht="15.75" customHeight="1">
      <c r="A740" s="2" t="s">
        <v>740</v>
      </c>
      <c r="B740" s="2" t="str">
        <f>IFERROR(__xludf.DUMMYFUNCTION("GOOGLETRANSLATE(A740, ""en"", ""mt"")"),"cuticle tax-xama '")</f>
        <v>cuticle tax-xama '</v>
      </c>
    </row>
    <row r="741" ht="15.75" customHeight="1">
      <c r="A741" s="2" t="s">
        <v>741</v>
      </c>
      <c r="B741" s="2" t="str">
        <f>IFERROR(__xludf.DUMMYFUNCTION("GOOGLETRANSLATE(A741, ""en"", ""mt"")"),"Skond ċerti teoriji ġeografiċi x'tip ta 'bniedem jipproduċi klima mhux tropikali?")</f>
        <v>Skond ċerti teoriji ġeografiċi x'tip ta 'bniedem jipproduċi klima mhux tropikali?</v>
      </c>
    </row>
    <row r="742" ht="15.75" customHeight="1">
      <c r="A742" s="2" t="s">
        <v>742</v>
      </c>
      <c r="B742" s="2" t="str">
        <f>IFERROR(__xludf.DUMMYFUNCTION("GOOGLETRANSLATE(A742, ""en"", ""mt"")"),"Yersinia pestis")</f>
        <v>Yersinia pestis</v>
      </c>
    </row>
    <row r="743" ht="15.75" customHeight="1">
      <c r="A743" s="2" t="s">
        <v>743</v>
      </c>
      <c r="B743" s="2" t="str">
        <f>IFERROR(__xludf.DUMMYFUNCTION("GOOGLETRANSLATE(A743, ""en"", ""mt"")"),"F'liema porzjon ewlieni ta 'affarijiet ħajjin jinstab l-ossiġnu?")</f>
        <v>F'liema porzjon ewlieni ta 'affarijiet ħajjin jinstab l-ossiġnu?</v>
      </c>
    </row>
    <row r="744" ht="15.75" customHeight="1">
      <c r="A744" s="2" t="s">
        <v>744</v>
      </c>
      <c r="B744" s="2" t="str">
        <f>IFERROR(__xludf.DUMMYFUNCTION("GOOGLETRANSLATE(A744, ""en"", ""mt"")"),"L-ossiġenu, bħala suppost ewforiku ħafif, għandu storja ta 'użu rikreattiv fil-bars tal-ossiġnu u fl-isport. Il-vireg tal-ossiġnu huma stabbilimenti, misjuba fil-Ġappun, California, u f'Las Vegas, Nevada mill-aħħar tad-disgħinijiet li joffru ogħla min-nor"&amp;"mal O
2 Esponiment għal ħlas. Atleti professjonali, speċjalment fil-futbol Amerikan, kultant ukoll imorru barra mill-grawnd biex jilbsu maskri ta 'ossiġnu sabiex jiksbu ""spinta"" fil-prestazzjoni. L-effett farmakoloġiku huwa dubjuż; Effett tal-plaċebo hu"&amp;"wa spjegazzjoni aktar probabbli. Studji disponibbli jappoġġjaw spinta tal-prestazzjoni minn O arrikkita
2 taħlitiet biss jekk ikunu nifs waqt eżerċizzju aerobiku.")</f>
        <v>L-ossiġenu, bħala suppost ewforiku ħafif, għandu storja ta 'użu rikreattiv fil-bars tal-ossiġnu u fl-isport. Il-vireg tal-ossiġnu huma stabbilimenti, misjuba fil-Ġappun, California, u f'Las Vegas, Nevada mill-aħħar tad-disgħinijiet li joffru ogħla min-normal O
2 Esponiment għal ħlas. Atleti professjonali, speċjalment fil-futbol Amerikan, kultant ukoll imorru barra mill-grawnd biex jilbsu maskri ta 'ossiġnu sabiex jiksbu "spinta" fil-prestazzjoni. L-effett farmakoloġiku huwa dubjuż; Effett tal-plaċebo huwa spjegazzjoni aktar probabbli. Studji disponibbli jappoġġjaw spinta tal-prestazzjoni minn O arrikkita
2 taħlitiet biss jekk ikunu nifs waqt eżerċizzju aerobiku.</v>
      </c>
    </row>
    <row r="745" ht="15.75" customHeight="1">
      <c r="A745" s="2" t="s">
        <v>745</v>
      </c>
      <c r="B745" s="2" t="str">
        <f>IFERROR(__xludf.DUMMYFUNCTION("GOOGLETRANSLATE(A745, ""en"", ""mt"")"),"Lil min ir-Rep. Joe Barton kiteb ittra?")</f>
        <v>Lil min ir-Rep. Joe Barton kiteb ittra?</v>
      </c>
    </row>
    <row r="746" ht="15.75" customHeight="1">
      <c r="A746" s="2" t="s">
        <v>746</v>
      </c>
      <c r="B746" s="2" t="str">
        <f>IFERROR(__xludf.DUMMYFUNCTION("GOOGLETRANSLATE(A746, ""en"", ""mt"")"),"Kejl tad-domanda bijokimika tal-ilma tal-ilma")</f>
        <v>Kejl tad-domanda bijokimika tal-ilma tal-ilma</v>
      </c>
    </row>
    <row r="747" ht="15.75" customHeight="1">
      <c r="A747" s="2" t="s">
        <v>747</v>
      </c>
      <c r="B747" s="2" t="str">
        <f>IFERROR(__xludf.DUMMYFUNCTION("GOOGLETRANSLATE(A747, ""en"", ""mt"")"),"150")</f>
        <v>150</v>
      </c>
    </row>
    <row r="748" ht="15.75" customHeight="1">
      <c r="A748" s="2" t="s">
        <v>748</v>
      </c>
      <c r="B748" s="2" t="str">
        <f>IFERROR(__xludf.DUMMYFUNCTION("GOOGLETRANSLATE(A748, ""en"", ""mt"")"),"Liema konferenza huma parti minn ULCA kif ukoll UCS?")</f>
        <v>Liema konferenza huma parti minn ULCA kif ukoll UCS?</v>
      </c>
    </row>
    <row r="749" ht="15.75" customHeight="1">
      <c r="A749" s="2" t="s">
        <v>749</v>
      </c>
      <c r="B749" s="2" t="str">
        <f>IFERROR(__xludf.DUMMYFUNCTION("GOOGLETRANSLATE(A749, ""en"", ""mt"")"),"1748 bl-iffirmar tat-Trattat ta 'Aix-La-Chapelle")</f>
        <v>1748 bl-iffirmar tat-Trattat ta 'Aix-La-Chapelle</v>
      </c>
    </row>
    <row r="750" ht="15.75" customHeight="1">
      <c r="A750" s="2" t="s">
        <v>750</v>
      </c>
      <c r="B750" s="2" t="str">
        <f>IFERROR(__xludf.DUMMYFUNCTION("GOOGLETRANSLATE(A750, ""en"", ""mt"")"),"Il-biċċa l-kbira tal-impjiegi tal-kostruzzjoni tal-bini huma xiex?")</f>
        <v>Il-biċċa l-kbira tal-impjiegi tal-kostruzzjoni tal-bini huma xiex?</v>
      </c>
    </row>
    <row r="751" ht="15.75" customHeight="1">
      <c r="A751" s="2" t="s">
        <v>751</v>
      </c>
      <c r="B751" s="2" t="str">
        <f>IFERROR(__xludf.DUMMYFUNCTION("GOOGLETRANSLATE(A751, ""en"", ""mt"")"),"Min normalment jaħdem flimkien?")</f>
        <v>Min normalment jaħdem flimkien?</v>
      </c>
    </row>
    <row r="752" ht="15.75" customHeight="1">
      <c r="A752" s="2" t="s">
        <v>752</v>
      </c>
      <c r="B752" s="2" t="str">
        <f>IFERROR(__xludf.DUMMYFUNCTION("GOOGLETRANSLATE(A752, ""en"", ""mt"")"),"X'qed jiġi deskritt meta s-sempliċità tal-forom ġeometriċi jingħaqdu ma 'ispirazzjoni mill-perjodu Ruman?")</f>
        <v>X'qed jiġi deskritt meta s-sempliċità tal-forom ġeometriċi jingħaqdu ma 'ispirazzjoni mill-perjodu Ruman?</v>
      </c>
    </row>
    <row r="753" ht="15.75" customHeight="1">
      <c r="A753" s="2" t="s">
        <v>753</v>
      </c>
      <c r="B753" s="2" t="str">
        <f>IFERROR(__xludf.DUMMYFUNCTION("GOOGLETRANSLATE(A753, ""en"", ""mt"")"),"Skeda 5")</f>
        <v>Skeda 5</v>
      </c>
    </row>
    <row r="754" ht="15.75" customHeight="1">
      <c r="A754" s="2" t="s">
        <v>754</v>
      </c>
      <c r="B754" s="2" t="str">
        <f>IFERROR(__xludf.DUMMYFUNCTION("GOOGLETRANSLATE(A754, ""en"", ""mt"")"),"Il-Watersheds ta ’San Lawrenz u Mississippi")</f>
        <v>Il-Watersheds ta ’San Lawrenz u Mississippi</v>
      </c>
    </row>
    <row r="755" ht="15.75" customHeight="1">
      <c r="A755" s="2" t="s">
        <v>755</v>
      </c>
      <c r="B755" s="2" t="str">
        <f>IFERROR(__xludf.DUMMYFUNCTION("GOOGLETRANSLATE(A755, ""en"", ""mt"")"),"Fresno hija l-akbar belt ta 'l-Istati Uniti li mhix marbuta direttament ma' awtostrada bejn l-istati. Meta s-sistema tal-awtostrada bejn l-istati nħolqot fl-1950, ittieħdet id-deċiżjoni biex tinbena dak li issa huwa l-Interstate 5 fuq in-naħa tal-punent t"&amp;"al-Wied Ċentrali, u b'hekk tevita ħafna miċ-ċentri tal-popolazzjoni fir-reġjun, minflok ma ttejjeb dak li issa huwa l-istat Rotta 99. Minħabba li tgħolli malajr il-popolazzjoni u t-traffiku fl-ibliet tul l-SR 99, kif ukoll ix-xewqa ta 'finanzjament federa"&amp;"li, saret ħafna diskussjoni biex taġġornaha għall-istandards bejn l-istati u eventwalment tinkorporaha fis-sistema interstatali, x'aktarx bħala l-Interstate 9 . Titjib maġġuri għas-sinjali, wisa 'tal-karreġġjata, separazzjoni medjana, tneħħija vertikali, "&amp;"u tħassib ieħor bħalissa għaddejjin.")</f>
        <v>Fresno hija l-akbar belt ta 'l-Istati Uniti li mhix marbuta direttament ma' awtostrada bejn l-istati. Meta s-sistema tal-awtostrada bejn l-istati nħolqot fl-1950, ittieħdet id-deċiżjoni biex tinbena dak li issa huwa l-Interstate 5 fuq in-naħa tal-punent tal-Wied Ċentrali, u b'hekk tevita ħafna miċ-ċentri tal-popolazzjoni fir-reġjun, minflok ma ttejjeb dak li issa huwa l-istat Rotta 99. Minħabba li tgħolli malajr il-popolazzjoni u t-traffiku fl-ibliet tul l-SR 99, kif ukoll ix-xewqa ta 'finanzjament federali, saret ħafna diskussjoni biex taġġornaha għall-istandards bejn l-istati u eventwalment tinkorporaha fis-sistema interstatali, x'aktarx bħala l-Interstate 9 . Titjib maġġuri għas-sinjali, wisa 'tal-karreġġjata, separazzjoni medjana, tneħħija vertikali, u tħassib ieħor bħalissa għaddejjin.</v>
      </c>
    </row>
    <row r="756" ht="15.75" customHeight="1">
      <c r="A756" s="2" t="s">
        <v>756</v>
      </c>
      <c r="B756" s="2" t="str">
        <f>IFERROR(__xludf.DUMMYFUNCTION("GOOGLETRANSLATE(A756, ""en"", ""mt"")"),"il-magna tal-fwar Corliss")</f>
        <v>il-magna tal-fwar Corliss</v>
      </c>
    </row>
    <row r="757" ht="15.75" customHeight="1">
      <c r="A757" s="2" t="s">
        <v>757</v>
      </c>
      <c r="B757" s="2" t="str">
        <f>IFERROR(__xludf.DUMMYFUNCTION("GOOGLETRANSLATE(A757, ""en"", ""mt"")"),"50% ossiġnu")</f>
        <v>50% ossiġnu</v>
      </c>
    </row>
    <row r="758" ht="15.75" customHeight="1">
      <c r="A758" s="2" t="s">
        <v>758</v>
      </c>
      <c r="B758" s="2" t="str">
        <f>IFERROR(__xludf.DUMMYFUNCTION("GOOGLETRANSLATE(A758, ""en"", ""mt"")"),"jgħix")</f>
        <v>jgħix</v>
      </c>
    </row>
    <row r="759" ht="15.75" customHeight="1">
      <c r="A759" s="2" t="s">
        <v>759</v>
      </c>
      <c r="B759" s="2" t="str">
        <f>IFERROR(__xludf.DUMMYFUNCTION("GOOGLETRANSLATE(A759, ""en"", ""mt"")"),"Problemi ta 'deċiżjoni huma wieħed mill-oġġetti ċentrali ta' studju fit-teorija tal-kumplessità tal-komputazzjoni. Problema ta 'deċiżjoni hija tip speċjali ta' problema tal-komputazzjoni li t-tweġiba tagħha hija jew iva jew le, jew alternattivament jew 1 "&amp;"jew 0. Problema ta 'deċiżjoni tista' titqies bħala lingwa formali, fejn il-membri tal-lingwa huma każijiet li l-produzzjoni tagħhom hija iva, u Il-membri mhux huma dawk il-każijiet li l-produzzjoni tagħhom hija le. L-għan huwa li tiddeċiedi, bl-għajnuna t"&amp;"a 'algoritmu, jekk korda ta' input partikolari hijiex membru tal-lingwa formali li qed tiġi kkunsidrata. Jekk l-algoritmu jiddeċiedi din il-problema jirritorna t-tweġiba iva, l-algoritmu jingħad li jaċċetta l-korda tal-input, inkella jingħad li jirrifjuta"&amp;" l-input.")</f>
        <v>Problemi ta 'deċiżjoni huma wieħed mill-oġġetti ċentrali ta' studju fit-teorija tal-kumplessità tal-komputazzjoni. Problema ta 'deċiżjoni hija tip speċjali ta' problema tal-komputazzjoni li t-tweġiba tagħha hija jew iva jew le, jew alternattivament jew 1 jew 0. Problema ta 'deċiżjoni tista' titqies bħala lingwa formali, fejn il-membri tal-lingwa huma każijiet li l-produzzjoni tagħhom hija iva, u Il-membri mhux huma dawk il-każijiet li l-produzzjoni tagħhom hija le. L-għan huwa li tiddeċiedi, bl-għajnuna ta 'algoritmu, jekk korda ta' input partikolari hijiex membru tal-lingwa formali li qed tiġi kkunsidrata. Jekk l-algoritmu jiddeċiedi din il-problema jirritorna t-tweġiba iva, l-algoritmu jingħad li jaċċetta l-korda tal-input, inkella jingħad li jirrifjuta l-input.</v>
      </c>
    </row>
    <row r="760" ht="15.75" customHeight="1">
      <c r="A760" s="2" t="s">
        <v>760</v>
      </c>
      <c r="B760" s="2" t="str">
        <f>IFERROR(__xludf.DUMMYFUNCTION("GOOGLETRANSLATE(A760, ""en"", ""mt"")"),"Kif inhuma l-messaġġi?")</f>
        <v>Kif inhuma l-messaġġi?</v>
      </c>
    </row>
    <row r="761" ht="15.75" customHeight="1">
      <c r="A761" s="2" t="s">
        <v>761</v>
      </c>
      <c r="B761" s="2" t="str">
        <f>IFERROR(__xludf.DUMMYFUNCTION("GOOGLETRANSLATE(A761, ""en"", ""mt"")"),"Tkabbir ekonomiku baxx")</f>
        <v>Tkabbir ekonomiku baxx</v>
      </c>
    </row>
    <row r="762" ht="15.75" customHeight="1">
      <c r="A762" s="2" t="s">
        <v>762</v>
      </c>
      <c r="B762" s="2" t="str">
        <f>IFERROR(__xludf.DUMMYFUNCTION("GOOGLETRANSLATE(A762, ""en"", ""mt"")"),"Min idderieġa l-ħajja nnifisha?")</f>
        <v>Min idderieġa l-ħajja nnifisha?</v>
      </c>
    </row>
    <row r="763" ht="15.75" customHeight="1">
      <c r="A763" s="2" t="s">
        <v>763</v>
      </c>
      <c r="B763" s="2" t="str">
        <f>IFERROR(__xludf.DUMMYFUNCTION("GOOGLETRANSLATE(A763, ""en"", ""mt"")"),"Min jimmaniġġja proġetti ta 'kostruzzjoni u jassumi r-responsabbiltà finanzjarja għat-tlestija tagħhom?")</f>
        <v>Min jimmaniġġja proġetti ta 'kostruzzjoni u jassumi r-responsabbiltà finanzjarja għat-tlestija tagħhom?</v>
      </c>
    </row>
    <row r="764" ht="15.75" customHeight="1">
      <c r="A764" s="2" t="s">
        <v>764</v>
      </c>
      <c r="B764" s="2" t="str">
        <f>IFERROR(__xludf.DUMMYFUNCTION("GOOGLETRANSLATE(A764, ""en"", ""mt"")"),"Kemm ivarjaw stimi tal-popolazzjoni matul il-pesta?")</f>
        <v>Kemm ivarjaw stimi tal-popolazzjoni matul il-pesta?</v>
      </c>
    </row>
    <row r="765" ht="15.75" customHeight="1">
      <c r="A765" s="2" t="s">
        <v>765</v>
      </c>
      <c r="B765" s="2" t="str">
        <f>IFERROR(__xludf.DUMMYFUNCTION("GOOGLETRANSLATE(A765, ""en"", ""mt"")"),"Kemm għandhom ġonna botaniċi Kampinos?")</f>
        <v>Kemm għandhom ġonna botaniċi Kampinos?</v>
      </c>
    </row>
    <row r="766" ht="15.75" customHeight="1">
      <c r="A766" s="2" t="s">
        <v>766</v>
      </c>
      <c r="B766" s="2" t="str">
        <f>IFERROR(__xludf.DUMMYFUNCTION("GOOGLETRANSLATE(A766, ""en"", ""mt"")"),"X'kienu l-fossili li nstabu li jirrappreżentaw ctenphores nieqsa minn dak li għandhom il-kurrent Ctenphora?")</f>
        <v>X'kienu l-fossili li nstabu li jirrappreżentaw ctenphores nieqsa minn dak li għandhom il-kurrent Ctenphora?</v>
      </c>
    </row>
    <row r="767" ht="15.75" customHeight="1">
      <c r="A767" s="2" t="s">
        <v>767</v>
      </c>
      <c r="B767" s="2" t="str">
        <f>IFERROR(__xludf.DUMMYFUNCTION("GOOGLETRANSLATE(A767, ""en"", ""mt"")"),"xogħol tal-magna")</f>
        <v>xogħol tal-magna</v>
      </c>
    </row>
    <row r="768" ht="15.75" customHeight="1">
      <c r="A768" s="2" t="s">
        <v>768</v>
      </c>
      <c r="B768" s="2" t="str">
        <f>IFERROR(__xludf.DUMMYFUNCTION("GOOGLETRANSLATE(A768, ""en"", ""mt"")"),"Kumpaniji tad-diski ewlenin")</f>
        <v>Kumpaniji tad-diski ewlenin</v>
      </c>
    </row>
    <row r="769" ht="15.75" customHeight="1">
      <c r="A769" s="2" t="s">
        <v>769</v>
      </c>
      <c r="B769" s="2" t="str">
        <f>IFERROR(__xludf.DUMMYFUNCTION("GOOGLETRANSLATE(A769, ""en"", ""mt"")"),"Madwar 3,000 mil")</f>
        <v>Madwar 3,000 mil</v>
      </c>
    </row>
    <row r="770" ht="15.75" customHeight="1">
      <c r="A770" s="2" t="s">
        <v>770</v>
      </c>
      <c r="B770" s="2" t="str">
        <f>IFERROR(__xludf.DUMMYFUNCTION("GOOGLETRANSLATE(A770, ""en"", ""mt"")"),"Steymann v Staatssecretaris Van Justitie")</f>
        <v>Steymann v Staatssecretaris Van Justitie</v>
      </c>
    </row>
    <row r="771" ht="15.75" customHeight="1">
      <c r="A771" s="2" t="s">
        <v>771</v>
      </c>
      <c r="B771" s="2" t="str">
        <f>IFERROR(__xludf.DUMMYFUNCTION("GOOGLETRANSLATE(A771, ""en"", ""mt"")"),"""Varjazzjonijiet ta 'borra u silġ fil-passat u fil-preżent fuq skala globali u reġjonali""")</f>
        <v>"Varjazzjonijiet ta 'borra u silġ fil-passat u fil-preżent fuq skala globali u reġjonali"</v>
      </c>
    </row>
    <row r="772" ht="15.75" customHeight="1">
      <c r="A772" s="2" t="s">
        <v>772</v>
      </c>
      <c r="B772" s="2" t="str">
        <f>IFERROR(__xludf.DUMMYFUNCTION("GOOGLETRANSLATE(A772, ""en"", ""mt"")"),"Kemm hemm formazzjonijiet ġeomorfoloġiċi?")</f>
        <v>Kemm hemm formazzjonijiet ġeomorfoloġiċi?</v>
      </c>
    </row>
    <row r="773" ht="15.75" customHeight="1">
      <c r="A773" s="2" t="s">
        <v>773</v>
      </c>
      <c r="B773" s="2" t="str">
        <f>IFERROR(__xludf.DUMMYFUNCTION("GOOGLETRANSLATE(A773, ""en"", ""mt"")"),"X'inhi t-tieni skola akkademika tat-teknoloġija fl-Ewropa?")</f>
        <v>X'inhi t-tieni skola akkademika tat-teknoloġija fl-Ewropa?</v>
      </c>
    </row>
    <row r="774" ht="15.75" customHeight="1">
      <c r="A774" s="2" t="s">
        <v>774</v>
      </c>
      <c r="B774" s="2" t="str">
        <f>IFERROR(__xludf.DUMMYFUNCTION("GOOGLETRANSLATE(A774, ""en"", ""mt"")"),"Liema prodott ġie mibgħut b'mod notevoli f'bastimenti mgħammra b'magni ta 'espansjoni doppja u tripla?")</f>
        <v>Liema prodott ġie mibgħut b'mod notevoli f'bastimenti mgħammra b'magni ta 'espansjoni doppja u tripla?</v>
      </c>
    </row>
    <row r="775" ht="15.75" customHeight="1">
      <c r="A775" s="2" t="s">
        <v>775</v>
      </c>
      <c r="B775" s="2" t="str">
        <f>IFERROR(__xludf.DUMMYFUNCTION("GOOGLETRANSLATE(A775, ""en"", ""mt"")"),"11.1")</f>
        <v>11.1</v>
      </c>
    </row>
    <row r="776" ht="15.75" customHeight="1">
      <c r="A776" s="2" t="s">
        <v>776</v>
      </c>
      <c r="B776" s="2" t="str">
        <f>IFERROR(__xludf.DUMMYFUNCTION("GOOGLETRANSLATE(A776, ""en"", ""mt"")"),"X'toħolqu l-potenzjal elettrostatiku gradjuż?")</f>
        <v>X'toħolqu l-potenzjal elettrostatiku gradjuż?</v>
      </c>
    </row>
    <row r="777" ht="15.75" customHeight="1">
      <c r="A777" s="2" t="s">
        <v>777</v>
      </c>
      <c r="B777" s="2" t="str">
        <f>IFERROR(__xludf.DUMMYFUNCTION("GOOGLETRANSLATE(A777, ""en"", ""mt"")"),"X'inhu l-aħħar stadju ta 'abbozz fil-Parlament Skoċċiż?")</f>
        <v>X'inhu l-aħħar stadju ta 'abbozz fil-Parlament Skoċċiż?</v>
      </c>
    </row>
    <row r="778" ht="15.75" customHeight="1">
      <c r="A778" s="2" t="s">
        <v>778</v>
      </c>
      <c r="B778" s="2" t="str">
        <f>IFERROR(__xludf.DUMMYFUNCTION("GOOGLETRANSLATE(A778, ""en"", ""mt"")"),"X'inhu mhux inkluż fil-ġestjoni tat-terapija tal-medikazzjoni?")</f>
        <v>X'inhu mhux inkluż fil-ġestjoni tat-terapija tal-medikazzjoni?</v>
      </c>
    </row>
    <row r="779" ht="15.75" customHeight="1">
      <c r="A779" s="2" t="s">
        <v>779</v>
      </c>
      <c r="B779" s="2" t="str">
        <f>IFERROR(__xludf.DUMMYFUNCTION("GOOGLETRANSLATE(A779, ""en"", ""mt"")"),"Liema żona fil-Majjistral tal-Kanada għandha munzelli kważi mhux deformati ta 'blat sedimentarju?")</f>
        <v>Liema żona fil-Majjistral tal-Kanada għandha munzelli kważi mhux deformati ta 'blat sedimentarju?</v>
      </c>
    </row>
    <row r="780" ht="15.75" customHeight="1">
      <c r="A780" s="2" t="s">
        <v>780</v>
      </c>
      <c r="B780" s="2" t="str">
        <f>IFERROR(__xludf.DUMMYFUNCTION("GOOGLETRANSLATE(A780, ""en"", ""mt"")"),"Harold Winston appoġġa liema pajjiż matul il-gwerra tas-sitt ijiem tiegħu?")</f>
        <v>Harold Winston appoġġa liema pajjiż matul il-gwerra tas-sitt ijiem tiegħu?</v>
      </c>
    </row>
    <row r="781" ht="15.75" customHeight="1">
      <c r="A781" s="2" t="s">
        <v>781</v>
      </c>
      <c r="B781" s="2" t="str">
        <f>IFERROR(__xludf.DUMMYFUNCTION("GOOGLETRANSLATE(A781, ""en"", ""mt"")"),"Gwerer")</f>
        <v>Gwerer</v>
      </c>
    </row>
    <row r="782" ht="15.75" customHeight="1">
      <c r="A782" s="2" t="s">
        <v>782</v>
      </c>
      <c r="B782" s="2" t="str">
        <f>IFERROR(__xludf.DUMMYFUNCTION("GOOGLETRANSLATE(A782, ""en"", ""mt"")"),"Meta kienet il-kostruzzjoni li biddlet id-delta tar-Rhine?")</f>
        <v>Meta kienet il-kostruzzjoni li biddlet id-delta tar-Rhine?</v>
      </c>
    </row>
    <row r="783" ht="15.75" customHeight="1">
      <c r="A783" s="2" t="s">
        <v>783</v>
      </c>
      <c r="B783" s="2" t="str">
        <f>IFERROR(__xludf.DUMMYFUNCTION("GOOGLETRANSLATE(A783, ""en"", ""mt"")"),"Università Ingliża")</f>
        <v>Università Ingliża</v>
      </c>
    </row>
    <row r="784" ht="15.75" customHeight="1">
      <c r="A784" s="2" t="s">
        <v>784</v>
      </c>
      <c r="B784" s="2" t="str">
        <f>IFERROR(__xludf.DUMMYFUNCTION("GOOGLETRANSLATE(A784, ""en"", ""mt"")"),"Liema sess huwa aktar popolat fil-gruppi kollha f'Jacksonville?")</f>
        <v>Liema sess huwa aktar popolat fil-gruppi kollha f'Jacksonville?</v>
      </c>
    </row>
    <row r="785" ht="15.75" customHeight="1">
      <c r="A785" s="2" t="s">
        <v>785</v>
      </c>
      <c r="B785" s="2" t="str">
        <f>IFERROR(__xludf.DUMMYFUNCTION("GOOGLETRANSLATE(A785, ""en"", ""mt"")"),"kontra l-Prussja u l-alleati tagħha fit-Teatru Ewropew tal-Gwerra.")</f>
        <v>kontra l-Prussja u l-alleati tagħha fit-Teatru Ewropew tal-Gwerra.</v>
      </c>
    </row>
    <row r="786" ht="15.75" customHeight="1">
      <c r="A786" s="2" t="s">
        <v>786</v>
      </c>
      <c r="B786" s="2" t="str">
        <f>IFERROR(__xludf.DUMMYFUNCTION("GOOGLETRANSLATE(A786, ""en"", ""mt"")"),"Min Shirley ma telaqx f'Oswego?")</f>
        <v>Min Shirley ma telaqx f'Oswego?</v>
      </c>
    </row>
    <row r="787" ht="15.75" customHeight="1">
      <c r="A787" s="2" t="s">
        <v>787</v>
      </c>
      <c r="B787" s="2" t="str">
        <f>IFERROR(__xludf.DUMMYFUNCTION("GOOGLETRANSLATE(A787, ""en"", ""mt"")"),"Euler")</f>
        <v>Euler</v>
      </c>
    </row>
    <row r="788" ht="15.75" customHeight="1">
      <c r="A788" s="2" t="s">
        <v>788</v>
      </c>
      <c r="B788" s="2" t="str">
        <f>IFERROR(__xludf.DUMMYFUNCTION("GOOGLETRANSLATE(A788, ""en"", ""mt"")"),"X'inhu eżempju ta 'att ineffettiv u assurd skond Julia Butterfly Hill?")</f>
        <v>X'inhu eżempju ta 'att ineffettiv u assurd skond Julia Butterfly Hill?</v>
      </c>
    </row>
    <row r="789" ht="15.75" customHeight="1">
      <c r="A789" s="2" t="s">
        <v>789</v>
      </c>
      <c r="B789" s="2" t="str">
        <f>IFERROR(__xludf.DUMMYFUNCTION("GOOGLETRANSLATE(A789, ""en"", ""mt"")"),"ostaklu naturali")</f>
        <v>ostaklu naturali</v>
      </c>
    </row>
    <row r="790" ht="15.75" customHeight="1">
      <c r="A790" s="2" t="s">
        <v>790</v>
      </c>
      <c r="B790" s="2" t="str">
        <f>IFERROR(__xludf.DUMMYFUNCTION("GOOGLETRANSLATE(A790, ""en"", ""mt"")"),"L-Artikolu 34 kien ifisser stati li jistgħu jkunu responsabbli għal xiex?")</f>
        <v>L-Artikolu 34 kien ifisser stati li jistgħu jkunu responsabbli għal xiex?</v>
      </c>
    </row>
    <row r="791" ht="15.75" customHeight="1">
      <c r="A791" s="2" t="s">
        <v>791</v>
      </c>
      <c r="B791" s="2" t="str">
        <f>IFERROR(__xludf.DUMMYFUNCTION("GOOGLETRANSLATE(A791, ""en"", ""mt"")"),"Ippjanar, [ċitazzjoni meħtieġa] disinn, u finanzjament")</f>
        <v>Ippjanar, [ċitazzjoni meħtieġa] disinn, u finanzjament</v>
      </c>
    </row>
    <row r="792" ht="15.75" customHeight="1">
      <c r="A792" s="2" t="s">
        <v>792</v>
      </c>
      <c r="B792" s="2" t="str">
        <f>IFERROR(__xludf.DUMMYFUNCTION("GOOGLETRANSLATE(A792, ""en"", ""mt"")"),"Meta twieled Sir Charles Lyell?")</f>
        <v>Meta twieled Sir Charles Lyell?</v>
      </c>
    </row>
    <row r="793" ht="15.75" customHeight="1">
      <c r="A793" s="2" t="s">
        <v>793</v>
      </c>
      <c r="B793" s="2" t="str">
        <f>IFERROR(__xludf.DUMMYFUNCTION("GOOGLETRANSLATE(A793, ""en"", ""mt"")"),"il-fluss tal-Għid")</f>
        <v>il-fluss tal-Għid</v>
      </c>
    </row>
    <row r="794" ht="15.75" customHeight="1">
      <c r="A794" s="2" t="s">
        <v>794</v>
      </c>
      <c r="B794" s="2" t="str">
        <f>IFERROR(__xludf.DUMMYFUNCTION("GOOGLETRANSLATE(A794, ""en"", ""mt"")"),"Liema sett huwa miżjud siġġu wara li ġie allokat?")</f>
        <v>Liema sett huwa miżjud siġġu wara li ġie allokat?</v>
      </c>
    </row>
    <row r="795" ht="15.75" customHeight="1">
      <c r="A795" s="2" t="s">
        <v>795</v>
      </c>
      <c r="B795" s="2" t="str">
        <f>IFERROR(__xludf.DUMMYFUNCTION("GOOGLETRANSLATE(A795, ""en"", ""mt"")"),"Organu Aboral")</f>
        <v>Organu Aboral</v>
      </c>
    </row>
    <row r="796" ht="15.75" customHeight="1">
      <c r="A796" s="2" t="s">
        <v>796</v>
      </c>
      <c r="B796" s="2" t="str">
        <f>IFERROR(__xludf.DUMMYFUNCTION("GOOGLETRANSLATE(A796, ""en"", ""mt"")"),"Partiti Politiċi")</f>
        <v>Partiti Politiċi</v>
      </c>
    </row>
    <row r="797" ht="15.75" customHeight="1">
      <c r="A797" s="2" t="s">
        <v>797</v>
      </c>
      <c r="B797" s="2" t="str">
        <f>IFERROR(__xludf.DUMMYFUNCTION("GOOGLETRANSLATE(A797, ""en"", ""mt"")"),"Min waqqaf dak li sar it-tieni repubblika ta 'Varsavja?")</f>
        <v>Min waqqaf dak li sar it-tieni repubblika ta 'Varsavja?</v>
      </c>
    </row>
    <row r="798" ht="15.75" customHeight="1">
      <c r="A798" s="2" t="s">
        <v>798</v>
      </c>
      <c r="B798" s="2" t="str">
        <f>IFERROR(__xludf.DUMMYFUNCTION("GOOGLETRANSLATE(A798, ""en"", ""mt"")"),"Tard tas-snin 1960")</f>
        <v>Tard tas-snin 1960</v>
      </c>
    </row>
    <row r="799" ht="15.75" customHeight="1">
      <c r="A799" s="2" t="s">
        <v>799</v>
      </c>
      <c r="B799" s="2" t="str">
        <f>IFERROR(__xludf.DUMMYFUNCTION("GOOGLETRANSLATE(A799, ""en"", ""mt"")"),"Wara l-kampanji Brittaniċi diżastrużi tal-1757 (li rriżultaw fi spedizzjoni falluta kontra Louisbourg u l-assedju tal-Fort William Henry, li kienet segwita minn tortura Indjana u massakri ta 'vittmi Ingliżi), il-gvern Ingliż waqa'. William Pitt daħal fil-"&amp;"poter u żied b'mod sinifikanti r-riżorsi militari Ingliżi fil-kolonji fi żmien meta Franza ma riedx tirriskja konvojs kbar biex tgħin il-forzi limitati li kellha fi Franza l-ġdida. Franza kkonċentrat il-forzi tagħha kontra l-Prussja u l-alleati tagħha fit"&amp;"-Teatru Ewropew tal-Gwerra. Bejn l-1758 u l-1760, il-militar Ingliż nediet kampanja biex taqbad il-kolonja tal-Kanada. Huma rnexxielhom jaqbdu territorju fil-kolonji tal-madwar u fl-aħħar mill-Quebec. Għalkemm l-Ingliżi aktar tard ġew megħluba f'Sainte Fo"&amp;"y fil-Quebec, il-Franċiżi ċedew il-Kanada skont it-Trattat tal-1763.")</f>
        <v>Wara l-kampanji Brittaniċi diżastrużi tal-1757 (li rriżultaw fi spedizzjoni falluta kontra Louisbourg u l-assedju tal-Fort William Henry, li kienet segwita minn tortura Indjana u massakri ta 'vittmi Ingliżi), il-gvern Ingliż waqa'. William Pitt daħal fil-poter u żied b'mod sinifikanti r-riżorsi militari Ingliżi fil-kolonji fi żmien meta Franza ma riedx tirriskja konvojs kbar biex tgħin il-forzi limitati li kellha fi Franza l-ġdida. Franza kkonċentrat il-forzi tagħha kontra l-Prussja u l-alleati tagħha fit-Teatru Ewropew tal-Gwerra. Bejn l-1758 u l-1760, il-militar Ingliż nediet kampanja biex taqbad il-kolonja tal-Kanada. Huma rnexxielhom jaqbdu territorju fil-kolonji tal-madwar u fl-aħħar mill-Quebec. Għalkemm l-Ingliżi aktar tard ġew megħluba f'Sainte Foy fil-Quebec, il-Franċiżi ċedew il-Kanada skont it-Trattat tal-1763.</v>
      </c>
    </row>
    <row r="800" ht="15.75" customHeight="1">
      <c r="A800" s="2" t="s">
        <v>800</v>
      </c>
      <c r="B800" s="2" t="str">
        <f>IFERROR(__xludf.DUMMYFUNCTION("GOOGLETRANSLATE(A800, ""en"", ""mt"")"),"Papin")</f>
        <v>Papin</v>
      </c>
    </row>
    <row r="801" ht="15.75" customHeight="1">
      <c r="A801" s="2" t="s">
        <v>801</v>
      </c>
      <c r="B801" s="2" t="str">
        <f>IFERROR(__xludf.DUMMYFUNCTION("GOOGLETRANSLATE(A801, ""en"", ""mt"")"),"Huwa possibbli li tuża mekkaniżmu bbażat fuq magna li ddur mingħajr piston bħall-magna Wankel minflok iċ-ċilindri u l-irkaptu tal-valv ta 'magna tal-fwar reċiprokanti konvenzjonali. Ħafna magni bħal dawn ġew iddisinjati, mill-ħin ta 'James Watt sal-lum, i"&amp;"żda relattivament ftit kienu fil-fatt mibnija u saħansitra inqas daħlu fil-produzzjoni tal-kwantità; Ara l-link fil-qiegħ tal-artiklu għal aktar dettalji. Il-problema ewlenija hija d-diffikultà li tissiġilla r-rotors biex tagħmilhom issikkati bil-fwar fil"&amp;"-konfront tal-ilbies u l-espansjoni termali; It-tnixxija li tirriżulta għamlithom ineffiċjenti ħafna. Nuqqas ta 'xogħol espansiv, jew kwalunkwe mezz ta' kontroll tal-qtugħ huwa wkoll problema serja b'ħafna disinni bħal dawn. [Ċitazzjoni meħtieġa]")</f>
        <v>Huwa possibbli li tuża mekkaniżmu bbażat fuq magna li ddur mingħajr piston bħall-magna Wankel minflok iċ-ċilindri u l-irkaptu tal-valv ta 'magna tal-fwar reċiprokanti konvenzjonali. Ħafna magni bħal dawn ġew iddisinjati, mill-ħin ta 'James Watt sal-lum, iżda relattivament ftit kienu fil-fatt mibnija u saħansitra inqas daħlu fil-produzzjoni tal-kwantità; Ara l-link fil-qiegħ tal-artiklu għal aktar dettalji. Il-problema ewlenija hija d-diffikultà li tissiġilla r-rotors biex tagħmilhom issikkati bil-fwar fil-konfront tal-ilbies u l-espansjoni termali; It-tnixxija li tirriżulta għamlithom ineffiċjenti ħafna. Nuqqas ta 'xogħol espansiv, jew kwalunkwe mezz ta' kontroll tal-qtugħ huwa wkoll problema serja b'ħafna disinni bħal dawn. [Ċitazzjoni meħtieġa]</v>
      </c>
    </row>
    <row r="802" ht="15.75" customHeight="1">
      <c r="A802" s="2" t="s">
        <v>802</v>
      </c>
      <c r="B802" s="2" t="str">
        <f>IFERROR(__xludf.DUMMYFUNCTION("GOOGLETRANSLATE(A802, ""en"", ""mt"")"),"ittawwal uċuħ li jħakkru")</f>
        <v>ittawwal uċuħ li jħakkru</v>
      </c>
    </row>
    <row r="803" ht="15.75" customHeight="1">
      <c r="A803" s="2" t="s">
        <v>803</v>
      </c>
      <c r="B803" s="2" t="str">
        <f>IFERROR(__xludf.DUMMYFUNCTION("GOOGLETRANSLATE(A803, ""en"", ""mt"")"),"f'żoni li qed jiġu deformati b'mod attiv")</f>
        <v>f'żoni li qed jiġu deformati b'mod attiv</v>
      </c>
    </row>
    <row r="804" ht="15.75" customHeight="1">
      <c r="A804" s="2" t="s">
        <v>804</v>
      </c>
      <c r="B804" s="2" t="str">
        <f>IFERROR(__xludf.DUMMYFUNCTION("GOOGLETRANSLATE(A804, ""en"", ""mt"")"),"Kemm koppji jew sħubijiet miżżewġin tal-istess sess kien hemm?")</f>
        <v>Kemm koppji jew sħubijiet miżżewġin tal-istess sess kien hemm?</v>
      </c>
    </row>
    <row r="805" ht="15.75" customHeight="1">
      <c r="A805" s="2" t="s">
        <v>805</v>
      </c>
      <c r="B805" s="2" t="str">
        <f>IFERROR(__xludf.DUMMYFUNCTION("GOOGLETRANSLATE(A805, ""en"", ""mt"")"),"Wirit mid-Dynasty Jin")</f>
        <v>Wirit mid-Dynasty Jin</v>
      </c>
    </row>
    <row r="806" ht="15.75" customHeight="1">
      <c r="A806" s="2" t="s">
        <v>806</v>
      </c>
      <c r="B806" s="2" t="str">
        <f>IFERROR(__xludf.DUMMYFUNCTION("GOOGLETRANSLATE(A806, ""en"", ""mt"")"),"It-terz l-ieħor tal-ilma jgħaddi minn ġol-Pannerdens Kanaal u jqassam mill-ġdid fl-IJSSEL u Nederrijn. Il-fergħa IJSSEL ġġorr disa 'mill-fluss tal-ilma tar-Rhine fit-tramuntana lejn l-ijsselmeer (ex-bajja), filwaqt li n-Nederrijn iġorr madwar żewġ disa' t"&amp;"ad-disa 'tal-fluss lejn il-punent tul rotta parallela mal-waal. Madankollu, f'Wijk Bij Duurstede, in-Nederrijn jibdel isimha u jsir il-lek. Jidher 'il bogħod lejn il-punent, biex jerġa' jerġa 'jmur ix-Xmara Noord lejn in-Nieuwe Maas u lejn il-Baħar tat-Tr"&amp;"amuntana.")</f>
        <v>It-terz l-ieħor tal-ilma jgħaddi minn ġol-Pannerdens Kanaal u jqassam mill-ġdid fl-IJSSEL u Nederrijn. Il-fergħa IJSSEL ġġorr disa 'mill-fluss tal-ilma tar-Rhine fit-tramuntana lejn l-ijsselmeer (ex-bajja), filwaqt li n-Nederrijn iġorr madwar żewġ disa' tad-disa 'tal-fluss lejn il-punent tul rotta parallela mal-waal. Madankollu, f'Wijk Bij Duurstede, in-Nederrijn jibdel isimha u jsir il-lek. Jidher 'il bogħod lejn il-punent, biex jerġa' jerġa 'jmur ix-Xmara Noord lejn in-Nieuwe Maas u lejn il-Baħar tat-Tramuntana.</v>
      </c>
    </row>
    <row r="807" ht="15.75" customHeight="1">
      <c r="A807" s="2" t="s">
        <v>807</v>
      </c>
      <c r="B807" s="2" t="str">
        <f>IFERROR(__xludf.DUMMYFUNCTION("GOOGLETRANSLATE(A807, ""en"", ""mt"")"),"Liema korp iddikjara li t-tobba jistgħu wkoll iwarrbu l-mediċini taħt kundizzjonijiet speċifiċi?")</f>
        <v>Liema korp iddikjara li t-tobba jistgħu wkoll iwarrbu l-mediċini taħt kundizzjonijiet speċifiċi?</v>
      </c>
    </row>
    <row r="808" ht="15.75" customHeight="1">
      <c r="A808" s="2" t="s">
        <v>808</v>
      </c>
      <c r="B808" s="2" t="str">
        <f>IFERROR(__xludf.DUMMYFUNCTION("GOOGLETRANSLATE(A808, ""en"", ""mt"")"),"Dak li jiddeskrivi meta bennej ma jitlobx salvagwardji adegwati?")</f>
        <v>Dak li jiddeskrivi meta bennej ma jitlobx salvagwardji adegwati?</v>
      </c>
    </row>
    <row r="809" ht="15.75" customHeight="1">
      <c r="A809" s="2" t="s">
        <v>809</v>
      </c>
      <c r="B809" s="2" t="str">
        <f>IFERROR(__xludf.DUMMYFUNCTION("GOOGLETRANSLATE(A809, ""en"", ""mt"")"),"Min ordna r-reviżjoni tal-poppa?")</f>
        <v>Min ordna r-reviżjoni tal-poppa?</v>
      </c>
    </row>
    <row r="810" ht="15.75" customHeight="1">
      <c r="A810" s="2" t="s">
        <v>810</v>
      </c>
      <c r="B810" s="2" t="str">
        <f>IFERROR(__xludf.DUMMYFUNCTION("GOOGLETRANSLATE(A810, ""en"", ""mt"")"),"Liema kompożitur Franċiż kiteb mużika metrika bl-użu ta 'numri ewlenin?")</f>
        <v>Liema kompożitur Franċiż kiteb mużika metrika bl-użu ta 'numri ewlenin?</v>
      </c>
    </row>
    <row r="811" ht="15.75" customHeight="1">
      <c r="A811" s="2" t="s">
        <v>811</v>
      </c>
      <c r="B811" s="2" t="str">
        <f>IFERROR(__xludf.DUMMYFUNCTION("GOOGLETRANSLATE(A811, ""en"", ""mt"")"),"Linji ta 'applikazzjoni rispettivi")</f>
        <v>Linji ta 'applikazzjoni rispettivi</v>
      </c>
    </row>
    <row r="812" ht="15.75" customHeight="1">
      <c r="A812" s="2" t="s">
        <v>812</v>
      </c>
      <c r="B812" s="2" t="str">
        <f>IFERROR(__xludf.DUMMYFUNCTION("GOOGLETRANSLATE(A812, ""en"", ""mt"")"),"18,000")</f>
        <v>18,000</v>
      </c>
    </row>
    <row r="813" ht="15.75" customHeight="1">
      <c r="A813" s="2" t="s">
        <v>813</v>
      </c>
      <c r="B813" s="2" t="str">
        <f>IFERROR(__xludf.DUMMYFUNCTION("GOOGLETRANSLATE(A813, ""en"", ""mt"")"),"Infrastruttura ta 'transitu msaħħa, shuttles possibbli miftuħa għall-pubbliku, u spazju tal-park li jkun aċċessibbli wkoll għall-pubbliku")</f>
        <v>Infrastruttura ta 'transitu msaħħa, shuttles possibbli miftuħa għall-pubbliku, u spazju tal-park li jkun aċċessibbli wkoll għall-pubbliku</v>
      </c>
    </row>
    <row r="814" ht="15.75" customHeight="1">
      <c r="A814" s="2" t="s">
        <v>814</v>
      </c>
      <c r="B814" s="2" t="str">
        <f>IFERROR(__xludf.DUMMYFUNCTION("GOOGLETRANSLATE(A814, ""en"", ""mt"")"),"X'kienet ikkunsidrata l-kulleġġ ta 'vettura ta' għas-sinjur fl-1945?")</f>
        <v>X'kienet ikkunsidrata l-kulleġġ ta 'vettura ta' għas-sinjur fl-1945?</v>
      </c>
    </row>
    <row r="815" ht="15.75" customHeight="1">
      <c r="A815" s="2" t="s">
        <v>815</v>
      </c>
      <c r="B815" s="2" t="str">
        <f>IFERROR(__xludf.DUMMYFUNCTION("GOOGLETRANSLATE(A815, ""en"", ""mt"")"),"X'inhuma l-Lagerstatten meqjusa bħala dixxendenti?")</f>
        <v>X'inhuma l-Lagerstatten meqjusa bħala dixxendenti?</v>
      </c>
    </row>
    <row r="816" ht="15.75" customHeight="1">
      <c r="A816" s="2" t="s">
        <v>816</v>
      </c>
      <c r="B816" s="2" t="str">
        <f>IFERROR(__xludf.DUMMYFUNCTION("GOOGLETRANSLATE(A816, ""en"", ""mt"")"),"1773")</f>
        <v>1773</v>
      </c>
    </row>
    <row r="817" ht="15.75" customHeight="1">
      <c r="A817" s="2" t="s">
        <v>817</v>
      </c>
      <c r="B817" s="2" t="str">
        <f>IFERROR(__xludf.DUMMYFUNCTION("GOOGLETRANSLATE(A817, ""en"", ""mt"")"),"Texas")</f>
        <v>Texas</v>
      </c>
    </row>
    <row r="818" ht="15.75" customHeight="1">
      <c r="A818" s="2" t="s">
        <v>818</v>
      </c>
      <c r="B818" s="2" t="str">
        <f>IFERROR(__xludf.DUMMYFUNCTION("GOOGLETRANSLATE(A818, ""en"", ""mt"")"),"Seklu 5")</f>
        <v>Seklu 5</v>
      </c>
    </row>
    <row r="819" ht="15.75" customHeight="1">
      <c r="A819" s="2" t="s">
        <v>819</v>
      </c>
      <c r="B819" s="2" t="str">
        <f>IFERROR(__xludf.DUMMYFUNCTION("GOOGLETRANSLATE(A819, ""en"", ""mt"")"),"X'inhuma l-mogħdijiet bijokokimiċi?")</f>
        <v>X'inhuma l-mogħdijiet bijokokimiċi?</v>
      </c>
    </row>
    <row r="820" ht="15.75" customHeight="1">
      <c r="A820" s="2" t="s">
        <v>820</v>
      </c>
      <c r="B820" s="2" t="str">
        <f>IFERROR(__xludf.DUMMYFUNCTION("GOOGLETRANSLATE(A820, ""en"", ""mt"")"),"Id-dħul miż-żejt ma kienx qed jibbenefika l-Iskozja daqs kemm għandhom")</f>
        <v>Id-dħul miż-żejt ma kienx qed jibbenefika l-Iskozja daqs kemm għandhom</v>
      </c>
    </row>
    <row r="821" ht="15.75" customHeight="1">
      <c r="A821" s="2" t="s">
        <v>821</v>
      </c>
      <c r="B821" s="2" t="str">
        <f>IFERROR(__xludf.DUMMYFUNCTION("GOOGLETRANSLATE(A821, ""en"", ""mt"")"),"Dak li kiber fuq skala globali bħala riżultat tal-imperjalizmu?")</f>
        <v>Dak li kiber fuq skala globali bħala riżultat tal-imperjalizmu?</v>
      </c>
    </row>
    <row r="822" ht="15.75" customHeight="1">
      <c r="A822" s="2" t="s">
        <v>822</v>
      </c>
      <c r="B822" s="2" t="str">
        <f>IFERROR(__xludf.DUMMYFUNCTION("GOOGLETRANSLATE(A822, ""en"", ""mt"")"),"Liema servizz BSKYB ċeda bla kundizzjoni bla kundizzjoni?")</f>
        <v>Liema servizz BSKYB ċeda bla kundizzjoni bla kundizzjoni?</v>
      </c>
    </row>
    <row r="823" ht="15.75" customHeight="1">
      <c r="A823" s="2" t="s">
        <v>823</v>
      </c>
      <c r="B823" s="2" t="str">
        <f>IFERROR(__xludf.DUMMYFUNCTION("GOOGLETRANSLATE(A823, ""en"", ""mt"")"),"Mi'kmaq u l-abenaki")</f>
        <v>Mi'kmaq u l-abenaki</v>
      </c>
    </row>
    <row r="824" ht="15.75" customHeight="1">
      <c r="A824" s="2" t="s">
        <v>824</v>
      </c>
      <c r="B824" s="2" t="str">
        <f>IFERROR(__xludf.DUMMYFUNCTION("GOOGLETRANSLATE(A824, ""en"", ""mt"")"),"Matul liema kampanja ġlieda l-Vargian u Lombard?")</f>
        <v>Matul liema kampanja ġlieda l-Vargian u Lombard?</v>
      </c>
    </row>
    <row r="825" ht="15.75" customHeight="1">
      <c r="A825" s="2" t="s">
        <v>825</v>
      </c>
      <c r="B825" s="2" t="str">
        <f>IFERROR(__xludf.DUMMYFUNCTION("GOOGLETRANSLATE(A825, ""en"", ""mt"")"),"billi toffri paga ogħla")</f>
        <v>billi toffri paga ogħla</v>
      </c>
    </row>
    <row r="826" ht="15.75" customHeight="1">
      <c r="A826" s="2" t="s">
        <v>826</v>
      </c>
      <c r="B826" s="2" t="str">
        <f>IFERROR(__xludf.DUMMYFUNCTION("GOOGLETRANSLATE(A826, ""en"", ""mt"")")," Meta l-Gran Brittanja tikkolonizza barra l-Awstralja?")</f>
        <v> Meta l-Gran Brittanja tikkolonizza barra l-Awstralja?</v>
      </c>
    </row>
    <row r="827" ht="15.75" customHeight="1">
      <c r="A827" s="2" t="s">
        <v>827</v>
      </c>
      <c r="B827" s="2" t="str">
        <f>IFERROR(__xludf.DUMMYFUNCTION("GOOGLETRANSLATE(A827, ""en"", ""mt"")"),"X'inhuma l-fagoċiti li jinsabu f'tessuti f'kuntatt ma 'l-ambjent estern imsejjaħ?")</f>
        <v>X'inhuma l-fagoċiti li jinsabu f'tessuti f'kuntatt ma 'l-ambjent estern imsejjaħ?</v>
      </c>
    </row>
    <row r="828" ht="15.75" customHeight="1">
      <c r="A828" s="2" t="s">
        <v>828</v>
      </c>
      <c r="B828" s="2" t="str">
        <f>IFERROR(__xludf.DUMMYFUNCTION("GOOGLETRANSLATE(A828, ""en"", ""mt"")"),"13 mill-protestanti ppruvaw jidħlu fis-sit tat-test")</f>
        <v>13 mill-protestanti ppruvaw jidħlu fis-sit tat-test</v>
      </c>
    </row>
    <row r="829" ht="15.75" customHeight="1">
      <c r="A829" s="2" t="s">
        <v>829</v>
      </c>
      <c r="B829" s="2" t="str">
        <f>IFERROR(__xludf.DUMMYFUNCTION("GOOGLETRANSLATE(A829, ""en"", ""mt"")"),"Ministri differenti tal-Istati Membri")</f>
        <v>Ministri differenti tal-Istati Membri</v>
      </c>
    </row>
    <row r="830" ht="15.75" customHeight="1">
      <c r="A830" s="2" t="s">
        <v>830</v>
      </c>
      <c r="B830" s="2" t="str">
        <f>IFERROR(__xludf.DUMMYFUNCTION("GOOGLETRANSLATE(A830, ""en"", ""mt"")"),"Il-magni joperaw b'mod deterministiku")</f>
        <v>Il-magni joperaw b'mod deterministiku</v>
      </c>
    </row>
    <row r="831" ht="15.75" customHeight="1">
      <c r="A831" s="2" t="s">
        <v>831</v>
      </c>
      <c r="B831" s="2" t="str">
        <f>IFERROR(__xludf.DUMMYFUNCTION("GOOGLETRANSLATE(A831, ""en"", ""mt"")"),"Semi-Deserts")</f>
        <v>Semi-Deserts</v>
      </c>
    </row>
    <row r="832" ht="15.75" customHeight="1">
      <c r="A832" s="2" t="s">
        <v>832</v>
      </c>
      <c r="B832" s="2" t="str">
        <f>IFERROR(__xludf.DUMMYFUNCTION("GOOGLETRANSLATE(A832, ""en"", ""mt"")"),"Trasformazzjoni Galiljana")</f>
        <v>Trasformazzjoni Galiljana</v>
      </c>
    </row>
    <row r="833" ht="15.75" customHeight="1">
      <c r="A833" s="2" t="s">
        <v>833</v>
      </c>
      <c r="B833" s="2" t="str">
        <f>IFERROR(__xludf.DUMMYFUNCTION("GOOGLETRANSLATE(A833, ""en"", ""mt"")"),"Liema kompożitur Franċiż kiteb mużika ametrika bl-użu ta 'numri ewlenin?")</f>
        <v>Liema kompożitur Franċiż kiteb mużika ametrika bl-użu ta 'numri ewlenin?</v>
      </c>
    </row>
    <row r="834" ht="15.75" customHeight="1">
      <c r="A834" s="2" t="s">
        <v>834</v>
      </c>
      <c r="B834" s="2" t="str">
        <f>IFERROR(__xludf.DUMMYFUNCTION("GOOGLETRANSLATE(A834, ""en"", ""mt"")"),"Lil min kien jinkludi l-OAPEC?")</f>
        <v>Lil min kien jinkludi l-OAPEC?</v>
      </c>
    </row>
    <row r="835" ht="15.75" customHeight="1">
      <c r="A835" s="2" t="s">
        <v>835</v>
      </c>
      <c r="B835" s="2" t="str">
        <f>IFERROR(__xludf.DUMMYFUNCTION("GOOGLETRANSLATE(A835, ""en"", ""mt"")"),"IL-MILIONE")</f>
        <v>IL-MILIONE</v>
      </c>
    </row>
    <row r="836" ht="15.75" customHeight="1">
      <c r="A836" s="2" t="s">
        <v>836</v>
      </c>
      <c r="B836" s="2" t="str">
        <f>IFERROR(__xludf.DUMMYFUNCTION("GOOGLETRANSLATE(A836, ""en"", ""mt"")")," X'kien l-isem tal-politika ta 'Theodore Roosevelt dwar in-non-imperjaliżmu?")</f>
        <v> X'kien l-isem tal-politika ta 'Theodore Roosevelt dwar in-non-imperjaliżmu?</v>
      </c>
    </row>
    <row r="837" ht="15.75" customHeight="1">
      <c r="A837" s="2" t="s">
        <v>837</v>
      </c>
      <c r="B837" s="2" t="str">
        <f>IFERROR(__xludf.DUMMYFUNCTION("GOOGLETRANSLATE(A837, ""en"", ""mt"")"),"X'jagħmel il-valur tad-dollaru?")</f>
        <v>X'jagħmel il-valur tad-dollaru?</v>
      </c>
    </row>
    <row r="838" ht="15.75" customHeight="1">
      <c r="A838" s="2" t="s">
        <v>838</v>
      </c>
      <c r="B838" s="2" t="str">
        <f>IFERROR(__xludf.DUMMYFUNCTION("GOOGLETRANSLATE(A838, ""en"", ""mt"")"),"X'ġara fil-bini tal-Bank of Italja?")</f>
        <v>X'ġara fil-bini tal-Bank of Italja?</v>
      </c>
    </row>
    <row r="839" ht="15.75" customHeight="1">
      <c r="A839" s="2" t="s">
        <v>839</v>
      </c>
      <c r="B839" s="2" t="str">
        <f>IFERROR(__xludf.DUMMYFUNCTION("GOOGLETRANSLATE(A839, ""en"", ""mt"")"),"Għaliex l-OPEC jimblokka l-kunsinni taż-żejt lill-Istati Uniti?")</f>
        <v>Għaliex l-OPEC jimblokka l-kunsinni taż-żejt lill-Istati Uniti?</v>
      </c>
    </row>
    <row r="840" ht="15.75" customHeight="1">
      <c r="A840" s="2" t="s">
        <v>840</v>
      </c>
      <c r="B840" s="2" t="str">
        <f>IFERROR(__xludf.DUMMYFUNCTION("GOOGLETRANSLATE(A840, ""en"", ""mt"")"),"Mejju sa Settembru")</f>
        <v>Mejju sa Settembru</v>
      </c>
    </row>
    <row r="841" ht="15.75" customHeight="1">
      <c r="A841" s="2" t="s">
        <v>841</v>
      </c>
      <c r="B841" s="2" t="str">
        <f>IFERROR(__xludf.DUMMYFUNCTION("GOOGLETRANSLATE(A841, ""en"", ""mt"")"),"Dak li mexxa żieda fil-prezzijiet tal-kiri fil-Lvant ta ’New York?")</f>
        <v>Dak li mexxa żieda fil-prezzijiet tal-kiri fil-Lvant ta ’New York?</v>
      </c>
    </row>
    <row r="842" ht="15.75" customHeight="1">
      <c r="A842" s="2" t="s">
        <v>842</v>
      </c>
      <c r="B842" s="2" t="str">
        <f>IFERROR(__xludf.DUMMYFUNCTION("GOOGLETRANSLATE(A842, ""en"", ""mt"")"),"parti mill-arja maqbuda")</f>
        <v>parti mill-arja maqbuda</v>
      </c>
    </row>
    <row r="843" ht="15.75" customHeight="1">
      <c r="A843" s="2" t="s">
        <v>843</v>
      </c>
      <c r="B843" s="2" t="str">
        <f>IFERROR(__xludf.DUMMYFUNCTION("GOOGLETRANSLATE(A843, ""en"", ""mt"")"),"Liema Amerikani ma wrewx il-fehmiet tar-Rumeni matul il-Gwerra Bierda?")</f>
        <v>Liema Amerikani ma wrewx il-fehmiet tar-Rumeni matul il-Gwerra Bierda?</v>
      </c>
    </row>
    <row r="844" ht="15.75" customHeight="1">
      <c r="A844" s="2" t="s">
        <v>844</v>
      </c>
      <c r="B844" s="2" t="str">
        <f>IFERROR(__xludf.DUMMYFUNCTION("GOOGLETRANSLATE(A844, ""en"", ""mt"")"),"huwa li jaqleb f'daqqa għal spirtu ta 'sussistenza")</f>
        <v>huwa li jaqleb f'daqqa għal spirtu ta 'sussistenza</v>
      </c>
    </row>
    <row r="845" ht="15.75" customHeight="1">
      <c r="A845" s="2" t="s">
        <v>845</v>
      </c>
      <c r="B845" s="2" t="str">
        <f>IFERROR(__xludf.DUMMYFUNCTION("GOOGLETRANSLATE(A845, ""en"", ""mt"")"),"Żball tipografiku")</f>
        <v>Żball tipografiku</v>
      </c>
    </row>
    <row r="846" ht="15.75" customHeight="1">
      <c r="A846" s="2" t="s">
        <v>846</v>
      </c>
      <c r="B846" s="2" t="str">
        <f>IFERROR(__xludf.DUMMYFUNCTION("GOOGLETRANSLATE(A846, ""en"", ""mt"")"),"Liema karatteristika f'dawn l-aħħar snin kienet marbuta ħafna mas-saħħa f'pajjiżi żviluppati?")</f>
        <v>Liema karatteristika f'dawn l-aħħar snin kienet marbuta ħafna mas-saħħa f'pajjiżi żviluppati?</v>
      </c>
    </row>
    <row r="847" ht="15.75" customHeight="1">
      <c r="A847" s="2" t="s">
        <v>847</v>
      </c>
      <c r="B847" s="2" t="str">
        <f>IFERROR(__xludf.DUMMYFUNCTION("GOOGLETRANSLATE(A847, ""en"", ""mt"")"),"kuntrasti")</f>
        <v>kuntrasti</v>
      </c>
    </row>
    <row r="848" ht="15.75" customHeight="1">
      <c r="A848" s="2" t="s">
        <v>848</v>
      </c>
      <c r="B848" s="2" t="str">
        <f>IFERROR(__xludf.DUMMYFUNCTION("GOOGLETRANSLATE(A848, ""en"", ""mt"")"),"Nies li jagħtu servizzi ""għar-remunerazzjoni""")</f>
        <v>Nies li jagħtu servizzi "għar-remunerazzjoni"</v>
      </c>
    </row>
    <row r="849" ht="15.75" customHeight="1">
      <c r="A849" s="2" t="s">
        <v>849</v>
      </c>
      <c r="B849" s="2" t="str">
        <f>IFERROR(__xludf.DUMMYFUNCTION("GOOGLETRANSLATE(A849, ""en"", ""mt"")"),"X'għandhom jirrappreżentaw A u B f'espressjoni primarja razzjonali?")</f>
        <v>X'għandhom jirrappreżentaw A u B f'espressjoni primarja razzjonali?</v>
      </c>
    </row>
    <row r="850" ht="15.75" customHeight="1">
      <c r="A850" s="2" t="s">
        <v>850</v>
      </c>
      <c r="B850" s="2" t="str">
        <f>IFERROR(__xludf.DUMMYFUNCTION("GOOGLETRANSLATE(A850, ""en"", ""mt"")"),"X'għandhom jipproteġu ċ-ċelloli NK?")</f>
        <v>X'għandhom jipproteġu ċ-ċelloli NK?</v>
      </c>
    </row>
    <row r="851" ht="15.75" customHeight="1">
      <c r="A851" s="2" t="s">
        <v>851</v>
      </c>
      <c r="B851" s="2" t="str">
        <f>IFERROR(__xludf.DUMMYFUNCTION("GOOGLETRANSLATE(A851, ""en"", ""mt"")"),"X'inhu eżempju ta 'barriera kimika?")</f>
        <v>X'inhu eżempju ta 'barriera kimika?</v>
      </c>
    </row>
    <row r="852" ht="15.75" customHeight="1">
      <c r="A852" s="2" t="s">
        <v>852</v>
      </c>
      <c r="B852" s="2" t="str">
        <f>IFERROR(__xludf.DUMMYFUNCTION("GOOGLETRANSLATE(A852, ""en"", ""mt"")"),"X'kienet il-popolazzjoni bajda ta 'Jacksonville mill-2010?")</f>
        <v>X'kienet il-popolazzjoni bajda ta 'Jacksonville mill-2010?</v>
      </c>
    </row>
    <row r="853" ht="15.75" customHeight="1">
      <c r="A853" s="2" t="s">
        <v>853</v>
      </c>
      <c r="B853" s="2" t="str">
        <f>IFERROR(__xludf.DUMMYFUNCTION("GOOGLETRANSLATE(A853, ""en"", ""mt"")"),"Rhine-Meuse")</f>
        <v>Rhine-Meuse</v>
      </c>
    </row>
    <row r="854" ht="15.75" customHeight="1">
      <c r="A854" s="2" t="s">
        <v>854</v>
      </c>
      <c r="B854" s="2" t="str">
        <f>IFERROR(__xludf.DUMMYFUNCTION("GOOGLETRANSLATE(A854, ""en"", ""mt"")"),"Soċjetà ta ’Ġesù")</f>
        <v>Soċjetà ta ’Ġesù</v>
      </c>
    </row>
    <row r="855" ht="15.75" customHeight="1">
      <c r="A855" s="2" t="s">
        <v>855</v>
      </c>
      <c r="B855" s="2" t="str">
        <f>IFERROR(__xludf.DUMMYFUNCTION("GOOGLETRANSLATE(A855, ""en"", ""mt"")"),"irjieħ")</f>
        <v>irjieħ</v>
      </c>
    </row>
    <row r="856" ht="15.75" customHeight="1">
      <c r="A856" s="2" t="s">
        <v>856</v>
      </c>
      <c r="B856" s="2" t="str">
        <f>IFERROR(__xludf.DUMMYFUNCTION("GOOGLETRANSLATE(A856, ""en"", ""mt"")"),"X'tip ta 'kuntratt jingħata meta l-kuntrattur jingħata speċifikazzjoni ta' prestazzjoni u għandu jwettaq il-proġett mid-disinn għall-kostruzzjoni, filwaqt li jeħel mal-ispeċifikazzjonijiet tal-prestazzjoni?")</f>
        <v>X'tip ta 'kuntratt jingħata meta l-kuntrattur jingħata speċifikazzjoni ta' prestazzjoni u għandu jwettaq il-proġett mid-disinn għall-kostruzzjoni, filwaqt li jeħel mal-ispeċifikazzjonijiet tal-prestazzjoni?</v>
      </c>
    </row>
    <row r="857" ht="15.75" customHeight="1">
      <c r="A857" s="2" t="s">
        <v>857</v>
      </c>
      <c r="B857" s="2" t="str">
        <f>IFERROR(__xludf.DUMMYFUNCTION("GOOGLETRANSLATE(A857, ""en"", ""mt"")"),"X'inhi d-Delta fir-Rhine delimitat fil-Punent?")</f>
        <v>X'inhi d-Delta fir-Rhine delimitat fil-Punent?</v>
      </c>
    </row>
    <row r="858" ht="15.75" customHeight="1">
      <c r="A858" s="2" t="s">
        <v>858</v>
      </c>
      <c r="B858" s="2" t="str">
        <f>IFERROR(__xludf.DUMMYFUNCTION("GOOGLETRANSLATE(A858, ""en"", ""mt"")"),"Tappoġġja attivament u tadotta kultura Ċiniża mainstream")</f>
        <v>Tappoġġja attivament u tadotta kultura Ċiniża mainstream</v>
      </c>
    </row>
    <row r="859" ht="15.75" customHeight="1">
      <c r="A859" s="2" t="s">
        <v>859</v>
      </c>
      <c r="B859" s="2" t="str">
        <f>IFERROR(__xludf.DUMMYFUNCTION("GOOGLETRANSLATE(A859, ""en"", ""mt"")"),"X'ġara 3.7-2 biljun sena ilu?")</f>
        <v>X'ġara 3.7-2 biljun sena ilu?</v>
      </c>
    </row>
    <row r="860" ht="15.75" customHeight="1">
      <c r="A860" s="2" t="s">
        <v>860</v>
      </c>
      <c r="B860" s="2" t="str">
        <f>IFERROR(__xludf.DUMMYFUNCTION("GOOGLETRANSLATE(A860, ""en"", ""mt"")"),"Pjattaforma Diġitali Sky")</f>
        <v>Pjattaforma Diġitali Sky</v>
      </c>
    </row>
    <row r="861" ht="15.75" customHeight="1">
      <c r="A861" s="2" t="s">
        <v>861</v>
      </c>
      <c r="B861" s="2" t="str">
        <f>IFERROR(__xludf.DUMMYFUNCTION("GOOGLETRANSLATE(A861, ""en"", ""mt"")"),"Guinea Ġdida")</f>
        <v>Guinea Ġdida</v>
      </c>
    </row>
    <row r="862" ht="15.75" customHeight="1">
      <c r="A862" s="2" t="s">
        <v>862</v>
      </c>
      <c r="B862" s="2" t="str">
        <f>IFERROR(__xludf.DUMMYFUNCTION("GOOGLETRANSLATE(A862, ""en"", ""mt"")"),"Għaliex in-nazzjonijiet Ewropej u l-Ġappun isseparaw ruħhom mill-Istati Uniti waqt il-kriżi?")</f>
        <v>Għaliex in-nazzjonijiet Ewropej u l-Ġappun isseparaw ruħhom mill-Istati Uniti waqt il-kriżi?</v>
      </c>
    </row>
    <row r="863" ht="15.75" customHeight="1">
      <c r="A863" s="2" t="s">
        <v>863</v>
      </c>
      <c r="B863" s="2" t="str">
        <f>IFERROR(__xludf.DUMMYFUNCTION("GOOGLETRANSLATE(A863, ""en"", ""mt"")"),"X'jiġri meta l-antikorpi ma jorbtux maċ-ċelloli tal-pazjent?")</f>
        <v>X'jiġri meta l-antikorpi ma jorbtux maċ-ċelloli tal-pazjent?</v>
      </c>
    </row>
    <row r="864" ht="15.75" customHeight="1">
      <c r="A864" s="2" t="s">
        <v>864</v>
      </c>
      <c r="B864" s="2" t="str">
        <f>IFERROR(__xludf.DUMMYFUNCTION("GOOGLETRANSLATE(A864, ""en"", ""mt"")"),"Min jista 'jintroduċi abbozz bħala membru pubbliku?")</f>
        <v>Min jista 'jintroduċi abbozz bħala membru pubbliku?</v>
      </c>
    </row>
    <row r="865" ht="15.75" customHeight="1">
      <c r="A865" s="2" t="s">
        <v>865</v>
      </c>
      <c r="B865" s="2" t="str">
        <f>IFERROR(__xludf.DUMMYFUNCTION("GOOGLETRANSLATE(A865, ""en"", ""mt"")"),"X'tip ta 'dikjarazzjoni ma ssirx fi sforz biex tistabbilixxi r-rekwiżiti tal-ħin u l-ispazju meħtieġa biex titjieb in-numru aħħari ta' problemi solvuti?")</f>
        <v>X'tip ta 'dikjarazzjoni ma ssirx fi sforz biex tistabbilixxi r-rekwiżiti tal-ħin u l-ispazju meħtieġa biex titjieb in-numru aħħari ta' problemi solvuti?</v>
      </c>
    </row>
    <row r="866" ht="15.75" customHeight="1">
      <c r="A866" s="2" t="s">
        <v>866</v>
      </c>
      <c r="B866" s="2" t="str">
        <f>IFERROR(__xludf.DUMMYFUNCTION("GOOGLETRANSLATE(A866, ""en"", ""mt"")"),"X'jimbotta n-negozji biex inaqqsu l-pressjonijiet fuq il-ħaddiema?")</f>
        <v>X'jimbotta n-negozji biex inaqqsu l-pressjonijiet fuq il-ħaddiema?</v>
      </c>
    </row>
    <row r="867" ht="15.75" customHeight="1">
      <c r="A867" s="2" t="s">
        <v>867</v>
      </c>
      <c r="B867" s="2" t="str">
        <f>IFERROR(__xludf.DUMMYFUNCTION("GOOGLETRANSLATE(A867, ""en"", ""mt"")"),"100 biljun dollaru")</f>
        <v>100 biljun dollaru</v>
      </c>
    </row>
    <row r="868" ht="15.75" customHeight="1">
      <c r="A868" s="2" t="s">
        <v>868</v>
      </c>
      <c r="B868" s="2" t="str">
        <f>IFERROR(__xludf.DUMMYFUNCTION("GOOGLETRANSLATE(A868, ""en"", ""mt"")"),"Biex tipproteġi l-art tar-re fil-wied ta 'Ohio mill-Ingliżi")</f>
        <v>Biex tipproteġi l-art tar-re fil-wied ta 'Ohio mill-Ingliżi</v>
      </c>
    </row>
    <row r="869" ht="15.75" customHeight="1">
      <c r="A869" s="2" t="s">
        <v>869</v>
      </c>
      <c r="B869" s="2" t="str">
        <f>IFERROR(__xludf.DUMMYFUNCTION("GOOGLETRANSLATE(A869, ""en"", ""mt"")"),"Fejn isseħħ il-manifattura?")</f>
        <v>Fejn isseħħ il-manifattura?</v>
      </c>
    </row>
    <row r="870" ht="15.75" customHeight="1">
      <c r="A870" s="2" t="s">
        <v>870</v>
      </c>
      <c r="B870" s="2" t="str">
        <f>IFERROR(__xludf.DUMMYFUNCTION("GOOGLETRANSLATE(A870, ""en"", ""mt"")"),"Xi jfisser il-konnessjoni differenti ta 'kaxxi tas-sema Q?")</f>
        <v>Xi jfisser il-konnessjoni differenti ta 'kaxxi tas-sema Q?</v>
      </c>
    </row>
    <row r="871" ht="15.75" customHeight="1">
      <c r="A871" s="2" t="s">
        <v>871</v>
      </c>
      <c r="B871" s="2" t="str">
        <f>IFERROR(__xludf.DUMMYFUNCTION("GOOGLETRANSLATE(A871, ""en"", ""mt"")"),"Tentilla")</f>
        <v>Tentilla</v>
      </c>
    </row>
    <row r="872" ht="15.75" customHeight="1">
      <c r="A872" s="2" t="s">
        <v>872</v>
      </c>
      <c r="B872" s="2" t="str">
        <f>IFERROR(__xludf.DUMMYFUNCTION("GOOGLETRANSLATE(A872, ""en"", ""mt"")"),"Liema każ minuri kien ir-riżultat taċ-ċensura tal-Kummissjoni Santer?")</f>
        <v>Liema każ minuri kien ir-riżultat taċ-ċensura tal-Kummissjoni Santer?</v>
      </c>
    </row>
    <row r="873" ht="15.75" customHeight="1">
      <c r="A873" s="2" t="s">
        <v>873</v>
      </c>
      <c r="B873" s="2" t="str">
        <f>IFERROR(__xludf.DUMMYFUNCTION("GOOGLETRANSLATE(A873, ""en"", ""mt"")"),"It-territorji indiġeni qed jinqerdu fil-biċċa l-kbira b'żewġ modi?")</f>
        <v>It-territorji indiġeni qed jinqerdu fil-biċċa l-kbira b'żewġ modi?</v>
      </c>
    </row>
    <row r="874" ht="15.75" customHeight="1">
      <c r="A874" s="2" t="s">
        <v>874</v>
      </c>
      <c r="B874" s="2" t="str">
        <f>IFERROR(__xludf.DUMMYFUNCTION("GOOGLETRANSLATE(A874, ""en"", ""mt"")"),"Id-deforestazzjoni hija l-konverżjoni ta 'żoni forestali f'żoni mhux forestati. Is-sorsi ewlenin ta 'deforestazzjoni fl-Amażonja huma s-soluzzjoni umana u l-iżvilupp tal-art. Qabel il-bidu tas-snin 1960, l-aċċess għall-intern tal-foresta kien ristrett ħaf"&amp;"na, u l-foresta baqgħet bażikament intatta. L-irziezet stabbiliti matul is-snin 1960 kienu bbażati fuq il-kultivazzjoni tal-għelejjel u l-metodu slash u ħruq. Madankollu, il-kolonisti ma setgħux jimmaniġġjaw l-għelieqi tagħhom u l-għelejjel minħabba t-tel"&amp;"f tal-fertilità tal-ħamrija u l-invażjoni tal-ħaxix ħażin. Il-ħamrija fl-Amażonja huma produttivi għal perjodu qasir ta 'żmien, u għalhekk il-bdiewa qed jimxu kontinwament għal żoni ġodda u jikklerjaw aktar art. Dawn il-prattiki tal-biedja wasslu għal def"&amp;"orestazzjoni u kkawżaw ħsara ambjentali estensiva. Id-deforestazzjoni hija konsiderevoli, u ż-żoni mneħħija mill-foresta huma viżibbli għall-għajn mill-ispazju ta 'barra.")</f>
        <v>Id-deforestazzjoni hija l-konverżjoni ta 'żoni forestali f'żoni mhux forestati. Is-sorsi ewlenin ta 'deforestazzjoni fl-Amażonja huma s-soluzzjoni umana u l-iżvilupp tal-art. Qabel il-bidu tas-snin 1960, l-aċċess għall-intern tal-foresta kien ristrett ħafna, u l-foresta baqgħet bażikament intatta. L-irziezet stabbiliti matul is-snin 1960 kienu bbażati fuq il-kultivazzjoni tal-għelejjel u l-metodu slash u ħruq. Madankollu, il-kolonisti ma setgħux jimmaniġġjaw l-għelieqi tagħhom u l-għelejjel minħabba t-telf tal-fertilità tal-ħamrija u l-invażjoni tal-ħaxix ħażin. Il-ħamrija fl-Amażonja huma produttivi għal perjodu qasir ta 'żmien, u għalhekk il-bdiewa qed jimxu kontinwament għal żoni ġodda u jikklerjaw aktar art. Dawn il-prattiki tal-biedja wasslu għal deforestazzjoni u kkawżaw ħsara ambjentali estensiva. Id-deforestazzjoni hija konsiderevoli, u ż-żoni mneħħija mill-foresta huma viżibbli għall-għajn mill-ispazju ta 'barra.</v>
      </c>
    </row>
    <row r="875" ht="15.75" customHeight="1">
      <c r="A875" s="2" t="s">
        <v>875</v>
      </c>
      <c r="B875" s="2" t="str">
        <f>IFERROR(__xludf.DUMMYFUNCTION("GOOGLETRANSLATE(A875, ""en"", ""mt"")"),"Ministri tal-Gvern tar-Renju Unit")</f>
        <v>Ministri tal-Gvern tar-Renju Unit</v>
      </c>
    </row>
    <row r="876" ht="15.75" customHeight="1">
      <c r="A876" s="2" t="s">
        <v>876</v>
      </c>
      <c r="B876" s="2" t="str">
        <f>IFERROR(__xludf.DUMMYFUNCTION("GOOGLETRANSLATE(A876, ""en"", ""mt"")"),"Għal min ma japplikax l-artikolu 56 tat-TFEU?")</f>
        <v>Għal min ma japplikax l-artikolu 56 tat-TFEU?</v>
      </c>
    </row>
    <row r="877" ht="15.75" customHeight="1">
      <c r="A877" s="2" t="s">
        <v>877</v>
      </c>
      <c r="B877" s="2" t="str">
        <f>IFERROR(__xludf.DUMMYFUNCTION("GOOGLETRANSLATE(A877, ""en"", ""mt"")"),"Każ tal-Qorti Suprema")</f>
        <v>Każ tal-Qorti Suprema</v>
      </c>
    </row>
    <row r="878" ht="15.75" customHeight="1">
      <c r="A878" s="2" t="s">
        <v>878</v>
      </c>
      <c r="B878" s="2" t="str">
        <f>IFERROR(__xludf.DUMMYFUNCTION("GOOGLETRANSLATE(A878, ""en"", ""mt"")"),"NP-Sodisfazzjon Boolean NP")</f>
        <v>NP-Sodisfazzjon Boolean NP</v>
      </c>
    </row>
    <row r="879" ht="15.75" customHeight="1">
      <c r="A879" s="2" t="s">
        <v>879</v>
      </c>
      <c r="B879" s="2" t="str">
        <f>IFERROR(__xludf.DUMMYFUNCTION("GOOGLETRANSLATE(A879, ""en"", ""mt"")"),"mitħna tad-dqiq")</f>
        <v>mitħna tad-dqiq</v>
      </c>
    </row>
    <row r="880" ht="15.75" customHeight="1">
      <c r="A880" s="2" t="s">
        <v>880</v>
      </c>
      <c r="B880" s="2" t="str">
        <f>IFERROR(__xludf.DUMMYFUNCTION("GOOGLETRANSLATE(A880, ""en"", ""mt"")"),"Infezzjonijiet tal-batterjofagi")</f>
        <v>Infezzjonijiet tal-batterjofagi</v>
      </c>
    </row>
    <row r="881" ht="15.75" customHeight="1">
      <c r="A881" s="2" t="s">
        <v>881</v>
      </c>
      <c r="B881" s="2" t="str">
        <f>IFERROR(__xludf.DUMMYFUNCTION("GOOGLETRANSLATE(A881, ""en"", ""mt"")"),"Min ippreżenta lill-Mac lill-Parlament Skoċċiż meta kien inizjalment miftuħ?")</f>
        <v>Min ippreżenta lill-Mac lill-Parlament Skoċċiż meta kien inizjalment miftuħ?</v>
      </c>
    </row>
    <row r="882" ht="15.75" customHeight="1">
      <c r="A882" s="2" t="s">
        <v>882</v>
      </c>
      <c r="B882" s="2" t="str">
        <f>IFERROR(__xludf.DUMMYFUNCTION("GOOGLETRANSLATE(A882, ""en"", ""mt"")"),"Sabiex tkun immarkata b'mod preċiż il-bijomassa tal-Amażonja u l-emissjonijiet sussegwenti relatati mal-karbonju, il-klassifikazzjoni tal-istadji tat-tkabbir tas-siġar f'partijiet differenti tal-foresta hija kruċjali. Fl-2006 Tatiana Kuplich organizzat is"&amp;"-siġar tal-Amażonja f'erba 'kategoriji: (1) foresta matura, (2) li tirriġenera foresta [inqas minn tliet snin], (3) li tirriġenera foresta [bejn tlieta u ħames snin ta' regrowth], u (4 ) tirriġenera foresta [ħdax sa tmintax-il sena ta 'żvilupp kontinwu]. "&amp;"Ir-riċerkatur uża kombinazzjoni ta 'radar ta' apertura sintetika (SAR) u mapper tematiku (TM) biex ipoġġi b'mod preċiż il-porzjonijiet differenti ta 'l-Amażonja f'waħda mill-erba' klassifikazzjonijiet.")</f>
        <v>Sabiex tkun immarkata b'mod preċiż il-bijomassa tal-Amażonja u l-emissjonijiet sussegwenti relatati mal-karbonju, il-klassifikazzjoni tal-istadji tat-tkabbir tas-siġar f'partijiet differenti tal-foresta hija kruċjali. Fl-2006 Tatiana Kuplich organizzat is-siġar tal-Amażonja f'erba 'kategoriji: (1) foresta matura, (2) li tirriġenera foresta [inqas minn tliet snin], (3) li tirriġenera foresta [bejn tlieta u ħames snin ta' regrowth], u (4 ) tirriġenera foresta [ħdax sa tmintax-il sena ta 'żvilupp kontinwu]. Ir-riċerkatur uża kombinazzjoni ta 'radar ta' apertura sintetika (SAR) u mapper tematiku (TM) biex ipoġġi b'mod preċiż il-porzjonijiet differenti ta 'l-Amażonja f'waħda mill-erba' klassifikazzjonijiet.</v>
      </c>
    </row>
    <row r="883" ht="15.75" customHeight="1">
      <c r="A883" s="2" t="s">
        <v>883</v>
      </c>
      <c r="B883" s="2" t="str">
        <f>IFERROR(__xludf.DUMMYFUNCTION("GOOGLETRANSLATE(A883, ""en"", ""mt"")"),"8,525")</f>
        <v>8,525</v>
      </c>
    </row>
    <row r="884" ht="15.75" customHeight="1">
      <c r="A884" s="2" t="s">
        <v>884</v>
      </c>
      <c r="B884" s="2" t="str">
        <f>IFERROR(__xludf.DUMMYFUNCTION("GOOGLETRANSLATE(A884, ""en"", ""mt"")"),"Sam Chisholm u Rupert Murdoch")</f>
        <v>Sam Chisholm u Rupert Murdoch</v>
      </c>
    </row>
    <row r="885" ht="15.75" customHeight="1">
      <c r="A885" s="2" t="s">
        <v>885</v>
      </c>
      <c r="B885" s="2" t="str">
        <f>IFERROR(__xludf.DUMMYFUNCTION("GOOGLETRANSLATE(A885, ""en"", ""mt"")"),"X'inhi raġuni waħda li Al-Qaeda rċeviet għajnuna minn estremisti Sunni?")</f>
        <v>X'inhi raġuni waħda li Al-Qaeda rċeviet għajnuna minn estremisti Sunni?</v>
      </c>
    </row>
    <row r="886" ht="15.75" customHeight="1">
      <c r="A886" s="2" t="s">
        <v>886</v>
      </c>
      <c r="B886" s="2" t="str">
        <f>IFERROR(__xludf.DUMMYFUNCTION("GOOGLETRANSLATE(A886, ""en"", ""mt"")"),"Fit-Tieni Gwerra Dinjija, ġie rikonoxxut li r-Renu jippreżenta ostaklu naturali formidabbli għall-invażjoni tal-Ġermanja, mill-alleati tal-Punent. Il-Pont tar-Rhine f'Arnhem, immortalizzat fil-ktieb, a Bridge Too Far and the Film, kien fokus ċentrali tal-"&amp;"battalja għal Arnhem, waqt il-Ġnien tas-Suq tal-Operazzjoni fallut ta 'Settembru 1944. Rhine, kienu wkoll għan tal-Operazzjoni tas-Suq tal-Ġnien. F’operazzjoni separata, il-Pont ta ’Ludendorff, li jaqsam ir-Renu f’Remagen, sar famuż, meta l-forzi ta’ l-Is"&amp;"tati Uniti setgħu jaqbduha intatta - ferm għas-sorpriża tagħhom stess - wara li l-Ġermaniżi naqsu milli jwaqqgħuh. Dan sar ukoll is-suġġett ta 'film, The Bridge at Remagen. Sebat ijiem lejn ix-Xmara Rhine kien pjan ta 'gwerra ta' Varsavja għal invażjoni t"&amp;"al-Ewropa tal-Punent matul il-Gwerra Bierda.")</f>
        <v>Fit-Tieni Gwerra Dinjija, ġie rikonoxxut li r-Renu jippreżenta ostaklu naturali formidabbli għall-invażjoni tal-Ġermanja, mill-alleati tal-Punent. Il-Pont tar-Rhine f'Arnhem, immortalizzat fil-ktieb, a Bridge Too Far and the Film, kien fokus ċentrali tal-battalja għal Arnhem, waqt il-Ġnien tas-Suq tal-Operazzjoni fallut ta 'Settembru 1944. Rhine, kienu wkoll għan tal-Operazzjoni tas-Suq tal-Ġnien. F’operazzjoni separata, il-Pont ta ’Ludendorff, li jaqsam ir-Renu f’Remagen, sar famuż, meta l-forzi ta’ l-Istati Uniti setgħu jaqbduha intatta - ferm għas-sorpriża tagħhom stess - wara li l-Ġermaniżi naqsu milli jwaqqgħuh. Dan sar ukoll is-suġġett ta 'film, The Bridge at Remagen. Sebat ijiem lejn ix-Xmara Rhine kien pjan ta 'gwerra ta' Varsavja għal invażjoni tal-Ewropa tal-Punent matul il-Gwerra Bierda.</v>
      </c>
    </row>
    <row r="887" ht="15.75" customHeight="1">
      <c r="A887" s="2" t="s">
        <v>887</v>
      </c>
      <c r="B887" s="2" t="str">
        <f>IFERROR(__xludf.DUMMYFUNCTION("GOOGLETRANSLATE(A887, ""en"", ""mt"")"),"Liema grupp m'għandux appendiċi ta 'l-għalf?")</f>
        <v>Liema grupp m'għandux appendiċi ta 'l-għalf?</v>
      </c>
    </row>
    <row r="888" ht="15.75" customHeight="1">
      <c r="A888" s="2" t="s">
        <v>888</v>
      </c>
      <c r="B888" s="2" t="str">
        <f>IFERROR(__xludf.DUMMYFUNCTION("GOOGLETRANSLATE(A888, ""en"", ""mt"")"),"X'tip ta 'motivaturi huma kkunsidrati fil-kisba u barra?")</f>
        <v>X'tip ta 'motivaturi huma kkunsidrati fil-kisba u barra?</v>
      </c>
    </row>
    <row r="889" ht="15.75" customHeight="1">
      <c r="A889" s="2" t="s">
        <v>889</v>
      </c>
      <c r="B889" s="2" t="str">
        <f>IFERROR(__xludf.DUMMYFUNCTION("GOOGLETRANSLATE(A889, ""en"", ""mt"")"),"Skond in-nuqqas ta 'qbil bejn Iroquois u l-Ingliżi, fejn kellha tinbena dar b'saħħitha?")</f>
        <v>Skond in-nuqqas ta 'qbil bejn Iroquois u l-Ingliżi, fejn kellha tinbena dar b'saħħitha?</v>
      </c>
    </row>
    <row r="890" ht="15.75" customHeight="1">
      <c r="A890" s="2" t="s">
        <v>890</v>
      </c>
      <c r="B890" s="2" t="str">
        <f>IFERROR(__xludf.DUMMYFUNCTION("GOOGLETRANSLATE(A890, ""en"", ""mt"")"),"jagħti tfittxija ta 'kunsens tal-propjetà tiegħu,")</f>
        <v>jagħti tfittxija ta 'kunsens tal-propjetà tiegħu,</v>
      </c>
    </row>
    <row r="891" ht="15.75" customHeight="1">
      <c r="A891" s="2" t="s">
        <v>891</v>
      </c>
      <c r="B891" s="2" t="str">
        <f>IFERROR(__xludf.DUMMYFUNCTION("GOOGLETRANSLATE(A891, ""en"", ""mt"")"),"Fuq xiex jiddependi t-test tal-primarji tal-Carmichael?")</f>
        <v>Fuq xiex jiddependi t-test tal-primarji tal-Carmichael?</v>
      </c>
    </row>
    <row r="892" ht="15.75" customHeight="1">
      <c r="A892" s="2" t="s">
        <v>892</v>
      </c>
      <c r="B892" s="2" t="str">
        <f>IFERROR(__xludf.DUMMYFUNCTION("GOOGLETRANSLATE(A892, ""en"", ""mt"")"),"Liema kumpanija moderna ilha taħdem b'mod notevoli fuq magna ta 'kombustjoni bl-użu ta' materjali moderni?")</f>
        <v>Liema kumpanija moderna ilha taħdem b'mod notevoli fuq magna ta 'kombustjoni bl-użu ta' materjali moderni?</v>
      </c>
    </row>
    <row r="893" ht="15.75" customHeight="1">
      <c r="A893" s="2" t="s">
        <v>893</v>
      </c>
      <c r="B893" s="2" t="str">
        <f>IFERROR(__xludf.DUMMYFUNCTION("GOOGLETRANSLATE(A893, ""en"", ""mt"")"),"X'kienet l-iktar televiżjoni NTL mill-ġdid tad-ditta fl-2007?")</f>
        <v>X'kienet l-iktar televiżjoni NTL mill-ġdid tad-ditta fl-2007?</v>
      </c>
    </row>
    <row r="894" ht="15.75" customHeight="1">
      <c r="A894" s="2" t="s">
        <v>894</v>
      </c>
      <c r="B894" s="2" t="str">
        <f>IFERROR(__xludf.DUMMYFUNCTION("GOOGLETRANSLATE(A894, ""en"", ""mt"")"),"Kif ġeneralment mhumiex definiti miżuri ta 'kumplessità?")</f>
        <v>Kif ġeneralment mhumiex definiti miżuri ta 'kumplessità?</v>
      </c>
    </row>
    <row r="895" ht="15.75" customHeight="1">
      <c r="A895" s="2" t="s">
        <v>895</v>
      </c>
      <c r="B895" s="2" t="str">
        <f>IFERROR(__xludf.DUMMYFUNCTION("GOOGLETRANSLATE(A895, ""en"", ""mt"")"),"identifikatur tal-konnessjoni aktar milli jindirizza l-informazzjoni u jiġu nnegozjati bejn il-punti finali sabiex dawn jiġu kkonsenjati fl-ordni u bl-iżball tal-verifika")</f>
        <v>identifikatur tal-konnessjoni aktar milli jindirizza l-informazzjoni u jiġu nnegozjati bejn il-punti finali sabiex dawn jiġu kkonsenjati fl-ordni u bl-iżball tal-verifika</v>
      </c>
    </row>
    <row r="896" ht="15.75" customHeight="1">
      <c r="A896" s="2" t="s">
        <v>896</v>
      </c>
      <c r="B896" s="2" t="str">
        <f>IFERROR(__xludf.DUMMYFUNCTION("GOOGLETRANSLATE(A896, ""en"", ""mt"")"),"X'kienet il-popolazzjoni ta 'Jacksonville City mill-2010?")</f>
        <v>X'kienet il-popolazzjoni ta 'Jacksonville City mill-2010?</v>
      </c>
    </row>
    <row r="897" ht="15.75" customHeight="1">
      <c r="A897" s="2" t="s">
        <v>897</v>
      </c>
      <c r="B897" s="2" t="str">
        <f>IFERROR(__xludf.DUMMYFUNCTION("GOOGLETRANSLATE(A897, ""en"", ""mt"")"),"ħin polinomjali")</f>
        <v>ħin polinomjali</v>
      </c>
    </row>
    <row r="898" ht="15.75" customHeight="1">
      <c r="A898" s="2" t="s">
        <v>898</v>
      </c>
      <c r="B898" s="2" t="str">
        <f>IFERROR(__xludf.DUMMYFUNCTION("GOOGLETRANSLATE(A898, ""en"", ""mt"")"),"Il-viċinat popolari magħruf bħala d-Distrett tat-Torri huwa ċċentrat madwar it-Teatru Storiku tat-Torri, li huwa inkluż fil-lista nazzjonali tal-postijiet storiċi. It-teatru nbena fl-1939 u jinsab fi Olive and Wishon Avenues fil-qalba tad-Distrett tat-Tor"&amp;"ri. (L-isem tat-teatru jirreferi għal torri tal-ilma tal-monument magħruf, li fil-fatt jinsab f'żona oħra fil-viċin). Il-viċinat tad-Distrett tat-Torri jinsab eżatt fit-tramuntana tad-downtown Fresno kif suppost, u nofs mil fin-nofsinhar tal-Kulleġġ tal-B"&amp;"elt ta 'Fresno. Għalkemm il-viċinat kien magħruf bħala żona residenzjali minn qabel, l-istabbilimenti kummerċjali bikrija tad-distrett tat-Torri bdew bi ħwienet u servizzi żgħar li ħarġu fiż-żona ftit wara t-Tieni Gwerra Dinjija. Il-karattru ta 'negozji l"&amp;"okali żgħar fil-biċċa l-kbira jibqa' llum. Sa ċertu punt, in-negozji tad-Distrett tat-Torri ġew żviluppati minħabba l-viċinanza tal-Iskola Normali Fresno oriġinali (aktar tard imsejħa California State University fi Fresno). Fl-1916 il-kulleġġ mar joqgħod "&amp;"għal dak li issa huwa s-sit ta 'Fresno City College nofs mil fit-tramuntana tad-distrett tat-torri.")</f>
        <v>Il-viċinat popolari magħruf bħala d-Distrett tat-Torri huwa ċċentrat madwar it-Teatru Storiku tat-Torri, li huwa inkluż fil-lista nazzjonali tal-postijiet storiċi. It-teatru nbena fl-1939 u jinsab fi Olive and Wishon Avenues fil-qalba tad-Distrett tat-Torri. (L-isem tat-teatru jirreferi għal torri tal-ilma tal-monument magħruf, li fil-fatt jinsab f'żona oħra fil-viċin). Il-viċinat tad-Distrett tat-Torri jinsab eżatt fit-tramuntana tad-downtown Fresno kif suppost, u nofs mil fin-nofsinhar tal-Kulleġġ tal-Belt ta 'Fresno. Għalkemm il-viċinat kien magħruf bħala żona residenzjali minn qabel, l-istabbilimenti kummerċjali bikrija tad-distrett tat-Torri bdew bi ħwienet u servizzi żgħar li ħarġu fiż-żona ftit wara t-Tieni Gwerra Dinjija. Il-karattru ta 'negozji lokali żgħar fil-biċċa l-kbira jibqa' llum. Sa ċertu punt, in-negozji tad-Distrett tat-Torri ġew żviluppati minħabba l-viċinanza tal-Iskola Normali Fresno oriġinali (aktar tard imsejħa California State University fi Fresno). Fl-1916 il-kulleġġ mar joqgħod għal dak li issa huwa s-sit ta 'Fresno City College nofs mil fit-tramuntana tad-distrett tat-torri.</v>
      </c>
    </row>
    <row r="899" ht="15.75" customHeight="1">
      <c r="A899" s="2" t="s">
        <v>899</v>
      </c>
      <c r="B899" s="2" t="str">
        <f>IFERROR(__xludf.DUMMYFUNCTION("GOOGLETRANSLATE(A899, ""en"", ""mt"")"),"Il-korp akkademiku tal-università huwa magħmul minn kemm hemm skejjel professjonali?")</f>
        <v>Il-korp akkademiku tal-università huwa magħmul minn kemm hemm skejjel professjonali?</v>
      </c>
    </row>
    <row r="900" ht="15.75" customHeight="1">
      <c r="A900" s="2" t="s">
        <v>900</v>
      </c>
      <c r="B900" s="2" t="str">
        <f>IFERROR(__xludf.DUMMYFUNCTION("GOOGLETRANSLATE(A900, ""en"", ""mt"")"),"bram")</f>
        <v>bram</v>
      </c>
    </row>
    <row r="901" ht="15.75" customHeight="1">
      <c r="A901" s="2" t="s">
        <v>901</v>
      </c>
      <c r="B901" s="2" t="str">
        <f>IFERROR(__xludf.DUMMYFUNCTION("GOOGLETRANSLATE(A901, ""en"", ""mt"")"),"diskors projbit")</f>
        <v>diskors projbit</v>
      </c>
    </row>
    <row r="902" ht="15.75" customHeight="1">
      <c r="A902" s="2" t="s">
        <v>902</v>
      </c>
      <c r="B902" s="2" t="str">
        <f>IFERROR(__xludf.DUMMYFUNCTION("GOOGLETRANSLATE(A902, ""en"", ""mt"")"),"Att dwar in-Naturalizzazzjoni ta 'Protestanti Barranin,")</f>
        <v>Att dwar in-Naturalizzazzjoni ta 'Protestanti Barranin,</v>
      </c>
    </row>
    <row r="903" ht="15.75" customHeight="1">
      <c r="A903" s="2" t="s">
        <v>903</v>
      </c>
      <c r="B903" s="2" t="str">
        <f>IFERROR(__xludf.DUMMYFUNCTION("GOOGLETRANSLATE(A903, ""en"", ""mt"")"),"Madwar l-1712")</f>
        <v>Madwar l-1712</v>
      </c>
    </row>
    <row r="904" ht="15.75" customHeight="1">
      <c r="A904" s="2" t="s">
        <v>904</v>
      </c>
      <c r="B904" s="2" t="str">
        <f>IFERROR(__xludf.DUMMYFUNCTION("GOOGLETRANSLATE(A904, ""en"", ""mt"")"),"Kemm nies normalment imorru jaraw timijiet sportivi ta 'Harvard jilagħbu kull sena?")</f>
        <v>Kemm nies normalment imorru jaraw timijiet sportivi ta 'Harvard jilagħbu kull sena?</v>
      </c>
    </row>
    <row r="905" ht="15.75" customHeight="1">
      <c r="A905" s="2" t="s">
        <v>905</v>
      </c>
      <c r="B905" s="2" t="str">
        <f>IFERROR(__xludf.DUMMYFUNCTION("GOOGLETRANSLATE(A905, ""en"", ""mt"")"),"X’jista ’jaġixxi l-forman bħal minbarra l-paymaster?")</f>
        <v>X’jista ’jaġixxi l-forman bħal minbarra l-paymaster?</v>
      </c>
    </row>
    <row r="906" ht="15.75" customHeight="1">
      <c r="A906" s="2" t="s">
        <v>906</v>
      </c>
      <c r="B906" s="2" t="str">
        <f>IFERROR(__xludf.DUMMYFUNCTION("GOOGLETRANSLATE(A906, ""en"", ""mt"")"),"L-imperjalizmu informali għadu dominanti; Madankollu, inqas xiex?")</f>
        <v>L-imperjalizmu informali għadu dominanti; Madankollu, inqas xiex?</v>
      </c>
    </row>
    <row r="907" ht="15.75" customHeight="1">
      <c r="A907" s="2" t="s">
        <v>907</v>
      </c>
      <c r="B907" s="2" t="str">
        <f>IFERROR(__xludf.DUMMYFUNCTION("GOOGLETRANSLATE(A907, ""en"", ""mt"")"),"blat tal-qoxra")</f>
        <v>blat tal-qoxra</v>
      </c>
    </row>
    <row r="908" ht="15.75" customHeight="1">
      <c r="A908" s="2" t="s">
        <v>908</v>
      </c>
      <c r="B908" s="2" t="str">
        <f>IFERROR(__xludf.DUMMYFUNCTION("GOOGLETRANSLATE(A908, ""en"", ""mt"")"),"Kemm kienu jeżistu ditti fl-2005?")</f>
        <v>Kemm kienu jeżistu ditti fl-2005?</v>
      </c>
    </row>
    <row r="909" ht="15.75" customHeight="1">
      <c r="A909" s="2" t="s">
        <v>909</v>
      </c>
      <c r="B909" s="2" t="str">
        <f>IFERROR(__xludf.DUMMYFUNCTION("GOOGLETRANSLATE(A909, ""en"", ""mt"")"),"Iż-żejt kien ipprezzat f'dollari, id-dħul reali tal-produtturi taż-żejt naqas")</f>
        <v>Iż-żejt kien ipprezzat f'dollari, id-dħul reali tal-produtturi taż-żejt naqas</v>
      </c>
    </row>
    <row r="910" ht="15.75" customHeight="1">
      <c r="A910" s="2" t="s">
        <v>910</v>
      </c>
      <c r="B910" s="2" t="str">
        <f>IFERROR(__xludf.DUMMYFUNCTION("GOOGLETRANSLATE(A910, ""en"", ""mt"")"),"produttività")</f>
        <v>produttività</v>
      </c>
    </row>
    <row r="911" ht="15.75" customHeight="1">
      <c r="A911" s="2" t="s">
        <v>911</v>
      </c>
      <c r="B911" s="2" t="str">
        <f>IFERROR(__xludf.DUMMYFUNCTION("GOOGLETRANSLATE(A911, ""en"", ""mt"")"),"Liema sustanzi jipproduċu ċelloli b'saħħithom?")</f>
        <v>Liema sustanzi jipproduċu ċelloli b'saħħithom?</v>
      </c>
    </row>
    <row r="912" ht="15.75" customHeight="1">
      <c r="A912" s="2" t="s">
        <v>912</v>
      </c>
      <c r="B912" s="2" t="str">
        <f>IFERROR(__xludf.DUMMYFUNCTION("GOOGLETRANSLATE(A912, ""en"", ""mt"")"),"Ċelloli B")</f>
        <v>Ċelloli B</v>
      </c>
    </row>
    <row r="913" ht="15.75" customHeight="1">
      <c r="A913" s="2" t="s">
        <v>913</v>
      </c>
      <c r="B913" s="2" t="str">
        <f>IFERROR(__xludf.DUMMYFUNCTION("GOOGLETRANSLATE(A913, ""en"", ""mt"")"),"Katyń")</f>
        <v>Katyń</v>
      </c>
    </row>
    <row r="914" ht="15.75" customHeight="1">
      <c r="A914" s="2" t="s">
        <v>914</v>
      </c>
      <c r="B914" s="2" t="str">
        <f>IFERROR(__xludf.DUMMYFUNCTION("GOOGLETRANSLATE(A914, ""en"", ""mt"")"),"Parti ewlenija tas-sinsla tal-internet")</f>
        <v>Parti ewlenija tas-sinsla tal-internet</v>
      </c>
    </row>
    <row r="915" ht="15.75" customHeight="1">
      <c r="A915" s="2" t="s">
        <v>915</v>
      </c>
      <c r="B915" s="2" t="str">
        <f>IFERROR(__xludf.DUMMYFUNCTION("GOOGLETRANSLATE(A915, ""en"", ""mt"")"),"Assimilazzjoni")</f>
        <v>Assimilazzjoni</v>
      </c>
    </row>
    <row r="916" ht="15.75" customHeight="1">
      <c r="A916" s="2" t="s">
        <v>916</v>
      </c>
      <c r="B916" s="2" t="str">
        <f>IFERROR(__xludf.DUMMYFUNCTION("GOOGLETRANSLATE(A916, ""en"", ""mt"")"),"Fejn hu ċ-ċentru tal-attività ekonomika għall-Istati Uniti?")</f>
        <v>Fejn hu ċ-ċentru tal-attività ekonomika għall-Istati Uniti?</v>
      </c>
    </row>
    <row r="917" ht="15.75" customHeight="1">
      <c r="A917" s="2" t="s">
        <v>917</v>
      </c>
      <c r="B917" s="2" t="str">
        <f>IFERROR(__xludf.DUMMYFUNCTION("GOOGLETRANSLATE(A917, ""en"", ""mt"")"),"relazzjoni mal-istat u l-liġijiet tiegħu")</f>
        <v>relazzjoni mal-istat u l-liġijiet tiegħu</v>
      </c>
    </row>
    <row r="918" ht="15.75" customHeight="1">
      <c r="A918" s="2" t="s">
        <v>918</v>
      </c>
      <c r="B918" s="2" t="str">
        <f>IFERROR(__xludf.DUMMYFUNCTION("GOOGLETRANSLATE(A918, ""en"", ""mt"")"),"X'inhu l-inqas tkexkix tar-riħ irreġistrat fir-Rabat?")</f>
        <v>X'inhu l-inqas tkexkix tar-riħ irreġistrat fir-Rabat?</v>
      </c>
    </row>
    <row r="919" ht="15.75" customHeight="1">
      <c r="A919" s="2" t="s">
        <v>919</v>
      </c>
      <c r="B919" s="2" t="str">
        <f>IFERROR(__xludf.DUMMYFUNCTION("GOOGLETRANSLATE(A919, ""en"", ""mt"")"),"Min iddiskuta l-istudju ta 'Twigg fl-2002?")</f>
        <v>Min iddiskuta l-istudju ta 'Twigg fl-2002?</v>
      </c>
    </row>
    <row r="920" ht="15.75" customHeight="1">
      <c r="A920" s="2" t="s">
        <v>920</v>
      </c>
      <c r="B920" s="2" t="str">
        <f>IFERROR(__xludf.DUMMYFUNCTION("GOOGLETRANSLATE(A920, ""en"", ""mt"")"),"X'importat l-offerta annwali tagħhom għall-kontroll tad-drittijiet biex ixandar il-Lega Primer?")</f>
        <v>X'importat l-offerta annwali tagħhom għall-kontroll tad-drittijiet biex ixandar il-Lega Primer?</v>
      </c>
    </row>
    <row r="921" ht="15.75" customHeight="1">
      <c r="A921" s="2" t="s">
        <v>921</v>
      </c>
      <c r="B921" s="2" t="str">
        <f>IFERROR(__xludf.DUMMYFUNCTION("GOOGLETRANSLATE(A921, ""en"", ""mt"")"),"F'liema spiss jipparteċipaw l-ispiżjara kliniċi?")</f>
        <v>F'liema spiss jipparteċipaw l-ispiżjara kliniċi?</v>
      </c>
    </row>
    <row r="922" ht="15.75" customHeight="1">
      <c r="A922" s="2" t="s">
        <v>922</v>
      </c>
      <c r="B922" s="2" t="str">
        <f>IFERROR(__xludf.DUMMYFUNCTION("GOOGLETRANSLATE(A922, ""en"", ""mt"")"),"Min ħarab mill-Italja tan-Nofsinhar?")</f>
        <v>Min ħarab mill-Italja tan-Nofsinhar?</v>
      </c>
    </row>
    <row r="923" ht="15.75" customHeight="1">
      <c r="A923" s="2" t="s">
        <v>923</v>
      </c>
      <c r="B923" s="2" t="str">
        <f>IFERROR(__xludf.DUMMYFUNCTION("GOOGLETRANSLATE(A923, ""en"", ""mt"")"),"Kemm qatlet din l-epidemija fiċ-Ċina?")</f>
        <v>Kemm qatlet din l-epidemija fiċ-Ċina?</v>
      </c>
    </row>
    <row r="924" ht="15.75" customHeight="1">
      <c r="A924" s="2" t="s">
        <v>924</v>
      </c>
      <c r="B924" s="2" t="str">
        <f>IFERROR(__xludf.DUMMYFUNCTION("GOOGLETRANSLATE(A924, ""en"", ""mt"")"),"Fejn f'Katyn hemm oġġetti patrijottiċi u politiċi konnessi mal-ġlidiet tal-Polonja għall-indipendenza?")</f>
        <v>Fejn f'Katyn hemm oġġetti patrijottiċi u politiċi konnessi mal-ġlidiet tal-Polonja għall-indipendenza?</v>
      </c>
    </row>
    <row r="925" ht="15.75" customHeight="1">
      <c r="A925" s="2" t="s">
        <v>925</v>
      </c>
      <c r="B925" s="2" t="str">
        <f>IFERROR(__xludf.DUMMYFUNCTION("GOOGLETRANSLATE(A925, ""en"", ""mt"")"),"X'inhu t-terminu Irlandiż għat-tariffi tal-iskola?")</f>
        <v>X'inhu t-terminu Irlandiż għat-tariffi tal-iskola?</v>
      </c>
    </row>
    <row r="926" ht="15.75" customHeight="1">
      <c r="A926" s="2" t="s">
        <v>926</v>
      </c>
      <c r="B926" s="2" t="str">
        <f>IFERROR(__xludf.DUMMYFUNCTION("GOOGLETRANSLATE(A926, ""en"", ""mt"")"),"spazji miftuħa")</f>
        <v>spazji miftuħa</v>
      </c>
    </row>
    <row r="927" ht="15.75" customHeight="1">
      <c r="A927" s="2" t="s">
        <v>927</v>
      </c>
      <c r="B927" s="2" t="str">
        <f>IFERROR(__xludf.DUMMYFUNCTION("GOOGLETRANSLATE(A927, ""en"", ""mt"")"),"Liema re u ex Huguenot ħarsu barra għall-benesseri tal-grupp?")</f>
        <v>Liema re u ex Huguenot ħarsu barra għall-benesseri tal-grupp?</v>
      </c>
    </row>
    <row r="928" ht="15.75" customHeight="1">
      <c r="A928" s="2" t="s">
        <v>928</v>
      </c>
      <c r="B928" s="2" t="str">
        <f>IFERROR(__xludf.DUMMYFUNCTION("GOOGLETRANSLATE(A928, ""en"", ""mt"")"),"fehim intuwittiv")</f>
        <v>fehim intuwittiv</v>
      </c>
    </row>
    <row r="929" ht="15.75" customHeight="1">
      <c r="A929" s="2" t="s">
        <v>929</v>
      </c>
      <c r="B929" s="2" t="str">
        <f>IFERROR(__xludf.DUMMYFUNCTION("GOOGLETRANSLATE(A929, ""en"", ""mt"")"),"2,500")</f>
        <v>2,500</v>
      </c>
    </row>
    <row r="930" ht="15.75" customHeight="1">
      <c r="A930" s="2" t="s">
        <v>930</v>
      </c>
      <c r="B930" s="2" t="str">
        <f>IFERROR(__xludf.DUMMYFUNCTION("GOOGLETRANSLATE(A930, ""en"", ""mt"")"),"Liema pajjiż razzjonat il-gażolina u l-gass tat-tisħin?")</f>
        <v>Liema pajjiż razzjonat il-gażolina u l-gass tat-tisħin?</v>
      </c>
    </row>
    <row r="931" ht="15.75" customHeight="1">
      <c r="A931" s="2" t="s">
        <v>931</v>
      </c>
      <c r="B931" s="2" t="str">
        <f>IFERROR(__xludf.DUMMYFUNCTION("GOOGLETRANSLATE(A931, ""en"", ""mt"")"),"sokits tas-snien fl-iskeletri tal-bniedem")</f>
        <v>sokits tas-snien fl-iskeletri tal-bniedem</v>
      </c>
    </row>
    <row r="932" ht="15.75" customHeight="1">
      <c r="A932" s="2" t="s">
        <v>932</v>
      </c>
      <c r="B932" s="2" t="str">
        <f>IFERROR(__xludf.DUMMYFUNCTION("GOOGLETRANSLATE(A932, ""en"", ""mt"")"),"Impass kostituzzjonali huwa distint minn liema terminu ewlieni?")</f>
        <v>Impass kostituzzjonali huwa distint minn liema terminu ewlieni?</v>
      </c>
    </row>
    <row r="933" ht="15.75" customHeight="1">
      <c r="A933" s="2" t="s">
        <v>933</v>
      </c>
      <c r="B933" s="2" t="str">
        <f>IFERROR(__xludf.DUMMYFUNCTION("GOOGLETRANSLATE(A933, ""en"", ""mt"")"),"Kemm huma twal it-traċċi f'Roeding Park?")</f>
        <v>Kemm huma twal it-traċċi f'Roeding Park?</v>
      </c>
    </row>
    <row r="934" ht="15.75" customHeight="1">
      <c r="A934" s="2" t="s">
        <v>934</v>
      </c>
      <c r="B934" s="2" t="str">
        <f>IFERROR(__xludf.DUMMYFUNCTION("GOOGLETRANSLATE(A934, ""en"", ""mt"")"),"Ikseb informazzjoni dwar il-klima tal-passat")</f>
        <v>Ikseb informazzjoni dwar il-klima tal-passat</v>
      </c>
    </row>
    <row r="935" ht="15.75" customHeight="1">
      <c r="A935" s="2" t="s">
        <v>935</v>
      </c>
      <c r="B935" s="2" t="str">
        <f>IFERROR(__xludf.DUMMYFUNCTION("GOOGLETRANSLATE(A935, ""en"", ""mt"")"),"X'użaw al-gama'a al-Islamiyya biex jiksbu triqtu?")</f>
        <v>X'użaw al-gama'a al-Islamiyya biex jiksbu triqtu?</v>
      </c>
    </row>
    <row r="936" ht="15.75" customHeight="1">
      <c r="A936" s="2" t="s">
        <v>936</v>
      </c>
      <c r="B936" s="2" t="str">
        <f>IFERROR(__xludf.DUMMYFUNCTION("GOOGLETRANSLATE(A936, ""en"", ""mt"")"),"X'għamel l-ossiġnu 1.2 biljun sena ilu?")</f>
        <v>X'għamel l-ossiġnu 1.2 biljun sena ilu?</v>
      </c>
    </row>
    <row r="937" ht="15.75" customHeight="1">
      <c r="A937" s="2" t="s">
        <v>937</v>
      </c>
      <c r="B937" s="2" t="str">
        <f>IFERROR(__xludf.DUMMYFUNCTION("GOOGLETRANSLATE(A937, ""en"", ""mt"")"),"Kemm għandha drawwa l-liġi konswetudinarja Norman?")</f>
        <v>Kemm għandha drawwa l-liġi konswetudinarja Norman?</v>
      </c>
    </row>
    <row r="938" ht="15.75" customHeight="1">
      <c r="A938" s="2" t="s">
        <v>938</v>
      </c>
      <c r="B938" s="2" t="str">
        <f>IFERROR(__xludf.DUMMYFUNCTION("GOOGLETRANSLATE(A938, ""en"", ""mt"")"),"Liema belt tan-Nofsinhar il-Huguenots toqgħod ħdejn?")</f>
        <v>Liema belt tan-Nofsinhar il-Huguenots toqgħod ħdejn?</v>
      </c>
    </row>
    <row r="939" ht="15.75" customHeight="1">
      <c r="A939" s="2" t="s">
        <v>939</v>
      </c>
      <c r="B939" s="2" t="str">
        <f>IFERROR(__xludf.DUMMYFUNCTION("GOOGLETRANSLATE(A939, ""en"", ""mt"")"),"Berengaria")</f>
        <v>Berengaria</v>
      </c>
    </row>
    <row r="940" ht="15.75" customHeight="1">
      <c r="A940" s="2" t="s">
        <v>940</v>
      </c>
      <c r="B940" s="2" t="str">
        <f>IFERROR(__xludf.DUMMYFUNCTION("GOOGLETRANSLATE(A940, ""en"", ""mt"")"),"Ħarifa 1347")</f>
        <v>Ħarifa 1347</v>
      </c>
    </row>
    <row r="941" ht="15.75" customHeight="1">
      <c r="A941" s="2" t="s">
        <v>941</v>
      </c>
      <c r="B941" s="2" t="str">
        <f>IFERROR(__xludf.DUMMYFUNCTION("GOOGLETRANSLATE(A941, ""en"", ""mt"")"),"Il-Kristjaneżmu u l-Kultura Franċiża")</f>
        <v>Il-Kristjaneżmu u l-Kultura Franċiża</v>
      </c>
    </row>
    <row r="942" ht="15.75" customHeight="1">
      <c r="A942" s="2" t="s">
        <v>942</v>
      </c>
      <c r="B942" s="2" t="str">
        <f>IFERROR(__xludf.DUMMYFUNCTION("GOOGLETRANSLATE(A942, ""en"", ""mt"")"),"Fuq kemm speċi ta 'siġar jistgħu jinstabu fil-ġnien tas-Sassonu?")</f>
        <v>Fuq kemm speċi ta 'siġar jistgħu jinstabu fil-ġnien tas-Sassonu?</v>
      </c>
    </row>
    <row r="943" ht="15.75" customHeight="1">
      <c r="A943" s="2" t="s">
        <v>943</v>
      </c>
      <c r="B943" s="2" t="str">
        <f>IFERROR(__xludf.DUMMYFUNCTION("GOOGLETRANSLATE(A943, ""en"", ""mt"")"),"Il-klijent tal-perit u l-kuntrattur ewlieni")</f>
        <v>Il-klijent tal-perit u l-kuntrattur ewlieni</v>
      </c>
    </row>
    <row r="944" ht="15.75" customHeight="1">
      <c r="A944" s="2" t="s">
        <v>944</v>
      </c>
      <c r="B944" s="2" t="str">
        <f>IFERROR(__xludf.DUMMYFUNCTION("GOOGLETRANSLATE(A944, ""en"", ""mt"")"),"Id-diżubbidjenza ċivili hija ġustifikata biss kontra entitajiet governattivi")</f>
        <v>Id-diżubbidjenza ċivili hija ġustifikata biss kontra entitajiet governattivi</v>
      </c>
    </row>
    <row r="945" ht="15.75" customHeight="1">
      <c r="A945" s="2" t="s">
        <v>945</v>
      </c>
      <c r="B945" s="2" t="str">
        <f>IFERROR(__xludf.DUMMYFUNCTION("GOOGLETRANSLATE(A945, ""en"", ""mt"")"),"Alex Seropjan")</f>
        <v>Alex Seropjan</v>
      </c>
    </row>
    <row r="946" ht="15.75" customHeight="1">
      <c r="A946" s="2" t="s">
        <v>946</v>
      </c>
      <c r="B946" s="2" t="str">
        <f>IFERROR(__xludf.DUMMYFUNCTION("GOOGLETRANSLATE(A946, ""en"", ""mt"")"),"Mużew")</f>
        <v>Mużew</v>
      </c>
    </row>
    <row r="947" ht="15.75" customHeight="1">
      <c r="A947" s="2" t="s">
        <v>947</v>
      </c>
      <c r="B947" s="2" t="str">
        <f>IFERROR(__xludf.DUMMYFUNCTION("GOOGLETRANSLATE(A947, ""en"", ""mt"")"),"riċerka")</f>
        <v>riċerka</v>
      </c>
    </row>
    <row r="948" ht="15.75" customHeight="1">
      <c r="A948" s="2" t="s">
        <v>948</v>
      </c>
      <c r="B948" s="2" t="str">
        <f>IFERROR(__xludf.DUMMYFUNCTION("GOOGLETRANSLATE(A948, ""en"", ""mt"")"),"F'liema tintemm il-Mesoglea?")</f>
        <v>F'liema tintemm il-Mesoglea?</v>
      </c>
    </row>
    <row r="949" ht="15.75" customHeight="1">
      <c r="A949" s="2" t="s">
        <v>949</v>
      </c>
      <c r="B949" s="2" t="str">
        <f>IFERROR(__xludf.DUMMYFUNCTION("GOOGLETRANSLATE(A949, ""en"", ""mt"")"),"Min hu l-preżenza x'aktarx fl-offerta inizjali?")</f>
        <v>Min hu l-preżenza x'aktarx fl-offerta inizjali?</v>
      </c>
    </row>
    <row r="950" ht="15.75" customHeight="1">
      <c r="A950" s="2" t="s">
        <v>950</v>
      </c>
      <c r="B950" s="2" t="str">
        <f>IFERROR(__xludf.DUMMYFUNCTION("GOOGLETRANSLATE(A950, ""en"", ""mt"")"),"amministrazzjoni")</f>
        <v>amministrazzjoni</v>
      </c>
    </row>
    <row r="951" ht="15.75" customHeight="1">
      <c r="A951" s="2" t="s">
        <v>951</v>
      </c>
      <c r="B951" s="2" t="str">
        <f>IFERROR(__xludf.DUMMYFUNCTION("GOOGLETRANSLATE(A951, ""en"", ""mt"")"),"Il-Gwerra tas-Suċċessjoni Awstrijaka (li t-teatru tal-Amerika ta ’Fuq hija magħrufa bħala l-Gwerra tar-Re Ġorġ) intemmet formalment fl-1748 bl-iffirmar tat-Trattat ta’ Aix-La-Chapelle. It-trattat kien primarjament iffokat fuq ir-riżoluzzjoni ta 'kwistjoni"&amp;"jiet fl-Ewropa. Il-kwistjonijiet ta 'talbiet territorjali konfliġġenti bejn il-kolonji Ingliżi u Franċiżi fl-Amerika ta' Fuq ġew mibdula f'kummissjoni biex issolvi, iżda ma waslu l-ebda deċiżjoni. Frontiers minn bejn Nova Scotia u Acadia fit-tramuntana, l"&amp;"ejn il-pajjiż ta 'Ohio fin-nofsinhar, ġew mitluba miż-żewġ naħat. It-tilwim estenda wkoll fl-Oċean Atlantiku, fejn iż-żewġ poteri riedu aċċess għas-sajd għani tal-Grand Banks barra Newfoundland.")</f>
        <v>Il-Gwerra tas-Suċċessjoni Awstrijaka (li t-teatru tal-Amerika ta ’Fuq hija magħrufa bħala l-Gwerra tar-Re Ġorġ) intemmet formalment fl-1748 bl-iffirmar tat-Trattat ta’ Aix-La-Chapelle. It-trattat kien primarjament iffokat fuq ir-riżoluzzjoni ta 'kwistjonijiet fl-Ewropa. Il-kwistjonijiet ta 'talbiet territorjali konfliġġenti bejn il-kolonji Ingliżi u Franċiżi fl-Amerika ta' Fuq ġew mibdula f'kummissjoni biex issolvi, iżda ma waslu l-ebda deċiżjoni. Frontiers minn bejn Nova Scotia u Acadia fit-tramuntana, lejn il-pajjiż ta 'Ohio fin-nofsinhar, ġew mitluba miż-żewġ naħat. It-tilwim estenda wkoll fl-Oċean Atlantiku, fejn iż-żewġ poteri riedu aċċess għas-sajd għani tal-Grand Banks barra Newfoundland.</v>
      </c>
    </row>
    <row r="952" ht="15.75" customHeight="1">
      <c r="A952" s="2" t="s">
        <v>952</v>
      </c>
      <c r="B952" s="2" t="str">
        <f>IFERROR(__xludf.DUMMYFUNCTION("GOOGLETRANSLATE(A952, ""en"", ""mt"")"),"qalb")</f>
        <v>qalb</v>
      </c>
    </row>
    <row r="953" ht="15.75" customHeight="1">
      <c r="A953" s="2" t="s">
        <v>953</v>
      </c>
      <c r="B953" s="2" t="str">
        <f>IFERROR(__xludf.DUMMYFUNCTION("GOOGLETRANSLATE(A953, ""en"", ""mt"")"),"X'inhu meqjus bħala forza fil-GR?")</f>
        <v>X'inhu meqjus bħala forza fil-GR?</v>
      </c>
    </row>
    <row r="954" ht="15.75" customHeight="1">
      <c r="A954" s="2" t="s">
        <v>954</v>
      </c>
      <c r="B954" s="2" t="str">
        <f>IFERROR(__xludf.DUMMYFUNCTION("GOOGLETRANSLATE(A954, ""en"", ""mt"")"),"Hamas")</f>
        <v>Hamas</v>
      </c>
    </row>
    <row r="955" ht="15.75" customHeight="1">
      <c r="A955" s="2" t="s">
        <v>955</v>
      </c>
      <c r="B955" s="2" t="str">
        <f>IFERROR(__xludf.DUMMYFUNCTION("GOOGLETRANSLATE(A955, ""en"", ""mt"")"),"Id-9")</f>
        <v>Id-9</v>
      </c>
    </row>
    <row r="956" ht="15.75" customHeight="1">
      <c r="A956" s="2" t="s">
        <v>956</v>
      </c>
      <c r="B956" s="2" t="str">
        <f>IFERROR(__xludf.DUMMYFUNCTION("GOOGLETRANSLATE(A956, ""en"", ""mt"")"),"Id-diżubbidjenti ċivili joqogħdu mill-vjolenza jingħad ukoll biex jgħinu jippreservaw it-tolleranza tas-soċjetà tad-diżubbidjenza ċivili")</f>
        <v>Id-diżubbidjenti ċivili joqogħdu mill-vjolenza jingħad ukoll biex jgħinu jippreservaw it-tolleranza tas-soċjetà tad-diżubbidjenza ċivili</v>
      </c>
    </row>
    <row r="957" ht="15.75" customHeight="1">
      <c r="A957" s="2" t="s">
        <v>957</v>
      </c>
      <c r="B957" s="2" t="str">
        <f>IFERROR(__xludf.DUMMYFUNCTION("GOOGLETRANSLATE(A957, ""en"", ""mt"")"),"1850")</f>
        <v>1850</v>
      </c>
    </row>
    <row r="958" ht="15.75" customHeight="1">
      <c r="A958" s="2" t="s">
        <v>958</v>
      </c>
      <c r="B958" s="2" t="str">
        <f>IFERROR(__xludf.DUMMYFUNCTION("GOOGLETRANSLATE(A958, ""en"", ""mt"")"),"il-pesta Taljana tal-1629-1631")</f>
        <v>il-pesta Taljana tal-1629-1631</v>
      </c>
    </row>
    <row r="959" ht="15.75" customHeight="1">
      <c r="A959" s="2" t="s">
        <v>959</v>
      </c>
      <c r="B959" s="2" t="str">
        <f>IFERROR(__xludf.DUMMYFUNCTION("GOOGLETRANSLATE(A959, ""en"", ""mt"")"),"Ctenophores oħra")</f>
        <v>Ctenophores oħra</v>
      </c>
    </row>
    <row r="960" ht="15.75" customHeight="1">
      <c r="A960" s="2" t="s">
        <v>960</v>
      </c>
      <c r="B960" s="2" t="str">
        <f>IFERROR(__xludf.DUMMYFUNCTION("GOOGLETRANSLATE(A960, ""en"", ""mt"")"),"Użu ta 'netwerk deċentralizzat b'ħafna mogħdijiet bejn kwalunkwe żewġ punti, billi taqsam il-messaġġi tal-utent fi blokki ta' messaġġi")</f>
        <v>Użu ta 'netwerk deċentralizzat b'ħafna mogħdijiet bejn kwalunkwe żewġ punti, billi taqsam il-messaġġi tal-utent fi blokki ta' messaġġi</v>
      </c>
    </row>
    <row r="961" ht="15.75" customHeight="1">
      <c r="A961" s="2" t="s">
        <v>961</v>
      </c>
      <c r="B961" s="2" t="str">
        <f>IFERROR(__xludf.DUMMYFUNCTION("GOOGLETRANSLATE(A961, ""en"", ""mt"")"),"Preżenza ta 'Raġel")</f>
        <v>Preżenza ta 'Raġel</v>
      </c>
    </row>
    <row r="962" ht="15.75" customHeight="1">
      <c r="A962" s="2" t="s">
        <v>962</v>
      </c>
      <c r="B962" s="2" t="str">
        <f>IFERROR(__xludf.DUMMYFUNCTION("GOOGLETRANSLATE(A962, ""en"", ""mt"")"),"Liema belt aktar tard saret Beijing?")</f>
        <v>Liema belt aktar tard saret Beijing?</v>
      </c>
    </row>
    <row r="963" ht="15.75" customHeight="1">
      <c r="A963" s="2" t="s">
        <v>963</v>
      </c>
      <c r="B963" s="2" t="str">
        <f>IFERROR(__xludf.DUMMYFUNCTION("GOOGLETRANSLATE(A963, ""en"", ""mt"")"),"X'inhi l-gżira barra mix-xatt Ġermaniż tar-Renu li jiltaqa 'ma' dan l-ilma sħun u kiesaħ?")</f>
        <v>X'inhi l-gżira barra mix-xatt Ġermaniż tar-Renu li jiltaqa 'ma' dan l-ilma sħun u kiesaħ?</v>
      </c>
    </row>
    <row r="964" ht="15.75" customHeight="1">
      <c r="A964" s="2" t="s">
        <v>964</v>
      </c>
      <c r="B964" s="2" t="str">
        <f>IFERROR(__xludf.DUMMYFUNCTION("GOOGLETRANSLATE(A964, ""en"", ""mt"")"),"Li beda programm ta ’riforma tal-knisja fl-1100s")</f>
        <v>Li beda programm ta ’riforma tal-knisja fl-1100s</v>
      </c>
    </row>
    <row r="965" ht="15.75" customHeight="1">
      <c r="A965" s="2" t="s">
        <v>965</v>
      </c>
      <c r="B965" s="2" t="str">
        <f>IFERROR(__xludf.DUMMYFUNCTION("GOOGLETRANSLATE(A965, ""en"", ""mt"")"),"Ħamsin fil-mija aktar")</f>
        <v>Ħamsin fil-mija aktar</v>
      </c>
    </row>
    <row r="966" ht="15.75" customHeight="1">
      <c r="A966" s="2" t="s">
        <v>966</v>
      </c>
      <c r="B966" s="2" t="str">
        <f>IFERROR(__xludf.DUMMYFUNCTION("GOOGLETRANSLATE(A966, ""en"", ""mt"")"),"Ventilaturi mekkaniċi")</f>
        <v>Ventilaturi mekkaniċi</v>
      </c>
    </row>
    <row r="967" ht="15.75" customHeight="1">
      <c r="A967" s="2" t="s">
        <v>967</v>
      </c>
      <c r="B967" s="2" t="str">
        <f>IFERROR(__xludf.DUMMYFUNCTION("GOOGLETRANSLATE(A967, ""en"", ""mt"")"),"Il-komunità tal-Internet2, fi sħubija ma 'QWest")</f>
        <v>Il-komunità tal-Internet2, fi sħubija ma 'QWest</v>
      </c>
    </row>
    <row r="968" ht="15.75" customHeight="1">
      <c r="A968" s="2" t="s">
        <v>968</v>
      </c>
      <c r="B968" s="2" t="str">
        <f>IFERROR(__xludf.DUMMYFUNCTION("GOOGLETRANSLATE(A968, ""en"", ""mt"")"),"Liema park tkopri u żona ta '74 ettaru.?")</f>
        <v>Liema park tkopri u żona ta '74 ettaru.?</v>
      </c>
    </row>
    <row r="969" ht="15.75" customHeight="1">
      <c r="A969" s="2" t="s">
        <v>969</v>
      </c>
      <c r="B969" s="2" t="str">
        <f>IFERROR(__xludf.DUMMYFUNCTION("GOOGLETRANSLATE(A969, ""en"", ""mt"")"),"Ir-reġjun jifrex fil-gżejjer misjuba f'liema korp ta 'ilma?")</f>
        <v>Ir-reġjun jifrex fil-gżejjer misjuba f'liema korp ta 'ilma?</v>
      </c>
    </row>
    <row r="970" ht="15.75" customHeight="1">
      <c r="A970" s="2" t="s">
        <v>970</v>
      </c>
      <c r="B970" s="2" t="str">
        <f>IFERROR(__xludf.DUMMYFUNCTION("GOOGLETRANSLATE(A970, ""en"", ""mt"")"),"Liema riċetturi għandhom ċelloli tat-tumur spiss ikollhom konċentrazzjonijiet imnaqqsa?")</f>
        <v>Liema riċetturi għandhom ċelloli tat-tumur spiss ikollhom konċentrazzjonijiet imnaqqsa?</v>
      </c>
    </row>
    <row r="971" ht="15.75" customHeight="1">
      <c r="A971" s="2" t="s">
        <v>971</v>
      </c>
      <c r="B971" s="2" t="str">
        <f>IFERROR(__xludf.DUMMYFUNCTION("GOOGLETRANSLATE(A971, ""en"", ""mt"")"),"Il-cestida (""annimali taċ-ċinturin"") huma annimali planktoniċi b'forma ta 'żigarella, bil-ħalq u l-organu aboral allinjat fin-nofs tat-truf opposti taż-żigarella. Hemm par ta 'rewwix tal-moxt tul kull tarf aboral, u t-tentilla ħarġu minn kanal tul it-ta"&amp;"rf orali, li jxerrdu lura madwar il-biċċa l-kbira tal-wiċċ tal-ġisem li jixbah il-ġwienaħ. Iċ-ċestidi jistgħu jgħumu billi jegħlbu ġisimhom kif ukoll permezz tas-swat tal-moxt tal-moxt tagħhom. Hemm żewġ speċi magħrufa, b'distribuzzjoni mad-dinja kollha f"&amp;"'ilmijiet sħan u sħan: cestum veneris (""Venere"" girdle "") hija fost l-ikbar ctenophores - sa 1.5 metri (4.9 ft) twila, u tista 'tissolva bil-mod jew pjuttost malajr malajr jew malajr malajr malajr malajr malajr malajr malajr malajr - Velamen parallelum"&amp;", li huwa tipikament inqas minn 20 ċentimetru (0.66 ft) twil, jista 'jiċċaqlaq ħafna aktar malajr f'dak li ġie deskritt bħala ""moviment ta' darting"".")</f>
        <v>Il-cestida ("annimali taċ-ċinturin") huma annimali planktoniċi b'forma ta 'żigarella, bil-ħalq u l-organu aboral allinjat fin-nofs tat-truf opposti taż-żigarella. Hemm par ta 'rewwix tal-moxt tul kull tarf aboral, u t-tentilla ħarġu minn kanal tul it-tarf orali, li jxerrdu lura madwar il-biċċa l-kbira tal-wiċċ tal-ġisem li jixbah il-ġwienaħ. Iċ-ċestidi jistgħu jgħumu billi jegħlbu ġisimhom kif ukoll permezz tas-swat tal-moxt tal-moxt tagħhom. Hemm żewġ speċi magħrufa, b'distribuzzjoni mad-dinja kollha f'ilmijiet sħan u sħan: cestum veneris ("Venere" girdle ") hija fost l-ikbar ctenophores - sa 1.5 metri (4.9 ft) twila, u tista 'tissolva bil-mod jew pjuttost malajr malajr jew malajr malajr malajr malajr malajr malajr malajr malajr - Velamen parallelum, li huwa tipikament inqas minn 20 ċentimetru (0.66 ft) twil, jista 'jiċċaqlaq ħafna aktar malajr f'dak li ġie deskritt bħala "moviment ta' darting".</v>
      </c>
    </row>
    <row r="972" ht="15.75" customHeight="1">
      <c r="A972" s="2" t="s">
        <v>972</v>
      </c>
      <c r="B972" s="2" t="str">
        <f>IFERROR(__xludf.DUMMYFUNCTION("GOOGLETRANSLATE(A972, ""en"", ""mt"")"),"Għaliex Polonia ġiet relegata mill-aqwa titjira tal-pajjiż fl-2013?")</f>
        <v>Għaliex Polonia ġiet relegata mill-aqwa titjira tal-pajjiż fl-2013?</v>
      </c>
    </row>
    <row r="973" ht="15.75" customHeight="1">
      <c r="A973" s="2" t="s">
        <v>973</v>
      </c>
      <c r="B973" s="2" t="str">
        <f>IFERROR(__xludf.DUMMYFUNCTION("GOOGLETRANSLATE(A973, ""en"", ""mt"")"),"X'tip ta 'rwol li jfittex l-Iżlamiżmu jagħmilha kunċett kemmxejn kontroversjali?")</f>
        <v>X'tip ta 'rwol li jfittex l-Iżlamiżmu jagħmilha kunċett kemmxejn kontroversjali?</v>
      </c>
    </row>
    <row r="974" ht="15.75" customHeight="1">
      <c r="A974" s="2" t="s">
        <v>974</v>
      </c>
      <c r="B974" s="2" t="str">
        <f>IFERROR(__xludf.DUMMYFUNCTION("GOOGLETRANSLATE(A974, ""en"", ""mt"")"),"Min inħeġġeġ in-Normanni biex jidħol fin-nofsinhar?")</f>
        <v>Min inħeġġeġ in-Normanni biex jidħol fin-nofsinhar?</v>
      </c>
    </row>
    <row r="975" ht="15.75" customHeight="1">
      <c r="A975" s="2" t="s">
        <v>975</v>
      </c>
      <c r="B975" s="2" t="str">
        <f>IFERROR(__xludf.DUMMYFUNCTION("GOOGLETRANSLATE(A975, ""en"", ""mt"")"),"Dsatax-il nazzjon għandhom x'inhu f'dan ir-reġjun?")</f>
        <v>Dsatax-il nazzjon għandhom x'inhu f'dan ir-reġjun?</v>
      </c>
    </row>
    <row r="976" ht="15.75" customHeight="1">
      <c r="A976" s="2" t="s">
        <v>976</v>
      </c>
      <c r="B976" s="2" t="str">
        <f>IFERROR(__xludf.DUMMYFUNCTION("GOOGLETRANSLATE(A976, ""en"", ""mt"")"),"Liema att jistabbilixxi t-terminu biex jiġġudika l-konfini tas-sanità li magħhom l-individwi li jixtiequ joqogħdu fuq l-SP għandhom jaderixxu?")</f>
        <v>Liema att jistabbilixxi t-terminu biex jiġġudika l-konfini tas-sanità li magħhom l-individwi li jixtiequ joqogħdu fuq l-SP għandhom jaderixxu?</v>
      </c>
    </row>
    <row r="977" ht="15.75" customHeight="1">
      <c r="A977" s="2" t="s">
        <v>977</v>
      </c>
      <c r="B977" s="2" t="str">
        <f>IFERROR(__xludf.DUMMYFUNCTION("GOOGLETRANSLATE(A977, ""en"", ""mt"")"),"Għall-ewwel, x’għamlu l-ossiġnu u l-ħadid biex jiffurmaw?")</f>
        <v>Għall-ewwel, x’għamlu l-ossiġnu u l-ħadid biex jiffurmaw?</v>
      </c>
    </row>
    <row r="978" ht="15.75" customHeight="1">
      <c r="A978" s="2" t="s">
        <v>978</v>
      </c>
      <c r="B978" s="2" t="str">
        <f>IFERROR(__xludf.DUMMYFUNCTION("GOOGLETRANSLATE(A978, ""en"", ""mt"")"),"Xogħlijiet pubbliċi kbar, digi, pontijiet, awtostradi, ilma / ilma tad-drenaġġ u utilità huma taħt liema settur tal-kostruzzjoni?")</f>
        <v>Xogħlijiet pubbliċi kbar, digi, pontijiet, awtostradi, ilma / ilma tad-drenaġġ u utilità huma taħt liema settur tal-kostruzzjoni?</v>
      </c>
    </row>
    <row r="979" ht="15.75" customHeight="1">
      <c r="A979" s="2" t="s">
        <v>979</v>
      </c>
      <c r="B979" s="2" t="str">
        <f>IFERROR(__xludf.DUMMYFUNCTION("GOOGLETRANSLATE(A979, ""en"", ""mt"")"),"Fuq min hu l-enfasi fuq meta jkun hemm inizjattiva tal-finanzi privati?")</f>
        <v>Fuq min hu l-enfasi fuq meta jkun hemm inizjattiva tal-finanzi privati?</v>
      </c>
    </row>
    <row r="980" ht="15.75" customHeight="1">
      <c r="A980" s="2" t="s">
        <v>980</v>
      </c>
      <c r="B980" s="2" t="str">
        <f>IFERROR(__xludf.DUMMYFUNCTION("GOOGLETRANSLATE(A980, ""en"", ""mt"")"),"Indipendenza Skoċċiża")</f>
        <v>Indipendenza Skoċċiża</v>
      </c>
    </row>
    <row r="981" ht="15.75" customHeight="1">
      <c r="A981" s="2" t="s">
        <v>981</v>
      </c>
      <c r="B981" s="2" t="str">
        <f>IFERROR(__xludf.DUMMYFUNCTION("GOOGLETRANSLATE(A981, ""en"", ""mt"")"),"Liema sena r-Renju Unit, l-Irlanda, id-Danimarka u n-Norveġja rrifjutaw li jingħaqdu fl-UE?")</f>
        <v>Liema sena r-Renju Unit, l-Irlanda, id-Danimarka u n-Norveġja rrifjutaw li jingħaqdu fl-UE?</v>
      </c>
    </row>
    <row r="982" ht="15.75" customHeight="1">
      <c r="A982" s="2" t="s">
        <v>982</v>
      </c>
      <c r="B982" s="2" t="str">
        <f>IFERROR(__xludf.DUMMYFUNCTION("GOOGLETRANSLATE(A982, ""en"", ""mt"")"),"Dak li serva bħala ġustifikazzjoni għall-impożizzjoni ta 'politiki imperjalisti fuq ċerti popli jew reġjuni?")</f>
        <v>Dak li serva bħala ġustifikazzjoni għall-impożizzjoni ta 'politiki imperjalisti fuq ċerti popli jew reġjuni?</v>
      </c>
    </row>
    <row r="983" ht="15.75" customHeight="1">
      <c r="A983" s="2" t="s">
        <v>983</v>
      </c>
      <c r="B983" s="2" t="str">
        <f>IFERROR(__xludf.DUMMYFUNCTION("GOOGLETRANSLATE(A983, ""en"", ""mt"")"),"voluminuż")</f>
        <v>voluminuż</v>
      </c>
    </row>
    <row r="984" ht="15.75" customHeight="1">
      <c r="A984" s="2" t="s">
        <v>984</v>
      </c>
      <c r="B984" s="2" t="str">
        <f>IFERROR(__xludf.DUMMYFUNCTION("GOOGLETRANSLATE(A984, ""en"", ""mt"")"),"Eleutherian Gunpowder Mills")</f>
        <v>Eleutherian Gunpowder Mills</v>
      </c>
    </row>
    <row r="985" ht="15.75" customHeight="1">
      <c r="A985" s="2" t="s">
        <v>985</v>
      </c>
      <c r="B985" s="2" t="str">
        <f>IFERROR(__xludf.DUMMYFUNCTION("GOOGLETRANSLATE(A985, ""en"", ""mt"")"),"X'tipi ta 'mediċini qatt ma jaħżnu l-ispiżeriji speċjalizzati?")</f>
        <v>X'tipi ta 'mediċini qatt ma jaħżnu l-ispiżeriji speċjalizzati?</v>
      </c>
    </row>
    <row r="986" ht="15.75" customHeight="1">
      <c r="A986" s="2" t="s">
        <v>986</v>
      </c>
      <c r="B986" s="2" t="str">
        <f>IFERROR(__xludf.DUMMYFUNCTION("GOOGLETRANSLATE(A986, ""en"", ""mt"")"),"4K + 3")</f>
        <v>4K + 3</v>
      </c>
    </row>
    <row r="987" ht="15.75" customHeight="1">
      <c r="A987" s="2" t="s">
        <v>987</v>
      </c>
      <c r="B987" s="2" t="str">
        <f>IFERROR(__xludf.DUMMYFUNCTION("GOOGLETRANSLATE(A987, ""en"", ""mt"")"),"Is-Sindku W. Haydon Burns")</f>
        <v>Is-Sindku W. Haydon Burns</v>
      </c>
    </row>
    <row r="988" ht="15.75" customHeight="1">
      <c r="A988" s="2" t="s">
        <v>988</v>
      </c>
      <c r="B988" s="2" t="str">
        <f>IFERROR(__xludf.DUMMYFUNCTION("GOOGLETRANSLATE(A988, ""en"", ""mt"")"),"Semmi karozza ikbar li Toyota ħarġet hekk kif ix-xerrejja lmentaw il-kumpatti ta 'daqs żgħir?")</f>
        <v>Semmi karozza ikbar li Toyota ħarġet hekk kif ix-xerrejja lmentaw il-kumpatti ta 'daqs żgħir?</v>
      </c>
    </row>
    <row r="989" ht="15.75" customHeight="1">
      <c r="A989" s="2" t="s">
        <v>989</v>
      </c>
      <c r="B989" s="2" t="str">
        <f>IFERROR(__xludf.DUMMYFUNCTION("GOOGLETRANSLATE(A989, ""en"", ""mt"")"),"X'kien il-Mall pedonali msejjaħ?")</f>
        <v>X'kien il-Mall pedonali msejjaħ?</v>
      </c>
    </row>
    <row r="990" ht="15.75" customHeight="1">
      <c r="A990" s="2" t="s">
        <v>990</v>
      </c>
      <c r="B990" s="2" t="str">
        <f>IFERROR(__xludf.DUMMYFUNCTION("GOOGLETRANSLATE(A990, ""en"", ""mt"")"),"Biex tenfasizza l-akkademiċi fuq l-atletika")</f>
        <v>Biex tenfasizza l-akkademiċi fuq l-atletika</v>
      </c>
    </row>
    <row r="991" ht="15.75" customHeight="1">
      <c r="A991" s="2" t="s">
        <v>991</v>
      </c>
      <c r="B991" s="2" t="str">
        <f>IFERROR(__xludf.DUMMYFUNCTION("GOOGLETRANSLATE(A991, ""en"", ""mt"")"),"X'inhu deskritt issa mill-ekwazzjonijiet ta 'Newtonjani?")</f>
        <v>X'inhu deskritt issa mill-ekwazzjonijiet ta 'Newtonjani?</v>
      </c>
    </row>
    <row r="992" ht="15.75" customHeight="1">
      <c r="A992" s="2" t="s">
        <v>992</v>
      </c>
      <c r="B992" s="2" t="str">
        <f>IFERROR(__xludf.DUMMYFUNCTION("GOOGLETRANSLATE(A992, ""en"", ""mt"")"),"7 miljun")</f>
        <v>7 miljun</v>
      </c>
    </row>
    <row r="993" ht="15.75" customHeight="1">
      <c r="A993" s="2" t="s">
        <v>993</v>
      </c>
      <c r="B993" s="2" t="str">
        <f>IFERROR(__xludf.DUMMYFUNCTION("GOOGLETRANSLATE(A993, ""en"", ""mt"")"),"Dawn l-istrutturi tal-proġett jippermettu lis-sid jintegra s-servizzi ta 'min matul id-disinn u l-kostruzzjoni?")</f>
        <v>Dawn l-istrutturi tal-proġett jippermettu lis-sid jintegra s-servizzi ta 'min matul id-disinn u l-kostruzzjoni?</v>
      </c>
    </row>
    <row r="994" ht="15.75" customHeight="1">
      <c r="A994" s="2" t="s">
        <v>994</v>
      </c>
      <c r="B994" s="2" t="str">
        <f>IFERROR(__xludf.DUMMYFUNCTION("GOOGLETRANSLATE(A994, ""en"", ""mt"")"),"Liema raġuni oħra kkawżat provvista ħażina ta 'Franza ġdida minn sajf diffiċli?")</f>
        <v>Liema raġuni oħra kkawżat provvista ħażina ta 'Franza ġdida minn sajf diffiċli?</v>
      </c>
    </row>
    <row r="995" ht="15.75" customHeight="1">
      <c r="A995" s="2" t="s">
        <v>995</v>
      </c>
      <c r="B995" s="2" t="str">
        <f>IFERROR(__xludf.DUMMYFUNCTION("GOOGLETRANSLATE(A995, ""en"", ""mt"")"),"ħlas għal kull unità ta 'ħin ta' konnessjoni")</f>
        <v>ħlas għal kull unità ta 'ħin ta' konnessjoni</v>
      </c>
    </row>
    <row r="996" ht="15.75" customHeight="1">
      <c r="A996" s="2" t="s">
        <v>996</v>
      </c>
      <c r="B996" s="2" t="str">
        <f>IFERROR(__xludf.DUMMYFUNCTION("GOOGLETRANSLATE(A996, ""en"", ""mt"")"),"Minn xiex ikun qed jeħles wara li ġie eliminat patoġen?")</f>
        <v>Minn xiex ikun qed jeħles wara li ġie eliminat patoġen?</v>
      </c>
    </row>
    <row r="997" ht="15.75" customHeight="1">
      <c r="A997" s="2" t="s">
        <v>997</v>
      </c>
      <c r="B997" s="2" t="str">
        <f>IFERROR(__xludf.DUMMYFUNCTION("GOOGLETRANSLATE(A997, ""en"", ""mt"")"),"Fis-seklu 12")</f>
        <v>Fis-seklu 12</v>
      </c>
    </row>
    <row r="998" ht="15.75" customHeight="1">
      <c r="A998" s="2" t="s">
        <v>998</v>
      </c>
      <c r="B998" s="2" t="str">
        <f>IFERROR(__xludf.DUMMYFUNCTION("GOOGLETRANSLATE(A998, ""en"", ""mt"")"),"F'liema pajjiż jinsab in-Normandija?")</f>
        <v>F'liema pajjiż jinsab in-Normandija?</v>
      </c>
    </row>
    <row r="999" ht="15.75" customHeight="1">
      <c r="A999" s="2" t="s">
        <v>999</v>
      </c>
      <c r="B999" s="2" t="str">
        <f>IFERROR(__xludf.DUMMYFUNCTION("GOOGLETRANSLATE(A999, ""en"", ""mt"")"),"X'inhu eżempju ta 'virus li juża varjazzjoni antiġenika?")</f>
        <v>X'inhu eżempju ta 'virus li juża varjazzjoni antiġenika?</v>
      </c>
    </row>
    <row r="1000" ht="15.75" customHeight="1">
      <c r="A1000" s="2" t="s">
        <v>1000</v>
      </c>
      <c r="B1000" s="2" t="str">
        <f>IFERROR(__xludf.DUMMYFUNCTION("GOOGLETRANSLATE(A1000, ""en"", ""mt"")"),"X'kienu l-oriġini tal-familja Raouliii?")</f>
        <v>X'kienu l-oriġini tal-familja Raouliii?</v>
      </c>
    </row>
    <row r="1001" ht="15.75" customHeight="1">
      <c r="A1001" s="2" t="s">
        <v>1001</v>
      </c>
      <c r="B1001" s="2" t="str">
        <f>IFERROR(__xludf.DUMMYFUNCTION("GOOGLETRANSLATE(A1001, ""en"", ""mt"")"),"Min ivvinta l-ewwel reattur nukleari?")</f>
        <v>Min ivvinta l-ewwel reattur nukleari?</v>
      </c>
    </row>
    <row r="1002" ht="15.75" customHeight="1">
      <c r="A1002" s="2" t="s">
        <v>1002</v>
      </c>
      <c r="B1002" s="2" t="str">
        <f>IFERROR(__xludf.DUMMYFUNCTION("GOOGLETRANSLATE(A1002, ""en"", ""mt"")"),"Librerija Regenstein")</f>
        <v>Librerija Regenstein</v>
      </c>
    </row>
    <row r="1003" ht="15.75" customHeight="1">
      <c r="A1003" s="2" t="s">
        <v>1003</v>
      </c>
      <c r="B1003" s="2" t="str">
        <f>IFERROR(__xludf.DUMMYFUNCTION("GOOGLETRANSLATE(A1003, ""en"", ""mt"")"),"Virgin Media (immarkata mill-ġdid fl-2007 minn NTL: Telewest) bdiet toffri televiżjoni ta 'definizzjoni għolja (HDTV) li tista' tissettja l-aqwa kaxxa, għalkemm mit-30 ta 'Novembru 2006 sat-30 ta' Lulju 2009 hija ġabet biss kanal HD lineari, BBC HD, wara "&amp;"il-konklużjoni tal-prova ITV HD. Virgin Media sostniet li kanali HD oħra kienu ""maqfula"" jew inkella miżmuma mill-pjattaforma tagħhom, għalkemm Virgin Media fil-fatt kellha l-għażla li ġġorr Channel 4 HD fil-futur. Madankollu, il-kanali lineari ma ġewx "&amp;"offruti, Virgin Media minflok tikkonċentra fuq is-servizz tal-vidjow fuq talba tagħha biex iġġorr għażla modesta ta 'kontenut HD. Virgin Media madankollu għamlet numru ta 'dikjarazzjonijiet matul is-snin, li tissuġġerixxi li hemm aktar kanali HD lineari f"&amp;"it-triq.")</f>
        <v>Virgin Media (immarkata mill-ġdid fl-2007 minn NTL: Telewest) bdiet toffri televiżjoni ta 'definizzjoni għolja (HDTV) li tista' tissettja l-aqwa kaxxa, għalkemm mit-30 ta 'Novembru 2006 sat-30 ta' Lulju 2009 hija ġabet biss kanal HD lineari, BBC HD, wara il-konklużjoni tal-prova ITV HD. Virgin Media sostniet li kanali HD oħra kienu "maqfula" jew inkella miżmuma mill-pjattaforma tagħhom, għalkemm Virgin Media fil-fatt kellha l-għażla li ġġorr Channel 4 HD fil-futur. Madankollu, il-kanali lineari ma ġewx offruti, Virgin Media minflok tikkonċentra fuq is-servizz tal-vidjow fuq talba tagħha biex iġġorr għażla modesta ta 'kontenut HD. Virgin Media madankollu għamlet numru ta 'dikjarazzjonijiet matul is-snin, li tissuġġerixxi li hemm aktar kanali HD lineari fit-triq.</v>
      </c>
    </row>
    <row r="1004" ht="15.75" customHeight="1">
      <c r="A1004" s="2" t="s">
        <v>1004</v>
      </c>
      <c r="B1004" s="2" t="str">
        <f>IFERROR(__xludf.DUMMYFUNCTION("GOOGLETRANSLATE(A1004, ""en"", ""mt"")"),"X'tip ta 'kumpanija huwa van gend en loos?")</f>
        <v>X'tip ta 'kumpanija huwa van gend en loos?</v>
      </c>
    </row>
    <row r="1005" ht="15.75" customHeight="1">
      <c r="A1005" s="2" t="s">
        <v>1005</v>
      </c>
      <c r="B1005" s="2" t="str">
        <f>IFERROR(__xludf.DUMMYFUNCTION("GOOGLETRANSLATE(A1005, ""en"", ""mt"")"),"Investigazzjonijiet Kriminali")</f>
        <v>Investigazzjonijiet Kriminali</v>
      </c>
    </row>
    <row r="1006" ht="15.75" customHeight="1">
      <c r="A1006" s="2" t="s">
        <v>1006</v>
      </c>
      <c r="B1006" s="2" t="str">
        <f>IFERROR(__xludf.DUMMYFUNCTION("GOOGLETRANSLATE(A1006, ""en"", ""mt"")"),"1,230 kilometru")</f>
        <v>1,230 kilometru</v>
      </c>
    </row>
    <row r="1007" ht="15.75" customHeight="1">
      <c r="A1007" s="2" t="s">
        <v>1007</v>
      </c>
      <c r="B1007" s="2" t="str">
        <f>IFERROR(__xludf.DUMMYFUNCTION("GOOGLETRANSLATE(A1007, ""en"", ""mt"")"),"Jean-Claude Juncker")</f>
        <v>Jean-Claude Juncker</v>
      </c>
    </row>
    <row r="1008" ht="15.75" customHeight="1">
      <c r="A1008" s="2" t="s">
        <v>1008</v>
      </c>
      <c r="B1008" s="2" t="str">
        <f>IFERROR(__xludf.DUMMYFUNCTION("GOOGLETRANSLATE(A1008, ""en"", ""mt"")"),"Baċin tal-Amazonas")</f>
        <v>Baċin tal-Amazonas</v>
      </c>
    </row>
    <row r="1009" ht="15.75" customHeight="1">
      <c r="A1009" s="2" t="s">
        <v>1009</v>
      </c>
      <c r="B1009" s="2" t="str">
        <f>IFERROR(__xludf.DUMMYFUNCTION("GOOGLETRANSLATE(A1009, ""en"", ""mt"")"),"Assemblea Leġiżlattiva")</f>
        <v>Assemblea Leġiżlattiva</v>
      </c>
    </row>
    <row r="1010" ht="15.75" customHeight="1">
      <c r="A1010" s="2" t="s">
        <v>1010</v>
      </c>
      <c r="B1010" s="2" t="str">
        <f>IFERROR(__xludf.DUMMYFUNCTION("GOOGLETRANSLATE(A1010, ""en"", ""mt"")"),"ħama")</f>
        <v>ħama</v>
      </c>
    </row>
    <row r="1011" ht="15.75" customHeight="1">
      <c r="A1011" s="2" t="s">
        <v>1011</v>
      </c>
      <c r="B1011" s="2" t="str">
        <f>IFERROR(__xludf.DUMMYFUNCTION("GOOGLETRANSLATE(A1011, ""en"", ""mt"")"),"Meta huma problemi li għandhom soluzzjonijiet polinomjali-tome fit-teorija tal-kumplessità?")</f>
        <v>Meta huma problemi li għandhom soluzzjonijiet polinomjali-tome fit-teorija tal-kumplessità?</v>
      </c>
    </row>
    <row r="1012" ht="15.75" customHeight="1">
      <c r="A1012" s="2" t="s">
        <v>1012</v>
      </c>
      <c r="B1012" s="2" t="str">
        <f>IFERROR(__xludf.DUMMYFUNCTION("GOOGLETRANSLATE(A1012, ""en"", ""mt"")"),"Proporzjonali b'ħafna membri")</f>
        <v>Proporzjonali b'ħafna membri</v>
      </c>
    </row>
    <row r="1013" ht="15.75" customHeight="1">
      <c r="A1013" s="2" t="s">
        <v>1013</v>
      </c>
      <c r="B1013" s="2" t="str">
        <f>IFERROR(__xludf.DUMMYFUNCTION("GOOGLETRANSLATE(A1013, ""en"", ""mt"")"),"Liema kunċett użaw il-filosfi fl-antikità biex jistudjaw magni sempliċi?")</f>
        <v>Liema kunċett użaw il-filosfi fl-antikità biex jistudjaw magni sempliċi?</v>
      </c>
    </row>
    <row r="1014" ht="15.75" customHeight="1">
      <c r="A1014" s="2" t="s">
        <v>1014</v>
      </c>
      <c r="B1014" s="2" t="str">
        <f>IFERROR(__xludf.DUMMYFUNCTION("GOOGLETRANSLATE(A1014, ""en"", ""mt"")"),"Wieħed mill-ewwel esperimenti magħrufa dwar ir-relazzjoni bejn il-kombustjoni u l-arja sar mill-kittieb Grieg tat-2 seklu BCE fuq il-mekkanika, Philo of Bizantium. Fix-xogħol tiegħu pneumatica, Philo osserva li tbiddel bastiment fuq xemgħa li tinħaraq u l"&amp;"i jdawwar l-għonq tal-bastiment bl-ilma rriżulta f'xi ilma li jitla 'fl-għonq. Philo sssumi b'mod żbaljat li partijiet ta 'l-arja fil-bastiment ġew konvertiti fin-nar tal-element klassiku u b'hekk setgħu jaħarbu minn pori fil-ħġieġ. Ħafna sekli wara Leona"&amp;"rdo da Vinci bena fuq ix-xogħol ta 'Philo billi osserva li porzjon ta' l-arja jiġi kkunsmat waqt il-kombustjoni u r-respirazzjoni.")</f>
        <v>Wieħed mill-ewwel esperimenti magħrufa dwar ir-relazzjoni bejn il-kombustjoni u l-arja sar mill-kittieb Grieg tat-2 seklu BCE fuq il-mekkanika, Philo of Bizantium. Fix-xogħol tiegħu pneumatica, Philo osserva li tbiddel bastiment fuq xemgħa li tinħaraq u li jdawwar l-għonq tal-bastiment bl-ilma rriżulta f'xi ilma li jitla 'fl-għonq. Philo sssumi b'mod żbaljat li partijiet ta 'l-arja fil-bastiment ġew konvertiti fin-nar tal-element klassiku u b'hekk setgħu jaħarbu minn pori fil-ħġieġ. Ħafna sekli wara Leonardo da Vinci bena fuq ix-xogħol ta 'Philo billi osserva li porzjon ta' l-arja jiġi kkunsmat waqt il-kombustjoni u r-respirazzjoni.</v>
      </c>
    </row>
    <row r="1015" ht="15.75" customHeight="1">
      <c r="A1015" s="2" t="s">
        <v>1015</v>
      </c>
      <c r="B1015" s="2" t="str">
        <f>IFERROR(__xludf.DUMMYFUNCTION("GOOGLETRANSLATE(A1015, ""en"", ""mt"")"),"Ir-ribelljonijiet Huguenot")</f>
        <v>Ir-ribelljonijiet Huguenot</v>
      </c>
    </row>
    <row r="1016" ht="15.75" customHeight="1">
      <c r="A1016" s="2" t="s">
        <v>1016</v>
      </c>
      <c r="B1016" s="2" t="str">
        <f>IFERROR(__xludf.DUMMYFUNCTION("GOOGLETRANSLATE(A1016, ""en"", ""mt"")"),"Assoċjazzjoni Medika Amerikana")</f>
        <v>Assoċjazzjoni Medika Amerikana</v>
      </c>
    </row>
    <row r="1017" ht="15.75" customHeight="1">
      <c r="A1017" s="2" t="s">
        <v>1017</v>
      </c>
      <c r="B1017" s="2" t="str">
        <f>IFERROR(__xludf.DUMMYFUNCTION("GOOGLETRANSLATE(A1017, ""en"", ""mt"")"),"Kemm sportiv jikkompeti Yale fid-Diviżjoni I tal-NCAA I Ivy League?")</f>
        <v>Kemm sportiv jikkompeti Yale fid-Diviżjoni I tal-NCAA I Ivy League?</v>
      </c>
    </row>
    <row r="1018" ht="15.75" customHeight="1">
      <c r="A1018" s="2" t="s">
        <v>1018</v>
      </c>
      <c r="B1018" s="2" t="str">
        <f>IFERROR(__xludf.DUMMYFUNCTION("GOOGLETRANSLATE(A1018, ""en"", ""mt"")"),"X’taħseb Dalton li l-proporzjonijiet atomiċi kienu bejn l-atomi fil-komposti?")</f>
        <v>X’taħseb Dalton li l-proporzjonijiet atomiċi kienu bejn l-atomi fil-komposti?</v>
      </c>
    </row>
    <row r="1019" ht="15.75" customHeight="1">
      <c r="A1019" s="2" t="s">
        <v>1019</v>
      </c>
      <c r="B1019" s="2" t="str">
        <f>IFERROR(__xludf.DUMMYFUNCTION("GOOGLETRANSLATE(A1019, ""en"", ""mt"")"),"Polignac's")</f>
        <v>Polignac's</v>
      </c>
    </row>
    <row r="1020" ht="15.75" customHeight="1">
      <c r="A1020" s="2" t="s">
        <v>1020</v>
      </c>
      <c r="B1020" s="2" t="str">
        <f>IFERROR(__xludf.DUMMYFUNCTION("GOOGLETRANSLATE(A1020, ""en"", ""mt"")"),"Min skopra l-effett AA Michelson?")</f>
        <v>Min skopra l-effett AA Michelson?</v>
      </c>
    </row>
    <row r="1021" ht="15.75" customHeight="1">
      <c r="A1021" s="2" t="s">
        <v>1021</v>
      </c>
      <c r="B1021" s="2" t="str">
        <f>IFERROR(__xludf.DUMMYFUNCTION("GOOGLETRANSLATE(A1021, ""en"", ""mt"")"),"Liema proċess jikklassifika problemi li jistgħu u ma jistgħux jissolvew b'riżorsi bejn wieħed u ieħor illimitat?")</f>
        <v>Liema proċess jikklassifika problemi li jistgħu u ma jistgħux jissolvew b'riżorsi bejn wieħed u ieħor illimitat?</v>
      </c>
    </row>
    <row r="1022" ht="15.75" customHeight="1">
      <c r="A1022" s="2" t="s">
        <v>1022</v>
      </c>
      <c r="B1022" s="2" t="str">
        <f>IFERROR(__xludf.DUMMYFUNCTION("GOOGLETRANSLATE(A1022, ""en"", ""mt"")"),"Mnemiopsis")</f>
        <v>Mnemiopsis</v>
      </c>
    </row>
    <row r="1023" ht="15.75" customHeight="1">
      <c r="A1023" s="2" t="s">
        <v>1023</v>
      </c>
      <c r="B1023" s="2" t="str">
        <f>IFERROR(__xludf.DUMMYFUNCTION("GOOGLETRANSLATE(A1023, ""en"", ""mt"")"),"ħdejn Millingen Aan de Rijn")</f>
        <v>ħdejn Millingen Aan de Rijn</v>
      </c>
    </row>
    <row r="1024" ht="15.75" customHeight="1">
      <c r="A1024" s="2" t="s">
        <v>1024</v>
      </c>
      <c r="B1024" s="2" t="str">
        <f>IFERROR(__xludf.DUMMYFUNCTION("GOOGLETRANSLATE(A1024, ""en"", ""mt"")"),"Il-fwar jaħrab")</f>
        <v>Il-fwar jaħrab</v>
      </c>
    </row>
    <row r="1025" ht="15.75" customHeight="1">
      <c r="A1025" s="2" t="s">
        <v>1025</v>
      </c>
      <c r="B1025" s="2" t="str">
        <f>IFERROR(__xludf.DUMMYFUNCTION("GOOGLETRANSLATE(A1025, ""en"", ""mt"")"),"Fl-1755 liema fort qabdu l-Ingliżi?")</f>
        <v>Fl-1755 liema fort qabdu l-Ingliżi?</v>
      </c>
    </row>
    <row r="1026" ht="15.75" customHeight="1">
      <c r="A1026" s="2" t="s">
        <v>1026</v>
      </c>
      <c r="B1026" s="2" t="str">
        <f>IFERROR(__xludf.DUMMYFUNCTION("GOOGLETRANSLATE(A1026, ""en"", ""mt"")"),"soċjalment")</f>
        <v>soċjalment</v>
      </c>
    </row>
    <row r="1027" ht="15.75" customHeight="1">
      <c r="A1027" s="2" t="s">
        <v>1027</v>
      </c>
      <c r="B1027" s="2" t="str">
        <f>IFERROR(__xludf.DUMMYFUNCTION("GOOGLETRANSLATE(A1027, ""en"", ""mt"")"),"Għaliex huwa preferut li d-diżubbidjenza ċivili mhix vjolenti?")</f>
        <v>Għaliex huwa preferut li d-diżubbidjenza ċivili mhix vjolenti?</v>
      </c>
    </row>
    <row r="1028" ht="15.75" customHeight="1">
      <c r="A1028" s="2" t="s">
        <v>1028</v>
      </c>
      <c r="B1028" s="2" t="str">
        <f>IFERROR(__xludf.DUMMYFUNCTION("GOOGLETRANSLATE(A1028, ""en"", ""mt"")"),"soċjali")</f>
        <v>soċjali</v>
      </c>
    </row>
    <row r="1029" ht="15.75" customHeight="1">
      <c r="A1029" s="2" t="s">
        <v>1029</v>
      </c>
      <c r="B1029" s="2" t="str">
        <f>IFERROR(__xludf.DUMMYFUNCTION("GOOGLETRANSLATE(A1029, ""en"", ""mt"")"),"kopertura ta 'veġetazzjoni tropikali niedja mnaqqsa fil-baċin")</f>
        <v>kopertura ta 'veġetazzjoni tropikali niedja mnaqqsa fil-baċin</v>
      </c>
    </row>
    <row r="1030" ht="15.75" customHeight="1">
      <c r="A1030" s="2" t="s">
        <v>1030</v>
      </c>
      <c r="B1030" s="2" t="str">
        <f>IFERROR(__xludf.DUMMYFUNCTION("GOOGLETRANSLATE(A1030, ""en"", ""mt"")"),"b’mod aggressiv")</f>
        <v>b’mod aggressiv</v>
      </c>
    </row>
    <row r="1031" ht="15.75" customHeight="1">
      <c r="A1031" s="2" t="s">
        <v>1031</v>
      </c>
      <c r="B1031" s="2" t="str">
        <f>IFERROR(__xludf.DUMMYFUNCTION("GOOGLETRANSLATE(A1031, ""en"", ""mt"")"),"tkeċċija")</f>
        <v>tkeċċija</v>
      </c>
    </row>
    <row r="1032" ht="15.75" customHeight="1">
      <c r="A1032" s="2" t="s">
        <v>1032</v>
      </c>
      <c r="B1032" s="2" t="str">
        <f>IFERROR(__xludf.DUMMYFUNCTION("GOOGLETRANSLATE(A1032, ""en"", ""mt"")"),"Watt")</f>
        <v>Watt</v>
      </c>
    </row>
    <row r="1033" ht="15.75" customHeight="1">
      <c r="A1033" s="2" t="s">
        <v>1033</v>
      </c>
      <c r="B1033" s="2" t="str">
        <f>IFERROR(__xludf.DUMMYFUNCTION("GOOGLETRANSLATE(A1033, ""en"", ""mt"")"),"Ħaddiema b'ħiliet baxxi fil-pajjiżi foqra")</f>
        <v>Ħaddiema b'ħiliet baxxi fil-pajjiżi foqra</v>
      </c>
    </row>
    <row r="1034" ht="15.75" customHeight="1">
      <c r="A1034" s="2" t="s">
        <v>1034</v>
      </c>
      <c r="B1034" s="2" t="str">
        <f>IFERROR(__xludf.DUMMYFUNCTION("GOOGLETRANSLATE(A1034, ""en"", ""mt"")"),"Min jistabbilixxi l-aġenda leġiżlattiva fir-Rabat?")</f>
        <v>Min jistabbilixxi l-aġenda leġiżlattiva fir-Rabat?</v>
      </c>
    </row>
    <row r="1035" ht="15.75" customHeight="1">
      <c r="A1035" s="2" t="s">
        <v>1035</v>
      </c>
      <c r="B1035" s="2" t="str">
        <f>IFERROR(__xludf.DUMMYFUNCTION("GOOGLETRANSLATE(A1035, ""en"", ""mt"")"),"Residenti ġodda lesti li jħallsu rata ogħla tas-suq")</f>
        <v>Residenti ġodda lesti li jħallsu rata ogħla tas-suq</v>
      </c>
    </row>
    <row r="1036" ht="15.75" customHeight="1">
      <c r="A1036" s="2" t="s">
        <v>1036</v>
      </c>
      <c r="B1036" s="2" t="str">
        <f>IFERROR(__xludf.DUMMYFUNCTION("GOOGLETRANSLATE(A1036, ""en"", ""mt"")"),"It-Teorema tan-Numru Prim")</f>
        <v>It-Teorema tan-Numru Prim</v>
      </c>
    </row>
    <row r="1037" ht="15.75" customHeight="1">
      <c r="A1037" s="2" t="s">
        <v>1037</v>
      </c>
      <c r="B1037" s="2" t="str">
        <f>IFERROR(__xludf.DUMMYFUNCTION("GOOGLETRANSLATE(A1037, ""en"", ""mt"")"),"Liema bini żamm l-Istitut Milton Friedman?")</f>
        <v>Liema bini żamm l-Istitut Milton Friedman?</v>
      </c>
    </row>
    <row r="1038" ht="15.75" customHeight="1">
      <c r="A1038" s="2" t="s">
        <v>1038</v>
      </c>
      <c r="B1038" s="2" t="str">
        <f>IFERROR(__xludf.DUMMYFUNCTION("GOOGLETRANSLATE(A1038, ""en"", ""mt"")"),"X'tip ta 'mudell tal-fiżika Einstein naqas milli jagħmel?")</f>
        <v>X'tip ta 'mudell tal-fiżika Einstein naqas milli jagħmel?</v>
      </c>
    </row>
    <row r="1039" ht="15.75" customHeight="1">
      <c r="A1039" s="2" t="s">
        <v>1039</v>
      </c>
      <c r="B1039" s="2" t="str">
        <f>IFERROR(__xludf.DUMMYFUNCTION("GOOGLETRANSLATE(A1039, ""en"", ""mt"")"),"Min iġġieled fil-Gwerra Franċiża u Indjana?")</f>
        <v>Min iġġieled fil-Gwerra Franċiża u Indjana?</v>
      </c>
    </row>
    <row r="1040" ht="15.75" customHeight="1">
      <c r="A1040" s="2" t="s">
        <v>1040</v>
      </c>
      <c r="B1040" s="2" t="str">
        <f>IFERROR(__xludf.DUMMYFUNCTION("GOOGLETRANSLATE(A1040, ""en"", ""mt"")"),"Frar 2015")</f>
        <v>Frar 2015</v>
      </c>
    </row>
    <row r="1041" ht="15.75" customHeight="1">
      <c r="A1041" s="2" t="s">
        <v>1041</v>
      </c>
      <c r="B1041" s="2" t="str">
        <f>IFERROR(__xludf.DUMMYFUNCTION("GOOGLETRANSLATE(A1041, ""en"", ""mt"")"),"Edward il-konfessur")</f>
        <v>Edward il-konfessur</v>
      </c>
    </row>
    <row r="1042" ht="15.75" customHeight="1">
      <c r="A1042" s="2" t="s">
        <v>1042</v>
      </c>
      <c r="B1042" s="2" t="str">
        <f>IFERROR(__xludf.DUMMYFUNCTION("GOOGLETRANSLATE(A1042, ""en"", ""mt"")"),"Kearney Park")</f>
        <v>Kearney Park</v>
      </c>
    </row>
    <row r="1043" ht="15.75" customHeight="1">
      <c r="A1043" s="2" t="s">
        <v>1043</v>
      </c>
      <c r="B1043" s="2" t="str">
        <f>IFERROR(__xludf.DUMMYFUNCTION("GOOGLETRANSLATE(A1043, ""en"", ""mt"")"),"Liema teorema tibqa 'valida f'oqsma ta' fatturizzazzjoni uniċi?")</f>
        <v>Liema teorema tibqa 'valida f'oqsma ta' fatturizzazzjoni uniċi?</v>
      </c>
    </row>
    <row r="1044" ht="15.75" customHeight="1">
      <c r="A1044" s="2" t="s">
        <v>1044</v>
      </c>
      <c r="B1044" s="2" t="str">
        <f>IFERROR(__xludf.DUMMYFUNCTION("GOOGLETRANSLATE(A1044, ""en"", ""mt"")")," L-espansjoni tal-Istati Uniti lejn il-punent tista 'titqies bħala x'tip ta' mhux kolonjaliżmu?")</f>
        <v> L-espansjoni tal-Istati Uniti lejn il-punent tista 'titqies bħala x'tip ta' mhux kolonjaliżmu?</v>
      </c>
    </row>
    <row r="1045" ht="15.75" customHeight="1">
      <c r="A1045" s="2" t="s">
        <v>1045</v>
      </c>
      <c r="B1045" s="2" t="str">
        <f>IFERROR(__xludf.DUMMYFUNCTION("GOOGLETRANSLATE(A1045, ""en"", ""mt"")"),"Id-dinastija Norman kellha impatt politiku, kulturali u militari maġġuri fuq l-Ewropa medjevali u anke l-Lvant Qarib. In-Normanni kienu famużi għall-ispirtu marzjali tagħhom u eventwalment għall-piety Christian tagħhom, u saru esponenti tal-ortodossija Ka"&amp;"ttolika li fihom assimilaw. Huma adottaw il-lingwa gallo-rumanz ta 'l-art Franki li huma stabbilixxew, id-djalett tagħhom isir magħruf bħala Norman, Normaund jew Norman Franċiż, lingwa letterarja importanti. Id-Dukat tan-Normandija, li huma ffurmaw bit-tr"&amp;"attat mal-kuruna Franċiża, kien fief kbir ta ’Franza medjevali, u taħt Richard I tan-Normandija ġie ffalsifikat ġo prinċipat koeżiv u formidabbli fil-kariga feudali. In-Normanni huma nnotati kemm għall-kultura tagħhom, bħall-arkitettura Rumanika unika tag"&amp;"ħhom u t-tradizzjonijiet mużikali, kif ukoll għall-kisbiet u l-innovazzjonijiet militari sinifikanti tagħhom. Norman Adventurers waqqfu r-Renju ta ’Sqallija taħt Roger II wara li rbħu l-Italja tan-Nofsinhar fuq is-Saraċens u l-Biżantini, u expedition f’is"&amp;"em id-Duka tagħhom, William the Conqueror, wasslet għall-konkwista Norman tal-Ingilterra fil-Battalja ta’ Hastings fl-1066. Norman Cultural u influwenza militari mifruxa minn dawn iċ-ċentri Ewropej ġodda għall-istati tal-Kruċjati tal-Lvant Qarib, fejn il-"&amp;"Prinċep Bohemond tagħhom waqqaf il-Prinċipat ta 'Antijokja fil-Levant, lejn l-Iskozja u Wales fil-Gran Brittanja, lejn l-Irlanda, u lejn il-kosti ta' l-Afrika ta 'Fuq u l-Gżejjer Kanarji.")</f>
        <v>Id-dinastija Norman kellha impatt politiku, kulturali u militari maġġuri fuq l-Ewropa medjevali u anke l-Lvant Qarib. In-Normanni kienu famużi għall-ispirtu marzjali tagħhom u eventwalment għall-piety Christian tagħhom, u saru esponenti tal-ortodossija Kattolika li fihom assimilaw. Huma adottaw il-lingwa gallo-rumanz ta 'l-art Franki li huma stabbilixxew, id-djalett tagħhom isir magħruf bħala Norman, Normaund jew Norman Franċiż, lingwa letterarja importanti. Id-Dukat tan-Normandija, li huma ffurmaw bit-trattat mal-kuruna Franċiża, kien fief kbir ta ’Franza medjevali, u taħt Richard I tan-Normandija ġie ffalsifikat ġo prinċipat koeżiv u formidabbli fil-kariga feudali. In-Normanni huma nnotati kemm għall-kultura tagħhom, bħall-arkitettura Rumanika unika tagħhom u t-tradizzjonijiet mużikali, kif ukoll għall-kisbiet u l-innovazzjonijiet militari sinifikanti tagħhom. Norman Adventurers waqqfu r-Renju ta ’Sqallija taħt Roger II wara li rbħu l-Italja tan-Nofsinhar fuq is-Saraċens u l-Biżantini, u expedition f’isem id-Duka tagħhom, William the Conqueror, wasslet għall-konkwista Norman tal-Ingilterra fil-Battalja ta’ Hastings fl-1066. Norman Cultural u influwenza militari mifruxa minn dawn iċ-ċentri Ewropej ġodda għall-istati tal-Kruċjati tal-Lvant Qarib, fejn il-Prinċep Bohemond tagħhom waqqaf il-Prinċipat ta 'Antijokja fil-Levant, lejn l-Iskozja u Wales fil-Gran Brittanja, lejn l-Irlanda, u lejn il-kosti ta' l-Afrika ta 'Fuq u l-Gżejjer Kanarji.</v>
      </c>
    </row>
    <row r="1046" ht="15.75" customHeight="1">
      <c r="A1046" s="2" t="s">
        <v>1046</v>
      </c>
      <c r="B1046" s="2" t="str">
        <f>IFERROR(__xludf.DUMMYFUNCTION("GOOGLETRANSLATE(A1046, ""en"", ""mt"")"),"Liema awtur jargumenta li pitching il-kuxjenza kontra l-kollettiv?")</f>
        <v>Liema awtur jargumenta li pitching il-kuxjenza kontra l-kollettiv?</v>
      </c>
    </row>
    <row r="1047" ht="15.75" customHeight="1">
      <c r="A1047" s="2" t="s">
        <v>1047</v>
      </c>
      <c r="B1047" s="2" t="str">
        <f>IFERROR(__xludf.DUMMYFUNCTION("GOOGLETRANSLATE(A1047, ""en"", ""mt"")"),"Porzjonijiet żgħar biss tal-foresta tal-Amażonja huma riżultat ta 'xiex?")</f>
        <v>Porzjonijiet żgħar biss tal-foresta tal-Amażonja huma riżultat ta 'xiex?</v>
      </c>
    </row>
    <row r="1048" ht="15.75" customHeight="1">
      <c r="A1048" s="2" t="s">
        <v>1048</v>
      </c>
      <c r="B1048" s="2" t="str">
        <f>IFERROR(__xludf.DUMMYFUNCTION("GOOGLETRANSLATE(A1048, ""en"", ""mt"")"),"Meta l-Black Death kienet teknikament naqset?")</f>
        <v>Meta l-Black Death kienet teknikament naqset?</v>
      </c>
    </row>
    <row r="1049" ht="15.75" customHeight="1">
      <c r="A1049" s="2" t="s">
        <v>1049</v>
      </c>
      <c r="B1049" s="2" t="str">
        <f>IFERROR(__xludf.DUMMYFUNCTION("GOOGLETRANSLATE(A1049, ""en"", ""mt"")"),"1855 Kostituzzjoni Kolonjali")</f>
        <v>1855 Kostituzzjoni Kolonjali</v>
      </c>
    </row>
    <row r="1050" ht="15.75" customHeight="1">
      <c r="A1050" s="2" t="s">
        <v>1050</v>
      </c>
      <c r="B1050" s="2" t="str">
        <f>IFERROR(__xludf.DUMMYFUNCTION("GOOGLETRANSLATE(A1050, ""en"", ""mt"")"),"X'inhu lustrar għal ""mara""?")</f>
        <v>X'inhu lustrar għal "mara"?</v>
      </c>
    </row>
    <row r="1051" ht="15.75" customHeight="1">
      <c r="A1051" s="2" t="s">
        <v>1051</v>
      </c>
      <c r="B1051" s="2" t="str">
        <f>IFERROR(__xludf.DUMMYFUNCTION("GOOGLETRANSLATE(A1051, ""en"", ""mt"")"),"Għaliex il-kont finali jiġi mgħoddi lill-monarka?")</f>
        <v>Għaliex il-kont finali jiġi mgħoddi lill-monarka?</v>
      </c>
    </row>
    <row r="1052" ht="15.75" customHeight="1">
      <c r="A1052" s="2" t="s">
        <v>1052</v>
      </c>
      <c r="B1052" s="2" t="str">
        <f>IFERROR(__xludf.DUMMYFUNCTION("GOOGLETRANSLATE(A1052, ""en"", ""mt"")"),"Min ma kienx l-ideologu tar-Rivoluzzjoni Iranjana?")</f>
        <v>Min ma kienx l-ideologu tar-Rivoluzzjoni Iranjana?</v>
      </c>
    </row>
    <row r="1053" ht="15.75" customHeight="1">
      <c r="A1053" s="2" t="s">
        <v>1053</v>
      </c>
      <c r="B1053" s="2" t="str">
        <f>IFERROR(__xludf.DUMMYFUNCTION("GOOGLETRANSLATE(A1053, ""en"", ""mt"")"),"Min mexxa t-truppi ta ’Richard meta Ċipru ġie maħkum?")</f>
        <v>Min mexxa t-truppi ta ’Richard meta Ċipru ġie maħkum?</v>
      </c>
    </row>
    <row r="1054" ht="15.75" customHeight="1">
      <c r="A1054" s="2" t="s">
        <v>1054</v>
      </c>
      <c r="B1054" s="2" t="str">
        <f>IFERROR(__xludf.DUMMYFUNCTION("GOOGLETRANSLATE(A1054, ""en"", ""mt"")"),"It-terminu jista 'jkun relatat ma' liema politikant mill-Isvizzera?")</f>
        <v>It-terminu jista 'jkun relatat ma' liema politikant mill-Isvizzera?</v>
      </c>
    </row>
    <row r="1055" ht="15.75" customHeight="1">
      <c r="A1055" s="2" t="s">
        <v>1055</v>
      </c>
      <c r="B1055" s="2" t="str">
        <f>IFERROR(__xludf.DUMMYFUNCTION("GOOGLETRANSLATE(A1055, ""en"", ""mt"")"),"Il-fatat ta 'Le Roi Huguet")</f>
        <v>Il-fatat ta 'Le Roi Huguet</v>
      </c>
    </row>
    <row r="1056" ht="15.75" customHeight="1">
      <c r="A1056" s="2" t="s">
        <v>1056</v>
      </c>
      <c r="B1056" s="2" t="str">
        <f>IFERROR(__xludf.DUMMYFUNCTION("GOOGLETRANSLATE(A1056, ""en"", ""mt"")"),"X'kien id-dmir ideali ta 'magna kunċett?")</f>
        <v>X'kien id-dmir ideali ta 'magna kunċett?</v>
      </c>
    </row>
    <row r="1057" ht="15.75" customHeight="1">
      <c r="A1057" s="2" t="s">
        <v>1057</v>
      </c>
      <c r="B1057" s="2" t="str">
        <f>IFERROR(__xludf.DUMMYFUNCTION("GOOGLETRANSLATE(A1057, ""en"", ""mt"")"),"10 ta ’Frar 1763")</f>
        <v>10 ta ’Frar 1763</v>
      </c>
    </row>
    <row r="1058" ht="15.75" customHeight="1">
      <c r="A1058" s="2" t="s">
        <v>1058</v>
      </c>
      <c r="B1058" s="2" t="str">
        <f>IFERROR(__xludf.DUMMYFUNCTION("GOOGLETRANSLATE(A1058, ""en"", ""mt"")"),"Mill-inqas xi ippjanar minn qabel u dfin Kristjan")</f>
        <v>Mill-inqas xi ippjanar minn qabel u dfin Kristjan</v>
      </c>
    </row>
    <row r="1059" ht="15.75" customHeight="1">
      <c r="A1059" s="2" t="s">
        <v>1059</v>
      </c>
      <c r="B1059" s="2" t="str">
        <f>IFERROR(__xludf.DUMMYFUNCTION("GOOGLETRANSLATE(A1059, ""en"", ""mt"")"),"Konċentrat o
2 se tippermetti li l-kombustjoni tipproċedi malajr u b'mod enerġetiku. Pajpijiet tal-azzar u bastimenti tal-ħażna użati biex jaħżnu u jittrasmettu kemm ossiġnu gassuż kif ukoll likwidu jaġixxu bħala fjuwil; u għalhekk id-disinn u l-manifattu"&amp;"ra ta 'o
2 sistemi jeħtieġ taħriġ speċjali biex jiżguraw li s-sorsi tat-tqabbid jiġu mminimizzati. In-nar li qatel l-ekwipaġġ ta 'Apollo 1 fit-test tal-pad tal-varar infirex daqshekk malajr minħabba li l-kapsula ġiet taħt pressjoni b'O pur
2 iżda bi ftit "&amp;"iktar mill-pressjoni atmosferika, minflok il-pressjoni normali ta '1⁄3 li kienet tintuża f'missjoni. [K]")</f>
        <v>Konċentrat o
2 se tippermetti li l-kombustjoni tipproċedi malajr u b'mod enerġetiku. Pajpijiet tal-azzar u bastimenti tal-ħażna użati biex jaħżnu u jittrasmettu kemm ossiġnu gassuż kif ukoll likwidu jaġixxu bħala fjuwil; u għalhekk id-disinn u l-manifattura ta 'o
2 sistemi jeħtieġ taħriġ speċjali biex jiżguraw li s-sorsi tat-tqabbid jiġu mminimizzati. In-nar li qatel l-ekwipaġġ ta 'Apollo 1 fit-test tal-pad tal-varar infirex daqshekk malajr minħabba li l-kapsula ġiet taħt pressjoni b'O pur
2 iżda bi ftit iktar mill-pressjoni atmosferika, minflok il-pressjoni normali ta '1⁄3 li kienet tintuża f'missjoni. [K]</v>
      </c>
    </row>
    <row r="1060" ht="15.75" customHeight="1">
      <c r="A1060" s="2" t="s">
        <v>1060</v>
      </c>
      <c r="B1060" s="2" t="str">
        <f>IFERROR(__xludf.DUMMYFUNCTION("GOOGLETRANSLATE(A1060, ""en"", ""mt"")"),"Kemm ilu l-ossiġnu laħaq 10% tal-livell preżenti tiegħu?")</f>
        <v>Kemm ilu l-ossiġnu laħaq 10% tal-livell preżenti tiegħu?</v>
      </c>
    </row>
    <row r="1061" ht="15.75" customHeight="1">
      <c r="A1061" s="2" t="s">
        <v>1061</v>
      </c>
      <c r="B1061" s="2" t="str">
        <f>IFERROR(__xludf.DUMMYFUNCTION("GOOGLETRANSLATE(A1061, ""en"", ""mt"")"),"Arpanet żviluppa l-ewwel sistema biex tagħmel l-ospiti responsabbli għat-twassil tad-dejta?")</f>
        <v>Arpanet żviluppa l-ewwel sistema biex tagħmel l-ospiti responsabbli għat-twassil tad-dejta?</v>
      </c>
    </row>
    <row r="1062" ht="15.75" customHeight="1">
      <c r="A1062" s="2" t="s">
        <v>1062</v>
      </c>
      <c r="B1062" s="2" t="str">
        <f>IFERROR(__xludf.DUMMYFUNCTION("GOOGLETRANSLATE(A1062, ""en"", ""mt"")"),"Schrödinger")</f>
        <v>Schrödinger</v>
      </c>
    </row>
    <row r="1063" ht="15.75" customHeight="1">
      <c r="A1063" s="2" t="s">
        <v>1063</v>
      </c>
      <c r="B1063" s="2" t="str">
        <f>IFERROR(__xludf.DUMMYFUNCTION("GOOGLETRANSLATE(A1063, ""en"", ""mt"")"),"Liema ħin tal-ġurnata dawn ir-riformati suppost inġabru biex jidħlu fir-ritwali Huguenot?")</f>
        <v>Liema ħin tal-ġurnata dawn ir-riformati suppost inġabru biex jidħlu fir-ritwali Huguenot?</v>
      </c>
    </row>
    <row r="1064" ht="15.75" customHeight="1">
      <c r="A1064" s="2" t="s">
        <v>1064</v>
      </c>
      <c r="B1064" s="2" t="str">
        <f>IFERROR(__xludf.DUMMYFUNCTION("GOOGLETRANSLATE(A1064, ""en"", ""mt"")"),"Min ivvinta l-kunċett ta 'dmir ta' kunċett ta 'magna?")</f>
        <v>Min ivvinta l-kunċett ta 'dmir ta' kunċett ta 'magna?</v>
      </c>
    </row>
    <row r="1065" ht="15.75" customHeight="1">
      <c r="A1065" s="2" t="s">
        <v>1065</v>
      </c>
      <c r="B1065" s="2" t="str">
        <f>IFERROR(__xludf.DUMMYFUNCTION("GOOGLETRANSLATE(A1065, ""en"", ""mt"")"),"tifforma sħubijiet kummerċjali ma 'tobba jew tagħtihom ħlasijiet ""kickback""")</f>
        <v>tifforma sħubijiet kummerċjali ma 'tobba jew tagħtihom ħlasijiet "kickback"</v>
      </c>
    </row>
    <row r="1066" ht="15.75" customHeight="1">
      <c r="A1066" s="2" t="s">
        <v>1066</v>
      </c>
      <c r="B1066" s="2" t="str">
        <f>IFERROR(__xludf.DUMMYFUNCTION("GOOGLETRANSLATE(A1066, ""en"", ""mt"")")," X’ma kienx l-interess ċentrali tal-Ġermanja?")</f>
        <v> X’ma kienx l-interess ċentrali tal-Ġermanja?</v>
      </c>
    </row>
    <row r="1067" ht="15.75" customHeight="1">
      <c r="A1067" s="2" t="s">
        <v>1067</v>
      </c>
      <c r="B1067" s="2" t="str">
        <f>IFERROR(__xludf.DUMMYFUNCTION("GOOGLETRANSLATE(A1067, ""en"", ""mt"")"),"Min beża 'li l-Olanda tista' tistabbilixxi s-soluzzjoni tagħhom stess?")</f>
        <v>Min beża 'li l-Olanda tista' tistabbilixxi s-soluzzjoni tagħhom stess?</v>
      </c>
    </row>
    <row r="1068" ht="15.75" customHeight="1">
      <c r="A1068" s="2" t="s">
        <v>1068</v>
      </c>
      <c r="B1068" s="2" t="str">
        <f>IFERROR(__xludf.DUMMYFUNCTION("GOOGLETRANSLATE(A1068, ""en"", ""mt"")"),"ġelatina moxt")</f>
        <v>ġelatina moxt</v>
      </c>
    </row>
    <row r="1069" ht="15.75" customHeight="1">
      <c r="A1069" s="2" t="s">
        <v>1069</v>
      </c>
      <c r="B1069" s="2" t="str">
        <f>IFERROR(__xludf.DUMMYFUNCTION("GOOGLETRANSLATE(A1069, ""en"", ""mt"")"),"Kien hemm żewġ tipi ta 'netwerks X.25. Uħud bħal DataPac u TransPac ġew inizjalment implimentati b'interface esterna X.25. Xi netwerks anzjani bħal Telenet u Tymnet ġew modifikati biex jipprovdu interface ospitanti X.25 minbarra skemi ta 'konnessjoni ospi"&amp;"tanti anzjani. Datapac ġie żviluppat minn Bell Northern Research li kienet impriża konġunta ta ’Bell Canada (trasportatur komuni) u tat-telekomunikazzjoni tat-Tramuntana (fornitur tat-tagħmir tat-telekomunikazzjoni). Northern Telecom biegħ diversi kloni D"&amp;"atapac lil PTTs barranin inkluż id-Deutsche Bundespost. X.75 u X.121 ippermettew l-interkonnessjoni tan-netwerks nazzjonali X.25. Utent jew ospitanti jistgħu jċemplu ospitanti fuq netwerk barrani billi jinkludu d-DNIC tan-netwerk remot bħala parti mill-in"&amp;"dirizz tad-destinazzjoni. [Ċitazzjoni meħtieġa]")</f>
        <v>Kien hemm żewġ tipi ta 'netwerks X.25. Uħud bħal DataPac u TransPac ġew inizjalment implimentati b'interface esterna X.25. Xi netwerks anzjani bħal Telenet u Tymnet ġew modifikati biex jipprovdu interface ospitanti X.25 minbarra skemi ta 'konnessjoni ospitanti anzjani. Datapac ġie żviluppat minn Bell Northern Research li kienet impriża konġunta ta ’Bell Canada (trasportatur komuni) u tat-telekomunikazzjoni tat-Tramuntana (fornitur tat-tagħmir tat-telekomunikazzjoni). Northern Telecom biegħ diversi kloni Datapac lil PTTs barranin inkluż id-Deutsche Bundespost. X.75 u X.121 ippermettew l-interkonnessjoni tan-netwerks nazzjonali X.25. Utent jew ospitanti jistgħu jċemplu ospitanti fuq netwerk barrani billi jinkludu d-DNIC tan-netwerk remot bħala parti mill-indirizz tad-destinazzjoni. [Ċitazzjoni meħtieġa]</v>
      </c>
    </row>
    <row r="1070" ht="15.75" customHeight="1">
      <c r="A1070" s="2" t="s">
        <v>1070</v>
      </c>
      <c r="B1070" s="2" t="str">
        <f>IFERROR(__xludf.DUMMYFUNCTION("GOOGLETRANSLATE(A1070, ""en"", ""mt"")"),"Liema organizzazzjonijiet l-aktar komunement jaqsmu u jippromwovu l-istat?")</f>
        <v>Liema organizzazzjonijiet l-aktar komunement jaqsmu u jippromwovu l-istat?</v>
      </c>
    </row>
    <row r="1071" ht="15.75" customHeight="1">
      <c r="A1071" s="2" t="s">
        <v>1071</v>
      </c>
      <c r="B1071" s="2" t="str">
        <f>IFERROR(__xludf.DUMMYFUNCTION("GOOGLETRANSLATE(A1071, ""en"", ""mt"")"),"X'taħseb li l-kunċett jikseb?")</f>
        <v>X'taħseb li l-kunċett jikseb?</v>
      </c>
    </row>
    <row r="1072" ht="15.75" customHeight="1">
      <c r="A1072" s="2" t="s">
        <v>1072</v>
      </c>
      <c r="B1072" s="2" t="str">
        <f>IFERROR(__xludf.DUMMYFUNCTION("GOOGLETRANSLATE(A1072, ""en"", ""mt"")"),"Għaliex in-Navy tat diskors fil-qorti?")</f>
        <v>Għaliex in-Navy tat diskors fil-qorti?</v>
      </c>
    </row>
    <row r="1073" ht="15.75" customHeight="1">
      <c r="A1073" s="2" t="s">
        <v>1073</v>
      </c>
      <c r="B1073" s="2" t="str">
        <f>IFERROR(__xludf.DUMMYFUNCTION("GOOGLETRANSLATE(A1073, ""en"", ""mt"")"),"Minħabba li huwa ħela ta 'riżorsi")</f>
        <v>Minħabba li huwa ħela ta 'riżorsi</v>
      </c>
    </row>
    <row r="1074" ht="15.75" customHeight="1">
      <c r="A1074" s="2" t="s">
        <v>1074</v>
      </c>
      <c r="B1074" s="2" t="str">
        <f>IFERROR(__xludf.DUMMYFUNCTION("GOOGLETRANSLATE(A1074, ""en"", ""mt"")"),"Min ġie f'kuntatt ma 'Wales wara l-konkwista tal-Ingilterra?")</f>
        <v>Min ġie f'kuntatt ma 'Wales wara l-konkwista tal-Ingilterra?</v>
      </c>
    </row>
    <row r="1075" ht="15.75" customHeight="1">
      <c r="A1075" s="2" t="s">
        <v>1075</v>
      </c>
      <c r="B1075" s="2" t="str">
        <f>IFERROR(__xludf.DUMMYFUNCTION("GOOGLETRANSLATE(A1075, ""en"", ""mt"")"),"Kemm hemm libreriji pubbliċi f'Cambridge?")</f>
        <v>Kemm hemm libreriji pubbliċi f'Cambridge?</v>
      </c>
    </row>
    <row r="1076" ht="15.75" customHeight="1">
      <c r="A1076" s="2" t="s">
        <v>1076</v>
      </c>
      <c r="B1076" s="2" t="str">
        <f>IFERROR(__xludf.DUMMYFUNCTION("GOOGLETRANSLATE(A1076, ""en"", ""mt"")"),"li fih jista 'jagħmel liġijiet")</f>
        <v>li fih jista 'jagħmel liġijiet</v>
      </c>
    </row>
    <row r="1077" ht="15.75" customHeight="1">
      <c r="A1077" s="2" t="s">
        <v>1077</v>
      </c>
      <c r="B1077" s="2" t="str">
        <f>IFERROR(__xludf.DUMMYFUNCTION("GOOGLETRANSLATE(A1077, ""en"", ""mt"")"),"Protokoll tal-Internet")</f>
        <v>Protokoll tal-Internet</v>
      </c>
    </row>
    <row r="1078" ht="15.75" customHeight="1">
      <c r="A1078" s="2" t="s">
        <v>1078</v>
      </c>
      <c r="B1078" s="2" t="str">
        <f>IFERROR(__xludf.DUMMYFUNCTION("GOOGLETRANSLATE(A1078, ""en"", ""mt"")"),"bond doppju kovalenti")</f>
        <v>bond doppju kovalenti</v>
      </c>
    </row>
    <row r="1079" ht="15.75" customHeight="1">
      <c r="A1079" s="2" t="s">
        <v>1079</v>
      </c>
      <c r="B1079" s="2" t="str">
        <f>IFERROR(__xludf.DUMMYFUNCTION("GOOGLETRANSLATE(A1079, ""en"", ""mt"")"),"Sqallija u n-Nofsinhar tal-Ewropa")</f>
        <v>Sqallija u n-Nofsinhar tal-Ewropa</v>
      </c>
    </row>
    <row r="1080" ht="15.75" customHeight="1">
      <c r="A1080" s="2" t="s">
        <v>1080</v>
      </c>
      <c r="B1080" s="2" t="str">
        <f>IFERROR(__xludf.DUMMYFUNCTION("GOOGLETRANSLATE(A1080, ""en"", ""mt"")"),"inerzja rotazzjonali tal-pjaneta")</f>
        <v>inerzja rotazzjonali tal-pjaneta</v>
      </c>
    </row>
    <row r="1081" ht="15.75" customHeight="1">
      <c r="A1081" s="2" t="s">
        <v>1081</v>
      </c>
      <c r="B1081" s="2" t="str">
        <f>IFERROR(__xludf.DUMMYFUNCTION("GOOGLETRANSLATE(A1081, ""en"", ""mt"")"),"Għal ħafna snin, kif ġiet deskritta l-fratellanza?")</f>
        <v>Għal ħafna snin, kif ġiet deskritta l-fratellanza?</v>
      </c>
    </row>
    <row r="1082" ht="15.75" customHeight="1">
      <c r="A1082" s="2" t="s">
        <v>1082</v>
      </c>
      <c r="B1082" s="2" t="str">
        <f>IFERROR(__xludf.DUMMYFUNCTION("GOOGLETRANSLATE(A1082, ""en"", ""mt"")"),"X'jista 'tnaqqas id-densità ta' O2 f'korpi ta 'l-ilma ewtrofiċi?")</f>
        <v>X'jista 'tnaqqas id-densità ta' O2 f'korpi ta 'l-ilma ewtrofiċi?</v>
      </c>
    </row>
    <row r="1083" ht="15.75" customHeight="1">
      <c r="A1083" s="2" t="s">
        <v>1083</v>
      </c>
      <c r="B1083" s="2" t="str">
        <f>IFERROR(__xludf.DUMMYFUNCTION("GOOGLETRANSLATE(A1083, ""en"", ""mt"")"),"fl-1259")</f>
        <v>fl-1259</v>
      </c>
    </row>
    <row r="1084" ht="15.75" customHeight="1">
      <c r="A1084" s="2" t="s">
        <v>1084</v>
      </c>
      <c r="B1084" s="2" t="str">
        <f>IFERROR(__xludf.DUMMYFUNCTION("GOOGLETRANSLATE(A1084, ""en"", ""mt"")"),"5,000")</f>
        <v>5,000</v>
      </c>
    </row>
    <row r="1085" ht="15.75" customHeight="1">
      <c r="A1085" s="2" t="s">
        <v>1085</v>
      </c>
      <c r="B1085" s="2" t="str">
        <f>IFERROR(__xludf.DUMMYFUNCTION("GOOGLETRANSLATE(A1085, ""en"", ""mt"")"),"Immunità umoristika kontra immunità medjata miċ-ċelloli")</f>
        <v>Immunità umoristika kontra immunità medjata miċ-ċelloli</v>
      </c>
    </row>
    <row r="1086" ht="15.75" customHeight="1">
      <c r="A1086" s="2" t="s">
        <v>1086</v>
      </c>
      <c r="B1086" s="2" t="str">
        <f>IFERROR(__xludf.DUMMYFUNCTION("GOOGLETRANSLATE(A1086, ""en"", ""mt"")"),"X'inhi ħaġa waħda li l-istudenti għonja kellhom bżonn meta waslu l-ewwel darba f'Harvard fl-1945?")</f>
        <v>X'inhi ħaġa waħda li l-istudenti għonja kellhom bżonn meta waslu l-ewwel darba f'Harvard fl-1945?</v>
      </c>
    </row>
    <row r="1087" ht="15.75" customHeight="1">
      <c r="A1087" s="2" t="s">
        <v>1087</v>
      </c>
      <c r="B1087" s="2" t="str">
        <f>IFERROR(__xludf.DUMMYFUNCTION("GOOGLETRANSLATE(A1087, ""en"", ""mt"")"),"Kif tissejjaħ meta r-rata tat-taxxa u l-ammont tal-bażi jiżdiedu fl-istess ħin?")</f>
        <v>Kif tissejjaħ meta r-rata tat-taxxa u l-ammont tal-bażi jiżdiedu fl-istess ħin?</v>
      </c>
    </row>
    <row r="1088" ht="15.75" customHeight="1">
      <c r="A1088" s="2" t="s">
        <v>1088</v>
      </c>
      <c r="B1088" s="2" t="str">
        <f>IFERROR(__xludf.DUMMYFUNCTION("GOOGLETRANSLATE(A1088, ""en"", ""mt"")"),"Liema żona baqgħet abitata għal eluf ta 'snin?")</f>
        <v>Liema żona baqgħet abitata għal eluf ta 'snin?</v>
      </c>
    </row>
    <row r="1089" ht="15.75" customHeight="1">
      <c r="A1089" s="2" t="s">
        <v>1089</v>
      </c>
      <c r="B1089" s="2" t="str">
        <f>IFERROR(__xludf.DUMMYFUNCTION("GOOGLETRANSLATE(A1089, ""en"", ""mt"")"),"flussi tal-magma jew tal-lava")</f>
        <v>flussi tal-magma jew tal-lava</v>
      </c>
    </row>
    <row r="1090" ht="15.75" customHeight="1">
      <c r="A1090" s="2" t="s">
        <v>1090</v>
      </c>
      <c r="B1090" s="2" t="str">
        <f>IFERROR(__xludf.DUMMYFUNCTION("GOOGLETRANSLATE(A1090, ""en"", ""mt"")"),"9.75 / 10.600 GHz")</f>
        <v>9.75 / 10.600 GHz</v>
      </c>
    </row>
    <row r="1091" ht="15.75" customHeight="1">
      <c r="A1091" s="2" t="s">
        <v>1091</v>
      </c>
      <c r="B1091" s="2" t="str">
        <f>IFERROR(__xludf.DUMMYFUNCTION("GOOGLETRANSLATE(A1091, ""en"", ""mt"")"),"kunjardi orogeniċi")</f>
        <v>kunjardi orogeniċi</v>
      </c>
    </row>
    <row r="1092" ht="15.75" customHeight="1">
      <c r="A1092" s="2" t="s">
        <v>1092</v>
      </c>
      <c r="B1092" s="2" t="str">
        <f>IFERROR(__xludf.DUMMYFUNCTION("GOOGLETRANSLATE(A1092, ""en"", ""mt"")"),"Cévennes")</f>
        <v>Cévennes</v>
      </c>
    </row>
    <row r="1093" ht="15.75" customHeight="1">
      <c r="A1093" s="2" t="s">
        <v>1093</v>
      </c>
      <c r="B1093" s="2" t="str">
        <f>IFERROR(__xludf.DUMMYFUNCTION("GOOGLETRANSLATE(A1093, ""en"", ""mt"")"),"Ippjanat li tokkupa l-kabina tan-negozju ta 'Chicago, kemm huwa stmat li l-Istitut Milton Friedman jiswa?")</f>
        <v>Ippjanat li tokkupa l-kabina tan-negozju ta 'Chicago, kemm huwa stmat li l-Istitut Milton Friedman jiswa?</v>
      </c>
    </row>
    <row r="1094" ht="15.75" customHeight="1">
      <c r="A1094" s="2" t="s">
        <v>1094</v>
      </c>
      <c r="B1094" s="2" t="str">
        <f>IFERROR(__xludf.DUMMYFUNCTION("GOOGLETRANSLATE(A1094, ""en"", ""mt"")"),"Wara li saħħaħ il-gvern tiegħu fit-Tramuntana taċ-Ċina, Kublai segwa politika espansjonista f'konformità mat-tradizzjoni tal-Mongolja u l-imperjalizmu Ċiniż. Huwa ġedded sewqan massiv kontra d-dinastija tal-kanzunetta fin-nofsinhar. Kublai assedja lil Xia"&amp;"ngyang bejn l-1268 u l-1273, l-aħħar ostaklu fi triqtu biex jaqbad il-baċin tax-Xmara Rich Yangzi. Sar spedizzjoni navali li ma rnexxietx kontra l-Ġappun fl-1274. Kublai qabad il-kanzunetta tal-kapitali ta 'Hangzhou fl-1276, l-iktar belt sinjura taċ-Ċina."&amp;" Kanzunetta Loyalists ħarbu mill-kapitali u enfasizzaw tifel żgħir bħala l-Imperatur Bing tal-Kanzunetta. Il-Mongoli għelbu lill-Loyalists fil-Battalja ta ’Yamen fl-1279. L-aħħar kanzunetta imperatur għerqet, u ġab fi tmiem id-dinastija tal-kanzunetta. Il"&amp;"-konkwista tal-kanzunetta reġgħet ingħaqdet iċ-Ċina tat-Tramuntana u tan-Nofsinhar għall-ewwel darba fi tliet mitt sena.")</f>
        <v>Wara li saħħaħ il-gvern tiegħu fit-Tramuntana taċ-Ċina, Kublai segwa politika espansjonista f'konformità mat-tradizzjoni tal-Mongolja u l-imperjalizmu Ċiniż. Huwa ġedded sewqan massiv kontra d-dinastija tal-kanzunetta fin-nofsinhar. Kublai assedja lil Xiangyang bejn l-1268 u l-1273, l-aħħar ostaklu fi triqtu biex jaqbad il-baċin tax-Xmara Rich Yangzi. Sar spedizzjoni navali li ma rnexxietx kontra l-Ġappun fl-1274. Kublai qabad il-kanzunetta tal-kapitali ta 'Hangzhou fl-1276, l-iktar belt sinjura taċ-Ċina. Kanzunetta Loyalists ħarbu mill-kapitali u enfasizzaw tifel żgħir bħala l-Imperatur Bing tal-Kanzunetta. Il-Mongoli għelbu lill-Loyalists fil-Battalja ta ’Yamen fl-1279. L-aħħar kanzunetta imperatur għerqet, u ġab fi tmiem id-dinastija tal-kanzunetta. Il-konkwista tal-kanzunetta reġgħet ingħaqdet iċ-Ċina tat-Tramuntana u tan-Nofsinhar għall-ewwel darba fi tliet mitt sena.</v>
      </c>
    </row>
    <row r="1095" ht="15.75" customHeight="1">
      <c r="A1095" s="2" t="s">
        <v>1095</v>
      </c>
      <c r="B1095" s="2" t="str">
        <f>IFERROR(__xludf.DUMMYFUNCTION("GOOGLETRANSLATE(A1095, ""en"", ""mt"")"),"Armata u l-popolazzjoni")</f>
        <v>Armata u l-popolazzjoni</v>
      </c>
    </row>
    <row r="1096" ht="15.75" customHeight="1">
      <c r="A1096" s="2" t="s">
        <v>1096</v>
      </c>
      <c r="B1096" s="2" t="str">
        <f>IFERROR(__xludf.DUMMYFUNCTION("GOOGLETRANSLATE(A1096, ""en"", ""mt"")"),"It-tieni ministru, ministri tal-kabinett Skoċċiż u li joqogħdu fir-ringiela ta ’quddiem fil-kamra tad-dibattitu?")</f>
        <v>It-tieni ministru, ministri tal-kabinett Skoċċiż u li joqogħdu fir-ringiela ta ’quddiem fil-kamra tad-dibattitu?</v>
      </c>
    </row>
    <row r="1097" ht="15.75" customHeight="1">
      <c r="A1097" s="2" t="s">
        <v>1097</v>
      </c>
      <c r="B1097" s="2" t="str">
        <f>IFERROR(__xludf.DUMMYFUNCTION("GOOGLETRANSLATE(A1097, ""en"", ""mt"")"),"Minbarra l-ilma li jirriċirkula, x'jagħmlu l-bunkers?")</f>
        <v>Minbarra l-ilma li jirriċirkula, x'jagħmlu l-bunkers?</v>
      </c>
    </row>
    <row r="1098" ht="15.75" customHeight="1">
      <c r="A1098" s="2" t="s">
        <v>1098</v>
      </c>
      <c r="B1098" s="2" t="str">
        <f>IFERROR(__xludf.DUMMYFUNCTION("GOOGLETRANSLATE(A1098, ""en"", ""mt"")"),"retorika")</f>
        <v>retorika</v>
      </c>
    </row>
    <row r="1099" ht="15.75" customHeight="1">
      <c r="A1099" s="2" t="s">
        <v>1099</v>
      </c>
      <c r="B1099" s="2" t="str">
        <f>IFERROR(__xludf.DUMMYFUNCTION("GOOGLETRANSLATE(A1099, ""en"", ""mt"")"),"Filwaqt li BSKYB kien ġie eskluż milli jkun parti mill-konsorzju Ondigital, u b'hekk għamilhom kompetitur awtomatikament, BSKYB kien kapaċi jingħaqad ma 'sostituzzjoni free-to-air ta' ITV Digital, Freeview, li fih iżomm sehem ugwali mal-BBC, ITV , Channel"&amp;" 4 u National Grid Wireless. Qabel Ottubru 2005, tliet stazzjonijiet BSKYB kienu disponibbli fuq din il-pjattaforma: Sky News, Sky Three, u Sky Sports News. Inizjalment BSKYB ipprovda Sema jivvjaġġa għas-servizz. Madankollu, dan ġie sostitwit minn Sky Thr"&amp;"ee fil-31 ta 'Ottubru 2005, li kien innifsu wara l-marka mill-ġdid bħala' pick TV 'fl-2011.")</f>
        <v>Filwaqt li BSKYB kien ġie eskluż milli jkun parti mill-konsorzju Ondigital, u b'hekk għamilhom kompetitur awtomatikament, BSKYB kien kapaċi jingħaqad ma 'sostituzzjoni free-to-air ta' ITV Digital, Freeview, li fih iżomm sehem ugwali mal-BBC, ITV , Channel 4 u National Grid Wireless. Qabel Ottubru 2005, tliet stazzjonijiet BSKYB kienu disponibbli fuq din il-pjattaforma: Sky News, Sky Three, u Sky Sports News. Inizjalment BSKYB ipprovda Sema jivvjaġġa għas-servizz. Madankollu, dan ġie sostitwit minn Sky Three fil-31 ta 'Ottubru 2005, li kien innifsu wara l-marka mill-ġdid bħala' pick TV 'fl-2011.</v>
      </c>
    </row>
    <row r="1100" ht="15.75" customHeight="1">
      <c r="A1100" s="2" t="s">
        <v>1100</v>
      </c>
      <c r="B1100" s="2" t="str">
        <f>IFERROR(__xludf.DUMMYFUNCTION("GOOGLETRANSLATE(A1100, ""en"", ""mt"")"),"Liema prinċipju huwa bbażat fuq id-dehra tal-fossili fil-blat sedimentarji?")</f>
        <v>Liema prinċipju huwa bbażat fuq id-dehra tal-fossili fil-blat sedimentarji?</v>
      </c>
    </row>
    <row r="1101" ht="15.75" customHeight="1">
      <c r="A1101" s="2" t="s">
        <v>1101</v>
      </c>
      <c r="B1101" s="2" t="str">
        <f>IFERROR(__xludf.DUMMYFUNCTION("GOOGLETRANSLATE(A1101, ""en"", ""mt"")"),"Alan Dershowitz u Lawrence Lessig")</f>
        <v>Alan Dershowitz u Lawrence Lessig</v>
      </c>
    </row>
    <row r="1102" ht="15.75" customHeight="1">
      <c r="A1102" s="2" t="s">
        <v>1102</v>
      </c>
      <c r="B1102" s="2" t="str">
        <f>IFERROR(__xludf.DUMMYFUNCTION("GOOGLETRANSLATE(A1102, ""en"", ""mt"")"),"X'kien impost fit-28 ta 'Novembru 1995 mill-Att dwar il-Konservazzjoni ta' l-Enerġija ta 'l-Emerġenza ta' l-Emerġenza?")</f>
        <v>X'kien impost fit-28 ta 'Novembru 1995 mill-Att dwar il-Konservazzjoni ta' l-Enerġija ta 'l-Emerġenza ta' l-Emerġenza?</v>
      </c>
    </row>
    <row r="1103" ht="15.75" customHeight="1">
      <c r="A1103" s="2" t="s">
        <v>1103</v>
      </c>
      <c r="B1103" s="2" t="str">
        <f>IFERROR(__xludf.DUMMYFUNCTION("GOOGLETRANSLATE(A1103, ""en"", ""mt"")"),"Ix-xejra moderna fid-disinn hija lejn l-integrazzjoni ta 'xiex?")</f>
        <v>Ix-xejra moderna fid-disinn hija lejn l-integrazzjoni ta 'xiex?</v>
      </c>
    </row>
    <row r="1104" ht="15.75" customHeight="1">
      <c r="A1104" s="2" t="s">
        <v>1104</v>
      </c>
      <c r="B1104" s="2" t="str">
        <f>IFERROR(__xludf.DUMMYFUNCTION("GOOGLETRANSLATE(A1104, ""en"", ""mt"")"),"Fis-snin 1910, il-produtturi tal-films ibbażati fi New York ġew attirati mill-klima sħuna ta 'Jacksonville, postijiet eżotiċi, aċċess ferrovjarju eċċellenti, u xogħol irħis. Matul id-deċennju, ġew stabbiliti aktar minn 30 studios tal-films siekta, li jaqi"&amp;"lgħu lil Jacksonville it-titlu ta '""Winter Film Capital of the World"". Madankollu, il-ħolqien ta 'Hollywood bħala ċentru ewlieni tal-produzzjoni tal-films temm l-industrija tal-films tal-belt. Sit ta 'studju tal-films konvertit, Norman Studios, jibqa' f"&amp;"'Arlington; Ġie kkonvertit għall-Mużew tal-Films Silent Jacksonville fi Norman Studios.")</f>
        <v>Fis-snin 1910, il-produtturi tal-films ibbażati fi New York ġew attirati mill-klima sħuna ta 'Jacksonville, postijiet eżotiċi, aċċess ferrovjarju eċċellenti, u xogħol irħis. Matul id-deċennju, ġew stabbiliti aktar minn 30 studios tal-films siekta, li jaqilgħu lil Jacksonville it-titlu ta '"Winter Film Capital of the World". Madankollu, il-ħolqien ta 'Hollywood bħala ċentru ewlieni tal-produzzjoni tal-films temm l-industrija tal-films tal-belt. Sit ta 'studju tal-films konvertit, Norman Studios, jibqa' f'Arlington; Ġie kkonvertit għall-Mużew tal-Films Silent Jacksonville fi Norman Studios.</v>
      </c>
    </row>
    <row r="1105" ht="15.75" customHeight="1">
      <c r="A1105" s="2" t="s">
        <v>1105</v>
      </c>
      <c r="B1105" s="2" t="str">
        <f>IFERROR(__xludf.DUMMYFUNCTION("GOOGLETRANSLATE(A1105, ""en"", ""mt"")"),"domanda għolja")</f>
        <v>domanda għolja</v>
      </c>
    </row>
    <row r="1106" ht="15.75" customHeight="1">
      <c r="A1106" s="2" t="s">
        <v>1106</v>
      </c>
      <c r="B1106" s="2" t="str">
        <f>IFERROR(__xludf.DUMMYFUNCTION("GOOGLETRANSLATE(A1106, ""en"", ""mt"")"),"X'kien maħsub li kien il-kawża ta 'devastazzjoni għaċ-ċiviltà?")</f>
        <v>X'kien maħsub li kien il-kawża ta 'devastazzjoni għaċ-ċiviltà?</v>
      </c>
    </row>
    <row r="1107" ht="15.75" customHeight="1">
      <c r="A1107" s="2" t="s">
        <v>1107</v>
      </c>
      <c r="B1107" s="2" t="str">
        <f>IFERROR(__xludf.DUMMYFUNCTION("GOOGLETRANSLATE(A1107, ""en"", ""mt"")"),"definizzjonijiet ikkumplikati")</f>
        <v>definizzjonijiet ikkumplikati</v>
      </c>
    </row>
    <row r="1108" ht="15.75" customHeight="1">
      <c r="A1108" s="2" t="s">
        <v>1108</v>
      </c>
      <c r="B1108" s="2" t="str">
        <f>IFERROR(__xludf.DUMMYFUNCTION("GOOGLETRANSLATE(A1108, ""en"", ""mt"")"),"Ossiġenu-18")</f>
        <v>Ossiġenu-18</v>
      </c>
    </row>
    <row r="1109" ht="15.75" customHeight="1">
      <c r="A1109" s="2" t="s">
        <v>1109</v>
      </c>
      <c r="B1109" s="2" t="str">
        <f>IFERROR(__xludf.DUMMYFUNCTION("GOOGLETRANSLATE(A1109, ""en"", ""mt"")"),"1910")</f>
        <v>1910</v>
      </c>
    </row>
    <row r="1110" ht="15.75" customHeight="1">
      <c r="A1110" s="2" t="s">
        <v>1110</v>
      </c>
      <c r="B1110" s="2" t="str">
        <f>IFERROR(__xludf.DUMMYFUNCTION("GOOGLETRANSLATE(A1110, ""en"", ""mt"")"),"X'inhi raġuni ewlenija li d-diżubbidjenza ċivili mhix rikonoxxuta?")</f>
        <v>X'inhi raġuni ewlenija li d-diżubbidjenza ċivili mhix rikonoxxuta?</v>
      </c>
    </row>
    <row r="1111" ht="15.75" customHeight="1">
      <c r="A1111" s="2" t="s">
        <v>1111</v>
      </c>
      <c r="B1111" s="2" t="str">
        <f>IFERROR(__xludf.DUMMYFUNCTION("GOOGLETRANSLATE(A1111, ""en"", ""mt"")"),"Orjentaliżmu u tropiċità.")</f>
        <v>Orjentaliżmu u tropiċità.</v>
      </c>
    </row>
    <row r="1112" ht="15.75" customHeight="1">
      <c r="A1112" s="2" t="s">
        <v>1112</v>
      </c>
      <c r="B1112" s="2" t="str">
        <f>IFERROR(__xludf.DUMMYFUNCTION("GOOGLETRANSLATE(A1112, ""en"", ""mt"")"),"Lista tal-Wirt Dinji tal-UNESCO")</f>
        <v>Lista tal-Wirt Dinji tal-UNESCO</v>
      </c>
    </row>
    <row r="1113" ht="15.75" customHeight="1">
      <c r="A1113" s="2" t="s">
        <v>1113</v>
      </c>
      <c r="B1113" s="2" t="str">
        <f>IFERROR(__xludf.DUMMYFUNCTION("GOOGLETRANSLATE(A1113, ""en"", ""mt"")"),"Han u Jurchen")</f>
        <v>Han u Jurchen</v>
      </c>
    </row>
    <row r="1114" ht="15.75" customHeight="1">
      <c r="A1114" s="2" t="s">
        <v>1114</v>
      </c>
      <c r="B1114" s="2" t="str">
        <f>IFERROR(__xludf.DUMMYFUNCTION("GOOGLETRANSLATE(A1114, ""en"", ""mt"")"),"Rheinbrech")</f>
        <v>Rheinbrech</v>
      </c>
    </row>
    <row r="1115" ht="15.75" customHeight="1">
      <c r="A1115" s="2" t="s">
        <v>1115</v>
      </c>
      <c r="B1115" s="2" t="str">
        <f>IFERROR(__xludf.DUMMYFUNCTION("GOOGLETRANSLATE(A1115, ""en"", ""mt"")"),"Min organizza s-siġar tal-Amażonja f'erba 'kategoriji?")</f>
        <v>Min organizza s-siġar tal-Amażonja f'erba 'kategoriji?</v>
      </c>
    </row>
    <row r="1116" ht="15.75" customHeight="1">
      <c r="A1116" s="2" t="s">
        <v>1116</v>
      </c>
      <c r="B1116" s="2" t="str">
        <f>IFERROR(__xludf.DUMMYFUNCTION("GOOGLETRANSLATE(A1116, ""en"", ""mt"")"),"Mantell tad-Dinja")</f>
        <v>Mantell tad-Dinja</v>
      </c>
    </row>
    <row r="1117" ht="15.75" customHeight="1">
      <c r="A1117" s="2" t="s">
        <v>1117</v>
      </c>
      <c r="B1117" s="2" t="str">
        <f>IFERROR(__xludf.DUMMYFUNCTION("GOOGLETRANSLATE(A1117, ""en"", ""mt"")"),"Il-Qorti Ewropea tal-Ġustizzja ma tistax iżżomm miżuri li huma inkompatibbli ma 'xiex?")</f>
        <v>Il-Qorti Ewropea tal-Ġustizzja ma tistax iżżomm miżuri li huma inkompatibbli ma 'xiex?</v>
      </c>
    </row>
    <row r="1118" ht="15.75" customHeight="1">
      <c r="A1118" s="2" t="s">
        <v>1118</v>
      </c>
      <c r="B1118" s="2" t="str">
        <f>IFERROR(__xludf.DUMMYFUNCTION("GOOGLETRANSLATE(A1118, ""en"", ""mt"")"),"funzjoni")</f>
        <v>funzjoni</v>
      </c>
    </row>
    <row r="1119" ht="15.75" customHeight="1">
      <c r="A1119" s="2" t="s">
        <v>1119</v>
      </c>
      <c r="B1119" s="2" t="str">
        <f>IFERROR(__xludf.DUMMYFUNCTION("GOOGLETRANSLATE(A1119, ""en"", ""mt"")"),"Bħall-Università ta 'Hyde Park, x'għamel Shimer College u 10 skejjel oħra?")</f>
        <v>Bħall-Università ta 'Hyde Park, x'għamel Shimer College u 10 skejjel oħra?</v>
      </c>
    </row>
    <row r="1120" ht="15.75" customHeight="1">
      <c r="A1120" s="2" t="s">
        <v>1120</v>
      </c>
      <c r="B1120" s="2" t="str">
        <f>IFERROR(__xludf.DUMMYFUNCTION("GOOGLETRANSLATE(A1120, ""en"", ""mt"")"),"Taħt it-termini tal-Att tal-Iskozja tal-1978, se titwaqqaf assemblea eletta f'Edinburgu sakemm il-maġġoranza tal-elettorat Skoċċiż ivvota għalih f'referendum li għandu jsir fl-1 ta 'Marzu 1979 li kien jirrappreżenta mill-inqas 40% tal-elettorat totali. Ir"&amp;"-referendum tad-devoluzzjoni Skoċċiża tal-1979 biex jiġi stabbilit assemblea Skoċċiża devolta falliet. Għalkemm il-votazzjoni kienet ta '51 .6% favur assemblea Skoċċiża, din iċ-ċifra ma kinitx daqs l-40% tal-limitu tal-elettorat totali meqjus neċessarju b"&amp;"iex tgħaddi l-miżura, peress li 32.9% tal-popolazzjoni tal-votazzjoni eliġibbli ma kinitx, jew ma setgħetx, vot.")</f>
        <v>Taħt it-termini tal-Att tal-Iskozja tal-1978, se titwaqqaf assemblea eletta f'Edinburgu sakemm il-maġġoranza tal-elettorat Skoċċiż ivvota għalih f'referendum li għandu jsir fl-1 ta 'Marzu 1979 li kien jirrappreżenta mill-inqas 40% tal-elettorat totali. Ir-referendum tad-devoluzzjoni Skoċċiża tal-1979 biex jiġi stabbilit assemblea Skoċċiża devolta falliet. Għalkemm il-votazzjoni kienet ta '51 .6% favur assemblea Skoċċiża, din iċ-ċifra ma kinitx daqs l-40% tal-limitu tal-elettorat totali meqjus neċessarju biex tgħaddi l-miżura, peress li 32.9% tal-popolazzjoni tal-votazzjoni eliġibbli ma kinitx, jew ma setgħetx, vot.</v>
      </c>
    </row>
    <row r="1121" ht="15.75" customHeight="1">
      <c r="A1121" s="2" t="s">
        <v>1121</v>
      </c>
      <c r="B1121" s="2" t="str">
        <f>IFERROR(__xludf.DUMMYFUNCTION("GOOGLETRANSLATE(A1121, ""en"", ""mt"")"),"Liema rotta tal-istat kienet f'diskussjoni biex taġġorna għall-istandards bejn l-istati?")</f>
        <v>Liema rotta tal-istat kienet f'diskussjoni biex taġġorna għall-istandards bejn l-istati?</v>
      </c>
    </row>
    <row r="1122" ht="15.75" customHeight="1">
      <c r="A1122" s="2" t="s">
        <v>1122</v>
      </c>
      <c r="B1122" s="2" t="str">
        <f>IFERROR(__xludf.DUMMYFUNCTION("GOOGLETRANSLATE(A1122, ""en"", ""mt"")"),"X’gssu promostu b’suċċess Charles Darwin?")</f>
        <v>X’gssu promostu b’suċċess Charles Darwin?</v>
      </c>
    </row>
    <row r="1123" ht="15.75" customHeight="1">
      <c r="A1123" s="2" t="s">
        <v>1123</v>
      </c>
      <c r="B1123" s="2" t="str">
        <f>IFERROR(__xludf.DUMMYFUNCTION("GOOGLETRANSLATE(A1123, ""en"", ""mt"")"),"X'inhuma xi eżempji ta 'riżultati finali mhux mixtieqa ta' proġett?")</f>
        <v>X'inhuma xi eżempji ta 'riżultati finali mhux mixtieqa ta' proġett?</v>
      </c>
    </row>
    <row r="1124" ht="15.75" customHeight="1">
      <c r="A1124" s="2" t="s">
        <v>1124</v>
      </c>
      <c r="B1124" s="2" t="str">
        <f>IFERROR(__xludf.DUMMYFUNCTION("GOOGLETRANSLATE(A1124, ""en"", ""mt"")"),"ikkonfermat u emendat")</f>
        <v>ikkonfermat u emendat</v>
      </c>
    </row>
    <row r="1125" ht="15.75" customHeight="1">
      <c r="A1125" s="2" t="s">
        <v>1125</v>
      </c>
      <c r="B1125" s="2" t="str">
        <f>IFERROR(__xludf.DUMMYFUNCTION("GOOGLETRANSLATE(A1125, ""en"", ""mt"")"),"Wara t-Trattat sabiħ")</f>
        <v>Wara t-Trattat sabiħ</v>
      </c>
    </row>
    <row r="1126" ht="15.75" customHeight="1">
      <c r="A1126" s="2" t="s">
        <v>1126</v>
      </c>
      <c r="B1126" s="2" t="str">
        <f>IFERROR(__xludf.DUMMYFUNCTION("GOOGLETRANSLATE(A1126, ""en"", ""mt"")"),"Il-Korporazzjoni Rand żammet xi waħda mir-riċerka?")</f>
        <v>Il-Korporazzjoni Rand żammet xi waħda mir-riċerka?</v>
      </c>
    </row>
    <row r="1127" ht="15.75" customHeight="1">
      <c r="A1127" s="2" t="s">
        <v>1127</v>
      </c>
      <c r="B1127" s="2" t="str">
        <f>IFERROR(__xludf.DUMMYFUNCTION("GOOGLETRANSLATE(A1127, ""en"", ""mt"")"),"diffiċli biex tissolva")</f>
        <v>diffiċli biex tissolva</v>
      </c>
    </row>
    <row r="1128" ht="15.75" customHeight="1">
      <c r="A1128" s="2" t="s">
        <v>1128</v>
      </c>
      <c r="B1128" s="2" t="str">
        <f>IFERROR(__xludf.DUMMYFUNCTION("GOOGLETRANSLATE(A1128, ""en"", ""mt"")"),"Parti kbira mill-fluss hija ddevjata 'l barra mill-gżira ta' Mainau lejn fejn?")</f>
        <v>Parti kbira mill-fluss hija ddevjata 'l barra mill-gżira ta' Mainau lejn fejn?</v>
      </c>
    </row>
    <row r="1129" ht="15.75" customHeight="1">
      <c r="A1129" s="2" t="s">
        <v>1129</v>
      </c>
      <c r="B1129" s="2" t="str">
        <f>IFERROR(__xludf.DUMMYFUNCTION("GOOGLETRANSLATE(A1129, ""en"", ""mt"")"),"Ir-Renju Unit")</f>
        <v>Ir-Renju Unit</v>
      </c>
    </row>
    <row r="1130" ht="15.75" customHeight="1">
      <c r="A1130" s="2" t="s">
        <v>1130</v>
      </c>
      <c r="B1130" s="2" t="str">
        <f>IFERROR(__xludf.DUMMYFUNCTION("GOOGLETRANSLATE(A1130, ""en"", ""mt"")"),"Ethelred II")</f>
        <v>Ethelred II</v>
      </c>
    </row>
    <row r="1131" ht="15.75" customHeight="1">
      <c r="A1131" s="2" t="s">
        <v>1131</v>
      </c>
      <c r="B1131" s="2" t="str">
        <f>IFERROR(__xludf.DUMMYFUNCTION("GOOGLETRANSLATE(A1131, ""en"", ""mt"")"),"1695–1696")</f>
        <v>1695–1696</v>
      </c>
    </row>
    <row r="1132" ht="15.75" customHeight="1">
      <c r="A1132" s="2" t="s">
        <v>1132</v>
      </c>
      <c r="B1132" s="2" t="str">
        <f>IFERROR(__xludf.DUMMYFUNCTION("GOOGLETRANSLATE(A1132, ""en"", ""mt"")"),"1979")</f>
        <v>1979</v>
      </c>
    </row>
    <row r="1133" ht="15.75" customHeight="1">
      <c r="A1133" s="2" t="s">
        <v>1133</v>
      </c>
      <c r="B1133" s="2" t="str">
        <f>IFERROR(__xludf.DUMMYFUNCTION("GOOGLETRANSLATE(A1133, ""en"", ""mt"")"),"X'kien l-ewwel apparat tat-tessuti użat kummerċjalment?")</f>
        <v>X'kien l-ewwel apparat tat-tessuti użat kummerċjalment?</v>
      </c>
    </row>
    <row r="1134" ht="15.75" customHeight="1">
      <c r="A1134" s="2" t="s">
        <v>1134</v>
      </c>
      <c r="B1134" s="2" t="str">
        <f>IFERROR(__xludf.DUMMYFUNCTION("GOOGLETRANSLATE(A1134, ""en"", ""mt"")"),"Rati ogħla ta 'problemi tas-saħħa u soċjali huma biss tnejn minn eżempji ta' effetti minn xiex?")</f>
        <v>Rati ogħla ta 'problemi tas-saħħa u soċjali huma biss tnejn minn eżempji ta' effetti minn xiex?</v>
      </c>
    </row>
    <row r="1135" ht="15.75" customHeight="1">
      <c r="A1135" s="2" t="s">
        <v>1135</v>
      </c>
      <c r="B1135" s="2" t="str">
        <f>IFERROR(__xludf.DUMMYFUNCTION("GOOGLETRANSLATE(A1135, ""en"", ""mt"")"),"dipendenza fuq it-tagħlim ta 'sħabhom")</f>
        <v>dipendenza fuq it-tagħlim ta 'sħabhom</v>
      </c>
    </row>
    <row r="1136" ht="15.75" customHeight="1">
      <c r="A1136" s="2" t="s">
        <v>1136</v>
      </c>
      <c r="B1136" s="2" t="str">
        <f>IFERROR(__xludf.DUMMYFUNCTION("GOOGLETRANSLATE(A1136, ""en"", ""mt"")"),"Għawwiema iżgħar u aktar dgħajfa bħal rotifers u larva tal-molluski u tal-krustaċji.")</f>
        <v>Għawwiema iżgħar u aktar dgħajfa bħal rotifers u larva tal-molluski u tal-krustaċji.</v>
      </c>
    </row>
    <row r="1137" ht="15.75" customHeight="1">
      <c r="A1137" s="2" t="s">
        <v>1137</v>
      </c>
      <c r="B1137" s="2" t="str">
        <f>IFERROR(__xludf.DUMMYFUNCTION("GOOGLETRANSLATE(A1137, ""en"", ""mt"")"),"Meta seħħet l-attività tal-bini fuq il-Palazz Banki?")</f>
        <v>Meta seħħet l-attività tal-bini fuq il-Palazz Banki?</v>
      </c>
    </row>
    <row r="1138" ht="15.75" customHeight="1">
      <c r="A1138" s="2" t="s">
        <v>1138</v>
      </c>
      <c r="B1138" s="2" t="str">
        <f>IFERROR(__xludf.DUMMYFUNCTION("GOOGLETRANSLATE(A1138, ""en"", ""mt"")"),"Liema entitajiet huma inklużi fis-sistema federali tal-kura tas-saħħa?")</f>
        <v>Liema entitajiet huma inklużi fis-sistema federali tal-kura tas-saħħa?</v>
      </c>
    </row>
    <row r="1139" ht="15.75" customHeight="1">
      <c r="A1139" s="2" t="s">
        <v>1139</v>
      </c>
      <c r="B1139" s="2" t="str">
        <f>IFERROR(__xludf.DUMMYFUNCTION("GOOGLETRANSLATE(A1139, ""en"", ""mt"")"),"X'inhi l-iktar riżorsa kritika mkejla biex tevalwa d-determinazzjoni tal-kapaċità ta 'magna tat-Turing li ssolvi kwalunkwe sett ta' problemi?")</f>
        <v>X'inhi l-iktar riżorsa kritika mkejla biex tevalwa d-determinazzjoni tal-kapaċità ta 'magna tat-Turing li ssolvi kwalunkwe sett ta' problemi?</v>
      </c>
    </row>
    <row r="1140" ht="15.75" customHeight="1">
      <c r="A1140" s="2" t="s">
        <v>1140</v>
      </c>
      <c r="B1140" s="2" t="str">
        <f>IFERROR(__xludf.DUMMYFUNCTION("GOOGLETRANSLATE(A1140, ""en"", ""mt"")"),"sigriet")</f>
        <v>sigriet</v>
      </c>
    </row>
    <row r="1141" ht="15.75" customHeight="1">
      <c r="A1141" s="2" t="s">
        <v>1141</v>
      </c>
      <c r="B1141" s="2" t="str">
        <f>IFERROR(__xludf.DUMMYFUNCTION("GOOGLETRANSLATE(A1141, ""en"", ""mt"")"),"56.2%")</f>
        <v>56.2%</v>
      </c>
    </row>
    <row r="1142" ht="15.75" customHeight="1">
      <c r="A1142" s="2" t="s">
        <v>1142</v>
      </c>
      <c r="B1142" s="2" t="str">
        <f>IFERROR(__xludf.DUMMYFUNCTION("GOOGLETRANSLATE(A1142, ""en"", ""mt"")"),"ditti involuti fil-ġestjoni ta 'proġetti ta' kostruzzjoni")</f>
        <v>ditti involuti fil-ġestjoni ta 'proġetti ta' kostruzzjoni</v>
      </c>
    </row>
    <row r="1143" ht="15.75" customHeight="1">
      <c r="A1143" s="2" t="s">
        <v>1143</v>
      </c>
      <c r="B1143" s="2" t="str">
        <f>IFERROR(__xludf.DUMMYFUNCTION("GOOGLETRANSLATE(A1143, ""en"", ""mt"")"),"Matriċi ta 'l-aġġustanza")</f>
        <v>Matriċi ta 'l-aġġustanza</v>
      </c>
    </row>
    <row r="1144" ht="15.75" customHeight="1">
      <c r="A1144" s="2" t="s">
        <v>1144</v>
      </c>
      <c r="B1144" s="2" t="str">
        <f>IFERROR(__xludf.DUMMYFUNCTION("GOOGLETRANSLATE(A1144, ""en"", ""mt"")"),"Minn liema oqsma rreklutaw indiġeni bl-Ingliż?")</f>
        <v>Minn liema oqsma rreklutaw indiġeni bl-Ingliż?</v>
      </c>
    </row>
    <row r="1145" ht="15.75" customHeight="1">
      <c r="A1145" s="2" t="s">
        <v>1145</v>
      </c>
      <c r="B1145" s="2" t="str">
        <f>IFERROR(__xludf.DUMMYFUNCTION("GOOGLETRANSLATE(A1145, ""en"", ""mt"")"),"Min jissorvelja tekniku tal-ispiżerija fir-Renju Unit?")</f>
        <v>Min jissorvelja tekniku tal-ispiżerija fir-Renju Unit?</v>
      </c>
    </row>
    <row r="1146" ht="15.75" customHeight="1">
      <c r="A1146" s="2" t="s">
        <v>1146</v>
      </c>
      <c r="B1146" s="2" t="str">
        <f>IFERROR(__xludf.DUMMYFUNCTION("GOOGLETRANSLATE(A1146, ""en"", ""mt"")"),"X'inhi l-ekonomija tal-FMCG?")</f>
        <v>X'inhi l-ekonomija tal-FMCG?</v>
      </c>
    </row>
    <row r="1147" ht="15.75" customHeight="1">
      <c r="A1147" s="2" t="s">
        <v>1147</v>
      </c>
      <c r="B1147" s="2" t="str">
        <f>IFERROR(__xludf.DUMMYFUNCTION("GOOGLETRANSLATE(A1147, ""en"", ""mt"")"),"In-Normandija kienet is-sit ta ’bosta żviluppi importanti fl-istorja tal-mużika klassika fis-seklu 11. Fécamp Abbey u Saint-Evroul Abbey kienu ċentri ta ’produzzjoni u edukazzjoni mużikali. Fi Fécamp, taħt żewġ abbati Taljani, William ta 'Volpiano u John "&amp;"ta' Ravenna, is-sistema ta 'noti ta' noti permezz ta 'ittri ġiet żviluppata u mgħallma. Għadha l-iktar forma komuni ta 'rappreżentazzjoni taż-żift fil-pajjiżi li jitkellmu bl-Ingliż u bil-Ġermaniż illum. Fécamp ukoll, il-persunal, li madwaru Neumes kienu "&amp;"orjentati, l-ewwel ġie żviluppat u mgħallem fis-seklu 11. Taħt l-Abbati Ġermaniż Isembard, La Trinité-du-Mont sar ċentru ta 'kompożizzjoni mużikali.")</f>
        <v>In-Normandija kienet is-sit ta ’bosta żviluppi importanti fl-istorja tal-mużika klassika fis-seklu 11. Fécamp Abbey u Saint-Evroul Abbey kienu ċentri ta ’produzzjoni u edukazzjoni mużikali. Fi Fécamp, taħt żewġ abbati Taljani, William ta 'Volpiano u John ta' Ravenna, is-sistema ta 'noti ta' noti permezz ta 'ittri ġiet żviluppata u mgħallma. Għadha l-iktar forma komuni ta 'rappreżentazzjoni taż-żift fil-pajjiżi li jitkellmu bl-Ingliż u bil-Ġermaniż illum. Fécamp ukoll, il-persunal, li madwaru Neumes kienu orjentati, l-ewwel ġie żviluppat u mgħallem fis-seklu 11. Taħt l-Abbati Ġermaniż Isembard, La Trinité-du-Mont sar ċentru ta 'kompożizzjoni mużikali.</v>
      </c>
    </row>
    <row r="1148" ht="15.75" customHeight="1">
      <c r="A1148" s="2" t="s">
        <v>1148</v>
      </c>
      <c r="B1148" s="2" t="str">
        <f>IFERROR(__xludf.DUMMYFUNCTION("GOOGLETRANSLATE(A1148, ""en"", ""mt"")"),"Il-foresta tropikali tnaqqset għal refugia żgħira u iżolata separata minn foresta miftuħa u ħaxix")</f>
        <v>Il-foresta tropikali tnaqqset għal refugia żgħira u iżolata separata minn foresta miftuħa u ħaxix</v>
      </c>
    </row>
    <row r="1149" ht="15.75" customHeight="1">
      <c r="A1149" s="2" t="s">
        <v>1149</v>
      </c>
      <c r="B1149" s="2" t="str">
        <f>IFERROR(__xludf.DUMMYFUNCTION("GOOGLETRANSLATE(A1149, ""en"", ""mt"")"),"Waħda mill-eqdem rappreżentazzjonijiet ta 'diżubbidjenza ċivili hija fil-logħob ta' Sophocles Antigone, li fih Antigone, waħda mill-bniet ta 'l-ex King of Tebes, Edipus, tikkontesta lil Creon, ir-re attwali ta' Thebes, li qed tipprova twaqqafha milli tagħ"&amp;"ti lil ħuha Polynices dfin xieraq. Hija tagħti diskors li jħawwad li fih tgħidlu li hi trid tobdi l-kuxjenza tagħha aktar milli l-liġi umana. Hija ma tibżax xejn mill-mewt li huwa jheddedha (u eventwalment imexxi), imma tibża 'minn kif il-kuxjenza tagħha "&amp;"se titħassarha jekk ma tagħmilx dan.")</f>
        <v>Waħda mill-eqdem rappreżentazzjonijiet ta 'diżubbidjenza ċivili hija fil-logħob ta' Sophocles Antigone, li fih Antigone, waħda mill-bniet ta 'l-ex King of Tebes, Edipus, tikkontesta lil Creon, ir-re attwali ta' Thebes, li qed tipprova twaqqafha milli tagħti lil ħuha Polynices dfin xieraq. Hija tagħti diskors li jħawwad li fih tgħidlu li hi trid tobdi l-kuxjenza tagħha aktar milli l-liġi umana. Hija ma tibżax xejn mill-mewt li huwa jheddedha (u eventwalment imexxi), imma tibża 'minn kif il-kuxjenza tagħha se titħassarha jekk ma tagħmilx dan.</v>
      </c>
    </row>
    <row r="1150" ht="15.75" customHeight="1">
      <c r="A1150" s="2" t="s">
        <v>1150</v>
      </c>
      <c r="B1150" s="2" t="str">
        <f>IFERROR(__xludf.DUMMYFUNCTION("GOOGLETRANSLATE(A1150, ""en"", ""mt"")"),"Liema grupp iħejji l-offerta għax-xogħol?")</f>
        <v>Liema grupp iħejji l-offerta għax-xogħol?</v>
      </c>
    </row>
    <row r="1151" ht="15.75" customHeight="1">
      <c r="A1151" s="2" t="s">
        <v>1151</v>
      </c>
      <c r="B1151" s="2" t="str">
        <f>IFERROR(__xludf.DUMMYFUNCTION("GOOGLETRANSLATE(A1151, ""en"", ""mt"")"),"Ippreserva t-tolleranza tas-soċjetà għad-diżubbidjenza ċivili")</f>
        <v>Ippreserva t-tolleranza tas-soċjetà għad-diżubbidjenza ċivili</v>
      </c>
    </row>
    <row r="1152" ht="15.75" customHeight="1">
      <c r="A1152" s="2" t="s">
        <v>1152</v>
      </c>
      <c r="B1152" s="2" t="str">
        <f>IFERROR(__xludf.DUMMYFUNCTION("GOOGLETRANSLATE(A1152, ""en"", ""mt"")"),"allotrope")</f>
        <v>allotrope</v>
      </c>
    </row>
    <row r="1153" ht="15.75" customHeight="1">
      <c r="A1153" s="2" t="s">
        <v>1153</v>
      </c>
      <c r="B1153" s="2" t="str">
        <f>IFERROR(__xludf.DUMMYFUNCTION("GOOGLETRANSLATE(A1153, ""en"", ""mt"")"),"Min biegħ ir-Renu ta ’Fuq lil Burgundy?")</f>
        <v>Min biegħ ir-Renu ta ’Fuq lil Burgundy?</v>
      </c>
    </row>
    <row r="1154" ht="15.75" customHeight="1">
      <c r="A1154" s="2" t="s">
        <v>1154</v>
      </c>
      <c r="B1154" s="2" t="str">
        <f>IFERROR(__xludf.DUMMYFUNCTION("GOOGLETRANSLATE(A1154, ""en"", ""mt"")"),"Kemm suppost kienu segwiti l-akkademji Kristjani?")</f>
        <v>Kemm suppost kienu segwiti l-akkademji Kristjani?</v>
      </c>
    </row>
    <row r="1155" ht="15.75" customHeight="1">
      <c r="A1155" s="2" t="s">
        <v>1155</v>
      </c>
      <c r="B1155" s="2" t="str">
        <f>IFERROR(__xludf.DUMMYFUNCTION("GOOGLETRANSLATE(A1155, ""en"", ""mt"")"),"Sainte Foy")</f>
        <v>Sainte Foy</v>
      </c>
    </row>
    <row r="1156" ht="15.75" customHeight="1">
      <c r="A1156" s="2" t="s">
        <v>1156</v>
      </c>
      <c r="B1156" s="2" t="str">
        <f>IFERROR(__xludf.DUMMYFUNCTION("GOOGLETRANSLATE(A1156, ""en"", ""mt"")"),"żied il-prezz mitlub")</f>
        <v>żied il-prezz mitlub</v>
      </c>
    </row>
    <row r="1157" ht="15.75" customHeight="1">
      <c r="A1157" s="2" t="s">
        <v>1157</v>
      </c>
      <c r="B1157" s="2" t="str">
        <f>IFERROR(__xludf.DUMMYFUNCTION("GOOGLETRANSLATE(A1157, ""en"", ""mt"")"),"1774")</f>
        <v>1774</v>
      </c>
    </row>
    <row r="1158" ht="15.75" customHeight="1">
      <c r="A1158" s="2" t="s">
        <v>1158</v>
      </c>
      <c r="B1158" s="2" t="str">
        <f>IFERROR(__xludf.DUMMYFUNCTION("GOOGLETRANSLATE(A1158, ""en"", ""mt"")"),"Għalkemm Turabi pproklama ċ-ċaħda tiegħu għall-proċess demokratiku, huwa applika strettament xiex wara li daħal fil-poter?")</f>
        <v>Għalkemm Turabi pproklama ċ-ċaħda tiegħu għall-proċess demokratiku, huwa applika strettament xiex wara li daħal fil-poter?</v>
      </c>
    </row>
    <row r="1159" ht="15.75" customHeight="1">
      <c r="A1159" s="2" t="s">
        <v>1159</v>
      </c>
      <c r="B1159" s="2" t="str">
        <f>IFERROR(__xludf.DUMMYFUNCTION("GOOGLETRANSLATE(A1159, ""en"", ""mt"")"),"Kont epidemjoloġiku")</f>
        <v>Kont epidemjoloġiku</v>
      </c>
    </row>
    <row r="1160" ht="15.75" customHeight="1">
      <c r="A1160" s="2" t="s">
        <v>1160</v>
      </c>
      <c r="B1160" s="2" t="str">
        <f>IFERROR(__xludf.DUMMYFUNCTION("GOOGLETRANSLATE(A1160, ""en"", ""mt"")"),"Għal xiex wassal l-użu tal-muturi fil-biedja?")</f>
        <v>Għal xiex wassal l-użu tal-muturi fil-biedja?</v>
      </c>
    </row>
    <row r="1161" ht="15.75" customHeight="1">
      <c r="A1161" s="2" t="s">
        <v>1161</v>
      </c>
      <c r="B1161" s="2" t="str">
        <f>IFERROR(__xludf.DUMMYFUNCTION("GOOGLETRANSLATE(A1161, ""en"", ""mt"")"),"sitta")</f>
        <v>sitta</v>
      </c>
    </row>
    <row r="1162" ht="15.75" customHeight="1">
      <c r="A1162" s="2" t="s">
        <v>1162</v>
      </c>
      <c r="B1162" s="2" t="str">
        <f>IFERROR(__xludf.DUMMYFUNCTION("GOOGLETRANSLATE(A1162, ""en"", ""mt"")"),"Liema pajjiż mhux dak affettwat mill-bidla tal-gvern?")</f>
        <v>Liema pajjiż mhux dak affettwat mill-bidla tal-gvern?</v>
      </c>
    </row>
    <row r="1163" ht="15.75" customHeight="1">
      <c r="A1163" s="2" t="s">
        <v>1163</v>
      </c>
      <c r="B1163" s="2" t="str">
        <f>IFERROR(__xludf.DUMMYFUNCTION("GOOGLETRANSLATE(A1163, ""en"", ""mt"")"),"Iż-żieda fit-temperatura kienet qrib it-tarf ta 'fuq tal-firxa mogħtija")</f>
        <v>Iż-żieda fit-temperatura kienet qrib it-tarf ta 'fuq tal-firxa mogħtija</v>
      </c>
    </row>
    <row r="1164" ht="15.75" customHeight="1">
      <c r="A1164" s="2" t="s">
        <v>1164</v>
      </c>
      <c r="B1164" s="2" t="str">
        <f>IFERROR(__xludf.DUMMYFUNCTION("GOOGLETRANSLATE(A1164, ""en"", ""mt"")"),"Kemm it-trab tas-Saħara huwa minfuħ u jaqa 'fuq il-Baħar tal-Karibew kull sena?")</f>
        <v>Kemm it-trab tas-Saħara huwa minfuħ u jaqa 'fuq il-Baħar tal-Karibew kull sena?</v>
      </c>
    </row>
    <row r="1165" ht="15.75" customHeight="1">
      <c r="A1165" s="2" t="s">
        <v>1165</v>
      </c>
      <c r="B1165" s="2" t="str">
        <f>IFERROR(__xludf.DUMMYFUNCTION("GOOGLETRANSLATE(A1165, ""en"", ""mt"")"),"Tmiem oppost minn ħalq")</f>
        <v>Tmiem oppost minn ħalq</v>
      </c>
    </row>
    <row r="1166" ht="15.75" customHeight="1">
      <c r="A1166" s="2" t="s">
        <v>1166</v>
      </c>
      <c r="B1166" s="2" t="str">
        <f>IFERROR(__xludf.DUMMYFUNCTION("GOOGLETRANSLATE(A1166, ""en"", ""mt"")"),"Minn fejn jinsab Fielding H. Garrison?")</f>
        <v>Minn fejn jinsab Fielding H. Garrison?</v>
      </c>
    </row>
    <row r="1167" ht="15.75" customHeight="1">
      <c r="A1167" s="2" t="s">
        <v>1167</v>
      </c>
      <c r="B1167" s="2" t="str">
        <f>IFERROR(__xludf.DUMMYFUNCTION("GOOGLETRANSLATE(A1167, ""en"", ""mt"")"),"L-Erbgħa")</f>
        <v>L-Erbgħa</v>
      </c>
    </row>
    <row r="1168" ht="15.75" customHeight="1">
      <c r="A1168" s="2" t="s">
        <v>1168</v>
      </c>
      <c r="B1168" s="2" t="str">
        <f>IFERROR(__xludf.DUMMYFUNCTION("GOOGLETRANSLATE(A1168, ""en"", ""mt"")"),"Kemm liri ta 'fwar kull kilowatt juża l-magna tal-kombustjoni interna?")</f>
        <v>Kemm liri ta 'fwar kull kilowatt juża l-magna tal-kombustjoni interna?</v>
      </c>
    </row>
    <row r="1169" ht="15.75" customHeight="1">
      <c r="A1169" s="2" t="s">
        <v>1169</v>
      </c>
      <c r="B1169" s="2" t="str">
        <f>IFERROR(__xludf.DUMMYFUNCTION("GOOGLETRANSLATE(A1169, ""en"", ""mt"")"),"konvetti tal-mantell")</f>
        <v>konvetti tal-mantell</v>
      </c>
    </row>
    <row r="1170" ht="15.75" customHeight="1">
      <c r="A1170" s="2" t="s">
        <v>1170</v>
      </c>
      <c r="B1170" s="2" t="str">
        <f>IFERROR(__xludf.DUMMYFUNCTION("GOOGLETRANSLATE(A1170, ""en"", ""mt"")"),"X'kien il-persentaġġ ta 'nies li fi Fresno fl-2010?")</f>
        <v>X'kien il-persentaġġ ta 'nies li fi Fresno fl-2010?</v>
      </c>
    </row>
    <row r="1171" ht="15.75" customHeight="1">
      <c r="A1171" s="2" t="s">
        <v>1171</v>
      </c>
      <c r="B1171" s="2" t="str">
        <f>IFERROR(__xludf.DUMMYFUNCTION("GOOGLETRANSLATE(A1171, ""en"", ""mt"")"),"Iċ-ċelloli dendritiċi huma msemmijin minħabba li jixbħu xiex?")</f>
        <v>Iċ-ċelloli dendritiċi huma msemmijin minħabba li jixbħu xiex?</v>
      </c>
    </row>
    <row r="1172" ht="15.75" customHeight="1">
      <c r="A1172" s="2" t="s">
        <v>1172</v>
      </c>
      <c r="B1172" s="2" t="str">
        <f>IFERROR(__xludf.DUMMYFUNCTION("GOOGLETRANSLATE(A1172, ""en"", ""mt"")"),"Komposti ta 'ossidu")</f>
        <v>Komposti ta 'ossidu</v>
      </c>
    </row>
    <row r="1173" ht="15.75" customHeight="1">
      <c r="A1173" s="2" t="s">
        <v>1173</v>
      </c>
      <c r="B1173" s="2" t="str">
        <f>IFERROR(__xludf.DUMMYFUNCTION("GOOGLETRANSLATE(A1173, ""en"", ""mt"")"),"Gte")</f>
        <v>Gte</v>
      </c>
    </row>
    <row r="1174" ht="15.75" customHeight="1">
      <c r="A1174" s="2" t="s">
        <v>1174</v>
      </c>
      <c r="B1174" s="2" t="str">
        <f>IFERROR(__xludf.DUMMYFUNCTION("GOOGLETRANSLATE(A1174, ""en"", ""mt"")"),"X'għandu l-Istat Olivier Roy li għadda minn bidla notevoli fit-tieni nofs tas-seklu 21?")</f>
        <v>X'għandu l-Istat Olivier Roy li għadda minn bidla notevoli fit-tieni nofs tas-seklu 21?</v>
      </c>
    </row>
    <row r="1175" ht="15.75" customHeight="1">
      <c r="A1175" s="2" t="s">
        <v>1175</v>
      </c>
      <c r="B1175" s="2" t="str">
        <f>IFERROR(__xludf.DUMMYFUNCTION("GOOGLETRANSLATE(A1175, ""en"", ""mt"")"),"X'kienet it-taħlit bħala li qiegħed fl-industrija tal-kostruzzjoni tal-lokomottiva?")</f>
        <v>X'kienet it-taħlit bħala li qiegħed fl-industrija tal-kostruzzjoni tal-lokomottiva?</v>
      </c>
    </row>
    <row r="1176" ht="15.75" customHeight="1">
      <c r="A1176" s="2" t="s">
        <v>1176</v>
      </c>
      <c r="B1176" s="2" t="str">
        <f>IFERROR(__xludf.DUMMYFUNCTION("GOOGLETRANSLATE(A1176, ""en"", ""mt"")"),"Fuq liema tip ta 'dħul tiddependi l-maġġoranza l-kbira tal-popolazzjoni?")</f>
        <v>Fuq liema tip ta 'dħul tiddependi l-maġġoranza l-kbira tal-popolazzjoni?</v>
      </c>
    </row>
    <row r="1177" ht="15.75" customHeight="1">
      <c r="A1177" s="2" t="s">
        <v>1177</v>
      </c>
      <c r="B1177" s="2" t="str">
        <f>IFERROR(__xludf.DUMMYFUNCTION("GOOGLETRANSLATE(A1177, ""en"", ""mt"")"),"Biex tirbaħ il-ħelsien u tevita ħabs jew multa")</f>
        <v>Biex tirbaħ il-ħelsien u tevita ħabs jew multa</v>
      </c>
    </row>
    <row r="1178" ht="15.75" customHeight="1">
      <c r="A1178" s="2" t="s">
        <v>1178</v>
      </c>
      <c r="B1178" s="2" t="str">
        <f>IFERROR(__xludf.DUMMYFUNCTION("GOOGLETRANSLATE(A1178, ""en"", ""mt"")"),"Min kien famuż għall-ispirtu Nisrani tagħhom?")</f>
        <v>Min kien famuż għall-ispirtu Nisrani tagħhom?</v>
      </c>
    </row>
    <row r="1179" ht="15.75" customHeight="1">
      <c r="A1179" s="2" t="s">
        <v>1179</v>
      </c>
      <c r="B1179" s="2" t="str">
        <f>IFERROR(__xludf.DUMMYFUNCTION("GOOGLETRANSLATE(A1179, ""en"", ""mt"")"),"Dak li juri r-relazzjonijiet bejn il-blat u l-kristall?")</f>
        <v>Dak li juri r-relazzjonijiet bejn il-blat u l-kristall?</v>
      </c>
    </row>
    <row r="1180" ht="15.75" customHeight="1">
      <c r="A1180" s="2" t="s">
        <v>1180</v>
      </c>
      <c r="B1180" s="2" t="str">
        <f>IFERROR(__xludf.DUMMYFUNCTION("GOOGLETRANSLATE(A1180, ""en"", ""mt"")"),"It-tamboċċi tad-dgħajsa mdawra 'l isfel jinsabu f'liema lobby?")</f>
        <v>It-tamboċċi tad-dgħajsa mdawra 'l isfel jinsabu f'liema lobby?</v>
      </c>
    </row>
    <row r="1181" ht="15.75" customHeight="1">
      <c r="A1181" s="2" t="s">
        <v>1181</v>
      </c>
      <c r="B1181" s="2" t="str">
        <f>IFERROR(__xludf.DUMMYFUNCTION("GOOGLETRANSLATE(A1181, ""en"", ""mt"")"),"promossi ideat u prattiki tal-Punent / barranin f'soċjetajiet Iżlamiċi")</f>
        <v>promossi ideat u prattiki tal-Punent / barranin f'soċjetajiet Iżlamiċi</v>
      </c>
    </row>
    <row r="1182" ht="15.75" customHeight="1">
      <c r="A1182" s="2" t="s">
        <v>1182</v>
      </c>
      <c r="B1182" s="2" t="str">
        <f>IFERROR(__xludf.DUMMYFUNCTION("GOOGLETRANSLATE(A1182, ""en"", ""mt"")"),"Meta l-membri jipproċedu jivvutaw dwar jekk jaqblux mal-prinċipji tal-abbozz finali?")</f>
        <v>Meta l-membri jipproċedu jivvutaw dwar jekk jaqblux mal-prinċipji tal-abbozz finali?</v>
      </c>
    </row>
    <row r="1183" ht="15.75" customHeight="1">
      <c r="A1183" s="2" t="s">
        <v>1183</v>
      </c>
      <c r="B1183" s="2" t="str">
        <f>IFERROR(__xludf.DUMMYFUNCTION("GOOGLETRANSLATE(A1183, ""en"", ""mt"")"),"Id-dinastija tal-kanzunetta")</f>
        <v>Id-dinastija tal-kanzunetta</v>
      </c>
    </row>
    <row r="1184" ht="15.75" customHeight="1">
      <c r="A1184" s="2" t="s">
        <v>1184</v>
      </c>
      <c r="B1184" s="2" t="str">
        <f>IFERROR(__xludf.DUMMYFUNCTION("GOOGLETRANSLATE(A1184, ""en"", ""mt"")"),"X'inhi l-ekonomija tan-Nofsinhar ta 'California li tiddependi kompletament?")</f>
        <v>X'inhi l-ekonomija tan-Nofsinhar ta 'California li tiddependi kompletament?</v>
      </c>
    </row>
    <row r="1185" ht="15.75" customHeight="1">
      <c r="A1185" s="2" t="s">
        <v>1185</v>
      </c>
      <c r="B1185" s="2" t="str">
        <f>IFERROR(__xludf.DUMMYFUNCTION("GOOGLETRANSLATE(A1185, ""en"", ""mt"")"),"Kemm hemm kleru fir-Repubblika Olandiża qabel l-influss ta 'Huguenots?")</f>
        <v>Kemm hemm kleru fir-Repubblika Olandiża qabel l-influss ta 'Huguenots?</v>
      </c>
    </row>
    <row r="1186" ht="15.75" customHeight="1">
      <c r="A1186" s="2" t="s">
        <v>1186</v>
      </c>
      <c r="B1186" s="2" t="str">
        <f>IFERROR(__xludf.DUMMYFUNCTION("GOOGLETRANSLATE(A1186, ""en"", ""mt"")"),"Telenet kien l-ewwel netwerk ta 'dejta pubblika liċenzjata mill-FCC fl-Istati Uniti. Din twaqqfet mill-ex direttur tal-IPTO ARPA Larry Roberts bħala mezz biex tagħmel it-teknoloġija ARPANET pubblika. Huwa kien ipprova jinteressa lil AT&amp;T fix-xiri tat-tekn"&amp;"oloġija, iżda r-reazzjoni tal-monopolju kienet li din kienet inkompatibbli mal-futur tagħhom. Bolt, Beranack u Newman (BBN) ipprovdew il-finanzjament. Fil-bidu uża t-teknoloġija ARPANET iżda biddel l-interface ospitanti għal X.25 u l-interface terminali g"&amp;"ħal X.29. Telenet iddisinja dawn il-protokolli u għenhom jistandardizzahom fis-CCITT. Telenet ġie inkorporat fl-1973 u beda l-operazzjonijiet fl-1975. Huwa sar pubbliku fl-1979 u mbagħad inbiegħ lil GTE.")</f>
        <v>Telenet kien l-ewwel netwerk ta 'dejta pubblika liċenzjata mill-FCC fl-Istati Uniti. Din twaqqfet mill-ex direttur tal-IPTO ARPA Larry Roberts bħala mezz biex tagħmel it-teknoloġija ARPANET pubblika. Huwa kien ipprova jinteressa lil AT&amp;T fix-xiri tat-teknoloġija, iżda r-reazzjoni tal-monopolju kienet li din kienet inkompatibbli mal-futur tagħhom. Bolt, Beranack u Newman (BBN) ipprovdew il-finanzjament. Fil-bidu uża t-teknoloġija ARPANET iżda biddel l-interface ospitanti għal X.25 u l-interface terminali għal X.29. Telenet iddisinja dawn il-protokolli u għenhom jistandardizzahom fis-CCITT. Telenet ġie inkorporat fl-1973 u beda l-operazzjonijiet fl-1975. Huwa sar pubbliku fl-1979 u mbagħad inbiegħ lil GTE.</v>
      </c>
    </row>
    <row r="1187" ht="15.75" customHeight="1">
      <c r="A1187" s="2" t="s">
        <v>1187</v>
      </c>
      <c r="B1187" s="2" t="str">
        <f>IFERROR(__xludf.DUMMYFUNCTION("GOOGLETRANSLATE(A1187, ""en"", ""mt"")"),"Wara r-riżultati Franċiżi ġeneralment foqra fil-biċċa l-kbira tat-teatri tal-gwerra tas-seba 'snin fl-1758, il-ministru barrani l-ġdid ta' Franza, id-Duc de Choiseul, iddeċieda li jiffoka fuq invażjoni tal-Gran Brittanja, biex jiġbed riżorsi Ingliżi 'l bo"&amp;"għod mill-Amerika ta' Fuq u l-Ewropew kontinentali. L-invażjoni naqset kemm militarment kif ukoll politikament, hekk kif Pitt reġa 'ppjana kampanji sinifikanti kontra Franza l-ġdida, u bagħat fondi lill-alleat tal-Gran Brittanja fuq il-kontinent, il-Pruss"&amp;"ja, u n-Navy Franċiża fallew fil-battalji navali tal-1759 fil-Lagos u l-Bajja ta' Quiberon. F’biċċa waħda ta ’fortuna tajba, xi vapuri tal-provvista Franċiżi rnexxielhom jitilqu minn Franza, u ħadu l-imblokk Ingliż tal-kosta Franċiża.")</f>
        <v>Wara r-riżultati Franċiżi ġeneralment foqra fil-biċċa l-kbira tat-teatri tal-gwerra tas-seba 'snin fl-1758, il-ministru barrani l-ġdid ta' Franza, id-Duc de Choiseul, iddeċieda li jiffoka fuq invażjoni tal-Gran Brittanja, biex jiġbed riżorsi Ingliżi 'l bogħod mill-Amerika ta' Fuq u l-Ewropew kontinentali. L-invażjoni naqset kemm militarment kif ukoll politikament, hekk kif Pitt reġa 'ppjana kampanji sinifikanti kontra Franza l-ġdida, u bagħat fondi lill-alleat tal-Gran Brittanja fuq il-kontinent, il-Prussja, u n-Navy Franċiża fallew fil-battalji navali tal-1759 fil-Lagos u l-Bajja ta' Quiberon. F’biċċa waħda ta ’fortuna tajba, xi vapuri tal-provvista Franċiżi rnexxielhom jitilqu minn Franza, u ħadu l-imblokk Ingliż tal-kosta Franċiża.</v>
      </c>
    </row>
    <row r="1188" ht="15.75" customHeight="1">
      <c r="A1188" s="2" t="s">
        <v>1188</v>
      </c>
      <c r="B1188" s="2" t="str">
        <f>IFERROR(__xludf.DUMMYFUNCTION("GOOGLETRANSLATE(A1188, ""en"", ""mt"")"),"Min hu kkreditat bl-isem modern għal din is-sistema")</f>
        <v>Min hu kkreditat bl-isem modern għal din is-sistema</v>
      </c>
    </row>
    <row r="1189" ht="15.75" customHeight="1">
      <c r="A1189" s="2" t="s">
        <v>1189</v>
      </c>
      <c r="B1189" s="2" t="str">
        <f>IFERROR(__xludf.DUMMYFUNCTION("GOOGLETRANSLATE(A1189, ""en"", ""mt"")"),"Liema konnessjonijiet jorbtu ċelloli ta 'l-isponoż?")</f>
        <v>Liema konnessjonijiet jorbtu ċelloli ta 'l-isponoż?</v>
      </c>
    </row>
    <row r="1190" ht="15.75" customHeight="1">
      <c r="A1190" s="2" t="s">
        <v>1190</v>
      </c>
      <c r="B1190" s="2" t="str">
        <f>IFERROR(__xludf.DUMMYFUNCTION("GOOGLETRANSLATE(A1190, ""en"", ""mt"")"),"L-ewwelnett, ċerti spejjeż huma diffiċli biex jiġu evitati u huma maqsuma minn kulħadd, bħall-ispejjeż tad-djar, il-pensjonijiet, l-edukazzjoni u l-kura tas-saħħa. Jekk l-istat ma jipprovdix dawn is-servizzi, allura għal dawk bi dħul aktar baxx, l-ispejje"&amp;"ż għandhom jiġu mislufa u ħafna drabi dawk bi dħul aktar baxx huma dawk li huma agħar mgħammra biex jimmaniġġjaw il-finanzi tagħhom. It-tieni, il-konsum ta 'aspirazzjoni jiddeskrivi l-proċess ta' dawk li jaqilgħu dħul medju li jaspiraw li jiksbu l-istanda"&amp;"rds ta 'għajxien li jgawdu l-kontropartijiet l-aktar sinjuri tagħhom u metodu wieħed biex tinkiseb din l-aspirazzjoni huwa billi tieħu d-dejn. Ir-riżultat iwassal għal inugwaljanza saħansitra akbar u instabilità ekonomika potenzjali.")</f>
        <v>L-ewwelnett, ċerti spejjeż huma diffiċli biex jiġu evitati u huma maqsuma minn kulħadd, bħall-ispejjeż tad-djar, il-pensjonijiet, l-edukazzjoni u l-kura tas-saħħa. Jekk l-istat ma jipprovdix dawn is-servizzi, allura għal dawk bi dħul aktar baxx, l-ispejjeż għandhom jiġu mislufa u ħafna drabi dawk bi dħul aktar baxx huma dawk li huma agħar mgħammra biex jimmaniġġjaw il-finanzi tagħhom. It-tieni, il-konsum ta 'aspirazzjoni jiddeskrivi l-proċess ta' dawk li jaqilgħu dħul medju li jaspiraw li jiksbu l-istandards ta 'għajxien li jgawdu l-kontropartijiet l-aktar sinjuri tagħhom u metodu wieħed biex tinkiseb din l-aspirazzjoni huwa billi tieħu d-dejn. Ir-riżultat iwassal għal inugwaljanza saħansitra akbar u instabilità ekonomika potenzjali.</v>
      </c>
    </row>
    <row r="1191" ht="15.75" customHeight="1">
      <c r="A1191" s="2" t="s">
        <v>1191</v>
      </c>
      <c r="B1191" s="2" t="str">
        <f>IFERROR(__xludf.DUMMYFUNCTION("GOOGLETRANSLATE(A1191, ""en"", ""mt"")"),"Dublin, Cork, Youghal u Waterford")</f>
        <v>Dublin, Cork, Youghal u Waterford</v>
      </c>
    </row>
    <row r="1192" ht="15.75" customHeight="1">
      <c r="A1192" s="2" t="s">
        <v>1192</v>
      </c>
      <c r="B1192" s="2" t="str">
        <f>IFERROR(__xludf.DUMMYFUNCTION("GOOGLETRANSLATE(A1192, ""en"", ""mt"")")," X'kienet ir-reliġjon uffiċjali tal-istat tal-wan?")</f>
        <v> X'kienet ir-reliġjon uffiċjali tal-istat tal-wan?</v>
      </c>
    </row>
    <row r="1193" ht="15.75" customHeight="1">
      <c r="A1193" s="2" t="s">
        <v>1193</v>
      </c>
      <c r="B1193" s="2" t="str">
        <f>IFERROR(__xludf.DUMMYFUNCTION("GOOGLETRANSLATE(A1193, ""en"", ""mt"")"),"Liema ċellula torbot mal-vitamina Ċ?")</f>
        <v>Liema ċellula torbot mal-vitamina Ċ?</v>
      </c>
    </row>
    <row r="1194" ht="15.75" customHeight="1">
      <c r="A1194" s="2" t="s">
        <v>1194</v>
      </c>
      <c r="B1194" s="2" t="str">
        <f>IFERROR(__xludf.DUMMYFUNCTION("GOOGLETRANSLATE(A1194, ""en"", ""mt"")"),"Min skopra li manjetiku u elettriku jista 'jiġġenera waħdu?")</f>
        <v>Min skopra li manjetiku u elettriku jista 'jiġġenera waħdu?</v>
      </c>
    </row>
    <row r="1195" ht="15.75" customHeight="1">
      <c r="A1195" s="2" t="s">
        <v>1195</v>
      </c>
      <c r="B1195" s="2" t="str">
        <f>IFERROR(__xludf.DUMMYFUNCTION("GOOGLETRANSLATE(A1195, ""en"", ""mt"")"),"Fort Caroline")</f>
        <v>Fort Caroline</v>
      </c>
    </row>
    <row r="1196" ht="15.75" customHeight="1">
      <c r="A1196" s="2" t="s">
        <v>1196</v>
      </c>
      <c r="B1196" s="2" t="str">
        <f>IFERROR(__xludf.DUMMYFUNCTION("GOOGLETRANSLATE(A1196, ""en"", ""mt"")"),"X’wassal għat-tixrid tan-nar ta ’Jacksonville fl-1901?")</f>
        <v>X’wassal għat-tixrid tan-nar ta ’Jacksonville fl-1901?</v>
      </c>
    </row>
    <row r="1197" ht="15.75" customHeight="1">
      <c r="A1197" s="2" t="s">
        <v>1197</v>
      </c>
      <c r="B1197" s="2" t="str">
        <f>IFERROR(__xludf.DUMMYFUNCTION("GOOGLETRANSLATE(A1197, ""en"", ""mt"")"),"rapporti ta 'spiżeriji bħal dawn li jqassmu prodotti mhux standard")</f>
        <v>rapporti ta 'spiżeriji bħal dawn li jqassmu prodotti mhux standard</v>
      </c>
    </row>
    <row r="1198" ht="15.75" customHeight="1">
      <c r="A1198" s="2" t="s">
        <v>1198</v>
      </c>
      <c r="B1198" s="2" t="str">
        <f>IFERROR(__xludf.DUMMYFUNCTION("GOOGLETRANSLATE(A1198, ""en"", ""mt"")"),"Min kiteb dokument dwar komputazzjonijiet f'ħin reali fl-1973?")</f>
        <v>Min kiteb dokument dwar komputazzjonijiet f'ħin reali fl-1973?</v>
      </c>
    </row>
    <row r="1199" ht="15.75" customHeight="1">
      <c r="A1199" s="2" t="s">
        <v>1199</v>
      </c>
      <c r="B1199" s="2" t="str">
        <f>IFERROR(__xludf.DUMMYFUNCTION("GOOGLETRANSLATE(A1199, ""en"", ""mt"")"),"#P")</f>
        <v>#P</v>
      </c>
    </row>
    <row r="1200" ht="15.75" customHeight="1">
      <c r="A1200" s="2" t="s">
        <v>1200</v>
      </c>
      <c r="B1200" s="2" t="str">
        <f>IFERROR(__xludf.DUMMYFUNCTION("GOOGLETRANSLATE(A1200, ""en"", ""mt"")"),"Wara l-ftuħ mill-ġdid tagħha, liema tipi ta 'films juru t-Tower Theatre?")</f>
        <v>Wara l-ftuħ mill-ġdid tagħha, liema tipi ta 'films juru t-Tower Theatre?</v>
      </c>
    </row>
    <row r="1201" ht="15.75" customHeight="1">
      <c r="A1201" s="2" t="s">
        <v>1201</v>
      </c>
      <c r="B1201" s="2" t="str">
        <f>IFERROR(__xludf.DUMMYFUNCTION("GOOGLETRANSLATE(A1201, ""en"", ""mt"")"),"Ford")</f>
        <v>Ford</v>
      </c>
    </row>
    <row r="1202" ht="15.75" customHeight="1">
      <c r="A1202" s="2" t="s">
        <v>1202</v>
      </c>
      <c r="B1202" s="2" t="str">
        <f>IFERROR(__xludf.DUMMYFUNCTION("GOOGLETRANSLATE(A1202, ""en"", ""mt"")"),"1820")</f>
        <v>1820</v>
      </c>
    </row>
    <row r="1203" ht="15.75" customHeight="1">
      <c r="A1203" s="2" t="s">
        <v>1203</v>
      </c>
      <c r="B1203" s="2" t="str">
        <f>IFERROR(__xludf.DUMMYFUNCTION("GOOGLETRANSLATE(A1203, ""en"", ""mt"")"),"estiż")</f>
        <v>estiż</v>
      </c>
    </row>
    <row r="1204" ht="15.75" customHeight="1">
      <c r="A1204" s="2" t="s">
        <v>1204</v>
      </c>
      <c r="B1204" s="2" t="str">
        <f>IFERROR(__xludf.DUMMYFUNCTION("GOOGLETRANSLATE(A1204, ""en"", ""mt"")"),"kienet forma ta 'antrax")</f>
        <v>kienet forma ta 'antrax</v>
      </c>
    </row>
    <row r="1205" ht="15.75" customHeight="1">
      <c r="A1205" s="2" t="s">
        <v>1205</v>
      </c>
      <c r="B1205" s="2" t="str">
        <f>IFERROR(__xludf.DUMMYFUNCTION("GOOGLETRANSLATE(A1205, ""en"", ""mt"")"),"F'liema sena bdiet il-Gwerra Franċiża u Indjana?")</f>
        <v>F'liema sena bdiet il-Gwerra Franċiża u Indjana?</v>
      </c>
    </row>
    <row r="1206" ht="15.75" customHeight="1">
      <c r="A1206" s="2" t="s">
        <v>1206</v>
      </c>
      <c r="B1206" s="2" t="str">
        <f>IFERROR(__xludf.DUMMYFUNCTION("GOOGLETRANSLATE(A1206, ""en"", ""mt"")"),"X'inhu t-terminu użat biex tidentifika magna tat-Turing deterministika li għandha bits każwali addizzjonali?")</f>
        <v>X'inhu t-terminu użat biex tidentifika magna tat-Turing deterministika li għandha bits każwali addizzjonali?</v>
      </c>
    </row>
    <row r="1207" ht="15.75" customHeight="1">
      <c r="A1207" s="2" t="s">
        <v>1207</v>
      </c>
      <c r="B1207" s="2" t="str">
        <f>IFERROR(__xludf.DUMMYFUNCTION("GOOGLETRANSLATE(A1207, ""en"", ""mt"")"),"Dak li huwa ekwivalenti għal numru sħiħ kwadru skont it-tnaqqis tal-ħin polinomjali?")</f>
        <v>Dak li huwa ekwivalenti għal numru sħiħ kwadru skont it-tnaqqis tal-ħin polinomjali?</v>
      </c>
    </row>
    <row r="1208" ht="15.75" customHeight="1">
      <c r="A1208" s="2" t="s">
        <v>1208</v>
      </c>
      <c r="B1208" s="2" t="str">
        <f>IFERROR(__xludf.DUMMYFUNCTION("GOOGLETRANSLATE(A1208, ""en"", ""mt"")"),"X'kien l-isem tal-mexxej permezz tad-Depressjoni l-Kbira u t-Tieni Gwerra Dinjija?")</f>
        <v>X'kien l-isem tal-mexxej permezz tad-Depressjoni l-Kbira u t-Tieni Gwerra Dinjija?</v>
      </c>
    </row>
    <row r="1209" ht="15.75" customHeight="1">
      <c r="A1209" s="2" t="s">
        <v>1209</v>
      </c>
      <c r="B1209" s="2" t="str">
        <f>IFERROR(__xludf.DUMMYFUNCTION("GOOGLETRANSLATE(A1209, ""en"", ""mt"")"),"żdied")</f>
        <v>żdied</v>
      </c>
    </row>
    <row r="1210" ht="15.75" customHeight="1">
      <c r="A1210" s="2" t="s">
        <v>1210</v>
      </c>
      <c r="B1210" s="2" t="str">
        <f>IFERROR(__xludf.DUMMYFUNCTION("GOOGLETRANSLATE(A1210, ""en"", ""mt"")"),"Liema dibattitu huwa dibattitu dwar mozzjoni proposta minn MSP li mhux ministru Skoċċiż?")</f>
        <v>Liema dibattitu huwa dibattitu dwar mozzjoni proposta minn MSP li mhux ministru Skoċċiż?</v>
      </c>
    </row>
    <row r="1211" ht="15.75" customHeight="1">
      <c r="A1211" s="2" t="s">
        <v>1211</v>
      </c>
      <c r="B1211" s="2" t="str">
        <f>IFERROR(__xludf.DUMMYFUNCTION("GOOGLETRANSLATE(A1211, ""en"", ""mt"")"),"Kemm huwa l-Kulleġġ Fresno City mid-Distrett tat-Torri?")</f>
        <v>Kemm huwa l-Kulleġġ Fresno City mid-Distrett tat-Torri?</v>
      </c>
    </row>
    <row r="1212" ht="15.75" customHeight="1">
      <c r="A1212" s="2" t="s">
        <v>1212</v>
      </c>
      <c r="B1212" s="2" t="str">
        <f>IFERROR(__xludf.DUMMYFUNCTION("GOOGLETRANSLATE(A1212, ""en"", ""mt"")"),"Port ta 'Los Angeles")</f>
        <v>Port ta 'Los Angeles</v>
      </c>
    </row>
    <row r="1213" ht="15.75" customHeight="1">
      <c r="A1213" s="2" t="s">
        <v>1213</v>
      </c>
      <c r="B1213" s="2" t="str">
        <f>IFERROR(__xludf.DUMMYFUNCTION("GOOGLETRANSLATE(A1213, ""en"", ""mt"")"),"Fi ħdan il-Maria u ċ-ċinturin tal-ġibda")</f>
        <v>Fi ħdan il-Maria u ċ-ċinturin tal-ġibda</v>
      </c>
    </row>
    <row r="1214" ht="15.75" customHeight="1">
      <c r="A1214" s="2" t="s">
        <v>1214</v>
      </c>
      <c r="B1214" s="2" t="str">
        <f>IFERROR(__xludf.DUMMYFUNCTION("GOOGLETRANSLATE(A1214, ""en"", ""mt"")"),"X'inhuma tliet eżempji ta 'klassijiet ta' kumplessità assoċjati mad-definizzjonijiet stabbiliti minn magni tat-Turing probabilistiċi?")</f>
        <v>X'inhuma tliet eżempji ta 'klassijiet ta' kumplessità assoċjati mad-definizzjonijiet stabbiliti minn magni tat-Turing probabilistiċi?</v>
      </c>
    </row>
    <row r="1215" ht="15.75" customHeight="1">
      <c r="A1215" s="2" t="s">
        <v>1215</v>
      </c>
      <c r="B1215" s="2" t="str">
        <f>IFERROR(__xludf.DUMMYFUNCTION("GOOGLETRANSLATE(A1215, ""en"", ""mt"")"),"art tal-gvern")</f>
        <v>art tal-gvern</v>
      </c>
    </row>
    <row r="1216" ht="15.75" customHeight="1">
      <c r="A1216" s="2" t="s">
        <v>1216</v>
      </c>
      <c r="B1216" s="2" t="str">
        <f>IFERROR(__xludf.DUMMYFUNCTION("GOOGLETRANSLATE(A1216, ""en"", ""mt"")"),"kanalizzata moderna")</f>
        <v>kanalizzata moderna</v>
      </c>
    </row>
    <row r="1217" ht="15.75" customHeight="1">
      <c r="A1217" s="2" t="s">
        <v>1217</v>
      </c>
      <c r="B1217" s="2" t="str">
        <f>IFERROR(__xludf.DUMMYFUNCTION("GOOGLETRANSLATE(A1217, ""en"", ""mt"")"),"L-iskrizzjoni tal-istudenti żdiedet bħala riżultat ta 'żieda fil-kriminalità u l-faqar f'liema lokal?")</f>
        <v>L-iskrizzjoni tal-istudenti żdiedet bħala riżultat ta 'żieda fil-kriminalità u l-faqar f'liema lokal?</v>
      </c>
    </row>
    <row r="1218" ht="15.75" customHeight="1">
      <c r="A1218" s="2" t="s">
        <v>1218</v>
      </c>
      <c r="B1218" s="2" t="str">
        <f>IFERROR(__xludf.DUMMYFUNCTION("GOOGLETRANSLATE(A1218, ""en"", ""mt"")"),"Fil-bidu tas-seklu 11")</f>
        <v>Fil-bidu tas-seklu 11</v>
      </c>
    </row>
    <row r="1219" ht="15.75" customHeight="1">
      <c r="A1219" s="2" t="s">
        <v>1219</v>
      </c>
      <c r="B1219" s="2" t="str">
        <f>IFERROR(__xludf.DUMMYFUNCTION("GOOGLETRANSLATE(A1219, ""en"", ""mt"")"),"Min kellu kontroll militari waqt il-wan?")</f>
        <v>Min kellu kontroll militari waqt il-wan?</v>
      </c>
    </row>
    <row r="1220" ht="15.75" customHeight="1">
      <c r="A1220" s="2" t="s">
        <v>1220</v>
      </c>
      <c r="B1220" s="2" t="str">
        <f>IFERROR(__xludf.DUMMYFUNCTION("GOOGLETRANSLATE(A1220, ""en"", ""mt"")"),"bejn 1.4 u 5.8 ° C 'il fuq mil-livelli tal-1990")</f>
        <v>bejn 1.4 u 5.8 ° C 'il fuq mil-livelli tal-1990</v>
      </c>
    </row>
    <row r="1221" ht="15.75" customHeight="1">
      <c r="A1221" s="2" t="s">
        <v>1221</v>
      </c>
      <c r="B1221" s="2" t="str">
        <f>IFERROR(__xludf.DUMMYFUNCTION("GOOGLETRANSLATE(A1221, ""en"", ""mt"")"),"Singlet")</f>
        <v>Singlet</v>
      </c>
    </row>
    <row r="1222" ht="15.75" customHeight="1">
      <c r="A1222" s="2" t="s">
        <v>1222</v>
      </c>
      <c r="B1222" s="2" t="str">
        <f>IFERROR(__xludf.DUMMYFUNCTION("GOOGLETRANSLATE(A1222, ""en"", ""mt"")"),"X'inhu disponibbli bħala CAMS DVB stand-alone?")</f>
        <v>X'inhu disponibbli bħala CAMS DVB stand-alone?</v>
      </c>
    </row>
    <row r="1223" ht="15.75" customHeight="1">
      <c r="A1223" s="2" t="s">
        <v>1223</v>
      </c>
      <c r="B1223" s="2" t="str">
        <f>IFERROR(__xludf.DUMMYFUNCTION("GOOGLETRANSLATE(A1223, ""en"", ""mt"")"),"inqas minn tnejn fil-mija fis-sena")</f>
        <v>inqas minn tnejn fil-mija fis-sena</v>
      </c>
    </row>
    <row r="1224" ht="15.75" customHeight="1">
      <c r="A1224" s="2" t="s">
        <v>1224</v>
      </c>
      <c r="B1224" s="2" t="str">
        <f>IFERROR(__xludf.DUMMYFUNCTION("GOOGLETRANSLATE(A1224, ""en"", ""mt"")"),"Fil-bidu ta 'kull sessjoni parlamentari")</f>
        <v>Fil-bidu ta 'kull sessjoni parlamentari</v>
      </c>
    </row>
    <row r="1225" ht="15.75" customHeight="1">
      <c r="A1225" s="2" t="s">
        <v>1225</v>
      </c>
      <c r="B1225" s="2" t="str">
        <f>IFERROR(__xludf.DUMMYFUNCTION("GOOGLETRANSLATE(A1225, ""en"", ""mt"")"),"X’għadda fl-1895?")</f>
        <v>X’għadda fl-1895?</v>
      </c>
    </row>
    <row r="1226" ht="15.75" customHeight="1">
      <c r="A1226" s="2" t="s">
        <v>1226</v>
      </c>
      <c r="B1226" s="2" t="str">
        <f>IFERROR(__xludf.DUMMYFUNCTION("GOOGLETRANSLATE(A1226, ""en"", ""mt"")"),"John B. Goodenough")</f>
        <v>John B. Goodenough</v>
      </c>
    </row>
    <row r="1227" ht="15.75" customHeight="1">
      <c r="A1227" s="2" t="s">
        <v>1227</v>
      </c>
      <c r="B1227" s="2" t="str">
        <f>IFERROR(__xludf.DUMMYFUNCTION("GOOGLETRANSLATE(A1227, ""en"", ""mt"")"),"Liema reliġjon irrinunzjat lil Henry meta tela 't-tron?")</f>
        <v>Liema reliġjon irrinunzjat lil Henry meta tela 't-tron?</v>
      </c>
    </row>
    <row r="1228" ht="15.75" customHeight="1">
      <c r="A1228" s="2" t="s">
        <v>1228</v>
      </c>
      <c r="B1228" s="2" t="str">
        <f>IFERROR(__xludf.DUMMYFUNCTION("GOOGLETRANSLATE(A1228, ""en"", ""mt"")"),"Brown v. Board of Education of Topeka")</f>
        <v>Brown v. Board of Education of Topeka</v>
      </c>
    </row>
    <row r="1229" ht="15.75" customHeight="1">
      <c r="A1229" s="2" t="s">
        <v>1229</v>
      </c>
      <c r="B1229" s="2" t="str">
        <f>IFERROR(__xludf.DUMMYFUNCTION("GOOGLETRANSLATE(A1229, ""en"", ""mt"")"),"Meta l-Ġeneral SEJM għamel lil Varsavja huwa s-siġġu permanenti?")</f>
        <v>Meta l-Ġeneral SEJM għamel lil Varsavja huwa s-siġġu permanenti?</v>
      </c>
    </row>
    <row r="1230" ht="15.75" customHeight="1">
      <c r="A1230" s="2" t="s">
        <v>1230</v>
      </c>
      <c r="B1230" s="2" t="str">
        <f>IFERROR(__xludf.DUMMYFUNCTION("GOOGLETRANSLATE(A1230, ""en"", ""mt"")"),"Ċ-ċellola")</f>
        <v>Ċ-ċellola</v>
      </c>
    </row>
    <row r="1231" ht="15.75" customHeight="1">
      <c r="A1231" s="2" t="s">
        <v>1231</v>
      </c>
      <c r="B1231" s="2" t="str">
        <f>IFERROR(__xludf.DUMMYFUNCTION("GOOGLETRANSLATE(A1231, ""en"", ""mt"")"),"jittrattaw il-preskrizzjonijiet tal-pazjenti u l-problemi ta 'sigurtà tal-pazjent")</f>
        <v>jittrattaw il-preskrizzjonijiet tal-pazjenti u l-problemi ta 'sigurtà tal-pazjent</v>
      </c>
    </row>
    <row r="1232" ht="15.75" customHeight="1">
      <c r="A1232" s="2" t="s">
        <v>1232</v>
      </c>
      <c r="B1232" s="2" t="str">
        <f>IFERROR(__xludf.DUMMYFUNCTION("GOOGLETRANSLATE(A1232, ""en"", ""mt"")"),"X'inhi raġuni waħda li tiżgura emenda tal-liġi mhix rikonoxxuta?")</f>
        <v>X'inhi raġuni waħda li tiżgura emenda tal-liġi mhix rikonoxxuta?</v>
      </c>
    </row>
    <row r="1233" ht="15.75" customHeight="1">
      <c r="A1233" s="2" t="s">
        <v>1233</v>
      </c>
      <c r="B1233" s="2" t="str">
        <f>IFERROR(__xludf.DUMMYFUNCTION("GOOGLETRANSLATE(A1233, ""en"", ""mt"")"),"Ta 'liema forma tieħu l-primes mersenne?")</f>
        <v>Ta 'liema forma tieħu l-primes mersenne?</v>
      </c>
    </row>
    <row r="1234" ht="15.75" customHeight="1">
      <c r="A1234" s="2" t="s">
        <v>1234</v>
      </c>
      <c r="B1234" s="2" t="str">
        <f>IFERROR(__xludf.DUMMYFUNCTION("GOOGLETRANSLATE(A1234, ""en"", ""mt"")"),"netwerk ta 'dejta")</f>
        <v>netwerk ta 'dejta</v>
      </c>
    </row>
    <row r="1235" ht="15.75" customHeight="1">
      <c r="A1235" s="2" t="s">
        <v>1235</v>
      </c>
      <c r="B1235" s="2" t="str">
        <f>IFERROR(__xludf.DUMMYFUNCTION("GOOGLETRANSLATE(A1235, ""en"", ""mt"")"),"X'tip ta 'xjenzi kienu d-darwiniżmu soċjali u t-teoriji tar-razza?")</f>
        <v>X'tip ta 'xjenzi kienu d-darwiniżmu soċjali u t-teoriji tar-razza?</v>
      </c>
    </row>
    <row r="1236" ht="15.75" customHeight="1">
      <c r="A1236" s="2" t="s">
        <v>1236</v>
      </c>
      <c r="B1236" s="2" t="str">
        <f>IFERROR(__xludf.DUMMYFUNCTION("GOOGLETRANSLATE(A1236, ""en"", ""mt"")"),"l-istess proċeduri bħal għal rapporti ta 'valutazzjoni tal-IPCC")</f>
        <v>l-istess proċeduri bħal għal rapporti ta 'valutazzjoni tal-IPCC</v>
      </c>
    </row>
    <row r="1237" ht="15.75" customHeight="1">
      <c r="A1237" s="2" t="s">
        <v>1237</v>
      </c>
      <c r="B1237" s="2" t="str">
        <f>IFERROR(__xludf.DUMMYFUNCTION("GOOGLETRANSLATE(A1237, ""en"", ""mt"")"),"In-negozju tan-netwerk pubbliku ppermetta lill-aġenziji tal-gvern jagħmlu xiex?")</f>
        <v>In-negozju tan-netwerk pubbliku ppermetta lill-aġenziji tal-gvern jagħmlu xiex?</v>
      </c>
    </row>
    <row r="1238" ht="15.75" customHeight="1">
      <c r="A1238" s="2" t="s">
        <v>1238</v>
      </c>
      <c r="B1238" s="2" t="str">
        <f>IFERROR(__xludf.DUMMYFUNCTION("GOOGLETRANSLATE(A1238, ""en"", ""mt"")"),"X'tip ta 'disturbi huma r-riżultat ta' rispons immuni żżejjed?")</f>
        <v>X'tip ta 'disturbi huma r-riżultat ta' rispons immuni żżejjed?</v>
      </c>
    </row>
    <row r="1239" ht="15.75" customHeight="1">
      <c r="A1239" s="2" t="s">
        <v>1239</v>
      </c>
      <c r="B1239" s="2" t="str">
        <f>IFERROR(__xludf.DUMMYFUNCTION("GOOGLETRANSLATE(A1239, ""en"", ""mt"")"),"Uża l-proċeduri bħala forum biex tinforma lill-ġurija u lill-pubbliku dwar iċ-ċirkostanzi politiċi li jdawru l-każ")</f>
        <v>Uża l-proċeduri bħala forum biex tinforma lill-ġurija u lill-pubbliku dwar iċ-ċirkostanzi politiċi li jdawru l-każ</v>
      </c>
    </row>
    <row r="1240" ht="15.75" customHeight="1">
      <c r="A1240" s="2" t="s">
        <v>1240</v>
      </c>
      <c r="B1240" s="2" t="str">
        <f>IFERROR(__xludf.DUMMYFUNCTION("GOOGLETRANSLATE(A1240, ""en"", ""mt"")"),"Kemm huguenots kienu parti mill-grupp li waqqaf Franza Antarctique fl-1555?")</f>
        <v>Kemm huguenots kienu parti mill-grupp li waqqaf Franza Antarctique fl-1555?</v>
      </c>
    </row>
    <row r="1241" ht="15.75" customHeight="1">
      <c r="A1241" s="2" t="s">
        <v>1241</v>
      </c>
      <c r="B1241" s="2" t="str">
        <f>IFERROR(__xludf.DUMMYFUNCTION("GOOGLETRANSLATE(A1241, ""en"", ""mt"")"),"Meta l-Franċiżi ma jitgħallmux dwar il-pjanijiet ta 'Braddock?")</f>
        <v>Meta l-Franċiżi ma jitgħallmux dwar il-pjanijiet ta 'Braddock?</v>
      </c>
    </row>
    <row r="1242" ht="15.75" customHeight="1">
      <c r="A1242" s="2" t="s">
        <v>1242</v>
      </c>
      <c r="B1242" s="2" t="str">
        <f>IFERROR(__xludf.DUMMYFUNCTION("GOOGLETRANSLATE(A1242, ""en"", ""mt"")"),"Palazz tal-Kultura u x-Xjenza")</f>
        <v>Palazz tal-Kultura u x-Xjenza</v>
      </c>
    </row>
    <row r="1243" ht="15.75" customHeight="1">
      <c r="A1243" s="2" t="s">
        <v>1243</v>
      </c>
      <c r="B1243" s="2" t="str">
        <f>IFERROR(__xludf.DUMMYFUNCTION("GOOGLETRANSLATE(A1243, ""en"", ""mt"")"),"Jekk tliet ferzzjonijiet identiċi għandhom spin simmetriku, il-varjabbli spazjali għandhom ikunu xiex?")</f>
        <v>Jekk tliet ferzzjonijiet identiċi għandhom spin simmetriku, il-varjabbli spazjali għandhom ikunu xiex?</v>
      </c>
    </row>
    <row r="1244" ht="15.75" customHeight="1">
      <c r="A1244" s="2" t="s">
        <v>1244</v>
      </c>
      <c r="B1244" s="2" t="str">
        <f>IFERROR(__xludf.DUMMYFUNCTION("GOOGLETRANSLATE(A1244, ""en"", ""mt"")"),"Ħiliet rari u mixtieqa")</f>
        <v>Ħiliet rari u mixtieqa</v>
      </c>
    </row>
    <row r="1245" ht="15.75" customHeight="1">
      <c r="A1245" s="2" t="s">
        <v>1245</v>
      </c>
      <c r="B1245" s="2" t="str">
        <f>IFERROR(__xludf.DUMMYFUNCTION("GOOGLETRANSLATE(A1245, ""en"", ""mt"")"),"Kemm mill-ħalib tal-Awstralja huwa prodott fir-Rabat?")</f>
        <v>Kemm mill-ħalib tal-Awstralja huwa prodott fir-Rabat?</v>
      </c>
    </row>
    <row r="1246" ht="15.75" customHeight="1">
      <c r="A1246" s="2" t="s">
        <v>1246</v>
      </c>
      <c r="B1246" s="2" t="str">
        <f>IFERROR(__xludf.DUMMYFUNCTION("GOOGLETRANSLATE(A1246, ""en"", ""mt"")"),"Politiki li jippruvaw jikkontrollaw l-appoġġ tal-qgħad biex jappoġġjaw it-tkabbir ekonomiku għax iżidu xiex?")</f>
        <v>Politiki li jippruvaw jikkontrollaw l-appoġġ tal-qgħad biex jappoġġjaw it-tkabbir ekonomiku għax iżidu xiex?</v>
      </c>
    </row>
    <row r="1247" ht="15.75" customHeight="1">
      <c r="A1247" s="2" t="s">
        <v>1247</v>
      </c>
      <c r="B1247" s="2" t="str">
        <f>IFERROR(__xludf.DUMMYFUNCTION("GOOGLETRANSLATE(A1247, ""en"", ""mt"")"),"Ir-Reġistru tal-Kunsill Farmaċewtiku Ġenerali (GPHC)")</f>
        <v>Ir-Reġistru tal-Kunsill Farmaċewtiku Ġenerali (GPHC)</v>
      </c>
    </row>
    <row r="1248" ht="15.75" customHeight="1">
      <c r="A1248" s="2" t="s">
        <v>1248</v>
      </c>
      <c r="B1248" s="2" t="str">
        <f>IFERROR(__xludf.DUMMYFUNCTION("GOOGLETRANSLATE(A1248, ""en"", ""mt"")"),"X'inhuma l-bini, l-istutturi u l-industrijali?")</f>
        <v>X'inhuma l-bini, l-istutturi u l-industrijali?</v>
      </c>
    </row>
    <row r="1249" ht="15.75" customHeight="1">
      <c r="A1249" s="2" t="s">
        <v>1249</v>
      </c>
      <c r="B1249" s="2" t="str">
        <f>IFERROR(__xludf.DUMMYFUNCTION("GOOGLETRANSLATE(A1249, ""en"", ""mt"")"),"Kemm tunnellata ta 'trab huma minfuħa mill-foresta tropikali kull sena?")</f>
        <v>Kemm tunnellata ta 'trab huma minfuħa mill-foresta tropikali kull sena?</v>
      </c>
    </row>
    <row r="1250" ht="15.75" customHeight="1">
      <c r="A1250" s="2" t="s">
        <v>1250</v>
      </c>
      <c r="B1250" s="2" t="str">
        <f>IFERROR(__xludf.DUMMYFUNCTION("GOOGLETRANSLATE(A1250, ""en"", ""mt"")"),"Bejn il-Franċiżi u l-Ingliżi, żoni kbar kienu ddominati minn tribujiet indiġeni. Fit-tramuntana, il-Mi'kmaq u l-Abenaki kienu involuti fil-gwerra ta 'Patri Le Loutre u għadhom żammew f'partijiet ta' Nova Scotia, Acadia, u l-porzjonijiet tal-Lvant tal-Prov"&amp;"inċja tal-Kanada, kif ukoll ħafna mill-Maine preżenti. Il-Konfederazzjoni Iroquois iddominat ħafna mill-Upstate ta 'New York preżenti u l-pajjiż ta' Ohio, għalkemm dan tal-aħħar kien jinkludi wkoll popolazzjonijiet li jitkellmu Algonquian ta 'Delaware u S"&amp;"hawnee, kif ukoll il-Mingo li jitkellem Iroquoian. Dawn it-tribujiet kienu formalment taħt ir-regola Iroquois, u kienu limitati minnhom fl-awtorità li jagħmlu ftehim.")</f>
        <v>Bejn il-Franċiżi u l-Ingliżi, żoni kbar kienu ddominati minn tribujiet indiġeni. Fit-tramuntana, il-Mi'kmaq u l-Abenaki kienu involuti fil-gwerra ta 'Patri Le Loutre u għadhom żammew f'partijiet ta' Nova Scotia, Acadia, u l-porzjonijiet tal-Lvant tal-Provinċja tal-Kanada, kif ukoll ħafna mill-Maine preżenti. Il-Konfederazzjoni Iroquois iddominat ħafna mill-Upstate ta 'New York preżenti u l-pajjiż ta' Ohio, għalkemm dan tal-aħħar kien jinkludi wkoll popolazzjonijiet li jitkellmu Algonquian ta 'Delaware u Shawnee, kif ukoll il-Mingo li jitkellem Iroquoian. Dawn it-tribujiet kienu formalment taħt ir-regola Iroquois, u kienu limitati minnhom fl-awtorità li jagħmlu ftehim.</v>
      </c>
    </row>
    <row r="1251" ht="15.75" customHeight="1">
      <c r="A1251" s="2" t="s">
        <v>1251</v>
      </c>
      <c r="B1251" s="2" t="str">
        <f>IFERROR(__xludf.DUMMYFUNCTION("GOOGLETRANSLATE(A1251, ""en"", ""mt"")"),"Gruppi ta 'ċili kbar u mwebbsa")</f>
        <v>Gruppi ta 'ċili kbar u mwebbsa</v>
      </c>
    </row>
    <row r="1252" ht="15.75" customHeight="1">
      <c r="A1252" s="2" t="s">
        <v>1252</v>
      </c>
      <c r="B1252" s="2" t="str">
        <f>IFERROR(__xludf.DUMMYFUNCTION("GOOGLETRANSLATE(A1252, ""en"", ""mt"")"),"Amazonia: raġel u kultura fi ġenna ffalsifikata")</f>
        <v>Amazonia: raġel u kultura fi ġenna ffalsifikata</v>
      </c>
    </row>
    <row r="1253" ht="15.75" customHeight="1">
      <c r="A1253" s="2" t="s">
        <v>1253</v>
      </c>
      <c r="B1253" s="2" t="str">
        <f>IFERROR(__xludf.DUMMYFUNCTION("GOOGLETRANSLATE(A1253, ""en"", ""mt"")"),"Programm tal-Ambjent tan-Nazzjonijiet Uniti")</f>
        <v>Programm tal-Ambjent tan-Nazzjonijiet Uniti</v>
      </c>
    </row>
    <row r="1254" ht="15.75" customHeight="1">
      <c r="A1254" s="2" t="s">
        <v>1254</v>
      </c>
      <c r="B1254" s="2" t="str">
        <f>IFERROR(__xludf.DUMMYFUNCTION("GOOGLETRANSLATE(A1254, ""en"", ""mt"")"),"Fruntiera Żvizzera-Awstjana")</f>
        <v>Fruntiera Żvizzera-Awstjana</v>
      </c>
    </row>
    <row r="1255" ht="15.75" customHeight="1">
      <c r="A1255" s="2" t="s">
        <v>1255</v>
      </c>
      <c r="B1255" s="2" t="str">
        <f>IFERROR(__xludf.DUMMYFUNCTION("GOOGLETRANSLATE(A1255, ""en"", ""mt"")"),"Meta n-Normanni attakkaw Dyrrachium?")</f>
        <v>Meta n-Normanni attakkaw Dyrrachium?</v>
      </c>
    </row>
    <row r="1256" ht="15.75" customHeight="1">
      <c r="A1256" s="2" t="s">
        <v>1256</v>
      </c>
      <c r="B1256" s="2" t="str">
        <f>IFERROR(__xludf.DUMMYFUNCTION("GOOGLETRANSLATE(A1256, ""en"", ""mt"")"),"Minn liema baħar joħroġ ir-Rhine?")</f>
        <v>Minn liema baħar joħroġ ir-Rhine?</v>
      </c>
    </row>
    <row r="1257" ht="15.75" customHeight="1">
      <c r="A1257" s="2" t="s">
        <v>1257</v>
      </c>
      <c r="B1257" s="2" t="str">
        <f>IFERROR(__xludf.DUMMYFUNCTION("GOOGLETRANSLATE(A1257, ""en"", ""mt"")"),"F'liema parti li fiha l-korp tal-kalċju huwa parti?")</f>
        <v>F'liema parti li fiha l-korp tal-kalċju huwa parti?</v>
      </c>
    </row>
    <row r="1258" ht="15.75" customHeight="1">
      <c r="A1258" s="2" t="s">
        <v>1258</v>
      </c>
      <c r="B1258" s="2" t="str">
        <f>IFERROR(__xludf.DUMMYFUNCTION("GOOGLETRANSLATE(A1258, ""en"", ""mt"")"),"Immunodefiċjenza sseħħ")</f>
        <v>Immunodefiċjenza sseħħ</v>
      </c>
    </row>
    <row r="1259" ht="15.75" customHeight="1">
      <c r="A1259" s="2" t="s">
        <v>1259</v>
      </c>
      <c r="B1259" s="2" t="str">
        <f>IFERROR(__xludf.DUMMYFUNCTION("GOOGLETRANSLATE(A1259, ""en"", ""mt"")"),"Il-forza qawwija hija dovuta għall-iskambju ta 'xiex?")</f>
        <v>Il-forza qawwija hija dovuta għall-iskambju ta 'xiex?</v>
      </c>
    </row>
    <row r="1260" ht="15.75" customHeight="1">
      <c r="A1260" s="2" t="s">
        <v>1260</v>
      </c>
      <c r="B1260" s="2" t="str">
        <f>IFERROR(__xludf.DUMMYFUNCTION("GOOGLETRANSLATE(A1260, ""en"", ""mt"")"),"Drittijiet Fundamentali rikonoxxuti u protetti fil-Kostituzzjonijiet ta 'l-Istati Membri")</f>
        <v>Drittijiet Fundamentali rikonoxxuti u protetti fil-Kostituzzjonijiet ta 'l-Istati Membri</v>
      </c>
    </row>
    <row r="1261" ht="15.75" customHeight="1">
      <c r="A1261" s="2" t="s">
        <v>1261</v>
      </c>
      <c r="B1261" s="2" t="str">
        <f>IFERROR(__xludf.DUMMYFUNCTION("GOOGLETRANSLATE(A1261, ""en"", ""mt"")"),"Iffirmar tat-Trattat ta 'Pariġi fl-10 ta' Frar 1763")</f>
        <v>Iffirmar tat-Trattat ta 'Pariġi fl-10 ta' Frar 1763</v>
      </c>
    </row>
    <row r="1262" ht="15.75" customHeight="1">
      <c r="A1262" s="2" t="s">
        <v>1262</v>
      </c>
      <c r="B1262" s="2" t="str">
        <f>IFERROR(__xludf.DUMMYFUNCTION("GOOGLETRANSLATE(A1262, ""en"", ""mt"")"),"Il-Metro tal-Kosta tan-Nofsinhar")</f>
        <v>Il-Metro tal-Kosta tan-Nofsinhar</v>
      </c>
    </row>
    <row r="1263" ht="15.75" customHeight="1">
      <c r="A1263" s="2" t="s">
        <v>1263</v>
      </c>
      <c r="B1263" s="2" t="str">
        <f>IFERROR(__xludf.DUMMYFUNCTION("GOOGLETRANSLATE(A1263, ""en"", ""mt"")"),"Min mexxa l-attakk tal-kolonja Franċiża fl-1565?")</f>
        <v>Min mexxa l-attakk tal-kolonja Franċiża fl-1565?</v>
      </c>
    </row>
    <row r="1264" ht="15.75" customHeight="1">
      <c r="A1264" s="2" t="s">
        <v>1264</v>
      </c>
      <c r="B1264" s="2" t="str">
        <f>IFERROR(__xludf.DUMMYFUNCTION("GOOGLETRANSLATE(A1264, ""en"", ""mt"")"),"Austpac kien netwerk pubbliku Awstraljan X.25 imħaddem minn Telstra. Beda minn Telecom Australia fil-bidu tas-snin 1980, Austpac kien l-ewwel netwerk ta 'dejta tal-pakketti pubbliċi tal-Awstralja, li jappoġġja applikazzjonijiet bħal imħatri onlajn, applik"&amp;"azzjonijiet finanzjarji - l-Uffiċċju tat-Taxxa Awstraljan għamel użu mill-AUSTPAC - u aċċess terminali mill-bogħod għall-istituzzjonijiet akkademiċi, li żammew il-konnessjonijiet tagħhom ma 'Austpac sa nofs it-tmiem tas-snin disgħin f'xi każijiet. L-aċċes"&amp;"s jista 'jkun permezz ta' terminal dial-up ma 'kuxxinett, jew, billi tgħaqqad nodu X.25 permanenti man-netwerk. [Ċitazzjoni meħtieġa]")</f>
        <v>Austpac kien netwerk pubbliku Awstraljan X.25 imħaddem minn Telstra. Beda minn Telecom Australia fil-bidu tas-snin 1980, Austpac kien l-ewwel netwerk ta 'dejta tal-pakketti pubbliċi tal-Awstralja, li jappoġġja applikazzjonijiet bħal imħatri onlajn, applikazzjonijiet finanzjarji - l-Uffiċċju tat-Taxxa Awstraljan għamel użu mill-AUSTPAC - u aċċess terminali mill-bogħod għall-istituzzjonijiet akkademiċi, li żammew il-konnessjonijiet tagħhom ma 'Austpac sa nofs it-tmiem tas-snin disgħin f'xi każijiet. L-aċċess jista 'jkun permezz ta' terminal dial-up ma 'kuxxinett, jew, billi tgħaqqad nodu X.25 permanenti man-netwerk. [Ċitazzjoni meħtieġa]</v>
      </c>
    </row>
    <row r="1265" ht="15.75" customHeight="1">
      <c r="A1265" s="2" t="s">
        <v>1265</v>
      </c>
      <c r="B1265" s="2" t="str">
        <f>IFERROR(__xludf.DUMMYFUNCTION("GOOGLETRANSLATE(A1265, ""en"", ""mt"")"),"Obdi l-kuxjenza tagħha aktar milli l-liġi umana")</f>
        <v>Obdi l-kuxjenza tagħha aktar milli l-liġi umana</v>
      </c>
    </row>
    <row r="1266" ht="15.75" customHeight="1">
      <c r="A1266" s="2" t="s">
        <v>1266</v>
      </c>
      <c r="B1266" s="2" t="str">
        <f>IFERROR(__xludf.DUMMYFUNCTION("GOOGLETRANSLATE(A1266, ""en"", ""mt"")"),"tilħaq postijiet mhux fuq in-netwerk privat")</f>
        <v>tilħaq postijiet mhux fuq in-netwerk privat</v>
      </c>
    </row>
    <row r="1267" ht="15.75" customHeight="1">
      <c r="A1267" s="2" t="s">
        <v>1267</v>
      </c>
      <c r="B1267" s="2" t="str">
        <f>IFERROR(__xludf.DUMMYFUNCTION("GOOGLETRANSLATE(A1267, ""en"", ""mt"")"),"Batterjologu Brittaniku J. F. D. Shrewsbury")</f>
        <v>Batterjologu Brittaniku J. F. D. Shrewsbury</v>
      </c>
    </row>
    <row r="1268" ht="15.75" customHeight="1">
      <c r="A1268" s="2" t="s">
        <v>1268</v>
      </c>
      <c r="B1268" s="2" t="str">
        <f>IFERROR(__xludf.DUMMYFUNCTION("GOOGLETRANSLATE(A1268, ""en"", ""mt"")"),"Liema konduttur famuż mar Harvard?")</f>
        <v>Liema konduttur famuż mar Harvard?</v>
      </c>
    </row>
    <row r="1269" ht="15.75" customHeight="1">
      <c r="A1269" s="2" t="s">
        <v>1269</v>
      </c>
      <c r="B1269" s="2" t="str">
        <f>IFERROR(__xludf.DUMMYFUNCTION("GOOGLETRANSLATE(A1269, ""en"", ""mt"")"),"""Wid [en] l-għażliet tan-nies u l-livell tal-benesseri miksub tagħhom""")</f>
        <v>"Wid [en] l-għażliet tan-nies u l-livell tal-benesseri miksub tagħhom"</v>
      </c>
    </row>
    <row r="1270" ht="15.75" customHeight="1">
      <c r="A1270" s="2" t="s">
        <v>1270</v>
      </c>
      <c r="B1270" s="2" t="str">
        <f>IFERROR(__xludf.DUMMYFUNCTION("GOOGLETRANSLATE(A1270, ""en"", ""mt"")"),"Nullifikazzjoni tal-Ġurija")</f>
        <v>Nullifikazzjoni tal-Ġurija</v>
      </c>
    </row>
    <row r="1271" ht="15.75" customHeight="1">
      <c r="A1271" s="2" t="s">
        <v>1271</v>
      </c>
      <c r="B1271" s="2" t="str">
        <f>IFERROR(__xludf.DUMMYFUNCTION("GOOGLETRANSLATE(A1271, ""en"", ""mt"")"),"X'inhi sekwenza fuq numru Grieg meta tikkunsidra problema tal-komputazzjoni?")</f>
        <v>X'inhi sekwenza fuq numru Grieg meta tikkunsidra problema tal-komputazzjoni?</v>
      </c>
    </row>
    <row r="1272" ht="15.75" customHeight="1">
      <c r="A1272" s="2" t="s">
        <v>1272</v>
      </c>
      <c r="B1272" s="2" t="str">
        <f>IFERROR(__xludf.DUMMYFUNCTION("GOOGLETRANSLATE(A1272, ""en"", ""mt"")"),"X’wassal għal konfużjoni u kollass?")</f>
        <v>X’wassal għal konfużjoni u kollass?</v>
      </c>
    </row>
    <row r="1273" ht="15.75" customHeight="1">
      <c r="A1273" s="2" t="s">
        <v>1273</v>
      </c>
      <c r="B1273" s="2" t="str">
        <f>IFERROR(__xludf.DUMMYFUNCTION("GOOGLETRANSLATE(A1273, ""en"", ""mt"")"),"Għaliex il-flora ta 'Varsavja hija rikka ħafna fl-ispeċi?")</f>
        <v>Għaliex il-flora ta 'Varsavja hija rikka ħafna fl-ispeċi?</v>
      </c>
    </row>
    <row r="1274" ht="15.75" customHeight="1">
      <c r="A1274" s="2" t="s">
        <v>1274</v>
      </c>
      <c r="B1274" s="2" t="str">
        <f>IFERROR(__xludf.DUMMYFUNCTION("GOOGLETRANSLATE(A1274, ""en"", ""mt"")"),"340 mil")</f>
        <v>340 mil</v>
      </c>
    </row>
    <row r="1275" ht="15.75" customHeight="1">
      <c r="A1275" s="2" t="s">
        <v>1275</v>
      </c>
      <c r="B1275" s="2" t="str">
        <f>IFERROR(__xludf.DUMMYFUNCTION("GOOGLETRANSLATE(A1275, ""en"", ""mt"")"),"Meta Bloc ra ħafna titjib?")</f>
        <v>Meta Bloc ra ħafna titjib?</v>
      </c>
    </row>
    <row r="1276" ht="15.75" customHeight="1">
      <c r="A1276" s="2" t="s">
        <v>1276</v>
      </c>
      <c r="B1276" s="2" t="str">
        <f>IFERROR(__xludf.DUMMYFUNCTION("GOOGLETRANSLATE(A1276, ""en"", ""mt"")"),"Dorotheenstadt u Friedrichstadt")</f>
        <v>Dorotheenstadt u Friedrichstadt</v>
      </c>
    </row>
    <row r="1277" ht="15.75" customHeight="1">
      <c r="A1277" s="2" t="s">
        <v>1277</v>
      </c>
      <c r="B1277" s="2" t="str">
        <f>IFERROR(__xludf.DUMMYFUNCTION("GOOGLETRANSLATE(A1277, ""en"", ""mt"")"),"Koori")</f>
        <v>Koori</v>
      </c>
    </row>
    <row r="1278" ht="15.75" customHeight="1">
      <c r="A1278" s="2" t="s">
        <v>1278</v>
      </c>
      <c r="B1278" s="2" t="str">
        <f>IFERROR(__xludf.DUMMYFUNCTION("GOOGLETRANSLATE(A1278, ""en"", ""mt"")"),"Liema teorema tiddikjara li l-probabbiltà li numru n huwa prim inversament proporzjonali għad-direzzjoni tiegħu?")</f>
        <v>Liema teorema tiddikjara li l-probabbiltà li numru n huwa prim inversament proporzjonali għad-direzzjoni tiegħu?</v>
      </c>
    </row>
    <row r="1279" ht="15.75" customHeight="1">
      <c r="A1279" s="2" t="s">
        <v>1279</v>
      </c>
      <c r="B1279" s="2" t="str">
        <f>IFERROR(__xludf.DUMMYFUNCTION("GOOGLETRANSLATE(A1279, ""en"", ""mt"")"),"X’għamlu l-produtturi taż-żejt Għarab mal-Ġappun?")</f>
        <v>X’għamlu l-produtturi taż-żejt Għarab mal-Ġappun?</v>
      </c>
    </row>
    <row r="1280" ht="15.75" customHeight="1">
      <c r="A1280" s="2" t="s">
        <v>1280</v>
      </c>
      <c r="B1280" s="2" t="str">
        <f>IFERROR(__xludf.DUMMYFUNCTION("GOOGLETRANSLATE(A1280, ""en"", ""mt"")"),"Meta waqa 'l-Park tas-Sierra Sky?")</f>
        <v>Meta waqa 'l-Park tas-Sierra Sky?</v>
      </c>
    </row>
    <row r="1281" ht="15.75" customHeight="1">
      <c r="A1281" s="2" t="s">
        <v>1281</v>
      </c>
      <c r="B1281" s="2" t="str">
        <f>IFERROR(__xludf.DUMMYFUNCTION("GOOGLETRANSLATE(A1281, ""en"", ""mt"")"),"Qorti Suprema tar-Renju Unit")</f>
        <v>Qorti Suprema tar-Renju Unit</v>
      </c>
    </row>
    <row r="1282" ht="15.75" customHeight="1">
      <c r="A1282" s="2" t="s">
        <v>1282</v>
      </c>
      <c r="B1282" s="2" t="str">
        <f>IFERROR(__xludf.DUMMYFUNCTION("GOOGLETRANSLATE(A1282, ""en"", ""mt"")"),"Meta l-vjolenza ma bdietx fil-gwerra?")</f>
        <v>Meta l-vjolenza ma bdietx fil-gwerra?</v>
      </c>
    </row>
    <row r="1283" ht="15.75" customHeight="1">
      <c r="A1283" s="2" t="s">
        <v>1283</v>
      </c>
      <c r="B1283" s="2" t="str">
        <f>IFERROR(__xludf.DUMMYFUNCTION("GOOGLETRANSLATE(A1283, ""en"", ""mt"")"),"Min rebaħ il-Kampjonat Ekstraklasa fl-2000?")</f>
        <v>Min rebaħ il-Kampjonat Ekstraklasa fl-2000?</v>
      </c>
    </row>
    <row r="1284" ht="15.75" customHeight="1">
      <c r="A1284" s="2" t="s">
        <v>1284</v>
      </c>
      <c r="B1284" s="2" t="str">
        <f>IFERROR(__xludf.DUMMYFUNCTION("GOOGLETRANSLATE(A1284, ""en"", ""mt"")"),"magni tat-triq")</f>
        <v>magni tat-triq</v>
      </c>
    </row>
    <row r="1285" ht="15.75" customHeight="1">
      <c r="A1285" s="2" t="s">
        <v>1285</v>
      </c>
      <c r="B1285" s="2" t="str">
        <f>IFERROR(__xludf.DUMMYFUNCTION("GOOGLETRANSLATE(A1285, ""en"", ""mt"")"),"L-Olanda")</f>
        <v>L-Olanda</v>
      </c>
    </row>
    <row r="1286" ht="15.75" customHeight="1">
      <c r="A1286" s="2" t="s">
        <v>1286</v>
      </c>
      <c r="B1286" s="2" t="str">
        <f>IFERROR(__xludf.DUMMYFUNCTION("GOOGLETRANSLATE(A1286, ""en"", ""mt"")"),"Marzu")</f>
        <v>Marzu</v>
      </c>
    </row>
    <row r="1287" ht="15.75" customHeight="1">
      <c r="A1287" s="2" t="s">
        <v>1287</v>
      </c>
      <c r="B1287" s="2" t="str">
        <f>IFERROR(__xludf.DUMMYFUNCTION("GOOGLETRANSLATE(A1287, ""en"", ""mt"")"),"Ħalq ix-Xmara Monongahela")</f>
        <v>Ħalq ix-Xmara Monongahela</v>
      </c>
    </row>
    <row r="1288" ht="15.75" customHeight="1">
      <c r="A1288" s="2" t="s">
        <v>1288</v>
      </c>
      <c r="B1288" s="2" t="str">
        <f>IFERROR(__xludf.DUMMYFUNCTION("GOOGLETRANSLATE(A1288, ""en"", ""mt"")"),"Meta wieħed jikkunsidra magni tat-Turing u varjabbli alternattivi, liema kejl ħalla mhux affettwat mill-konverżjoni bejn mudelli tal-magni?")</f>
        <v>Meta wieħed jikkunsidra magni tat-Turing u varjabbli alternattivi, liema kejl ħalla mhux affettwat mill-konverżjoni bejn mudelli tal-magni?</v>
      </c>
    </row>
    <row r="1289" ht="15.75" customHeight="1">
      <c r="A1289" s="2" t="s">
        <v>1289</v>
      </c>
      <c r="B1289" s="2" t="str">
        <f>IFERROR(__xludf.DUMMYFUNCTION("GOOGLETRANSLATE(A1289, ""en"", ""mt"")"),"Art Moderna minn Artisti Pollakki u Internazzjonali")</f>
        <v>Art Moderna minn Artisti Pollakki u Internazzjonali</v>
      </c>
    </row>
    <row r="1290" ht="15.75" customHeight="1">
      <c r="A1290" s="2" t="s">
        <v>1290</v>
      </c>
      <c r="B1290" s="2" t="str">
        <f>IFERROR(__xludf.DUMMYFUNCTION("GOOGLETRANSLATE(A1290, ""en"", ""mt"")"),"F'liema ma jipparteċipawx l-ispiżjara kliniċi?")</f>
        <v>F'liema ma jipparteċipawx l-ispiżjara kliniċi?</v>
      </c>
    </row>
    <row r="1291" ht="15.75" customHeight="1">
      <c r="A1291" s="2" t="s">
        <v>1291</v>
      </c>
      <c r="B1291" s="2" t="str">
        <f>IFERROR(__xludf.DUMMYFUNCTION("GOOGLETRANSLATE(A1291, ""en"", ""mt"")"),"Ir-rilaxx tal-ormon tal-irqad jappoġġja l-formazzjoni tal-memorja immuni billi jibda liema rispons immuni?")</f>
        <v>Ir-rilaxx tal-ormon tal-irqad jappoġġja l-formazzjoni tal-memorja immuni billi jibda liema rispons immuni?</v>
      </c>
    </row>
    <row r="1292" ht="15.75" customHeight="1">
      <c r="A1292" s="2" t="s">
        <v>1292</v>
      </c>
      <c r="B1292" s="2" t="str">
        <f>IFERROR(__xludf.DUMMYFUNCTION("GOOGLETRANSLATE(A1292, ""en"", ""mt"")"),"mhux kriogeniku")</f>
        <v>mhux kriogeniku</v>
      </c>
    </row>
    <row r="1293" ht="15.75" customHeight="1">
      <c r="A1293" s="2" t="s">
        <v>1293</v>
      </c>
      <c r="B1293" s="2" t="str">
        <f>IFERROR(__xludf.DUMMYFUNCTION("GOOGLETRANSLATE(A1293, ""en"", ""mt"")"),"ID tal-Konnessjoni")</f>
        <v>ID tal-Konnessjoni</v>
      </c>
    </row>
    <row r="1294" ht="15.75" customHeight="1">
      <c r="A1294" s="2" t="s">
        <v>1294</v>
      </c>
      <c r="B1294" s="2" t="str">
        <f>IFERROR(__xludf.DUMMYFUNCTION("GOOGLETRANSLATE(A1294, ""en"", ""mt"")"),"Forza unidirezzjonali")</f>
        <v>Forza unidirezzjonali</v>
      </c>
    </row>
    <row r="1295" ht="15.75" customHeight="1">
      <c r="A1295" s="2" t="s">
        <v>1295</v>
      </c>
      <c r="B1295" s="2" t="str">
        <f>IFERROR(__xludf.DUMMYFUNCTION("GOOGLETRANSLATE(A1295, ""en"", ""mt"")"),"X'inhu ilma li huwa kulur eħfef mir-Rhine?")</f>
        <v>X'inhu ilma li huwa kulur eħfef mir-Rhine?</v>
      </c>
    </row>
    <row r="1296" ht="15.75" customHeight="1">
      <c r="A1296" s="2" t="s">
        <v>1296</v>
      </c>
      <c r="B1296" s="2" t="str">
        <f>IFERROR(__xludf.DUMMYFUNCTION("GOOGLETRANSLATE(A1296, ""en"", ""mt"")"),"It-tħassir alfa huwa l-iktar effett familjari ta 'liema forza?")</f>
        <v>It-tħassir alfa huwa l-iktar effett familjari ta 'liema forza?</v>
      </c>
    </row>
    <row r="1297" ht="15.75" customHeight="1">
      <c r="A1297" s="2" t="s">
        <v>1297</v>
      </c>
      <c r="B1297" s="2" t="str">
        <f>IFERROR(__xludf.DUMMYFUNCTION("GOOGLETRANSLATE(A1297, ""en"", ""mt"")"),"Tabib tal-Ispiżerija (Pharm. D.)")</f>
        <v>Tabib tal-Ispiżerija (Pharm. D.)</v>
      </c>
    </row>
    <row r="1298" ht="15.75" customHeight="1">
      <c r="A1298" s="2" t="s">
        <v>1298</v>
      </c>
      <c r="B1298" s="2" t="str">
        <f>IFERROR(__xludf.DUMMYFUNCTION("GOOGLETRANSLATE(A1298, ""en"", ""mt"")")," X'tip ta 'mediċina ċaħad Otachi?")</f>
        <v> X'tip ta 'mediċina ċaħad Otachi?</v>
      </c>
    </row>
    <row r="1299" ht="15.75" customHeight="1">
      <c r="A1299" s="2" t="s">
        <v>1299</v>
      </c>
      <c r="B1299" s="2" t="str">
        <f>IFERROR(__xludf.DUMMYFUNCTION("GOOGLETRANSLATE(A1299, ""en"", ""mt"")"),"Il-bennejja jitolbu ftit flus biex tlesti l-proġett")</f>
        <v>Il-bennejja jitolbu ftit flus biex tlesti l-proġett</v>
      </c>
    </row>
    <row r="1300" ht="15.75" customHeight="1">
      <c r="A1300" s="2" t="s">
        <v>1300</v>
      </c>
      <c r="B1300" s="2" t="str">
        <f>IFERROR(__xludf.DUMMYFUNCTION("GOOGLETRANSLATE(A1300, ""en"", ""mt"")"),"Għaliex Franza għażlet li tagħti l-artijiet kontinentali?")</f>
        <v>Għaliex Franza għażlet li tagħti l-artijiet kontinentali?</v>
      </c>
    </row>
    <row r="1301" ht="15.75" customHeight="1">
      <c r="A1301" s="2" t="s">
        <v>1301</v>
      </c>
      <c r="B1301" s="2" t="str">
        <f>IFERROR(__xludf.DUMMYFUNCTION("GOOGLETRANSLATE(A1301, ""en"", ""mt"")"),"Taħt liema mexxej il-Huguenots ġġieldu f'dan il-kunflitt?")</f>
        <v>Taħt liema mexxej il-Huguenots ġġieldu f'dan il-kunflitt?</v>
      </c>
    </row>
    <row r="1302" ht="15.75" customHeight="1">
      <c r="A1302" s="2" t="s">
        <v>1302</v>
      </c>
      <c r="B1302" s="2" t="str">
        <f>IFERROR(__xludf.DUMMYFUNCTION("GOOGLETRANSLATE(A1302, ""en"", ""mt"")"),"Liema pajjiżi saru dipendenti fuq l-assigurazzjoni tas-sigurtà tal-Istati Uniti għat-theddid?")</f>
        <v>Liema pajjiżi saru dipendenti fuq l-assigurazzjoni tas-sigurtà tal-Istati Uniti għat-theddid?</v>
      </c>
    </row>
    <row r="1303" ht="15.75" customHeight="1">
      <c r="A1303" s="2" t="s">
        <v>1303</v>
      </c>
      <c r="B1303" s="2" t="str">
        <f>IFERROR(__xludf.DUMMYFUNCTION("GOOGLETRANSLATE(A1303, ""en"", ""mt"")"),"cnidarians u ctenophores")</f>
        <v>cnidarians u ctenophores</v>
      </c>
    </row>
    <row r="1304" ht="15.75" customHeight="1">
      <c r="A1304" s="2" t="s">
        <v>1304</v>
      </c>
      <c r="B1304" s="2" t="str">
        <f>IFERROR(__xludf.DUMMYFUNCTION("GOOGLETRANSLATE(A1304, ""en"", ""mt"")"),"Minbarra l-vinikultura, x'inhu s-settur ekonomiku li jiddomina l-ieħor fin-nofs tar-Renu?")</f>
        <v>Minbarra l-vinikultura, x'inhu s-settur ekonomiku li jiddomina l-ieħor fin-nofs tar-Renu?</v>
      </c>
    </row>
    <row r="1305" ht="15.75" customHeight="1">
      <c r="A1305" s="2" t="s">
        <v>1305</v>
      </c>
      <c r="B1305" s="2" t="str">
        <f>IFERROR(__xludf.DUMMYFUNCTION("GOOGLETRANSLATE(A1305, ""en"", ""mt"")"),"Prostaglandini")</f>
        <v>Prostaglandini</v>
      </c>
    </row>
    <row r="1306" ht="15.75" customHeight="1">
      <c r="A1306" s="2" t="s">
        <v>1306</v>
      </c>
      <c r="B1306" s="2" t="str">
        <f>IFERROR(__xludf.DUMMYFUNCTION("GOOGLETRANSLATE(A1306, ""en"", ""mt"")"),"Fi ħdan il-passaġġi ġenitourinarji u gastro-intestinali, il-flora commensal isservi bħala ostakli bijoloġiċi billi tikkompeti ma 'batterji patoġeniċi għall-ikel u l-ispazju u, f'xi każijiet, billi tbiddel il-kundizzjonijiet fl-ambjent tagħhom, bħal pH jew"&amp;" ħadid disponibbli. Dan inaqqas il-probabbiltà li l-patoġeni jilħqu numri suffiċjenti biex jikkawżaw mard. Madankollu, peress li l-biċċa l-kbira tal-antibijotiċi mhux speċifikament jimmiraw batterji u ma jaffettwawx il-fungi, l-antibijotiċi orali jistgħu "&amp;"jwasslu għal ""żieda żejda"" ta 'fungi u jikkawżaw kundizzjonijiet bħal kandidjażi vaġinali (infezzjoni tal-ħmira). Hemm evidenza tajba li l-introduzzjoni mill-ġdid ta 'flora probijotika, bħal kulturi puri tal-lactobacilli li normalment jinstabu fil-jogur"&amp;"t mhux pasturizzat, jgħin biex jerġa' jġib bilanċ b'saħħtu ta 'popolazzjonijiet mikrobjali f'infezzjonijiet intestinali fit-tfal u jinkoraġġixxi dejta preliminari fi studji dwar gastroenterite batterika, bowel infjammatorju Mard, infezzjoni fl-apparat uri"&amp;"narju u infezzjonijiet post-kirurġiċi.")</f>
        <v>Fi ħdan il-passaġġi ġenitourinarji u gastro-intestinali, il-flora commensal isservi bħala ostakli bijoloġiċi billi tikkompeti ma 'batterji patoġeniċi għall-ikel u l-ispazju u, f'xi każijiet, billi tbiddel il-kundizzjonijiet fl-ambjent tagħhom, bħal pH jew ħadid disponibbli. Dan inaqqas il-probabbiltà li l-patoġeni jilħqu numri suffiċjenti biex jikkawżaw mard. Madankollu, peress li l-biċċa l-kbira tal-antibijotiċi mhux speċifikament jimmiraw batterji u ma jaffettwawx il-fungi, l-antibijotiċi orali jistgħu jwasslu għal "żieda żejda" ta 'fungi u jikkawżaw kundizzjonijiet bħal kandidjażi vaġinali (infezzjoni tal-ħmira). Hemm evidenza tajba li l-introduzzjoni mill-ġdid ta 'flora probijotika, bħal kulturi puri tal-lactobacilli li normalment jinstabu fil-jogurt mhux pasturizzat, jgħin biex jerġa' jġib bilanċ b'saħħtu ta 'popolazzjonijiet mikrobjali f'infezzjonijiet intestinali fit-tfal u jinkoraġġixxi dejta preliminari fi studji dwar gastroenterite batterika, bowel infjammatorju Mard, infezzjoni fl-apparat urinarju u infezzjonijiet post-kirurġiċi.</v>
      </c>
    </row>
    <row r="1307" ht="15.75" customHeight="1">
      <c r="A1307" s="2" t="s">
        <v>1307</v>
      </c>
      <c r="B1307" s="2" t="str">
        <f>IFERROR(__xludf.DUMMYFUNCTION("GOOGLETRANSLATE(A1307, ""en"", ""mt"")"),"23.9%")</f>
        <v>23.9%</v>
      </c>
    </row>
    <row r="1308" ht="15.75" customHeight="1">
      <c r="A1308" s="2" t="s">
        <v>1308</v>
      </c>
      <c r="B1308" s="2" t="str">
        <f>IFERROR(__xludf.DUMMYFUNCTION("GOOGLETRANSLATE(A1308, ""en"", ""mt"")"),"X'inhu qatt identiku bejn in-nazzjonijiet u l-ġurisdizzjonijiet kollha?")</f>
        <v>X'inhu qatt identiku bejn in-nazzjonijiet u l-ġurisdizzjonijiet kollha?</v>
      </c>
    </row>
    <row r="1309" ht="15.75" customHeight="1">
      <c r="A1309" s="2" t="s">
        <v>1309</v>
      </c>
      <c r="B1309" s="2" t="str">
        <f>IFERROR(__xludf.DUMMYFUNCTION("GOOGLETRANSLATE(A1309, ""en"", ""mt"")"),"Fejn reġgħu reġgħu Brittaniċi ħafna Akkadjani?")</f>
        <v>Fejn reġgħu reġgħu Brittaniċi ħafna Akkadjani?</v>
      </c>
    </row>
    <row r="1310" ht="15.75" customHeight="1">
      <c r="A1310" s="2" t="s">
        <v>1310</v>
      </c>
      <c r="B1310" s="2" t="str">
        <f>IFERROR(__xludf.DUMMYFUNCTION("GOOGLETRANSLATE(A1310, ""en"", ""mt"")"),"X'inhi ż-żona tal-art ta 'Jacksonville?")</f>
        <v>X'inhi ż-żona tal-art ta 'Jacksonville?</v>
      </c>
    </row>
    <row r="1311" ht="15.75" customHeight="1">
      <c r="A1311" s="2" t="s">
        <v>1311</v>
      </c>
      <c r="B1311" s="2" t="str">
        <f>IFERROR(__xludf.DUMMYFUNCTION("GOOGLETRANSLATE(A1311, ""en"", ""mt"")"),"Fejn marru r-residenti ta 'Fresno waqt l-għargħar?")</f>
        <v>Fejn marru r-residenti ta 'Fresno waqt l-għargħar?</v>
      </c>
    </row>
    <row r="1312" ht="15.75" customHeight="1">
      <c r="A1312" s="2" t="s">
        <v>1312</v>
      </c>
      <c r="B1312" s="2" t="str">
        <f>IFERROR(__xludf.DUMMYFUNCTION("GOOGLETRANSLATE(A1312, ""en"", ""mt"")"),"£ 21,000")</f>
        <v>£ 21,000</v>
      </c>
    </row>
    <row r="1313" ht="15.75" customHeight="1">
      <c r="A1313" s="2" t="s">
        <v>1313</v>
      </c>
      <c r="B1313" s="2" t="str">
        <f>IFERROR(__xludf.DUMMYFUNCTION("GOOGLETRANSLATE(A1313, ""en"", ""mt"")"),"ingħata lill-Protestanti ugwaljanza mal-Kattoliċi")</f>
        <v>ingħata lill-Protestanti ugwaljanza mal-Kattoliċi</v>
      </c>
    </row>
    <row r="1314" ht="15.75" customHeight="1">
      <c r="A1314" s="2" t="s">
        <v>1314</v>
      </c>
      <c r="B1314" s="2" t="str">
        <f>IFERROR(__xludf.DUMMYFUNCTION("GOOGLETRANSLATE(A1314, ""en"", ""mt"")"),"par ta 'tentakli twal u rqaq")</f>
        <v>par ta 'tentakli twal u rqaq</v>
      </c>
    </row>
    <row r="1315" ht="15.75" customHeight="1">
      <c r="A1315" s="2" t="s">
        <v>1315</v>
      </c>
      <c r="B1315" s="2" t="str">
        <f>IFERROR(__xludf.DUMMYFUNCTION("GOOGLETRANSLATE(A1315, ""en"", ""mt"")"),"Il-Papa u d-Duttrina tat-Transubstantjazzjoni")</f>
        <v>Il-Papa u d-Duttrina tat-Transubstantjazzjoni</v>
      </c>
    </row>
    <row r="1316" ht="15.75" customHeight="1">
      <c r="A1316" s="2" t="s">
        <v>1316</v>
      </c>
      <c r="B1316" s="2" t="str">
        <f>IFERROR(__xludf.DUMMYFUNCTION("GOOGLETRANSLATE(A1316, ""en"", ""mt"")"),"1969")</f>
        <v>1969</v>
      </c>
    </row>
    <row r="1317" ht="15.75" customHeight="1">
      <c r="A1317" s="2" t="s">
        <v>1317</v>
      </c>
      <c r="B1317" s="2" t="str">
        <f>IFERROR(__xludf.DUMMYFUNCTION("GOOGLETRANSLATE(A1317, ""en"", ""mt"")"),"Minn xiex jistgħu jsofru proġetti ta 'kostruzzjoni?")</f>
        <v>Minn xiex jistgħu jsofru proġetti ta 'kostruzzjoni?</v>
      </c>
    </row>
    <row r="1318" ht="15.75" customHeight="1">
      <c r="A1318" s="2" t="s">
        <v>1318</v>
      </c>
      <c r="B1318" s="2" t="str">
        <f>IFERROR(__xludf.DUMMYFUNCTION("GOOGLETRANSLATE(A1318, ""en"", ""mt"")"),"il-probabbiltà ta 'ħsara")</f>
        <v>il-probabbiltà ta 'ħsara</v>
      </c>
    </row>
    <row r="1319" ht="15.75" customHeight="1">
      <c r="A1319" s="2" t="s">
        <v>1319</v>
      </c>
      <c r="B1319" s="2" t="str">
        <f>IFERROR(__xludf.DUMMYFUNCTION("GOOGLETRANSLATE(A1319, ""en"", ""mt"")"),"Għaliex huwa diffiċli li tissolva nuqqas ta 'qbil dwar il-bidliet fil-foresta tropikali tal-Amażonja?")</f>
        <v>Għaliex huwa diffiċli li tissolva nuqqas ta 'qbil dwar il-bidliet fil-foresta tropikali tal-Amażonja?</v>
      </c>
    </row>
    <row r="1320" ht="15.75" customHeight="1">
      <c r="A1320" s="2" t="s">
        <v>1320</v>
      </c>
      <c r="B1320" s="2" t="str">
        <f>IFERROR(__xludf.DUMMYFUNCTION("GOOGLETRANSLATE(A1320, ""en"", ""mt"")"),"Tnax")</f>
        <v>Tnax</v>
      </c>
    </row>
    <row r="1321" ht="15.75" customHeight="1">
      <c r="A1321" s="2" t="s">
        <v>1321</v>
      </c>
      <c r="B1321" s="2" t="str">
        <f>IFERROR(__xludf.DUMMYFUNCTION("GOOGLETRANSLATE(A1321, ""en"", ""mt"")"),"1755")</f>
        <v>1755</v>
      </c>
    </row>
    <row r="1322" ht="15.75" customHeight="1">
      <c r="A1322" s="2" t="s">
        <v>1322</v>
      </c>
      <c r="B1322" s="2" t="str">
        <f>IFERROR(__xludf.DUMMYFUNCTION("GOOGLETRANSLATE(A1322, ""en"", ""mt"")"),"Camisards")</f>
        <v>Camisards</v>
      </c>
    </row>
    <row r="1323" ht="15.75" customHeight="1">
      <c r="A1323" s="2" t="s">
        <v>1323</v>
      </c>
      <c r="B1323" s="2" t="str">
        <f>IFERROR(__xludf.DUMMYFUNCTION("GOOGLETRANSLATE(A1323, ""en"", ""mt"")"),"Bejn 1000 u 1900")</f>
        <v>Bejn 1000 u 1900</v>
      </c>
    </row>
    <row r="1324" ht="15.75" customHeight="1">
      <c r="A1324" s="2" t="s">
        <v>1324</v>
      </c>
      <c r="B1324" s="2" t="str">
        <f>IFERROR(__xludf.DUMMYFUNCTION("GOOGLETRANSLATE(A1324, ""en"", ""mt"")"),"importanza dejjem tiżdied tal-kapital uman fl-iżvilupp")</f>
        <v>importanza dejjem tiżdied tal-kapital uman fl-iżvilupp</v>
      </c>
    </row>
    <row r="1325" ht="15.75" customHeight="1">
      <c r="A1325" s="2" t="s">
        <v>1325</v>
      </c>
      <c r="B1325" s="2" t="str">
        <f>IFERROR(__xludf.DUMMYFUNCTION("GOOGLETRANSLATE(A1325, ""en"", ""mt"")"),"Matul iċ-ċessjoni mill-moviment tal-Afrika t'Isfel fl-aħħar tas-snin 1980, l-attivisti tal-istudenti bnew ""shantytown"" simboliku fit-tarzna ta 'Harvard u imblukkaw diskors mogħti mill-viċi-konslu tal-Afrika t'Isfel Duke Kent-Brown. Il-Kumpanija ta 'Ġest"&amp;"joni ta' Harvard ripetutament irrifjutat li tbiegħ, u ddikjarat li ""l-ispejjeż operattivi m'għandhomx ikunu soġġetti għal restrizzjonijiet finanzjarjament mhux realistiċi jew carping minn dawk mhux sofistikati jew minn gruppi ta 'interess speċjali."" Mad"&amp;"ankollu, l-università eventwalment naqset l-azjendi tal-Afrika t'Isfel tagħha b '$ 230 miljun (minn $ 400 miljun) b'reazzjoni għall-pressjoni.")</f>
        <v>Matul iċ-ċessjoni mill-moviment tal-Afrika t'Isfel fl-aħħar tas-snin 1980, l-attivisti tal-istudenti bnew "shantytown" simboliku fit-tarzna ta 'Harvard u imblukkaw diskors mogħti mill-viċi-konslu tal-Afrika t'Isfel Duke Kent-Brown. Il-Kumpanija ta 'Ġestjoni ta' Harvard ripetutament irrifjutat li tbiegħ, u ddikjarat li "l-ispejjeż operattivi m'għandhomx ikunu soġġetti għal restrizzjonijiet finanzjarjament mhux realistiċi jew carping minn dawk mhux sofistikati jew minn gruppi ta 'interess speċjali." Madankollu, l-università eventwalment naqset l-azjendi tal-Afrika t'Isfel tagħha b '$ 230 miljun (minn $ 400 miljun) b'reazzjoni għall-pressjoni.</v>
      </c>
    </row>
    <row r="1326" ht="15.75" customHeight="1">
      <c r="A1326" s="2" t="s">
        <v>1326</v>
      </c>
      <c r="B1326" s="2" t="str">
        <f>IFERROR(__xludf.DUMMYFUNCTION("GOOGLETRANSLATE(A1326, ""en"", ""mt"")"),"L-istrumenti mużikali tal-Punent ġew introdotti biex jarrikkixxu l-arti tal-ispettaklu Ċiniżi. Minn dan il-perjodu tmur il-konverżjoni għall-Iżlam, mill-Musulmani tal-Asja Ċentrali, ta 'numru dejjem jikber ta' Ċiniżi fil-majjistral u fil-Lbiċ. In-Nestorij"&amp;"iżmu u l-Kattoliċiżmu Ruman gawdew ukoll perjodu ta ’tolleranza. Il-Buddiżmu (speċjalment il-Buddiżmu Tibetan) iffjorixxa, għalkemm it-Taoiżmu ġarrab ċerti persekuzzjonijiet favur il-Buddiżmu mill-gvern tal-Yuan. Prattiki governattivi Confucian u eżamijie"&amp;"t ibbażati fuq il-klassiċi, li ma waqgħux fl-użu fit-tramuntana taċ-Ċina matul il-perjodu ta 'diżunità, reġgħu ġew imdaħħla mill-qorti tal-Yuan, probabbilment bit-tama li żżomm l-ordni fuq is-soċjetà Han. L-avvanzi ġew realizzati fl-oqsma tal-letteratura "&amp;"tal-ivvjaġġar, il-kartografija, il-ġeografija, u l-edukazzjoni xjentifika.")</f>
        <v>L-istrumenti mużikali tal-Punent ġew introdotti biex jarrikkixxu l-arti tal-ispettaklu Ċiniżi. Minn dan il-perjodu tmur il-konverżjoni għall-Iżlam, mill-Musulmani tal-Asja Ċentrali, ta 'numru dejjem jikber ta' Ċiniżi fil-majjistral u fil-Lbiċ. In-Nestorijiżmu u l-Kattoliċiżmu Ruman gawdew ukoll perjodu ta ’tolleranza. Il-Buddiżmu (speċjalment il-Buddiżmu Tibetan) iffjorixxa, għalkemm it-Taoiżmu ġarrab ċerti persekuzzjonijiet favur il-Buddiżmu mill-gvern tal-Yuan. Prattiki governattivi Confucian u eżamijiet ibbażati fuq il-klassiċi, li ma waqgħux fl-użu fit-tramuntana taċ-Ċina matul il-perjodu ta 'diżunità, reġgħu ġew imdaħħla mill-qorti tal-Yuan, probabbilment bit-tama li żżomm l-ordni fuq is-soċjetà Han. L-avvanzi ġew realizzati fl-oqsma tal-letteratura tal-ivvjaġġar, il-kartografija, il-ġeografija, u l-edukazzjoni xjentifika.</v>
      </c>
    </row>
    <row r="1327" ht="15.75" customHeight="1">
      <c r="A1327" s="2" t="s">
        <v>1327</v>
      </c>
      <c r="B1327" s="2" t="str">
        <f>IFERROR(__xludf.DUMMYFUNCTION("GOOGLETRANSLATE(A1327, ""en"", ""mt"")"),"Huwa peżat inversament għad-daqs tal-istat membru")</f>
        <v>Huwa peżat inversament għad-daqs tal-istat membru</v>
      </c>
    </row>
    <row r="1328" ht="15.75" customHeight="1">
      <c r="A1328" s="2" t="s">
        <v>1328</v>
      </c>
      <c r="B1328" s="2" t="str">
        <f>IFERROR(__xludf.DUMMYFUNCTION("GOOGLETRANSLATE(A1328, ""en"", ""mt"")"),"X'jiġri l-ewwel jekk l-iskadenza ta 'direttiva għall-implimentazzjoni ma tintlaħaqx?")</f>
        <v>X'jiġri l-ewwel jekk l-iskadenza ta 'direttiva għall-implimentazzjoni ma tintlaħaqx?</v>
      </c>
    </row>
    <row r="1329" ht="15.75" customHeight="1">
      <c r="A1329" s="2" t="s">
        <v>1329</v>
      </c>
      <c r="B1329" s="2" t="str">
        <f>IFERROR(__xludf.DUMMYFUNCTION("GOOGLETRANSLATE(A1329, ""en"", ""mt"")"),"X'inhi waħda mill-ikbar skejjel tal-mużika fl-Ewropa?")</f>
        <v>X'inhi waħda mill-ikbar skejjel tal-mużika fl-Ewropa?</v>
      </c>
    </row>
    <row r="1330" ht="15.75" customHeight="1">
      <c r="A1330" s="2" t="s">
        <v>1330</v>
      </c>
      <c r="B1330" s="2" t="str">
        <f>IFERROR(__xludf.DUMMYFUNCTION("GOOGLETRANSLATE(A1330, ""en"", ""mt"")"),"X'kienu l-armati tal-wan dgħajfa wisq biex jieqfu?")</f>
        <v>X'kienu l-armati tal-wan dgħajfa wisq biex jieqfu?</v>
      </c>
    </row>
    <row r="1331" ht="15.75" customHeight="1">
      <c r="A1331" s="2" t="s">
        <v>1331</v>
      </c>
      <c r="B1331" s="2" t="str">
        <f>IFERROR(__xludf.DUMMYFUNCTION("GOOGLETRANSLATE(A1331, ""en"", ""mt"")"),"Liema bini kien tbattal tliet darbiet biex jippermetti l-laqgħa tal-Assemblea Ġenerali tal-Knisja?")</f>
        <v>Liema bini kien tbattal tliet darbiet biex jippermetti l-laqgħa tal-Assemblea Ġenerali tal-Knisja?</v>
      </c>
    </row>
    <row r="1332" ht="15.75" customHeight="1">
      <c r="A1332" s="2" t="s">
        <v>1332</v>
      </c>
      <c r="B1332" s="2" t="str">
        <f>IFERROR(__xludf.DUMMYFUNCTION("GOOGLETRANSLATE(A1332, ""en"", ""mt"")"),"Il-miżura storika tal-effiċjenza fl-enerġija tal-magna tal-fwar kienet id- ""dmir"" tagħha. Il-kunċett ta 'dazju ġie introdott għall-ewwel darba minn Watt sabiex juri kemm kienu aktar effiċjenti l-magni tiegħu fuq id-disinji ta' Newcomen preċedenti. Id-da"&amp;"zju huwa n-numru ta 'xogħol ta' xogħol imwassal billi jaħarqu bushel wieħed (94 libbra) ta 'faħam. L-aħjar eżempji ta 'disinji ta' Newcomen kellhom dmir ta 'madwar 7 miljun, iżda l-biċċa l-kbira kienu eqreb għal 5 miljun. Id-disinji oriġinali ta 'pressjon"&amp;"i baxxa ta' Watt setgħu jagħtu dazju sa 25 miljun, iżda kellhom medja ta 'madwar 17. Dan kien titjib ta' tliet darbiet fuq id-disinn medju ta 'Newcomen. Magni tal-watt bikri mgħammra bi fwar bi pressjoni għolja tejbu dan għal 65 miljun.")</f>
        <v>Il-miżura storika tal-effiċjenza fl-enerġija tal-magna tal-fwar kienet id- "dmir" tagħha. Il-kunċett ta 'dazju ġie introdott għall-ewwel darba minn Watt sabiex juri kemm kienu aktar effiċjenti l-magni tiegħu fuq id-disinji ta' Newcomen preċedenti. Id-dazju huwa n-numru ta 'xogħol ta' xogħol imwassal billi jaħarqu bushel wieħed (94 libbra) ta 'faħam. L-aħjar eżempji ta 'disinji ta' Newcomen kellhom dmir ta 'madwar 7 miljun, iżda l-biċċa l-kbira kienu eqreb għal 5 miljun. Id-disinji oriġinali ta 'pressjoni baxxa ta' Watt setgħu jagħtu dazju sa 25 miljun, iżda kellhom medja ta 'madwar 17. Dan kien titjib ta' tliet darbiet fuq id-disinn medju ta 'Newcomen. Magni tal-watt bikri mgħammra bi fwar bi pressjoni għolja tejbu dan għal 65 miljun.</v>
      </c>
    </row>
    <row r="1333" ht="15.75" customHeight="1">
      <c r="A1333" s="2" t="s">
        <v>1333</v>
      </c>
      <c r="B1333" s="2" t="str">
        <f>IFERROR(__xludf.DUMMYFUNCTION("GOOGLETRANSLATE(A1333, ""en"", ""mt"")"),"Liema proteina tipproduċi Staphylococcus aureus biex tagħmel l-antikorpi ineffettivi?")</f>
        <v>Liema proteina tipproduċi Staphylococcus aureus biex tagħmel l-antikorpi ineffettivi?</v>
      </c>
    </row>
    <row r="1334" ht="15.75" customHeight="1">
      <c r="A1334" s="2" t="s">
        <v>1334</v>
      </c>
      <c r="B1334" s="2" t="str">
        <f>IFERROR(__xludf.DUMMYFUNCTION("GOOGLETRANSLATE(A1334, ""en"", ""mt"")"),"l-ogħla")</f>
        <v>l-ogħla</v>
      </c>
    </row>
    <row r="1335" ht="15.75" customHeight="1">
      <c r="A1335" s="2" t="s">
        <v>1335</v>
      </c>
      <c r="B1335" s="2" t="str">
        <f>IFERROR(__xludf.DUMMYFUNCTION("GOOGLETRANSLATE(A1335, ""en"", ""mt"")"),"wara s-sieq tal-arblu ta 'vapur li jiċċaqlaq")</f>
        <v>wara s-sieq tal-arblu ta 'vapur li jiċċaqlaq</v>
      </c>
    </row>
    <row r="1336" ht="15.75" customHeight="1">
      <c r="A1336" s="2" t="s">
        <v>1336</v>
      </c>
      <c r="B1336" s="2" t="str">
        <f>IFERROR(__xludf.DUMMYFUNCTION("GOOGLETRANSLATE(A1336, ""en"", ""mt"")"),"X'inhu isem ieħor għal Dike Swarm?")</f>
        <v>X'inhu isem ieħor għal Dike Swarm?</v>
      </c>
    </row>
    <row r="1337" ht="15.75" customHeight="1">
      <c r="A1337" s="2" t="s">
        <v>1337</v>
      </c>
      <c r="B1337" s="2" t="str">
        <f>IFERROR(__xludf.DUMMYFUNCTION("GOOGLETRANSLATE(A1337, ""en"", ""mt"")"),"Min inkorpora tekniki tal-bini Iżlamiku, Lombard u Biżantini fl-Ingilterra?")</f>
        <v>Min inkorpora tekniki tal-bini Iżlamiku, Lombard u Biżantini fl-Ingilterra?</v>
      </c>
    </row>
    <row r="1338" ht="15.75" customHeight="1">
      <c r="A1338" s="2" t="s">
        <v>1338</v>
      </c>
      <c r="B1338" s="2" t="str">
        <f>IFERROR(__xludf.DUMMYFUNCTION("GOOGLETRANSLATE(A1338, ""en"", ""mt"")"),"Kemm l-art għandha Cambridge f'Allston?")</f>
        <v>Kemm l-art għandha Cambridge f'Allston?</v>
      </c>
    </row>
    <row r="1339" ht="15.75" customHeight="1">
      <c r="A1339" s="2" t="s">
        <v>1339</v>
      </c>
      <c r="B1339" s="2" t="str">
        <f>IFERROR(__xludf.DUMMYFUNCTION("GOOGLETRANSLATE(A1339, ""en"", ""mt"")"),"Liema konġettura żżomm li kull numru sħiħ fard n akbar minn 2 jista 'jiġi espress bħala somma ta' żewġ primes?")</f>
        <v>Liema konġettura żżomm li kull numru sħiħ fard n akbar minn 2 jista 'jiġi espress bħala somma ta' żewġ primes?</v>
      </c>
    </row>
    <row r="1340" ht="15.75" customHeight="1">
      <c r="A1340" s="2" t="s">
        <v>1340</v>
      </c>
      <c r="B1340" s="2" t="str">
        <f>IFERROR(__xludf.DUMMYFUNCTION("GOOGLETRANSLATE(A1340, ""en"", ""mt"")"),"X'inhu mod ieħor kif tirreferi għas-sistemi tal-enerġija?")</f>
        <v>X'inhu mod ieħor kif tirreferi għas-sistemi tal-enerġija?</v>
      </c>
    </row>
    <row r="1341" ht="15.75" customHeight="1">
      <c r="A1341" s="2" t="s">
        <v>1341</v>
      </c>
      <c r="B1341" s="2" t="str">
        <f>IFERROR(__xludf.DUMMYFUNCTION("GOOGLETRANSLATE(A1341, ""en"", ""mt"")"),"John Mayow miet f'liema sena?")</f>
        <v>John Mayow miet f'liema sena?</v>
      </c>
    </row>
    <row r="1342" ht="15.75" customHeight="1">
      <c r="A1342" s="2" t="s">
        <v>1342</v>
      </c>
      <c r="B1342" s="2" t="str">
        <f>IFERROR(__xludf.DUMMYFUNCTION("GOOGLETRANSLATE(A1342, ""en"", ""mt"")"),"Fejn jinsab il-post tad-dar ta 'Ekstraklasa?")</f>
        <v>Fejn jinsab il-post tad-dar ta 'Ekstraklasa?</v>
      </c>
    </row>
    <row r="1343" ht="15.75" customHeight="1">
      <c r="A1343" s="2" t="s">
        <v>1343</v>
      </c>
      <c r="B1343" s="2" t="str">
        <f>IFERROR(__xludf.DUMMYFUNCTION("GOOGLETRANSLATE(A1343, ""en"", ""mt"")"),"Il-ħakkiem tal-Karluk Kara-Khanid")</f>
        <v>Il-ħakkiem tal-Karluk Kara-Khanid</v>
      </c>
    </row>
    <row r="1344" ht="15.75" customHeight="1">
      <c r="A1344" s="2" t="s">
        <v>1344</v>
      </c>
      <c r="B1344" s="2" t="str">
        <f>IFERROR(__xludf.DUMMYFUNCTION("GOOGLETRANSLATE(A1344, ""en"", ""mt"")"),"L-ekonomista Joseph Stiglitz jargumenta li minflok ma jispjega konċentrazzjonijiet ta 'ġid u dħul, il-forzi tas-suq għandhom iservu ta' brejk fuq din il-konċentrazzjoni, li tista 'tkun spjegata aħjar mill-forza mhux tas-suq magħrufa bħala ""tfittxija tal-"&amp;"kera"". Filwaqt li s-suq se joffri kumpens għall-ħiliet rari u mixtieqa biex jippremja l-ħolqien tal-ġid, produttività akbar, eċċ., Huwa jipprevjeni wkoll lill-intraprendituri ta 'suċċess milli jaqilgħu profitti żejda billi jrawmu l-kompetizzjoni biex ina"&amp;"qqsu l-prezzijiet, il-profitti u kumpens kbir. Spjegatur aħjar tal-inugwaljanza dejjem tikber, skond Stiglitz, huwa l-użu tal-poter politiku ġġenerat mill-ġid minn ċerti gruppi biex jiffurmaw politiki tal-gvern ta 'benefiċċju finanzjarju għalihom. Dan il-"&amp;"proċess, magħruf għall-ekonomisti bħala li jfittex il-kera, iġib dħul mhux mill-ħolqien tal-ġid iżda minn ""jaqbad sehem akbar mill-ġid li kieku kien jiġi prodott mingħajr l-isforz tagħhom""")</f>
        <v>L-ekonomista Joseph Stiglitz jargumenta li minflok ma jispjega konċentrazzjonijiet ta 'ġid u dħul, il-forzi tas-suq għandhom iservu ta' brejk fuq din il-konċentrazzjoni, li tista 'tkun spjegata aħjar mill-forza mhux tas-suq magħrufa bħala "tfittxija tal-kera". Filwaqt li s-suq se joffri kumpens għall-ħiliet rari u mixtieqa biex jippremja l-ħolqien tal-ġid, produttività akbar, eċċ., Huwa jipprevjeni wkoll lill-intraprendituri ta 'suċċess milli jaqilgħu profitti żejda billi jrawmu l-kompetizzjoni biex inaqqsu l-prezzijiet, il-profitti u kumpens kbir. Spjegatur aħjar tal-inugwaljanza dejjem tikber, skond Stiglitz, huwa l-użu tal-poter politiku ġġenerat mill-ġid minn ċerti gruppi biex jiffurmaw politiki tal-gvern ta 'benefiċċju finanzjarju għalihom. Dan il-proċess, magħruf għall-ekonomisti bħala li jfittex il-kera, iġib dħul mhux mill-ħolqien tal-ġid iżda minn "jaqbad sehem akbar mill-ġid li kieku kien jiġi prodott mingħajr l-isforz tagħhom"</v>
      </c>
    </row>
    <row r="1345" ht="15.75" customHeight="1">
      <c r="A1345" s="2" t="s">
        <v>1345</v>
      </c>
      <c r="B1345" s="2" t="str">
        <f>IFERROR(__xludf.DUMMYFUNCTION("GOOGLETRANSLATE(A1345, ""en"", ""mt"")"),"bejn l-1621 u l-1629")</f>
        <v>bejn l-1621 u l-1629</v>
      </c>
    </row>
    <row r="1346" ht="15.75" customHeight="1">
      <c r="A1346" s="2" t="s">
        <v>1346</v>
      </c>
      <c r="B1346" s="2" t="str">
        <f>IFERROR(__xludf.DUMMYFUNCTION("GOOGLETRANSLATE(A1346, ""en"", ""mt"")"),"Minbarra l-identifikazzjoni tal-blat fil-grawnd, il-petroloġisti jidentifikaw kampjuni tal-blat fil-laboratorju. Tnejn mill-metodi primarji għall-identifikazzjoni tal-blat fil-laboratorju huma permezz ta 'mikroskopija ottika u bl-użu ta' microprobe elettr"&amp;"oniku. F'analiżi tal-mineraloġija ottika, sezzjonijiet irqaq ta 'kampjuni tal-blat huma analizzati permezz ta' mikroskopju petrografiku, fejn il-minerali jistgħu jiġu identifikati permezz tal-proprjetajiet differenti tagħhom fid-dawl polarizzat u polarizz"&amp;"at mill-pjan, inkluż il-birefringenza tagħhom, pleokroiżmu, ġemellaġġ, ġemellaġġ, u proprjetajiet ta 'interferenza ma' lenti konoskopika. Fil-mikroprobe elettroniku, postijiet individwali huma analizzati għall-kompożizzjonijiet kimiċi eżatti tagħhom u l-v"&amp;"arjazzjoni fil-kompożizzjoni fi ħdan kristalli individwali. Studji ta 'iżotopi stabbli u radjuattivi jipprovdu ħarsa lejn l-evoluzzjoni ġeokimika ta' unitajiet tal-blat.")</f>
        <v>Minbarra l-identifikazzjoni tal-blat fil-grawnd, il-petroloġisti jidentifikaw kampjuni tal-blat fil-laboratorju. Tnejn mill-metodi primarji għall-identifikazzjoni tal-blat fil-laboratorju huma permezz ta 'mikroskopija ottika u bl-użu ta' microprobe elettroniku. F'analiżi tal-mineraloġija ottika, sezzjonijiet irqaq ta 'kampjuni tal-blat huma analizzati permezz ta' mikroskopju petrografiku, fejn il-minerali jistgħu jiġu identifikati permezz tal-proprjetajiet differenti tagħhom fid-dawl polarizzat u polarizzat mill-pjan, inkluż il-birefringenza tagħhom, pleokroiżmu, ġemellaġġ, ġemellaġġ, u proprjetajiet ta 'interferenza ma' lenti konoskopika. Fil-mikroprobe elettroniku, postijiet individwali huma analizzati għall-kompożizzjonijiet kimiċi eżatti tagħhom u l-varjazzjoni fil-kompożizzjoni fi ħdan kristalli individwali. Studji ta 'iżotopi stabbli u radjuattivi jipprovdu ħarsa lejn l-evoluzzjoni ġeokimika ta' unitajiet tal-blat.</v>
      </c>
    </row>
    <row r="1347" ht="15.75" customHeight="1">
      <c r="A1347" s="2" t="s">
        <v>1347</v>
      </c>
      <c r="B1347" s="2" t="str">
        <f>IFERROR(__xludf.DUMMYFUNCTION("GOOGLETRANSLATE(A1347, ""en"", ""mt"")"),"Il-kunflitt Għarbi-Iżraeljan ħareġ il-pressjoni ekonomika sottostanti fuq il-prezzijiet taż-żejt")</f>
        <v>Il-kunflitt Għarbi-Iżraeljan ħareġ il-pressjoni ekonomika sottostanti fuq il-prezzijiet taż-żejt</v>
      </c>
    </row>
    <row r="1348" ht="15.75" customHeight="1">
      <c r="A1348" s="2" t="s">
        <v>1348</v>
      </c>
      <c r="B1348" s="2" t="str">
        <f>IFERROR(__xludf.DUMMYFUNCTION("GOOGLETRANSLATE(A1348, ""en"", ""mt"")"),"in-nuqqas tagħha li tikkonsulta u ""intransigenza notorja""")</f>
        <v>in-nuqqas tagħha li tikkonsulta u "intransigenza notorja"</v>
      </c>
    </row>
    <row r="1349" ht="15.75" customHeight="1">
      <c r="A1349" s="2" t="s">
        <v>1349</v>
      </c>
      <c r="B1349" s="2" t="str">
        <f>IFERROR(__xludf.DUMMYFUNCTION("GOOGLETRANSLATE(A1349, ""en"", ""mt"")"),"Tmiem il-Pleistocene (~ 11,600 bp)")</f>
        <v>Tmiem il-Pleistocene (~ 11,600 bp)</v>
      </c>
    </row>
    <row r="1350" ht="15.75" customHeight="1">
      <c r="A1350" s="2" t="s">
        <v>1350</v>
      </c>
      <c r="B1350" s="2" t="str">
        <f>IFERROR(__xludf.DUMMYFUNCTION("GOOGLETRANSLATE(A1350, ""en"", ""mt"")"),"X'inhu fattur wieħed fit-tnaqqis tal-istima personali?")</f>
        <v>X'inhu fattur wieħed fit-tnaqqis tal-istima personali?</v>
      </c>
    </row>
    <row r="1351" ht="15.75" customHeight="1">
      <c r="A1351" s="2" t="s">
        <v>1351</v>
      </c>
      <c r="B1351" s="2" t="str">
        <f>IFERROR(__xludf.DUMMYFUNCTION("GOOGLETRANSLATE(A1351, ""en"", ""mt"")"),"X'għandhom dak il-Beroids kostali li m'għandhomx dak l-ieħor Ctenophora?")</f>
        <v>X'għandhom dak il-Beroids kostali li m'għandhomx dak l-ieħor Ctenophora?</v>
      </c>
    </row>
    <row r="1352" ht="15.75" customHeight="1">
      <c r="A1352" s="2" t="s">
        <v>1352</v>
      </c>
      <c r="B1352" s="2" t="str">
        <f>IFERROR(__xludf.DUMMYFUNCTION("GOOGLETRANSLATE(A1352, ""en"", ""mt"")"),"l-Artiku")</f>
        <v>l-Artiku</v>
      </c>
    </row>
    <row r="1353" ht="15.75" customHeight="1">
      <c r="A1353" s="2" t="s">
        <v>1353</v>
      </c>
      <c r="B1353" s="2" t="str">
        <f>IFERROR(__xludf.DUMMYFUNCTION("GOOGLETRANSLATE(A1353, ""en"", ""mt"")"),"Washington u Thomas Gage")</f>
        <v>Washington u Thomas Gage</v>
      </c>
    </row>
    <row r="1354" ht="15.75" customHeight="1">
      <c r="A1354" s="2" t="s">
        <v>1354</v>
      </c>
      <c r="B1354" s="2" t="str">
        <f>IFERROR(__xludf.DUMMYFUNCTION("GOOGLETRANSLATE(A1354, ""en"", ""mt"")"),"Liema persuna oħra kienet involuta fil-każ ma 'Runyon fl-1972?")</f>
        <v>Liema persuna oħra kienet involuta fil-każ ma 'Runyon fl-1972?</v>
      </c>
    </row>
    <row r="1355" ht="15.75" customHeight="1">
      <c r="A1355" s="2" t="s">
        <v>1355</v>
      </c>
      <c r="B1355" s="2" t="str">
        <f>IFERROR(__xludf.DUMMYFUNCTION("GOOGLETRANSLATE(A1355, ""en"", ""mt"")"),"Il-kampanja ""It's Scotland's Oil"" irriżultat mill-iskoperta ta 'dak fil-Baħar tan-Nofsinhar?")</f>
        <v>Il-kampanja "It's Scotland's Oil" irriżultat mill-iskoperta ta 'dak fil-Baħar tan-Nofsinhar?</v>
      </c>
    </row>
    <row r="1356" ht="15.75" customHeight="1">
      <c r="A1356" s="2" t="s">
        <v>1356</v>
      </c>
      <c r="B1356" s="2" t="str">
        <f>IFERROR(__xludf.DUMMYFUNCTION("GOOGLETRANSLATE(A1356, ""en"", ""mt"")"),"B'liema mezzi ġeneralment ikun amministrat l-imperjalizmu?")</f>
        <v>B'liema mezzi ġeneralment ikun amministrat l-imperjalizmu?</v>
      </c>
    </row>
    <row r="1357" ht="15.75" customHeight="1">
      <c r="A1357" s="2" t="s">
        <v>1357</v>
      </c>
      <c r="B1357" s="2" t="str">
        <f>IFERROR(__xludf.DUMMYFUNCTION("GOOGLETRANSLATE(A1357, ""en"", ""mt"")"),"Liema kumpanija qatt ma kienet involuta ma 'NDS?")</f>
        <v>Liema kumpanija qatt ma kienet involuta ma 'NDS?</v>
      </c>
    </row>
    <row r="1358" ht="15.75" customHeight="1">
      <c r="A1358" s="2" t="s">
        <v>1358</v>
      </c>
      <c r="B1358" s="2" t="str">
        <f>IFERROR(__xludf.DUMMYFUNCTION("GOOGLETRANSLATE(A1358, ""en"", ""mt"")"),"Tnaqqis tal-faqar")</f>
        <v>Tnaqqis tal-faqar</v>
      </c>
    </row>
    <row r="1359" ht="15.75" customHeight="1">
      <c r="A1359" s="2" t="s">
        <v>1359</v>
      </c>
      <c r="B1359" s="2" t="str">
        <f>IFERROR(__xludf.DUMMYFUNCTION("GOOGLETRANSLATE(A1359, ""en"", ""mt"")"),"Meta miet Wei Yilin?")</f>
        <v>Meta miet Wei Yilin?</v>
      </c>
    </row>
    <row r="1360" ht="15.75" customHeight="1">
      <c r="A1360" s="2" t="s">
        <v>1360</v>
      </c>
      <c r="B1360" s="2" t="str">
        <f>IFERROR(__xludf.DUMMYFUNCTION("GOOGLETRANSLATE(A1360, ""en"", ""mt"")"),"Liema bini kien rigal mill-Polonja?")</f>
        <v>Liema bini kien rigal mill-Polonja?</v>
      </c>
    </row>
    <row r="1361" ht="15.75" customHeight="1">
      <c r="A1361" s="2" t="s">
        <v>1361</v>
      </c>
      <c r="B1361" s="2" t="str">
        <f>IFERROR(__xludf.DUMMYFUNCTION("GOOGLETRANSLATE(A1361, ""en"", ""mt"")"),"ifakkru lil pajjiżu ta 'inġustizzja")</f>
        <v>ifakkru lil pajjiżu ta 'inġustizzja</v>
      </c>
    </row>
    <row r="1362" ht="15.75" customHeight="1">
      <c r="A1362" s="2" t="s">
        <v>1362</v>
      </c>
      <c r="B1362" s="2" t="str">
        <f>IFERROR(__xludf.DUMMYFUNCTION("GOOGLETRANSLATE(A1362, ""en"", ""mt"")"),"Imperjalizmu u kolonjaliżmu")</f>
        <v>Imperjalizmu u kolonjaliżmu</v>
      </c>
    </row>
    <row r="1363" ht="15.75" customHeight="1">
      <c r="A1363" s="2" t="s">
        <v>1363</v>
      </c>
      <c r="B1363" s="2" t="str">
        <f>IFERROR(__xludf.DUMMYFUNCTION("GOOGLETRANSLATE(A1363, ""en"", ""mt"")"),"X'tip ta 'proċess kien involut fit-tnaqqis tal-ossiġnu tax-xemx 16?")</f>
        <v>X'tip ta 'proċess kien involut fit-tnaqqis tal-ossiġnu tax-xemx 16?</v>
      </c>
    </row>
    <row r="1364" ht="15.75" customHeight="1">
      <c r="A1364" s="2" t="s">
        <v>1364</v>
      </c>
      <c r="B1364" s="2" t="str">
        <f>IFERROR(__xludf.DUMMYFUNCTION("GOOGLETRANSLATE(A1364, ""en"", ""mt"")"),"Liema kwistjoni kienet qed ibati l-moviment tad-diżubbidjenza ċivili.")</f>
        <v>Liema kwistjoni kienet qed ibati l-moviment tad-diżubbidjenza ċivili.</v>
      </c>
    </row>
    <row r="1365" ht="15.75" customHeight="1">
      <c r="A1365" s="2" t="s">
        <v>1365</v>
      </c>
      <c r="B1365" s="2" t="str">
        <f>IFERROR(__xludf.DUMMYFUNCTION("GOOGLETRANSLATE(A1365, ""en"", ""mt"")"),"Għal xiex tfisser CSA?")</f>
        <v>Għal xiex tfisser CSA?</v>
      </c>
    </row>
    <row r="1366" ht="15.75" customHeight="1">
      <c r="A1366" s="2" t="s">
        <v>1366</v>
      </c>
      <c r="B1366" s="2" t="str">
        <f>IFERROR(__xludf.DUMMYFUNCTION("GOOGLETRANSLATE(A1366, ""en"", ""mt"")"),"Silikati tal-manjeżju u tal-ħadid jagħmlu l-art tad-dinja ___")</f>
        <v>Silikati tal-manjeżju u tal-ħadid jagħmlu l-art tad-dinja ___</v>
      </c>
    </row>
    <row r="1367" ht="15.75" customHeight="1">
      <c r="A1367" s="2" t="s">
        <v>1367</v>
      </c>
      <c r="B1367" s="2" t="str">
        <f>IFERROR(__xludf.DUMMYFUNCTION("GOOGLETRANSLATE(A1367, ""en"", ""mt"")"),"X'jista 'jiġi prodott permezz ta' elettroliżi ta 'ilma molekulari?")</f>
        <v>X'jista 'jiġi prodott permezz ta' elettroliżi ta 'ilma molekulari?</v>
      </c>
    </row>
    <row r="1368" ht="15.75" customHeight="1">
      <c r="A1368" s="2" t="s">
        <v>1368</v>
      </c>
      <c r="B1368" s="2" t="str">
        <f>IFERROR(__xludf.DUMMYFUNCTION("GOOGLETRANSLATE(A1368, ""en"", ""mt"")"),"Kif kien jemmen li l-art kienet iffurmata fuq Fielding H. Garrison?")</f>
        <v>Kif kien jemmen li l-art kienet iffurmata fuq Fielding H. Garrison?</v>
      </c>
    </row>
    <row r="1369" ht="15.75" customHeight="1">
      <c r="A1369" s="2" t="s">
        <v>1369</v>
      </c>
      <c r="B1369" s="2" t="str">
        <f>IFERROR(__xludf.DUMMYFUNCTION("GOOGLETRANSLATE(A1369, ""en"", ""mt"")"),"Għal xiex jużaw it-tribujiet Google Earth u GPS?")</f>
        <v>Għal xiex jużaw it-tribujiet Google Earth u GPS?</v>
      </c>
    </row>
    <row r="1370" ht="15.75" customHeight="1">
      <c r="A1370" s="2" t="s">
        <v>1370</v>
      </c>
      <c r="B1370" s="2" t="str">
        <f>IFERROR(__xludf.DUMMYFUNCTION("GOOGLETRANSLATE(A1370, ""en"", ""mt"")"),"Liema avveniment ġara 66 miljun sena ilu?")</f>
        <v>Liema avveniment ġara 66 miljun sena ilu?</v>
      </c>
    </row>
    <row r="1371" ht="15.75" customHeight="1">
      <c r="A1371" s="2" t="s">
        <v>1371</v>
      </c>
      <c r="B1371" s="2" t="str">
        <f>IFERROR(__xludf.DUMMYFUNCTION("GOOGLETRANSLATE(A1371, ""en"", ""mt"")"),"It-trattati japplikaw malli jidħlu fis-seħħ, sakemm ma jingħadx mod ieħor")</f>
        <v>It-trattati japplikaw malli jidħlu fis-seħħ, sakemm ma jingħadx mod ieħor</v>
      </c>
    </row>
    <row r="1372" ht="15.75" customHeight="1">
      <c r="A1372" s="2" t="s">
        <v>1372</v>
      </c>
      <c r="B1372" s="2" t="str">
        <f>IFERROR(__xludf.DUMMYFUNCTION("GOOGLETRANSLATE(A1372, ""en"", ""mt"")"),"Fejn tinsab iż-żona medika ta 'Longwood?")</f>
        <v>Fejn tinsab iż-żona medika ta 'Longwood?</v>
      </c>
    </row>
    <row r="1373" ht="15.75" customHeight="1">
      <c r="A1373" s="2" t="s">
        <v>1373</v>
      </c>
      <c r="B1373" s="2" t="str">
        <f>IFERROR(__xludf.DUMMYFUNCTION("GOOGLETRANSLATE(A1373, ""en"", ""mt"")"),"Il-kwistjonijiet kollha li mhumiex riservati speċifikament huma awtomatikament devoluti għall-Parlament Skoċċiż")</f>
        <v>Il-kwistjonijiet kollha li mhumiex riservati speċifikament huma awtomatikament devoluti għall-Parlament Skoċċiż</v>
      </c>
    </row>
    <row r="1374" ht="15.75" customHeight="1">
      <c r="A1374" s="2" t="s">
        <v>1374</v>
      </c>
      <c r="B1374" s="2" t="str">
        <f>IFERROR(__xludf.DUMMYFUNCTION("GOOGLETRANSLATE(A1374, ""en"", ""mt"")"),"X'inhi l-iktar forma komuni ta 'arti Norman fil-knejjes?")</f>
        <v>X'inhi l-iktar forma komuni ta 'arti Norman fil-knejjes?</v>
      </c>
    </row>
    <row r="1375" ht="15.75" customHeight="1">
      <c r="A1375" s="2" t="s">
        <v>1375</v>
      </c>
      <c r="B1375" s="2" t="str">
        <f>IFERROR(__xludf.DUMMYFUNCTION("GOOGLETRANSLATE(A1375, ""en"", ""mt"")"),"Kolonjali")</f>
        <v>Kolonjali</v>
      </c>
    </row>
    <row r="1376" ht="15.75" customHeight="1">
      <c r="A1376" s="2" t="s">
        <v>1376</v>
      </c>
      <c r="B1376" s="2" t="str">
        <f>IFERROR(__xludf.DUMMYFUNCTION("GOOGLETRANSLATE(A1376, ""en"", ""mt"")"),"1")</f>
        <v>1</v>
      </c>
    </row>
    <row r="1377" ht="15.75" customHeight="1">
      <c r="A1377" s="2" t="s">
        <v>1377</v>
      </c>
      <c r="B1377" s="2" t="str">
        <f>IFERROR(__xludf.DUMMYFUNCTION("GOOGLETRANSLATE(A1377, ""en"", ""mt"")"),"Il-prinċipju tas-suċċessjoni faunali huwa bbażat fuq id-dehra tal-fossili fil-blat sedimentarji. Hekk kif jeżistu organiżmi fl-istess perjodu ta 'żmien madwar id-dinja, il-preżenza tagħhom jew (xi kultant) assenza tista' tintuża biex tipprovdi età relatti"&amp;"va tal-formazzjonijiet li fihom jinstabu. Ibbażat fuq prinċipji stipulati minn William Smith kważi mitt sena qabel il-pubblikazzjoni tat-teorija ta 'Charles Darwin dwar l-evoluzzjoni, il-prinċipji ta' suċċessjoni ġew żviluppati indipendentement mill-ħsieb"&amp;" evoluzzjonarju. Il-prinċipju jsir pjuttost kumpless, madankollu, minħabba l-inċertezzi tal-fossilizzazzjoni, il-lokalizzazzjoni ta 'tipi ta' fossili minħabba bidliet laterali fl-abitat (faces jinbidlu fl-istrati sedimentarji), u li mhux il-fossili kollha"&amp;" jistgħu jinstabu globalment fl-istess ħin.")</f>
        <v>Il-prinċipju tas-suċċessjoni faunali huwa bbażat fuq id-dehra tal-fossili fil-blat sedimentarji. Hekk kif jeżistu organiżmi fl-istess perjodu ta 'żmien madwar id-dinja, il-preżenza tagħhom jew (xi kultant) assenza tista' tintuża biex tipprovdi età relattiva tal-formazzjonijiet li fihom jinstabu. Ibbażat fuq prinċipji stipulati minn William Smith kważi mitt sena qabel il-pubblikazzjoni tat-teorija ta 'Charles Darwin dwar l-evoluzzjoni, il-prinċipji ta' suċċessjoni ġew żviluppati indipendentement mill-ħsieb evoluzzjonarju. Il-prinċipju jsir pjuttost kumpless, madankollu, minħabba l-inċertezzi tal-fossilizzazzjoni, il-lokalizzazzjoni ta 'tipi ta' fossili minħabba bidliet laterali fl-abitat (faces jinbidlu fl-istrati sedimentarji), u li mhux il-fossili kollha jistgħu jinstabu globalment fl-istess ħin.</v>
      </c>
    </row>
    <row r="1378" ht="15.75" customHeight="1">
      <c r="A1378" s="2" t="s">
        <v>1378</v>
      </c>
      <c r="B1378" s="2" t="str">
        <f>IFERROR(__xludf.DUMMYFUNCTION("GOOGLETRANSLATE(A1378, ""en"", ""mt"")"),"Korpi xjentifiċi oħra")</f>
        <v>Korpi xjentifiċi oħra</v>
      </c>
    </row>
    <row r="1379" ht="15.75" customHeight="1">
      <c r="A1379" s="2" t="s">
        <v>1379</v>
      </c>
      <c r="B1379" s="2" t="str">
        <f>IFERROR(__xludf.DUMMYFUNCTION("GOOGLETRANSLATE(A1379, ""en"", ""mt"")"),"X'tip ta 'pagi jirriżultaw minn impjiegi fejn hemm provvista baxxa iżda domanda għolja?")</f>
        <v>X'tip ta 'pagi jirriżultaw minn impjiegi fejn hemm provvista baxxa iżda domanda għolja?</v>
      </c>
    </row>
    <row r="1380" ht="15.75" customHeight="1">
      <c r="A1380" s="2" t="s">
        <v>1380</v>
      </c>
      <c r="B1380" s="2" t="str">
        <f>IFERROR(__xludf.DUMMYFUNCTION("GOOGLETRANSLATE(A1380, ""en"", ""mt"")"),"Liema kejl sempliċi ġew definiti minn ""fuq il-kumplessità tal-komputazzjoni tal-algoritmi""?")</f>
        <v>Liema kejl sempliċi ġew definiti minn "fuq il-kumplessità tal-komputazzjoni tal-algoritmi"?</v>
      </c>
    </row>
    <row r="1381" ht="15.75" customHeight="1">
      <c r="A1381" s="2" t="s">
        <v>1381</v>
      </c>
      <c r="B1381" s="2" t="str">
        <f>IFERROR(__xludf.DUMMYFUNCTION("GOOGLETRANSLATE(A1381, ""en"", ""mt"")"),"Rapport Annwali tal-Istatus tal-Edukazzjoni")</f>
        <v>Rapport Annwali tal-Istatus tal-Edukazzjoni</v>
      </c>
    </row>
    <row r="1382" ht="15.75" customHeight="1">
      <c r="A1382" s="2" t="s">
        <v>1382</v>
      </c>
      <c r="B1382" s="2" t="str">
        <f>IFERROR(__xludf.DUMMYFUNCTION("GOOGLETRANSLATE(A1382, ""en"", ""mt"")"),"Strutturali")</f>
        <v>Strutturali</v>
      </c>
    </row>
    <row r="1383" ht="15.75" customHeight="1">
      <c r="A1383" s="2" t="s">
        <v>1383</v>
      </c>
      <c r="B1383" s="2" t="str">
        <f>IFERROR(__xludf.DUMMYFUNCTION("GOOGLETRANSLATE(A1383, ""en"", ""mt"")"),"X'għandhom jipproduċu Bathyctena Chuni, Euplokamis u Euhamphaea veilligera biss meta jibdlu l-kulur?")</f>
        <v>X'għandhom jipproduċu Bathyctena Chuni, Euplokamis u Euhamphaea veilligera biss meta jibdlu l-kulur?</v>
      </c>
    </row>
    <row r="1384" ht="15.75" customHeight="1">
      <c r="A1384" s="2" t="s">
        <v>1384</v>
      </c>
      <c r="B1384" s="2" t="str">
        <f>IFERROR(__xludf.DUMMYFUNCTION("GOOGLETRANSLATE(A1384, ""en"", ""mt"")"),"Wieħed mill-ewwel kitbiet fuq l-Indja miktuba minn Fielding H. Garrison ipotesi xiex?")</f>
        <v>Wieħed mill-ewwel kitbiet fuq l-Indja miktuba minn Fielding H. Garrison ipotesi xiex?</v>
      </c>
    </row>
    <row r="1385" ht="15.75" customHeight="1">
      <c r="A1385" s="2" t="s">
        <v>1385</v>
      </c>
      <c r="B1385" s="2" t="str">
        <f>IFERROR(__xludf.DUMMYFUNCTION("GOOGLETRANSLATE(A1385, ""en"", ""mt"")"),"Mhux sorpriż, ir-rebħa tal-Mujahideen kontra s-Sovjetiċi fis-snin 1980 naqset milli tipproduċi xiex?")</f>
        <v>Mhux sorpriż, ir-rebħa tal-Mujahideen kontra s-Sovjetiċi fis-snin 1980 naqset milli tipproduċi xiex?</v>
      </c>
    </row>
    <row r="1386" ht="15.75" customHeight="1">
      <c r="A1386" s="2" t="s">
        <v>1386</v>
      </c>
      <c r="B1386" s="2" t="str">
        <f>IFERROR(__xludf.DUMMYFUNCTION("GOOGLETRANSLATE(A1386, ""en"", ""mt"")"),"Karta")</f>
        <v>Karta</v>
      </c>
    </row>
    <row r="1387" ht="15.75" customHeight="1">
      <c r="A1387" s="2" t="s">
        <v>1387</v>
      </c>
      <c r="B1387" s="2" t="str">
        <f>IFERROR(__xludf.DUMMYFUNCTION("GOOGLETRANSLATE(A1387, ""en"", ""mt"")"),"Kemm professuri tħaddem l-Università tat-Teknoloġija ta 'Varsavja?")</f>
        <v>Kemm professuri tħaddem l-Università tat-Teknoloġija ta 'Varsavja?</v>
      </c>
    </row>
    <row r="1388" ht="15.75" customHeight="1">
      <c r="A1388" s="2" t="s">
        <v>1388</v>
      </c>
      <c r="B1388" s="2" t="str">
        <f>IFERROR(__xludf.DUMMYFUNCTION("GOOGLETRANSLATE(A1388, ""en"", ""mt"")"),"King Sigismund III Vasa")</f>
        <v>King Sigismund III Vasa</v>
      </c>
    </row>
    <row r="1389" ht="15.75" customHeight="1">
      <c r="A1389" s="2" t="s">
        <v>1389</v>
      </c>
      <c r="B1389" s="2" t="str">
        <f>IFERROR(__xludf.DUMMYFUNCTION("GOOGLETRANSLATE(A1389, ""en"", ""mt"")"),"kwalunkwe numru naturali n&gt; 3")</f>
        <v>kwalunkwe numru naturali n&gt; 3</v>
      </c>
    </row>
    <row r="1390" ht="15.75" customHeight="1">
      <c r="A1390" s="2" t="s">
        <v>1390</v>
      </c>
      <c r="B1390" s="2" t="str">
        <f>IFERROR(__xludf.DUMMYFUNCTION("GOOGLETRANSLATE(A1390, ""en"", ""mt"")"),"Għaliex wieħed għandu jiġi eskluż sabiex tiġi ppreservata l-uniċità tat-teorema fundamentali?")</f>
        <v>Għaliex wieħed għandu jiġi eskluż sabiex tiġi ppreservata l-uniċità tat-teorema fundamentali?</v>
      </c>
    </row>
    <row r="1391" ht="15.75" customHeight="1">
      <c r="A1391" s="2" t="s">
        <v>1391</v>
      </c>
      <c r="B1391" s="2" t="str">
        <f>IFERROR(__xludf.DUMMYFUNCTION("GOOGLETRANSLATE(A1391, ""en"", ""mt"")"),"sediment")</f>
        <v>sediment</v>
      </c>
    </row>
    <row r="1392" ht="15.75" customHeight="1">
      <c r="A1392" s="2" t="s">
        <v>1392</v>
      </c>
      <c r="B1392" s="2" t="str">
        <f>IFERROR(__xludf.DUMMYFUNCTION("GOOGLETRANSLATE(A1392, ""en"", ""mt"")"),"Għaliex in-nifs ossiġnu fl-inġenju tal-ispazju mhux perikoluż għas-saħħa?")</f>
        <v>Għaliex in-nifs ossiġnu fl-inġenju tal-ispazju mhux perikoluż għas-saħħa?</v>
      </c>
    </row>
    <row r="1393" ht="15.75" customHeight="1">
      <c r="A1393" s="2" t="s">
        <v>1393</v>
      </c>
      <c r="B1393" s="2" t="str">
        <f>IFERROR(__xludf.DUMMYFUNCTION("GOOGLETRANSLATE(A1393, ""en"", ""mt"")"),"Liema membru tal-alumni jikteb ukoll l-bestseller qabel ma naqa '?")</f>
        <v>Liema membru tal-alumni jikteb ukoll l-bestseller qabel ma naqa '?</v>
      </c>
    </row>
    <row r="1394" ht="15.75" customHeight="1">
      <c r="A1394" s="2" t="s">
        <v>1394</v>
      </c>
      <c r="B1394" s="2" t="str">
        <f>IFERROR(__xludf.DUMMYFUNCTION("GOOGLETRANSLATE(A1394, ""en"", ""mt"")"),"X'jiġri aktar fil-fond fl-art fejn isseħħ deformazzjoni fraġli?")</f>
        <v>X'jiġri aktar fil-fond fl-art fejn isseħħ deformazzjoni fraġli?</v>
      </c>
    </row>
    <row r="1395" ht="15.75" customHeight="1">
      <c r="A1395" s="2" t="s">
        <v>1395</v>
      </c>
      <c r="B1395" s="2" t="str">
        <f>IFERROR(__xludf.DUMMYFUNCTION("GOOGLETRANSLATE(A1395, ""en"", ""mt"")"),"Fejn jinsabu r-ringieli tal-pettnijiet?")</f>
        <v>Fejn jinsabu r-ringieli tal-pettnijiet?</v>
      </c>
    </row>
    <row r="1396" ht="15.75" customHeight="1">
      <c r="A1396" s="2" t="s">
        <v>1396</v>
      </c>
      <c r="B1396" s="2" t="str">
        <f>IFERROR(__xludf.DUMMYFUNCTION("GOOGLETRANSLATE(A1396, ""en"", ""mt"")"),"Għaxar darbiet il-piż tagħhom stess")</f>
        <v>Għaxar darbiet il-piż tagħhom stess</v>
      </c>
    </row>
    <row r="1397" ht="15.75" customHeight="1">
      <c r="A1397" s="2" t="s">
        <v>1397</v>
      </c>
      <c r="B1397" s="2" t="str">
        <f>IFERROR(__xludf.DUMMYFUNCTION("GOOGLETRANSLATE(A1397, ""en"", ""mt"")"),"Wirt Dinji tal-UNESCO")</f>
        <v>Wirt Dinji tal-UNESCO</v>
      </c>
    </row>
    <row r="1398" ht="15.75" customHeight="1">
      <c r="A1398" s="2" t="s">
        <v>1398</v>
      </c>
      <c r="B1398" s="2" t="str">
        <f>IFERROR(__xludf.DUMMYFUNCTION("GOOGLETRANSLATE(A1398, ""en"", ""mt"")"),"75,000")</f>
        <v>75,000</v>
      </c>
    </row>
    <row r="1399" ht="15.75" customHeight="1">
      <c r="A1399" s="2" t="s">
        <v>1399</v>
      </c>
      <c r="B1399" s="2" t="str">
        <f>IFERROR(__xludf.DUMMYFUNCTION("GOOGLETRANSLATE(A1399, ""en"", ""mt"")"),"ambigwu")</f>
        <v>ambigwu</v>
      </c>
    </row>
    <row r="1400" ht="15.75" customHeight="1">
      <c r="A1400" s="2" t="s">
        <v>1400</v>
      </c>
      <c r="B1400" s="2" t="str">
        <f>IFERROR(__xludf.DUMMYFUNCTION("GOOGLETRANSLATE(A1400, ""en"", ""mt"")"),"X'inhu isem ieħor għal Lake Constance?")</f>
        <v>X'inhu isem ieħor għal Lake Constance?</v>
      </c>
    </row>
    <row r="1401" ht="15.75" customHeight="1">
      <c r="A1401" s="2" t="s">
        <v>1401</v>
      </c>
      <c r="B1401" s="2" t="str">
        <f>IFERROR(__xludf.DUMMYFUNCTION("GOOGLETRANSLATE(A1401, ""en"", ""mt"")"),"Kotba antiki bir-riċetta u drogi antiki")</f>
        <v>Kotba antiki bir-riċetta u drogi antiki</v>
      </c>
    </row>
    <row r="1402" ht="15.75" customHeight="1">
      <c r="A1402" s="2" t="s">
        <v>1402</v>
      </c>
      <c r="B1402" s="2" t="str">
        <f>IFERROR(__xludf.DUMMYFUNCTION("GOOGLETRANSLATE(A1402, ""en"", ""mt"")"),"X'inhuma l-inqas mediċini anti-infjammatorji qawwija?")</f>
        <v>X'inhuma l-inqas mediċini anti-infjammatorji qawwija?</v>
      </c>
    </row>
    <row r="1403" ht="15.75" customHeight="1">
      <c r="A1403" s="2" t="s">
        <v>1403</v>
      </c>
      <c r="B1403" s="2" t="str">
        <f>IFERROR(__xludf.DUMMYFUNCTION("GOOGLETRANSLATE(A1403, ""en"", ""mt"")"),"Konsorzju tan-Netwerking tal-Kompjuter tal-Istati Uniti mhux għall-profitt")</f>
        <v>Konsorzju tan-Netwerking tal-Kompjuter tal-Istati Uniti mhux għall-profitt</v>
      </c>
    </row>
    <row r="1404" ht="15.75" customHeight="1">
      <c r="A1404" s="2" t="s">
        <v>1404</v>
      </c>
      <c r="B1404" s="2" t="str">
        <f>IFERROR(__xludf.DUMMYFUNCTION("GOOGLETRANSLATE(A1404, ""en"", ""mt"")"),"Maxwell")</f>
        <v>Maxwell</v>
      </c>
    </row>
    <row r="1405" ht="15.75" customHeight="1">
      <c r="A1405" s="2" t="s">
        <v>1405</v>
      </c>
      <c r="B1405" s="2" t="str">
        <f>IFERROR(__xludf.DUMMYFUNCTION("GOOGLETRANSLATE(A1405, ""en"", ""mt"")"),"Liema Eġitologu kien ukoll apparti mill-fakultà tal-università?")</f>
        <v>Liema Eġitologu kien ukoll apparti mill-fakultà tal-università?</v>
      </c>
    </row>
    <row r="1406" ht="15.75" customHeight="1">
      <c r="A1406" s="2" t="s">
        <v>1406</v>
      </c>
      <c r="B1406" s="2" t="str">
        <f>IFERROR(__xludf.DUMMYFUNCTION("GOOGLETRANSLATE(A1406, ""en"", ""mt"")"),"Inugwaljanzi ekonomiċi sistematiċi")</f>
        <v>Inugwaljanzi ekonomiċi sistematiċi</v>
      </c>
    </row>
    <row r="1407" ht="15.75" customHeight="1">
      <c r="A1407" s="2" t="s">
        <v>1407</v>
      </c>
      <c r="B1407" s="2" t="str">
        <f>IFERROR(__xludf.DUMMYFUNCTION("GOOGLETRANSLATE(A1407, ""en"", ""mt"")"),"70")</f>
        <v>70</v>
      </c>
    </row>
    <row r="1408" ht="15.75" customHeight="1">
      <c r="A1408" s="2" t="s">
        <v>1408</v>
      </c>
      <c r="B1408" s="2" t="str">
        <f>IFERROR(__xludf.DUMMYFUNCTION("GOOGLETRANSLATE(A1408, ""en"", ""mt"")"),"7500 yr ilu")</f>
        <v>7500 yr ilu</v>
      </c>
    </row>
    <row r="1409" ht="15.75" customHeight="1">
      <c r="A1409" s="2" t="s">
        <v>1409</v>
      </c>
      <c r="B1409" s="2" t="str">
        <f>IFERROR(__xludf.DUMMYFUNCTION("GOOGLETRANSLATE(A1409, ""en"", ""mt"")"),"X'għandha l-kap tal-koppla tat-Tentilla?")</f>
        <v>X'għandha l-kap tal-koppla tat-Tentilla?</v>
      </c>
    </row>
    <row r="1410" ht="15.75" customHeight="1">
      <c r="A1410" s="2" t="s">
        <v>1410</v>
      </c>
      <c r="B1410" s="2" t="str">
        <f>IFERROR(__xludf.DUMMYFUNCTION("GOOGLETRANSLATE(A1410, ""en"", ""mt"")"),"X'inhu meħtieġ biex tospita popolazzjoni akbar?")</f>
        <v>X'inhu meħtieġ biex tospita popolazzjoni akbar?</v>
      </c>
    </row>
    <row r="1411" ht="15.75" customHeight="1">
      <c r="A1411" s="2" t="s">
        <v>1411</v>
      </c>
      <c r="B1411" s="2" t="str">
        <f>IFERROR(__xludf.DUMMYFUNCTION("GOOGLETRANSLATE(A1411, ""en"", ""mt"")"),"Is-Salafiżmu fl-iktar forma ħarxa tiegħu jiskoraġġixxi lis-segwaċi tiegħu biex jaraw ir-reliġjon ta ’ħaddieħor?")</f>
        <v>Is-Salafiżmu fl-iktar forma ħarxa tiegħu jiskoraġġixxi lis-segwaċi tiegħu biex jaraw ir-reliġjon ta ’ħaddieħor?</v>
      </c>
    </row>
    <row r="1412" ht="15.75" customHeight="1">
      <c r="A1412" s="2" t="s">
        <v>1412</v>
      </c>
      <c r="B1412" s="2" t="str">
        <f>IFERROR(__xludf.DUMMYFUNCTION("GOOGLETRANSLATE(A1412, ""en"", ""mt"")"),"Liema dokument ifforma l-Parlament ta 'dispożizzjonijiet ""għeruq""?")</f>
        <v>Liema dokument ifforma l-Parlament ta 'dispożizzjonijiet "għeruq"?</v>
      </c>
    </row>
    <row r="1413" ht="15.75" customHeight="1">
      <c r="A1413" s="2" t="s">
        <v>1413</v>
      </c>
      <c r="B1413" s="2" t="str">
        <f>IFERROR(__xludf.DUMMYFUNCTION("GOOGLETRANSLATE(A1413, ""en"", ""mt"")"),"Liema figura tal-awtorità hija nominata għall-iskeda u tistabbilixxi x-xogħol tal-UE?")</f>
        <v>Liema figura tal-awtorità hija nominata għall-iskeda u tistabbilixxi x-xogħol tal-UE?</v>
      </c>
    </row>
    <row r="1414" ht="15.75" customHeight="1">
      <c r="A1414" s="2" t="s">
        <v>1414</v>
      </c>
      <c r="B1414" s="2" t="str">
        <f>IFERROR(__xludf.DUMMYFUNCTION("GOOGLETRANSLATE(A1414, ""en"", ""mt"")"),"Minn Jannar 2016 f'kemm ċifri jikkonsistu l-akbar prim magħruf?")</f>
        <v>Minn Jannar 2016 f'kemm ċifri jikkonsistu l-akbar prim magħruf?</v>
      </c>
    </row>
    <row r="1415" ht="15.75" customHeight="1">
      <c r="A1415" s="2" t="s">
        <v>1415</v>
      </c>
      <c r="B1415" s="2" t="str">
        <f>IFERROR(__xludf.DUMMYFUNCTION("GOOGLETRANSLATE(A1415, ""en"", ""mt"")"),"Ħafna mistoqsijiet rigward in-numri ewlenin jibqgħu miftuħa, bħall-konġettura ta 'Goldbach (li kull numru sħiħ akbar minn 2 jistgħu jiġu espressi bħala s-somma ta' żewġ primes), u l-konġettura ġemellata primarja (li hemm infinitament ħafna pari ta 'primes"&amp;" li d-differenza tagħhom hija 2) - Tali mistoqsijiet xprunaw l-iżvilupp ta 'diversi fergħat tat-teorija tan-numri, li jiffokaw fuq aspetti analitiċi jew alġebriċi tan-numri. Il-primes jintużaw f'diversi rutini fit-teknoloġija tal-informazzjoni, bħal kript"&amp;"ografija taċ-ċavetta pubblika, li tagħmel użu minn proprjetajiet bħad-diffikultà ta 'fattur ta' numru kbir fil-fatturi ewlenin tagħhom. In-numri ewlenin iwasslu għal diversi ġeneralizzazzjonijiet f'oqsma matematiċi oħra, prinċipalment alġebra, bħal elemen"&amp;"ti ewlenin u ideali ewlenin.")</f>
        <v>Ħafna mistoqsijiet rigward in-numri ewlenin jibqgħu miftuħa, bħall-konġettura ta 'Goldbach (li kull numru sħiħ akbar minn 2 jistgħu jiġu espressi bħala s-somma ta' żewġ primes), u l-konġettura ġemellata primarja (li hemm infinitament ħafna pari ta 'primes li d-differenza tagħhom hija 2) - Tali mistoqsijiet xprunaw l-iżvilupp ta 'diversi fergħat tat-teorija tan-numri, li jiffokaw fuq aspetti analitiċi jew alġebriċi tan-numri. Il-primes jintużaw f'diversi rutini fit-teknoloġija tal-informazzjoni, bħal kriptografija taċ-ċavetta pubblika, li tagħmel użu minn proprjetajiet bħad-diffikultà ta 'fattur ta' numru kbir fil-fatturi ewlenin tagħhom. In-numri ewlenin iwasslu għal diversi ġeneralizzazzjonijiet f'oqsma matematiċi oħra, prinċipalment alġebra, bħal elementi ewlenin u ideali ewlenin.</v>
      </c>
    </row>
    <row r="1416" ht="15.75" customHeight="1">
      <c r="A1416" s="2" t="s">
        <v>1416</v>
      </c>
      <c r="B1416" s="2" t="str">
        <f>IFERROR(__xludf.DUMMYFUNCTION("GOOGLETRANSLATE(A1416, ""en"", ""mt"")"),"Min ma abercrombie ma ħax post bħala kmandant kap?")</f>
        <v>Min ma abercrombie ma ħax post bħala kmandant kap?</v>
      </c>
    </row>
    <row r="1417" ht="15.75" customHeight="1">
      <c r="A1417" s="2" t="s">
        <v>1417</v>
      </c>
      <c r="B1417" s="2" t="str">
        <f>IFERROR(__xludf.DUMMYFUNCTION("GOOGLETRANSLATE(A1417, ""en"", ""mt"")"),"Dan ippermetta n-netwerks taż-żona lokali jiġu stabbiliti ad hoc mingħajr il-ħtieġa għal router ċentralizzat jew server")</f>
        <v>Dan ippermetta n-netwerks taż-żona lokali jiġu stabbiliti ad hoc mingħajr il-ħtieġa għal router ċentralizzat jew server</v>
      </c>
    </row>
    <row r="1418" ht="15.75" customHeight="1">
      <c r="A1418" s="2" t="s">
        <v>1418</v>
      </c>
      <c r="B1418" s="2" t="str">
        <f>IFERROR(__xludf.DUMMYFUNCTION("GOOGLETRANSLATE(A1418, ""en"", ""mt"")"),"Fid-dijagramma tagħha kull partikula hija rrappreżentata bħala linja mgħawġa?")</f>
        <v>Fid-dijagramma tagħha kull partikula hija rrappreżentata bħala linja mgħawġa?</v>
      </c>
    </row>
    <row r="1419" ht="15.75" customHeight="1">
      <c r="A1419" s="2" t="s">
        <v>1419</v>
      </c>
      <c r="B1419" s="2" t="str">
        <f>IFERROR(__xludf.DUMMYFUNCTION("GOOGLETRANSLATE(A1419, ""en"", ""mt"")"),"L-4 Bejgħ u Ċentri tas-Servizz huma meqjusa bħala")</f>
        <v>L-4 Bejgħ u Ċentri tas-Servizz huma meqjusa bħala</v>
      </c>
    </row>
    <row r="1420" ht="15.75" customHeight="1">
      <c r="A1420" s="2" t="s">
        <v>1420</v>
      </c>
      <c r="B1420" s="2" t="str">
        <f>IFERROR(__xludf.DUMMYFUNCTION("GOOGLETRANSLATE(A1420, ""en"", ""mt"")"),"Michael Heckenberger")</f>
        <v>Michael Heckenberger</v>
      </c>
    </row>
    <row r="1421" ht="15.75" customHeight="1">
      <c r="A1421" s="2" t="s">
        <v>1421</v>
      </c>
      <c r="B1421" s="2" t="str">
        <f>IFERROR(__xludf.DUMMYFUNCTION("GOOGLETRANSLATE(A1421, ""en"", ""mt"")"),"X'tip ta 'impjant tal-manifattura dalwaqt qed titlef?")</f>
        <v>X'tip ta 'impjant tal-manifattura dalwaqt qed titlef?</v>
      </c>
    </row>
    <row r="1422" ht="15.75" customHeight="1">
      <c r="A1422" s="2" t="s">
        <v>1422</v>
      </c>
      <c r="B1422" s="2" t="str">
        <f>IFERROR(__xludf.DUMMYFUNCTION("GOOGLETRANSLATE(A1422, ""en"", ""mt"")"),"20 siegħa")</f>
        <v>20 siegħa</v>
      </c>
    </row>
    <row r="1423" ht="15.75" customHeight="1">
      <c r="A1423" s="2" t="s">
        <v>1423</v>
      </c>
      <c r="B1423" s="2" t="str">
        <f>IFERROR(__xludf.DUMMYFUNCTION("GOOGLETRANSLATE(A1423, ""en"", ""mt"")"),"L-effetti ta 'l-inugwaljanza li r-riċerkaturi sabu jinkludu rati ogħla ta' problemi tas-saħħa u soċjali, u rati aktar baxxi ta 'oġġetti soċjali, livell aktar baxx ta' utilità ekonomika fis-soċjetà minn riżorsi ddedikati fuq konsum high-end, u anke livell "&amp;"aktar baxx ta 'tkabbir ekonomiku meta l-kapital uman huwa traskurat għal konsum high-end. Għall-aqwa 21 pajjiż industrijalizzat, billi tingħadd lil kull persuna bl-istess mod, l-istennija tal-ħajja hija inqas f'pajjiżi aktar inugwali (r = -.907). Relazzjo"&amp;"ni simili teżisti fost l-istati tal-Istati Uniti (r = -.620).")</f>
        <v>L-effetti ta 'l-inugwaljanza li r-riċerkaturi sabu jinkludu rati ogħla ta' problemi tas-saħħa u soċjali, u rati aktar baxxi ta 'oġġetti soċjali, livell aktar baxx ta' utilità ekonomika fis-soċjetà minn riżorsi ddedikati fuq konsum high-end, u anke livell aktar baxx ta 'tkabbir ekonomiku meta l-kapital uman huwa traskurat għal konsum high-end. Għall-aqwa 21 pajjiż industrijalizzat, billi tingħadd lil kull persuna bl-istess mod, l-istennija tal-ħajja hija inqas f'pajjiżi aktar inugwali (r = -.907). Relazzjoni simili teżisti fost l-istati tal-Istati Uniti (r = -.620).</v>
      </c>
    </row>
    <row r="1424" ht="15.75" customHeight="1">
      <c r="A1424" s="2" t="s">
        <v>1424</v>
      </c>
      <c r="B1424" s="2" t="str">
        <f>IFERROR(__xludf.DUMMYFUNCTION("GOOGLETRANSLATE(A1424, ""en"", ""mt"")"),"Min kien hemm tilwim bejn meta l-Kalifornja ddeċidiet il-Messiku?")</f>
        <v>Min kien hemm tilwim bejn meta l-Kalifornja ddeċidiet il-Messiku?</v>
      </c>
    </row>
    <row r="1425" ht="15.75" customHeight="1">
      <c r="A1425" s="2" t="s">
        <v>1425</v>
      </c>
      <c r="B1425" s="2" t="str">
        <f>IFERROR(__xludf.DUMMYFUNCTION("GOOGLETRANSLATE(A1425, ""en"", ""mt"")"),"X’jagħtu ċ-ċidippids biex jaqbdu l-priża tagħhom?")</f>
        <v>X’jagħtu ċ-ċidippids biex jaqbdu l-priża tagħhom?</v>
      </c>
    </row>
    <row r="1426" ht="15.75" customHeight="1">
      <c r="A1426" s="2" t="s">
        <v>1426</v>
      </c>
      <c r="B1426" s="2" t="str">
        <f>IFERROR(__xludf.DUMMYFUNCTION("GOOGLETRANSLATE(A1426, ""en"", ""mt"")"),"Omm qed tiddikjara ħażin li qed tgħix waħedha")</f>
        <v>Omm qed tiddikjara ħażin li qed tgħix waħedha</v>
      </c>
    </row>
    <row r="1427" ht="15.75" customHeight="1">
      <c r="A1427" s="2" t="s">
        <v>1427</v>
      </c>
      <c r="B1427" s="2" t="str">
        <f>IFERROR(__xludf.DUMMYFUNCTION("GOOGLETRANSLATE(A1427, ""en"", ""mt"")")," Meta r-Repubblikani Franċiżi reġgħu bnew l-imperu Ingliż?")</f>
        <v> Meta r-Repubblikani Franċiżi reġgħu bnew l-imperu Ingliż?</v>
      </c>
    </row>
    <row r="1428" ht="15.75" customHeight="1">
      <c r="A1428" s="2" t="s">
        <v>1428</v>
      </c>
      <c r="B1428" s="2" t="str">
        <f>IFERROR(__xludf.DUMMYFUNCTION("GOOGLETRANSLATE(A1428, ""en"", ""mt"")"),"kburi bih")</f>
        <v>kburi bih</v>
      </c>
    </row>
    <row r="1429" ht="15.75" customHeight="1">
      <c r="A1429" s="2" t="s">
        <v>1429</v>
      </c>
      <c r="B1429" s="2" t="str">
        <f>IFERROR(__xludf.DUMMYFUNCTION("GOOGLETRANSLATE(A1429, ""en"", ""mt"")"),"l-aktar sempliċi")</f>
        <v>l-aktar sempliċi</v>
      </c>
    </row>
    <row r="1430" ht="15.75" customHeight="1">
      <c r="A1430" s="2" t="s">
        <v>1430</v>
      </c>
      <c r="B1430" s="2" t="str">
        <f>IFERROR(__xludf.DUMMYFUNCTION("GOOGLETRANSLATE(A1430, ""en"", ""mt"")"),"X'kien qed jiżdied malajr mill-Interstate 5?")</f>
        <v>X'kien qed jiżdied malajr mill-Interstate 5?</v>
      </c>
    </row>
    <row r="1431" ht="15.75" customHeight="1">
      <c r="A1431" s="2" t="s">
        <v>1431</v>
      </c>
      <c r="B1431" s="2" t="str">
        <f>IFERROR(__xludf.DUMMYFUNCTION("GOOGLETRANSLATE(A1431, ""en"", ""mt"")"),"Minn xiex issir il-Mace Parlamentari?")</f>
        <v>Minn xiex issir il-Mace Parlamentari?</v>
      </c>
    </row>
    <row r="1432" ht="15.75" customHeight="1">
      <c r="A1432" s="2" t="s">
        <v>1432</v>
      </c>
      <c r="B1432" s="2" t="str">
        <f>IFERROR(__xludf.DUMMYFUNCTION("GOOGLETRANSLATE(A1432, ""en"", ""mt"")"),"spiża għolja tal-mediċini")</f>
        <v>spiża għolja tal-mediċini</v>
      </c>
    </row>
    <row r="1433" ht="15.75" customHeight="1">
      <c r="A1433" s="2" t="s">
        <v>1433</v>
      </c>
      <c r="B1433" s="2" t="str">
        <f>IFERROR(__xludf.DUMMYFUNCTION("GOOGLETRANSLATE(A1433, ""en"", ""mt"")"),"F'liema sena waslu l-ewwel Huguenots fil-kolonji Ingliżi?")</f>
        <v>F'liema sena waslu l-ewwel Huguenots fil-kolonji Ingliżi?</v>
      </c>
    </row>
    <row r="1434" ht="15.75" customHeight="1">
      <c r="A1434" s="2" t="s">
        <v>1434</v>
      </c>
      <c r="B1434" s="2" t="str">
        <f>IFERROR(__xludf.DUMMYFUNCTION("GOOGLETRANSLATE(A1434, ""en"", ""mt"")"),"l-aktar sempliċi")</f>
        <v>l-aktar sempliċi</v>
      </c>
    </row>
    <row r="1435" ht="15.75" customHeight="1">
      <c r="A1435" s="2" t="s">
        <v>1435</v>
      </c>
      <c r="B1435" s="2" t="str">
        <f>IFERROR(__xludf.DUMMYFUNCTION("GOOGLETRANSLATE(A1435, ""en"", ""mt"")"),"3–2.7 biljun sena ilu")</f>
        <v>3–2.7 biljun sena ilu</v>
      </c>
    </row>
    <row r="1436" ht="15.75" customHeight="1">
      <c r="A1436" s="2" t="s">
        <v>1436</v>
      </c>
      <c r="B1436" s="2" t="str">
        <f>IFERROR(__xludf.DUMMYFUNCTION("GOOGLETRANSLATE(A1436, ""en"", ""mt"")"),"Għal liema raġunijiet hija liġi meqjusa bħala morali?")</f>
        <v>Għal liema raġunijiet hija liġi meqjusa bħala morali?</v>
      </c>
    </row>
    <row r="1437" ht="15.75" customHeight="1">
      <c r="A1437" s="2" t="s">
        <v>1437</v>
      </c>
      <c r="B1437" s="2" t="str">
        <f>IFERROR(__xludf.DUMMYFUNCTION("GOOGLETRANSLATE(A1437, ""en"", ""mt"")"),"Kemm-il prinċipju ġenerali tiddikjara l-Karta Soċjali?")</f>
        <v>Kemm-il prinċipju ġenerali tiddikjara l-Karta Soċjali?</v>
      </c>
    </row>
    <row r="1438" ht="15.75" customHeight="1">
      <c r="A1438" s="2" t="s">
        <v>1438</v>
      </c>
      <c r="B1438" s="2" t="str">
        <f>IFERROR(__xludf.DUMMYFUNCTION("GOOGLETRANSLATE(A1438, ""en"", ""mt"")"),"Kampanji fuq il-Lag Ontario, u pperikola l-Garrison Oswego")</f>
        <v>Kampanji fuq il-Lag Ontario, u pperikola l-Garrison Oswego</v>
      </c>
    </row>
    <row r="1439" ht="15.75" customHeight="1">
      <c r="A1439" s="2" t="s">
        <v>1439</v>
      </c>
      <c r="B1439" s="2" t="str">
        <f>IFERROR(__xludf.DUMMYFUNCTION("GOOGLETRANSLATE(A1439, ""en"", ""mt"")"),"Minn liema belt Franċiża kienet Jacques Lefevre?")</f>
        <v>Minn liema belt Franċiża kienet Jacques Lefevre?</v>
      </c>
    </row>
    <row r="1440" ht="15.75" customHeight="1">
      <c r="A1440" s="2" t="s">
        <v>1440</v>
      </c>
      <c r="B1440" s="2" t="str">
        <f>IFERROR(__xludf.DUMMYFUNCTION("GOOGLETRANSLATE(A1440, ""en"", ""mt"")"),"X'inhuma xi sorsi supplimentari tal-liġi tal-Unjoni Amerikana?")</f>
        <v>X'inhuma xi sorsi supplimentari tal-liġi tal-Unjoni Amerikana?</v>
      </c>
    </row>
    <row r="1441" ht="15.75" customHeight="1">
      <c r="A1441" s="2" t="s">
        <v>1441</v>
      </c>
      <c r="B1441" s="2" t="str">
        <f>IFERROR(__xludf.DUMMYFUNCTION("GOOGLETRANSLATE(A1441, ""en"", ""mt"")"),"L-Uragan Dora kkawża minuri xiex?")</f>
        <v>L-Uragan Dora kkawża minuri xiex?</v>
      </c>
    </row>
    <row r="1442" ht="15.75" customHeight="1">
      <c r="A1442" s="2" t="s">
        <v>1442</v>
      </c>
      <c r="B1442" s="2" t="str">
        <f>IFERROR(__xludf.DUMMYFUNCTION("GOOGLETRANSLATE(A1442, ""en"", ""mt"")"),"Liema dibattiti huma magħluqa għall-pubbliku?")</f>
        <v>Liema dibattiti huma magħluqa għall-pubbliku?</v>
      </c>
    </row>
    <row r="1443" ht="15.75" customHeight="1">
      <c r="A1443" s="2" t="s">
        <v>1443</v>
      </c>
      <c r="B1443" s="2" t="str">
        <f>IFERROR(__xludf.DUMMYFUNCTION("GOOGLETRANSLATE(A1443, ""en"", ""mt"")"),"Il-prezz taż-żejt normalment huwa komodità stabbli sa meta?")</f>
        <v>Il-prezz taż-żejt normalment huwa komodità stabbli sa meta?</v>
      </c>
    </row>
    <row r="1444" ht="15.75" customHeight="1">
      <c r="A1444" s="2" t="s">
        <v>1444</v>
      </c>
      <c r="B1444" s="2" t="str">
        <f>IFERROR(__xludf.DUMMYFUNCTION("GOOGLETRANSLATE(A1444, ""en"", ""mt"")"),"biddel b'mod sinifikanti t-trattati eżistenti")</f>
        <v>biddel b'mod sinifikanti t-trattati eżistenti</v>
      </c>
    </row>
    <row r="1445" ht="15.75" customHeight="1">
      <c r="A1445" s="2" t="s">
        <v>1445</v>
      </c>
      <c r="B1445" s="2" t="str">
        <f>IFERROR(__xludf.DUMMYFUNCTION("GOOGLETRANSLATE(A1445, ""en"", ""mt"")"),"Braddock (ma 'George Washington")</f>
        <v>Braddock (ma 'George Washington</v>
      </c>
    </row>
    <row r="1446" ht="15.75" customHeight="1">
      <c r="A1446" s="2" t="s">
        <v>1446</v>
      </c>
      <c r="B1446" s="2" t="str">
        <f>IFERROR(__xludf.DUMMYFUNCTION("GOOGLETRANSLATE(A1446, ""en"", ""mt"")"),"Kwistjonijiet ittrattati f'Westminster mhumiex dawk li huma kapaċi jittrattaw?")</f>
        <v>Kwistjonijiet ittrattati f'Westminster mhumiex dawk li huma kapaċi jittrattaw?</v>
      </c>
    </row>
    <row r="1447" ht="15.75" customHeight="1">
      <c r="A1447" s="2" t="s">
        <v>1447</v>
      </c>
      <c r="B1447" s="2" t="str">
        <f>IFERROR(__xludf.DUMMYFUNCTION("GOOGLETRANSLATE(A1447, ""en"", ""mt"")"),"Liema persentaġġ ta 'nies mietu bil-mewt l-Iswed fl-Asja Ċentrali?")</f>
        <v>Liema persentaġġ ta 'nies mietu bil-mewt l-Iswed fl-Asja Ċentrali?</v>
      </c>
    </row>
    <row r="1448" ht="15.75" customHeight="1">
      <c r="A1448" s="2" t="s">
        <v>1448</v>
      </c>
      <c r="B1448" s="2" t="str">
        <f>IFERROR(__xludf.DUMMYFUNCTION("GOOGLETRANSLATE(A1448, ""en"", ""mt"")"),"Ħadd ma rnexxielu")</f>
        <v>Ħadd ma rnexxielu</v>
      </c>
    </row>
    <row r="1449" ht="15.75" customHeight="1">
      <c r="A1449" s="2" t="s">
        <v>1449</v>
      </c>
      <c r="B1449" s="2" t="str">
        <f>IFERROR(__xludf.DUMMYFUNCTION("GOOGLETRANSLATE(A1449, ""en"", ""mt"")"),"Fort Presque Isle")</f>
        <v>Fort Presque Isle</v>
      </c>
    </row>
    <row r="1450" ht="15.75" customHeight="1">
      <c r="A1450" s="2" t="s">
        <v>1450</v>
      </c>
      <c r="B1450" s="2" t="str">
        <f>IFERROR(__xludf.DUMMYFUNCTION("GOOGLETRANSLATE(A1450, ""en"", ""mt"")"),"X'inhuma l-peptidi pproċessati?")</f>
        <v>X'inhuma l-peptidi pproċessati?</v>
      </c>
    </row>
    <row r="1451" ht="15.75" customHeight="1">
      <c r="A1451" s="2" t="s">
        <v>1451</v>
      </c>
      <c r="B1451" s="2" t="str">
        <f>IFERROR(__xludf.DUMMYFUNCTION("GOOGLETRANSLATE(A1451, ""en"", ""mt"")"),"L-Istati Uniti bikrija esprimew l-oppożizzjoni tagħha għall-imperjalizmu, għall-inqas f'forma distinta mid-destin manifest tagħha stess, permezz ta 'politiki bħad-duttrina Monroe. Madankollu, li tibda fl-aħħar tas-seklu 19 u kmieni, politiki bħall-interve"&amp;"ntiżmu ta 'Theodore Roosevelt fl-Amerika Ċentrali u l-missjoni ta' Woodrow Wilson li ""jagħmlu d-dinja sikura għad-demokrazija"" biddlu dan kollu. Ħafna drabi kienu appoġġjati mill-forza militari, iżda aktar spiss kienu affettwati minn wara l-kwinti. Dan "&amp;"huwa konsistenti mal-kunċett ġenerali ta 'eġemonija u imperium ta' imperi storiċi. Fl-1898, l-Amerikani li opponew l-imperjalizmu ħolqu l-kampjonat anti-imperialist biex jopponu l-annessjoni tal-Istati Uniti tal-Filippini u Kuba. Sena wara, faqqgħet gwerr"&amp;"a fil-Filippini li kkawżat negozju, xogħol u mexxejja tal-gvern fl-Istati Uniti biex jikkundannaw l-okkupazzjoni tal-Amerika fil-Filippini billi ddenunzjawhom ukoll talli kkawżaw l-imwiet ta 'ħafna Filippini. Il-politika barranija Amerikana ġiet iddenunzj"&amp;"ata bħala ""racket"" minn Smedley Butler, ġenerali Amerikan. Huwa qal, ""Meta nħares lura fuqu, jista 'jkolli tajt lil Al Capone ftit ħjiel. L-aħjar li seta' jagħmel kien li jopera r-racket tiegħu fi tliet distretti. Jiena operajt fuq tliet kontinenti"".")</f>
        <v>L-Istati Uniti bikrija esprimew l-oppożizzjoni tagħha għall-imperjalizmu, għall-inqas f'forma distinta mid-destin manifest tagħha stess, permezz ta 'politiki bħad-duttrina Monroe. Madankollu, li tibda fl-aħħar tas-seklu 19 u kmieni, politiki bħall-interventiżmu ta 'Theodore Roosevelt fl-Amerika Ċentrali u l-missjoni ta' Woodrow Wilson li "jagħmlu d-dinja sikura għad-demokrazija" biddlu dan kollu. Ħafna drabi kienu appoġġjati mill-forza militari, iżda aktar spiss kienu affettwati minn wara l-kwinti. Dan huwa konsistenti mal-kunċett ġenerali ta 'eġemonija u imperium ta' imperi storiċi. Fl-1898, l-Amerikani li opponew l-imperjalizmu ħolqu l-kampjonat anti-imperialist biex jopponu l-annessjoni tal-Istati Uniti tal-Filippini u Kuba. Sena wara, faqqgħet gwerra fil-Filippini li kkawżat negozju, xogħol u mexxejja tal-gvern fl-Istati Uniti biex jikkundannaw l-okkupazzjoni tal-Amerika fil-Filippini billi ddenunzjawhom ukoll talli kkawżaw l-imwiet ta 'ħafna Filippini. Il-politika barranija Amerikana ġiet iddenunzjata bħala "racket" minn Smedley Butler, ġenerali Amerikan. Huwa qal, "Meta nħares lura fuqu, jista 'jkolli tajt lil Al Capone ftit ħjiel. L-aħjar li seta' jagħmel kien li jopera r-racket tiegħu fi tliet distretti. Jiena operajt fuq tliet kontinenti".</v>
      </c>
    </row>
    <row r="1452" ht="15.75" customHeight="1">
      <c r="A1452" s="2" t="s">
        <v>1452</v>
      </c>
      <c r="B1452" s="2" t="str">
        <f>IFERROR(__xludf.DUMMYFUNCTION("GOOGLETRANSLATE(A1452, ""en"", ""mt"")"),"Liema vapuri, barra minn vapuri tal-gwerra, tipikament meħtieġa magni ta 'espansjoni?")</f>
        <v>Liema vapuri, barra minn vapuri tal-gwerra, tipikament meħtieġa magni ta 'espansjoni?</v>
      </c>
    </row>
    <row r="1453" ht="15.75" customHeight="1">
      <c r="A1453" s="2" t="s">
        <v>1453</v>
      </c>
      <c r="B1453" s="2" t="str">
        <f>IFERROR(__xludf.DUMMYFUNCTION("GOOGLETRANSLATE(A1453, ""en"", ""mt"")"),"Il-bini huwa lest biex jokkupa.")</f>
        <v>Il-bini huwa lest biex jokkupa.</v>
      </c>
    </row>
    <row r="1454" ht="15.75" customHeight="1">
      <c r="A1454" s="2" t="s">
        <v>1454</v>
      </c>
      <c r="B1454" s="2" t="str">
        <f>IFERROR(__xludf.DUMMYFUNCTION("GOOGLETRANSLATE(A1454, ""en"", ""mt"")"),"Benefiċċji ta 'netwerking estiżi għenu lil dawk li ma setgħux jaqbdu ma' liema pjattaforma?")</f>
        <v>Benefiċċji ta 'netwerking estiżi għenu lil dawk li ma setgħux jaqbdu ma' liema pjattaforma?</v>
      </c>
    </row>
    <row r="1455" ht="15.75" customHeight="1">
      <c r="A1455" s="2" t="s">
        <v>1455</v>
      </c>
      <c r="B1455" s="2" t="str">
        <f>IFERROR(__xludf.DUMMYFUNCTION("GOOGLETRANSLATE(A1455, ""en"", ""mt"")"),"Algoritmu għal X li jnaqqas għal C kieku nagħmlu?")</f>
        <v>Algoritmu għal X li jnaqqas għal C kieku nagħmlu?</v>
      </c>
    </row>
    <row r="1456" ht="15.75" customHeight="1">
      <c r="A1456" s="2" t="s">
        <v>1456</v>
      </c>
      <c r="B1456" s="2" t="str">
        <f>IFERROR(__xludf.DUMMYFUNCTION("GOOGLETRANSLATE(A1456, ""en"", ""mt"")"),"Muggers, Arsonists, Abbozzi ta ’Evaders, Hecklers tal-Kampanja, Militanti tal-Kampus, Dimostraturi Kontra l-Gwerra, Delinkwenti tal-Minorenni u Assassini Politiċi")</f>
        <v>Muggers, Arsonists, Abbozzi ta ’Evaders, Hecklers tal-Kampanja, Militanti tal-Kampus, Dimostraturi Kontra l-Gwerra, Delinkwenti tal-Minorenni u Assassini Politiċi</v>
      </c>
    </row>
    <row r="1457" ht="15.75" customHeight="1">
      <c r="A1457" s="2" t="s">
        <v>1457</v>
      </c>
      <c r="B1457" s="2" t="str">
        <f>IFERROR(__xludf.DUMMYFUNCTION("GOOGLETRANSLATE(A1457, ""en"", ""mt"")"),"Liema xjenzat politiku huwa wieħed mill-fundaturi tat-teorija tan-neoliberaliżmu?")</f>
        <v>Liema xjenzat politiku huwa wieħed mill-fundaturi tat-teorija tan-neoliberaliżmu?</v>
      </c>
    </row>
    <row r="1458" ht="15.75" customHeight="1">
      <c r="A1458" s="2" t="s">
        <v>1458</v>
      </c>
      <c r="B1458" s="2" t="str">
        <f>IFERROR(__xludf.DUMMYFUNCTION("GOOGLETRANSLATE(A1458, ""en"", ""mt"")"),"X’kienu fehmu ċ-ċittadini Ġermaniżi s-sottotest tal-kliem ta ’Ġwanni Pawlu II?")</f>
        <v>X’kienu fehmu ċ-ċittadini Ġermaniżi s-sottotest tal-kliem ta ’Ġwanni Pawlu II?</v>
      </c>
    </row>
    <row r="1459" ht="15.75" customHeight="1">
      <c r="A1459" s="2" t="s">
        <v>1459</v>
      </c>
      <c r="B1459" s="2" t="str">
        <f>IFERROR(__xludf.DUMMYFUNCTION("GOOGLETRANSLATE(A1459, ""en"", ""mt"")"),"X'għamel William Smith madwar 50 darba?")</f>
        <v>X'għamel William Smith madwar 50 darba?</v>
      </c>
    </row>
    <row r="1460" ht="15.75" customHeight="1">
      <c r="A1460" s="2" t="s">
        <v>1460</v>
      </c>
      <c r="B1460" s="2" t="str">
        <f>IFERROR(__xludf.DUMMYFUNCTION("GOOGLETRANSLATE(A1460, ""en"", ""mt"")"),"Etjopjan")</f>
        <v>Etjopjan</v>
      </c>
    </row>
    <row r="1461" ht="15.75" customHeight="1">
      <c r="A1461" s="2" t="s">
        <v>1461</v>
      </c>
      <c r="B1461" s="2" t="str">
        <f>IFERROR(__xludf.DUMMYFUNCTION("GOOGLETRANSLATE(A1461, ""en"", ""mt"")"),"Kien hemm ħafna reliġjonijiet ipprattikati matul id-dinastija Yuan, bħall-Buddiżmu, l-Islam, u l-Kristjaneżmu. L-istabbiliment tad-dinastija Yuan kien żied b'mod drammatiku n-numru ta 'Musulmani fiċ-Ċina. Madankollu, b'differenza mill-Khanates tal-Punent,"&amp;" id-dinastija Yuan qatt ma kkonvertiet għall-Iżlam. Minflok, Kublai Khan, il-fundatur tad-dinastija Yuan, iffavorixxa l-Buddiżmu, speċjalment il-varjanti tat-Tibet. Bħala riżultat, il-Buddiżmu Tibetan ġie stabbilit bħala r-reliġjon tal-istat de facto. Id-"&amp;"dipartiment tal-ogħla livell u l-aġenzija tal-gvern magħrufa bħala l-Bureau tal-Affarijiet Buddisti u Tibetani (Xuanzheng Yuan) twaqqfet f'Khanbaliq (Modern Beijing) biex tissorvelja patrijiet Buddisti fl-imperu kollu. Peress li Kublai Khan stma biss is-s"&amp;"etta Sakya tal-Buddiżmu Tibetan, reliġjonijiet oħra saru inqas importanti. Huwa u s-suċċessuri tiegħu żammew il-preċettur imperjali Sakya (dixx) fil-qorti. Qabel it-tmiem tad-dinastija Yuan, 14-il mexxej tas-setta Sakya kellhom il-kariga ta 'preċettur imp"&amp;"erjali, u b'hekk igawdu poter speċjali. Barra minn hekk, il-patroċinju Mongoljan tal-Buddiżmu rriżulta f'numru ta 'monumenti ta' arti Buddista. It-traduzzjonijiet Buddisti Mongoljani, kważi kollha mill-oriġinali tat-Tibet, bdew fuq skala kbira wara l-1300"&amp;". Ħafna Mongoli tal-klassi ta ’fuq bħall-Jalayir u n-nobbli Oronar kif ukoll l-imperaturi wkoll patronizzaw studjużi u istituzzjonijiet Confucian. Numru konsiderevoli ta 'xogħlijiet storiċi Confucian u Ċiniżi ġew tradotti fil-lingwa Mongoljana.")</f>
        <v>Kien hemm ħafna reliġjonijiet ipprattikati matul id-dinastija Yuan, bħall-Buddiżmu, l-Islam, u l-Kristjaneżmu. L-istabbiliment tad-dinastija Yuan kien żied b'mod drammatiku n-numru ta 'Musulmani fiċ-Ċina. Madankollu, b'differenza mill-Khanates tal-Punent, id-dinastija Yuan qatt ma kkonvertiet għall-Iżlam. Minflok, Kublai Khan, il-fundatur tad-dinastija Yuan, iffavorixxa l-Buddiżmu, speċjalment il-varjanti tat-Tibet. Bħala riżultat, il-Buddiżmu Tibetan ġie stabbilit bħala r-reliġjon tal-istat de facto. Id-dipartiment tal-ogħla livell u l-aġenzija tal-gvern magħrufa bħala l-Bureau tal-Affarijiet Buddisti u Tibetani (Xuanzheng Yuan) twaqqfet f'Khanbaliq (Modern Beijing) biex tissorvelja patrijiet Buddisti fl-imperu kollu. Peress li Kublai Khan stma biss is-setta Sakya tal-Buddiżmu Tibetan, reliġjonijiet oħra saru inqas importanti. Huwa u s-suċċessuri tiegħu żammew il-preċettur imperjali Sakya (dixx) fil-qorti. Qabel it-tmiem tad-dinastija Yuan, 14-il mexxej tas-setta Sakya kellhom il-kariga ta 'preċettur imperjali, u b'hekk igawdu poter speċjali. Barra minn hekk, il-patroċinju Mongoljan tal-Buddiżmu rriżulta f'numru ta 'monumenti ta' arti Buddista. It-traduzzjonijiet Buddisti Mongoljani, kważi kollha mill-oriġinali tat-Tibet, bdew fuq skala kbira wara l-1300. Ħafna Mongoli tal-klassi ta ’fuq bħall-Jalayir u n-nobbli Oronar kif ukoll l-imperaturi wkoll patronizzaw studjużi u istituzzjonijiet Confucian. Numru konsiderevoli ta 'xogħlijiet storiċi Confucian u Ċiniżi ġew tradotti fil-lingwa Mongoljana.</v>
      </c>
    </row>
    <row r="1462" ht="15.75" customHeight="1">
      <c r="A1462" s="2" t="s">
        <v>1462</v>
      </c>
      <c r="B1462" s="2" t="str">
        <f>IFERROR(__xludf.DUMMYFUNCTION("GOOGLETRANSLATE(A1462, ""en"", ""mt"")"),"X'inhi l-inqas temperatura rreġistrata fir-Rabat?")</f>
        <v>X'inhi l-inqas temperatura rreġistrata fir-Rabat?</v>
      </c>
    </row>
    <row r="1463" ht="15.75" customHeight="1">
      <c r="A1463" s="2" t="s">
        <v>1463</v>
      </c>
      <c r="B1463" s="2" t="str">
        <f>IFERROR(__xludf.DUMMYFUNCTION("GOOGLETRANSLATE(A1463, ""en"", ""mt"")"),"It-teħid ta 'kampjuni tad-dejta jappoġġja bil-qawwa li dak li baqa' fil-biċċa l-kbira intatt ??")</f>
        <v>It-teħid ta 'kampjuni tad-dejta jappoġġja bil-qawwa li dak li baqa' fil-biċċa l-kbira intatt ??</v>
      </c>
    </row>
    <row r="1464" ht="15.75" customHeight="1">
      <c r="A1464" s="2" t="s">
        <v>1464</v>
      </c>
      <c r="B1464" s="2" t="str">
        <f>IFERROR(__xludf.DUMMYFUNCTION("GOOGLETRANSLATE(A1464, ""en"", ""mt"")"),"Min mhux meħtieġ isegwi r-regoli u r-regolamenti finanzjarji?")</f>
        <v>Min mhux meħtieġ isegwi r-regoli u r-regolamenti finanzjarji?</v>
      </c>
    </row>
    <row r="1465" ht="15.75" customHeight="1">
      <c r="A1465" s="2" t="s">
        <v>1465</v>
      </c>
      <c r="B1465" s="2" t="str">
        <f>IFERROR(__xludf.DUMMYFUNCTION("GOOGLETRANSLATE(A1465, ""en"", ""mt"")"),"X'kienet ikkunsidrata bħala responsabbli għall-mewt sewda kif ukoll għall-epidemija fin-Nofsinhar taċ-Ċina?")</f>
        <v>X'kienet ikkunsidrata bħala responsabbli għall-mewt sewda kif ukoll għall-epidemija fin-Nofsinhar taċ-Ċina?</v>
      </c>
    </row>
    <row r="1466" ht="15.75" customHeight="1">
      <c r="A1466" s="2" t="s">
        <v>1466</v>
      </c>
      <c r="B1466" s="2" t="str">
        <f>IFERROR(__xludf.DUMMYFUNCTION("GOOGLETRANSLATE(A1466, ""en"", ""mt"")"),"X'jiġri man-norma meta numru jiġi mmultiplikat bi Q?")</f>
        <v>X'jiġri man-norma meta numru jiġi mmultiplikat bi Q?</v>
      </c>
    </row>
    <row r="1467" ht="15.75" customHeight="1">
      <c r="A1467" s="2" t="s">
        <v>1467</v>
      </c>
      <c r="B1467" s="2" t="str">
        <f>IFERROR(__xludf.DUMMYFUNCTION("GOOGLETRANSLATE(A1467, ""en"", ""mt"")"),"arja")</f>
        <v>arja</v>
      </c>
    </row>
    <row r="1468" ht="15.75" customHeight="1">
      <c r="A1468" s="2" t="s">
        <v>1468</v>
      </c>
      <c r="B1468" s="2" t="str">
        <f>IFERROR(__xludf.DUMMYFUNCTION("GOOGLETRANSLATE(A1468, ""en"", ""mt"")"),"Min semma l-patoġen Yersinia pestis?")</f>
        <v>Min semma l-patoġen Yersinia pestis?</v>
      </c>
    </row>
    <row r="1469" ht="15.75" customHeight="1">
      <c r="A1469" s="2" t="s">
        <v>1469</v>
      </c>
      <c r="B1469" s="2" t="str">
        <f>IFERROR(__xludf.DUMMYFUNCTION("GOOGLETRANSLATE(A1469, ""en"", ""mt"")"),"Għal xiex intużaw spazji vojta fuq mapep tas-seklu dsatax?")</f>
        <v>Għal xiex intużaw spazji vojta fuq mapep tas-seklu dsatax?</v>
      </c>
    </row>
    <row r="1470" ht="15.75" customHeight="1">
      <c r="A1470" s="2" t="s">
        <v>1470</v>
      </c>
      <c r="B1470" s="2" t="str">
        <f>IFERROR(__xludf.DUMMYFUNCTION("GOOGLETRANSLATE(A1470, ""en"", ""mt"")"),"Kemm-il sena ħadet biex is-sottosool iffriżat jisħon?")</f>
        <v>Kemm-il sena ħadet biex is-sottosool iffriżat jisħon?</v>
      </c>
    </row>
    <row r="1471" ht="15.75" customHeight="1">
      <c r="A1471" s="2" t="s">
        <v>1471</v>
      </c>
      <c r="B1471" s="2" t="str">
        <f>IFERROR(__xludf.DUMMYFUNCTION("GOOGLETRANSLATE(A1471, ""en"", ""mt"")"),"Kompożizzjoni organika tal-kapital")</f>
        <v>Kompożizzjoni organika tal-kapital</v>
      </c>
    </row>
    <row r="1472" ht="15.75" customHeight="1">
      <c r="A1472" s="2" t="s">
        <v>1472</v>
      </c>
      <c r="B1472" s="2" t="str">
        <f>IFERROR(__xludf.DUMMYFUNCTION("GOOGLETRANSLATE(A1472, ""en"", ""mt"")"),"Liema politika tat id-dominanza tal-Gran Brittanja fil-kummerċ dinji?")</f>
        <v>Liema politika tat id-dominanza tal-Gran Brittanja fil-kummerċ dinji?</v>
      </c>
    </row>
    <row r="1473" ht="15.75" customHeight="1">
      <c r="A1473" s="2" t="s">
        <v>1473</v>
      </c>
      <c r="B1473" s="2" t="str">
        <f>IFERROR(__xludf.DUMMYFUNCTION("GOOGLETRANSLATE(A1473, ""en"", ""mt"")"),"X'inhu n-numru totali ta 'professuri, għalliema u letturi f'Harvard?")</f>
        <v>X'inhu n-numru totali ta 'professuri, għalliema u letturi f'Harvard?</v>
      </c>
    </row>
    <row r="1474" ht="15.75" customHeight="1">
      <c r="A1474" s="2" t="s">
        <v>1474</v>
      </c>
      <c r="B1474" s="2" t="str">
        <f>IFERROR(__xludf.DUMMYFUNCTION("GOOGLETRANSLATE(A1474, ""en"", ""mt"")"),"Surveyor tal-Kwantità")</f>
        <v>Surveyor tal-Kwantità</v>
      </c>
    </row>
    <row r="1475" ht="15.75" customHeight="1">
      <c r="A1475" s="2" t="s">
        <v>1475</v>
      </c>
      <c r="B1475" s="2" t="str">
        <f>IFERROR(__xludf.DUMMYFUNCTION("GOOGLETRANSLATE(A1475, ""en"", ""mt"")"),"Seerhein")</f>
        <v>Seerhein</v>
      </c>
    </row>
    <row r="1476" ht="15.75" customHeight="1">
      <c r="A1476" s="2" t="s">
        <v>1476</v>
      </c>
      <c r="B1476" s="2" t="str">
        <f>IFERROR(__xludf.DUMMYFUNCTION("GOOGLETRANSLATE(A1476, ""en"", ""mt"")"),"X'kien l-isem tal-ewwel soluzzjoni Ġermaniża?")</f>
        <v>X'kien l-isem tal-ewwel soluzzjoni Ġermaniża?</v>
      </c>
    </row>
    <row r="1477" ht="15.75" customHeight="1">
      <c r="A1477" s="2" t="s">
        <v>1477</v>
      </c>
      <c r="B1477" s="2" t="str">
        <f>IFERROR(__xludf.DUMMYFUNCTION("GOOGLETRANSLATE(A1477, ""en"", ""mt"")"),"Il-Kamra tad-Dibattitu tal-Kunsill Reġjonali ta 'Strathclyde Ex-Strathclyde")</f>
        <v>Il-Kamra tad-Dibattitu tal-Kunsill Reġjonali ta 'Strathclyde Ex-Strathclyde</v>
      </c>
    </row>
    <row r="1478" ht="15.75" customHeight="1">
      <c r="A1478" s="2" t="s">
        <v>1478</v>
      </c>
      <c r="B1478" s="2" t="str">
        <f>IFERROR(__xludf.DUMMYFUNCTION("GOOGLETRANSLATE(A1478, ""en"", ""mt"")"),"Kemm Vittorjani mhumiex reliġjużi?")</f>
        <v>Kemm Vittorjani mhumiex reliġjużi?</v>
      </c>
    </row>
    <row r="1479" ht="15.75" customHeight="1">
      <c r="A1479" s="2" t="s">
        <v>1479</v>
      </c>
      <c r="B1479" s="2" t="str">
        <f>IFERROR(__xludf.DUMMYFUNCTION("GOOGLETRANSLATE(A1479, ""en"", ""mt"")"),"X'inhu l-isem tal-korp tal-ilma li jinstab lejn il-lvant?")</f>
        <v>X'inhu l-isem tal-korp tal-ilma li jinstab lejn il-lvant?</v>
      </c>
    </row>
    <row r="1480" ht="15.75" customHeight="1">
      <c r="A1480" s="2" t="s">
        <v>1480</v>
      </c>
      <c r="B1480" s="2" t="str">
        <f>IFERROR(__xludf.DUMMYFUNCTION("GOOGLETRANSLATE(A1480, ""en"", ""mt"")"),"Min kien l-ewwel president tal-Università ta ’Chicago?")</f>
        <v>Min kien l-ewwel president tal-Università ta ’Chicago?</v>
      </c>
    </row>
    <row r="1481" ht="15.75" customHeight="1">
      <c r="A1481" s="2" t="s">
        <v>1481</v>
      </c>
      <c r="B1481" s="2" t="str">
        <f>IFERROR(__xludf.DUMMYFUNCTION("GOOGLETRANSLATE(A1481, ""en"", ""mt"")"),"X'inhu P jew ġie bil-ħsara matul il-maltempata tropikali tal-2008?")</f>
        <v>X'inhu P jew ġie bil-ħsara matul il-maltempata tropikali tal-2008?</v>
      </c>
    </row>
    <row r="1482" ht="15.75" customHeight="1">
      <c r="A1482" s="2" t="s">
        <v>1482</v>
      </c>
      <c r="B1482" s="2" t="str">
        <f>IFERROR(__xludf.DUMMYFUNCTION("GOOGLETRANSLATE(A1482, ""en"", ""mt"")"),"tattiċi ta 'solidarjetà")</f>
        <v>tattiċi ta 'solidarjetà</v>
      </c>
    </row>
    <row r="1483" ht="15.75" customHeight="1">
      <c r="A1483" s="2" t="s">
        <v>1483</v>
      </c>
      <c r="B1483" s="2" t="str">
        <f>IFERROR(__xludf.DUMMYFUNCTION("GOOGLETRANSLATE(A1483, ""en"", ""mt"")"),"Moviment Iżlamista influwenzat mis-Salafiżmu u l-jihad fl-Afganistan, kif ukoll il-Fratellanza Musulmana, kien il-FIS jew il-Front Islamique de Salut (il-Front tas-Salvazzjoni Iżlamika) fl-Alġerija. Imwaqqfa bħala koalizzjoni wiesgħa Iżlamista fl-1989 kie"&amp;"net immexxija minn Abbassi Madani, u predikatur żagħżugħ Iżlamista kariżmatiku, Ali Belhadj. Meta ħa vantaġġ minn insuffiċjenza ekonomika u l-liberalizzazzjoni soċjali mhux popolari u s-sekularizzazzjoni mill-gvern tal-FLN tax-xellug-nazzjonalista, huwa u"&amp;"ża l-predikazzjoni tiegħu biex jippromwovi l-istabbiliment ta 'sistema legali wara l-liġi tax-sharia, il-programm ta' liberalizzazzjoni ekonomika u żvilupp, edukazzjoni, edukazzjoni bl-Għarbi aktar milli bil-Franċiż, u Segregazzjoni bejn is-sessi, bin-nis"&amp;"a joqogħdu d-dar biex itaffu r-rata għolja ta 'qgħad fost irġiel żgħażagħ Alġerini. L-FIS rebaħ rebħiet ta 'knis fl-elezzjonijiet lokali u kienet se tirbaħ l-elezzjonijiet nazzjonali fl-1991 meta l-votazzjoni ġiet ikkanċellata minn kolp ta' stat militari.")</f>
        <v>Moviment Iżlamista influwenzat mis-Salafiżmu u l-jihad fl-Afganistan, kif ukoll il-Fratellanza Musulmana, kien il-FIS jew il-Front Islamique de Salut (il-Front tas-Salvazzjoni Iżlamika) fl-Alġerija. Imwaqqfa bħala koalizzjoni wiesgħa Iżlamista fl-1989 kienet immexxija minn Abbassi Madani, u predikatur żagħżugħ Iżlamista kariżmatiku, Ali Belhadj. Meta ħa vantaġġ minn insuffiċjenza ekonomika u l-liberalizzazzjoni soċjali mhux popolari u s-sekularizzazzjoni mill-gvern tal-FLN tax-xellug-nazzjonalista, huwa uża l-predikazzjoni tiegħu biex jippromwovi l-istabbiliment ta 'sistema legali wara l-liġi tax-sharia, il-programm ta' liberalizzazzjoni ekonomika u żvilupp, edukazzjoni, edukazzjoni bl-Għarbi aktar milli bil-Franċiż, u Segregazzjoni bejn is-sessi, bin-nisa joqogħdu d-dar biex itaffu r-rata għolja ta 'qgħad fost irġiel żgħażagħ Alġerini. L-FIS rebaħ rebħiet ta 'knis fl-elezzjonijiet lokali u kienet se tirbaħ l-elezzjonijiet nazzjonali fl-1991 meta l-votazzjoni ġiet ikkanċellata minn kolp ta' stat militari.</v>
      </c>
    </row>
    <row r="1484" ht="15.75" customHeight="1">
      <c r="A1484" s="2" t="s">
        <v>1484</v>
      </c>
      <c r="B1484" s="2" t="str">
        <f>IFERROR(__xludf.DUMMYFUNCTION("GOOGLETRANSLATE(A1484, ""en"", ""mt"")"),"rikreattiv")</f>
        <v>rikreattiv</v>
      </c>
    </row>
    <row r="1485" ht="15.75" customHeight="1">
      <c r="A1485" s="2" t="s">
        <v>1485</v>
      </c>
      <c r="B1485" s="2" t="str">
        <f>IFERROR(__xludf.DUMMYFUNCTION("GOOGLETRANSLATE(A1485, ""en"", ""mt"")"),"1912")</f>
        <v>1912</v>
      </c>
    </row>
    <row r="1486" ht="15.75" customHeight="1">
      <c r="A1486" s="2" t="s">
        <v>1486</v>
      </c>
      <c r="B1486" s="2" t="str">
        <f>IFERROR(__xludf.DUMMYFUNCTION("GOOGLETRANSLATE(A1486, ""en"", ""mt"")"),"Kif ir-Renu jestendi l-ilma lejn in-nofsinhar?")</f>
        <v>Kif ir-Renu jestendi l-ilma lejn in-nofsinhar?</v>
      </c>
    </row>
    <row r="1487" ht="15.75" customHeight="1">
      <c r="A1487" s="2" t="s">
        <v>1487</v>
      </c>
      <c r="B1487" s="2" t="str">
        <f>IFERROR(__xludf.DUMMYFUNCTION("GOOGLETRANSLATE(A1487, ""en"", ""mt"")"),"Jan Andrzej Menich")</f>
        <v>Jan Andrzej Menich</v>
      </c>
    </row>
    <row r="1488" ht="15.75" customHeight="1">
      <c r="A1488" s="2" t="s">
        <v>1488</v>
      </c>
      <c r="B1488" s="2" t="str">
        <f>IFERROR(__xludf.DUMMYFUNCTION("GOOGLETRANSLATE(A1488, ""en"", ""mt"")"),"X'inhi l-belt ewlenija Amerikana li tinsab l-università?")</f>
        <v>X'inhi l-belt ewlenija Amerikana li tinsab l-università?</v>
      </c>
    </row>
    <row r="1489" ht="15.75" customHeight="1">
      <c r="A1489" s="2" t="s">
        <v>1489</v>
      </c>
      <c r="B1489" s="2" t="str">
        <f>IFERROR(__xludf.DUMMYFUNCTION("GOOGLETRANSLATE(A1489, ""en"", ""mt"")"),"żieda fl-aċċess għall-edukazzjoni")</f>
        <v>żieda fl-aċċess għall-edukazzjoni</v>
      </c>
    </row>
    <row r="1490" ht="15.75" customHeight="1">
      <c r="A1490" s="2" t="s">
        <v>1490</v>
      </c>
      <c r="B1490" s="2" t="str">
        <f>IFERROR(__xludf.DUMMYFUNCTION("GOOGLETRANSLATE(A1490, ""en"", ""mt"")"),"Terrorista Shia")</f>
        <v>Terrorista Shia</v>
      </c>
    </row>
    <row r="1491" ht="15.75" customHeight="1">
      <c r="A1491" s="2" t="s">
        <v>1491</v>
      </c>
      <c r="B1491" s="2" t="str">
        <f>IFERROR(__xludf.DUMMYFUNCTION("GOOGLETRANSLATE(A1491, ""en"", ""mt"")"),"Liema forza tbiddel oġġetti ta 'oġġetti ta' l-ivvjaġġar?")</f>
        <v>Liema forza tbiddel oġġetti ta 'oġġetti ta' l-ivvjaġġar?</v>
      </c>
    </row>
    <row r="1492" ht="15.75" customHeight="1">
      <c r="A1492" s="2" t="s">
        <v>1492</v>
      </c>
      <c r="B1492" s="2" t="str">
        <f>IFERROR(__xludf.DUMMYFUNCTION("GOOGLETRANSLATE(A1492, ""en"", ""mt"")"),"X'inhi l-popolazzjoni tat-tieni l-akbar belt f'Kalifornja?")</f>
        <v>X'inhi l-popolazzjoni tat-tieni l-akbar belt f'Kalifornja?</v>
      </c>
    </row>
    <row r="1493" ht="15.75" customHeight="1">
      <c r="A1493" s="2" t="s">
        <v>1493</v>
      </c>
      <c r="B1493" s="2" t="str">
        <f>IFERROR(__xludf.DUMMYFUNCTION("GOOGLETRANSLATE(A1493, ""en"", ""mt"")"),"X'inhu l-isem ta 'ġeneralizzazzjoni alġebrika waħda li l-konġettura ta' Goldbach ispirat?")</f>
        <v>X'inhu l-isem ta 'ġeneralizzazzjoni alġebrika waħda li l-konġettura ta' Goldbach ispirat?</v>
      </c>
    </row>
    <row r="1494" ht="15.75" customHeight="1">
      <c r="A1494" s="2" t="s">
        <v>1494</v>
      </c>
      <c r="B1494" s="2" t="str">
        <f>IFERROR(__xludf.DUMMYFUNCTION("GOOGLETRANSLATE(A1494, ""en"", ""mt"")"),"Għal xiex inhi l-Istati Uniti minħabba r-riċessjoni tal-2000?")</f>
        <v>Għal xiex inhi l-Istati Uniti minħabba r-riċessjoni tal-2000?</v>
      </c>
    </row>
    <row r="1495" ht="15.75" customHeight="1">
      <c r="A1495" s="2" t="s">
        <v>1495</v>
      </c>
      <c r="B1495" s="2" t="str">
        <f>IFERROR(__xludf.DUMMYFUNCTION("GOOGLETRANSLATE(A1495, ""en"", ""mt"")"),"In-nuqqasijiet tal-fiżika aristoteljana ma jiġux ikkoreġuti sa x-xogħol tas-seklu 16 li minnhom?")</f>
        <v>In-nuqqasijiet tal-fiżika aristoteljana ma jiġux ikkoreġuti sa x-xogħol tas-seklu 16 li minnhom?</v>
      </c>
    </row>
    <row r="1496" ht="15.75" customHeight="1">
      <c r="A1496" s="2" t="s">
        <v>1496</v>
      </c>
      <c r="B1496" s="2" t="str">
        <f>IFERROR(__xludf.DUMMYFUNCTION("GOOGLETRANSLATE(A1496, ""en"", ""mt"")"),"Liema aġenda fit-tul kienet l-atti ta 'artijiet Musulmani li jisirqu mill-punent?")</f>
        <v>Liema aġenda fit-tul kienet l-atti ta 'artijiet Musulmani li jisirqu mill-punent?</v>
      </c>
    </row>
    <row r="1497" ht="15.75" customHeight="1">
      <c r="A1497" s="2" t="s">
        <v>1497</v>
      </c>
      <c r="B1497" s="2" t="str">
        <f>IFERROR(__xludf.DUMMYFUNCTION("GOOGLETRANSLATE(A1497, ""en"", ""mt"")"),"X'inhuma l-iskejjel pubbliċi fir-Rabat?")</f>
        <v>X'inhuma l-iskejjel pubbliċi fir-Rabat?</v>
      </c>
    </row>
    <row r="1498" ht="15.75" customHeight="1">
      <c r="A1498" s="2" t="s">
        <v>1498</v>
      </c>
      <c r="B1498" s="2" t="str">
        <f>IFERROR(__xludf.DUMMYFUNCTION("GOOGLETRANSLATE(A1498, ""en"", ""mt"")"),"X'inhi attribwita għall-inugwaljanza tad-dħul fl-Istati Uniti?")</f>
        <v>X'inhi attribwita għall-inugwaljanza tad-dħul fl-Istati Uniti?</v>
      </c>
    </row>
    <row r="1499" ht="15.75" customHeight="1">
      <c r="A1499" s="2" t="s">
        <v>1499</v>
      </c>
      <c r="B1499" s="2" t="str">
        <f>IFERROR(__xludf.DUMMYFUNCTION("GOOGLETRANSLATE(A1499, ""en"", ""mt"")"),"Kif jitwasslu l-pakketti b'mod differenti?")</f>
        <v>Kif jitwasslu l-pakketti b'mod differenti?</v>
      </c>
    </row>
    <row r="1500" ht="15.75" customHeight="1">
      <c r="A1500" s="2" t="s">
        <v>1500</v>
      </c>
      <c r="B1500" s="2" t="str">
        <f>IFERROR(__xludf.DUMMYFUNCTION("GOOGLETRANSLATE(A1500, ""en"", ""mt"")"),"F'liema intervall huma wħud mill-ikbar primes mingħajr forma distinta skoperta?")</f>
        <v>F'liema intervall huma wħud mill-ikbar primes mingħajr forma distinta skoperta?</v>
      </c>
    </row>
    <row r="1501" ht="15.75" customHeight="1">
      <c r="A1501" s="2" t="s">
        <v>1501</v>
      </c>
      <c r="B1501" s="2" t="str">
        <f>IFERROR(__xludf.DUMMYFUNCTION("GOOGLETRANSLATE(A1501, ""en"", ""mt"")"),"sa 3 sold fil-lira")</f>
        <v>sa 3 sold fil-lira</v>
      </c>
    </row>
    <row r="1502" ht="15.75" customHeight="1">
      <c r="A1502" s="2" t="s">
        <v>1502</v>
      </c>
      <c r="B1502" s="2" t="str">
        <f>IFERROR(__xludf.DUMMYFUNCTION("GOOGLETRANSLATE(A1502, ""en"", ""mt"")"),"Hermaphrodites sekwenzjali")</f>
        <v>Hermaphrodites sekwenzjali</v>
      </c>
    </row>
    <row r="1503" ht="15.75" customHeight="1">
      <c r="A1503" s="2" t="s">
        <v>1503</v>
      </c>
      <c r="B1503" s="2" t="str">
        <f>IFERROR(__xludf.DUMMYFUNCTION("GOOGLETRANSLATE(A1503, ""en"", ""mt"")"),"Ir-Raba 'Gwerra Interkolonjali u l-Gwerra l-Kbira għall-Imperu")</f>
        <v>Ir-Raba 'Gwerra Interkolonjali u l-Gwerra l-Kbira għall-Imperu</v>
      </c>
    </row>
    <row r="1504" ht="15.75" customHeight="1">
      <c r="A1504" s="2" t="s">
        <v>1504</v>
      </c>
      <c r="B1504" s="2" t="str">
        <f>IFERROR(__xludf.DUMMYFUNCTION("GOOGLETRANSLATE(A1504, ""en"", ""mt"")"),"Kemm it-trab tas-Saħara jibqa 'fl-arja fuq l-Amażonja kull sena?")</f>
        <v>Kemm it-trab tas-Saħara jibqa 'fl-arja fuq l-Amażonja kull sena?</v>
      </c>
    </row>
    <row r="1505" ht="15.75" customHeight="1">
      <c r="A1505" s="2" t="s">
        <v>1505</v>
      </c>
      <c r="B1505" s="2" t="str">
        <f>IFERROR(__xludf.DUMMYFUNCTION("GOOGLETRANSLATE(A1505, ""en"", ""mt"")"),"Fit-28 ta 'Novermber, 1995 x'kien id-Dipartiment ta' l-Enerġija?")</f>
        <v>Fit-28 ta 'Novermber, 1995 x'kien id-Dipartiment ta' l-Enerġija?</v>
      </c>
    </row>
    <row r="1506" ht="15.75" customHeight="1">
      <c r="A1506" s="2" t="s">
        <v>1506</v>
      </c>
      <c r="B1506" s="2" t="str">
        <f>IFERROR(__xludf.DUMMYFUNCTION("GOOGLETRANSLATE(A1506, ""en"", ""mt"")"),"Emendi Blaine")</f>
        <v>Emendi Blaine</v>
      </c>
    </row>
    <row r="1507" ht="15.75" customHeight="1">
      <c r="A1507" s="2" t="s">
        <v>1507</v>
      </c>
      <c r="B1507" s="2" t="str">
        <f>IFERROR(__xludf.DUMMYFUNCTION("GOOGLETRANSLATE(A1507, ""en"", ""mt"")"),"Iż-żewġ klabbs tal-AAA qasmu l-istat f'Kalifornja tat-Tramuntana u tan-Nofsinhar għall-kuntrarju ta 'liema punt ta' vista?")</f>
        <v>Iż-żewġ klabbs tal-AAA qasmu l-istat f'Kalifornja tat-Tramuntana u tan-Nofsinhar għall-kuntrarju ta 'liema punt ta' vista?</v>
      </c>
    </row>
    <row r="1508" ht="15.75" customHeight="1">
      <c r="A1508" s="2" t="s">
        <v>1508</v>
      </c>
      <c r="B1508" s="2" t="str">
        <f>IFERROR(__xludf.DUMMYFUNCTION("GOOGLETRANSLATE(A1508, ""en"", ""mt"")"),"ħdax")</f>
        <v>ħdax</v>
      </c>
    </row>
    <row r="1509" ht="15.75" customHeight="1">
      <c r="A1509" s="2" t="s">
        <v>1509</v>
      </c>
      <c r="B1509" s="2" t="str">
        <f>IFERROR(__xludf.DUMMYFUNCTION("GOOGLETRANSLATE(A1509, ""en"", ""mt"")"),"Westchester")</f>
        <v>Westchester</v>
      </c>
    </row>
    <row r="1510" ht="15.75" customHeight="1">
      <c r="A1510" s="2" t="s">
        <v>1510</v>
      </c>
      <c r="B1510" s="2" t="str">
        <f>IFERROR(__xludf.DUMMYFUNCTION("GOOGLETRANSLATE(A1510, ""en"", ""mt"")"),"Min kien l-għarajjes ta 'Richard?")</f>
        <v>Min kien l-għarajjes ta 'Richard?</v>
      </c>
    </row>
    <row r="1511" ht="15.75" customHeight="1">
      <c r="A1511" s="2" t="s">
        <v>1511</v>
      </c>
      <c r="B1511" s="2" t="str">
        <f>IFERROR(__xludf.DUMMYFUNCTION("GOOGLETRANSLATE(A1511, ""en"", ""mt"")"),"aktar minn 900,000")</f>
        <v>aktar minn 900,000</v>
      </c>
    </row>
    <row r="1512" ht="15.75" customHeight="1">
      <c r="A1512" s="2" t="s">
        <v>1512</v>
      </c>
      <c r="B1512" s="2" t="str">
        <f>IFERROR(__xludf.DUMMYFUNCTION("GOOGLETRANSLATE(A1512, ""en"", ""mt"")"),"Liema deni tat-temperatura wieħed għandu jbati minn pesta pnewmonika?")</f>
        <v>Liema deni tat-temperatura wieħed għandu jbati minn pesta pnewmonika?</v>
      </c>
    </row>
    <row r="1513" ht="15.75" customHeight="1">
      <c r="A1513" s="2" t="s">
        <v>1513</v>
      </c>
      <c r="B1513" s="2" t="str">
        <f>IFERROR(__xludf.DUMMYFUNCTION("GOOGLETRANSLATE(A1513, ""en"", ""mt"")"),"Qarib Erie tal-lum, Pennsylvania")</f>
        <v>Qarib Erie tal-lum, Pennsylvania</v>
      </c>
    </row>
    <row r="1514" ht="15.75" customHeight="1">
      <c r="A1514" s="2" t="s">
        <v>1514</v>
      </c>
      <c r="B1514" s="2" t="str">
        <f>IFERROR(__xludf.DUMMYFUNCTION("GOOGLETRANSLATE(A1514, ""en"", ""mt"")"),"Fort Le Boeuf")</f>
        <v>Fort Le Boeuf</v>
      </c>
    </row>
    <row r="1515" ht="15.75" customHeight="1">
      <c r="A1515" s="2" t="s">
        <v>1515</v>
      </c>
      <c r="B1515" s="2" t="str">
        <f>IFERROR(__xludf.DUMMYFUNCTION("GOOGLETRANSLATE(A1515, ""en"", ""mt"")"),"Front Islamique de Salut")</f>
        <v>Front Islamique de Salut</v>
      </c>
    </row>
    <row r="1516" ht="15.75" customHeight="1">
      <c r="A1516" s="2" t="s">
        <v>1516</v>
      </c>
      <c r="B1516" s="2" t="str">
        <f>IFERROR(__xludf.DUMMYFUNCTION("GOOGLETRANSLATE(A1516, ""en"", ""mt"")"),"Liema art ġiet ċedjata lil Spanja?")</f>
        <v>Liema art ġiet ċedjata lil Spanja?</v>
      </c>
    </row>
    <row r="1517" ht="15.75" customHeight="1">
      <c r="A1517" s="2" t="s">
        <v>1517</v>
      </c>
      <c r="B1517" s="2" t="str">
        <f>IFERROR(__xludf.DUMMYFUNCTION("GOOGLETRANSLATE(A1517, ""en"", ""mt"")"),"L-Atlantiku tal-Punent Ctenophore Mnemiopsis Leidyi ġie introdott aċċidentalment")</f>
        <v>L-Atlantiku tal-Punent Ctenophore Mnemiopsis Leidyi ġie introdott aċċidentalment</v>
      </c>
    </row>
    <row r="1518" ht="15.75" customHeight="1">
      <c r="A1518" s="2" t="s">
        <v>1518</v>
      </c>
      <c r="B1518" s="2" t="str">
        <f>IFERROR(__xludf.DUMMYFUNCTION("GOOGLETRANSLATE(A1518, ""en"", ""mt"")"),"Ogedei")</f>
        <v>Ogedei</v>
      </c>
    </row>
    <row r="1519" ht="15.75" customHeight="1">
      <c r="A1519" s="2" t="s">
        <v>1519</v>
      </c>
      <c r="B1519" s="2" t="str">
        <f>IFERROR(__xludf.DUMMYFUNCTION("GOOGLETRANSLATE(A1519, ""en"", ""mt"")"),"X'tifhem l-elettroliżi ta 'l-ilma?")</f>
        <v>X'tifhem l-elettroliżi ta 'l-ilma?</v>
      </c>
    </row>
    <row r="1520" ht="15.75" customHeight="1">
      <c r="A1520" s="2" t="s">
        <v>1520</v>
      </c>
      <c r="B1520" s="2" t="str">
        <f>IFERROR(__xludf.DUMMYFUNCTION("GOOGLETRANSLATE(A1520, ""en"", ""mt"")"),"F’liema sena l-birrerija tal-Black Eagle biddlet isimha għal Old Truman Brewery?")</f>
        <v>F’liema sena l-birrerija tal-Black Eagle biddlet isimha għal Old Truman Brewery?</v>
      </c>
    </row>
    <row r="1521" ht="15.75" customHeight="1">
      <c r="A1521" s="2" t="s">
        <v>1521</v>
      </c>
      <c r="B1521" s="2" t="str">
        <f>IFERROR(__xludf.DUMMYFUNCTION("GOOGLETRANSLATE(A1521, ""en"", ""mt"")")," X'kien l-isem Ġappuniż għas-Segretarjat Ċentrali?")</f>
        <v> X'kien l-isem Ġappuniż għas-Segretarjat Ċentrali?</v>
      </c>
    </row>
    <row r="1522" ht="15.75" customHeight="1">
      <c r="A1522" s="2" t="s">
        <v>1522</v>
      </c>
      <c r="B1522" s="2" t="str">
        <f>IFERROR(__xludf.DUMMYFUNCTION("GOOGLETRANSLATE(A1522, ""en"", ""mt"")"),"X'tip ta 'reġistrazzjonijiet kellu l-programm ta' raġunament etiku fl-2007?")</f>
        <v>X'tip ta 'reġistrazzjonijiet kellu l-programm ta' raġunament etiku fl-2007?</v>
      </c>
    </row>
    <row r="1523" ht="15.75" customHeight="1">
      <c r="A1523" s="2" t="s">
        <v>1523</v>
      </c>
      <c r="B1523" s="2" t="str">
        <f>IFERROR(__xludf.DUMMYFUNCTION("GOOGLETRANSLATE(A1523, ""en"", ""mt"")"),"Sauriwa huwa l-ewwel isem magħruf għal liema żona?")</f>
        <v>Sauriwa huwa l-ewwel isem magħruf għal liema żona?</v>
      </c>
    </row>
    <row r="1524" ht="15.75" customHeight="1">
      <c r="A1524" s="2" t="s">
        <v>1524</v>
      </c>
      <c r="B1524" s="2" t="str">
        <f>IFERROR(__xludf.DUMMYFUNCTION("GOOGLETRANSLATE(A1524, ""en"", ""mt"")"),"Fresno tal-Lbiċ")</f>
        <v>Fresno tal-Lbiċ</v>
      </c>
    </row>
    <row r="1525" ht="15.75" customHeight="1">
      <c r="A1525" s="2" t="s">
        <v>1525</v>
      </c>
      <c r="B1525" s="2" t="str">
        <f>IFERROR(__xludf.DUMMYFUNCTION("GOOGLETRANSLATE(A1525, ""en"", ""mt"")"),"Liberali")</f>
        <v>Liberali</v>
      </c>
    </row>
    <row r="1526" ht="15.75" customHeight="1">
      <c r="A1526" s="2" t="s">
        <v>1526</v>
      </c>
      <c r="B1526" s="2" t="str">
        <f>IFERROR(__xludf.DUMMYFUNCTION("GOOGLETRANSLATE(A1526, ""en"", ""mt"")"),"Teorija tas-Sistemi Dinjija.")</f>
        <v>Teorija tas-Sistemi Dinjija.</v>
      </c>
    </row>
    <row r="1527" ht="15.75" customHeight="1">
      <c r="A1527" s="2" t="s">
        <v>1527</v>
      </c>
      <c r="B1527" s="2" t="str">
        <f>IFERROR(__xludf.DUMMYFUNCTION("GOOGLETRANSLATE(A1527, ""en"", ""mt"")"),"Liema direzzjoni r-Rumani użaw biex jinżlu permezz tar-Renu?")</f>
        <v>Liema direzzjoni r-Rumani użaw biex jinżlu permezz tar-Renu?</v>
      </c>
    </row>
    <row r="1528" ht="15.75" customHeight="1">
      <c r="A1528" s="2" t="s">
        <v>1528</v>
      </c>
      <c r="B1528" s="2" t="str">
        <f>IFERROR(__xludf.DUMMYFUNCTION("GOOGLETRANSLATE(A1528, ""en"", ""mt"")"),"il-gvern Vittorjan")</f>
        <v>il-gvern Vittorjan</v>
      </c>
    </row>
    <row r="1529" ht="15.75" customHeight="1">
      <c r="A1529" s="2" t="s">
        <v>1529</v>
      </c>
      <c r="B1529" s="2" t="str">
        <f>IFERROR(__xludf.DUMMYFUNCTION("GOOGLETRANSLATE(A1529, ""en"", ""mt"")"),"Dtime (f (n))")</f>
        <v>Dtime (f (n))</v>
      </c>
    </row>
    <row r="1530" ht="15.75" customHeight="1">
      <c r="A1530" s="2" t="s">
        <v>1530</v>
      </c>
      <c r="B1530" s="2" t="str">
        <f>IFERROR(__xludf.DUMMYFUNCTION("GOOGLETRANSLATE(A1530, ""en"", ""mt"")")," X’għamlu l-kimiċi Ewropej li jistgħu jintużaw fil-gwerra?")</f>
        <v> X’għamlu l-kimiċi Ewropej li jistgħu jintużaw fil-gwerra?</v>
      </c>
    </row>
    <row r="1531" ht="15.75" customHeight="1">
      <c r="A1531" s="2" t="s">
        <v>1531</v>
      </c>
      <c r="B1531" s="2" t="str">
        <f>IFERROR(__xludf.DUMMYFUNCTION("GOOGLETRANSLATE(A1531, ""en"", ""mt"")"),"Liema nies ma tħallewx joqgħodu fil-kolonji Ingliżi?")</f>
        <v>Liema nies ma tħallewx joqgħodu fil-kolonji Ingliżi?</v>
      </c>
    </row>
    <row r="1532" ht="15.75" customHeight="1">
      <c r="A1532" s="2" t="s">
        <v>1532</v>
      </c>
      <c r="B1532" s="2" t="str">
        <f>IFERROR(__xludf.DUMMYFUNCTION("GOOGLETRANSLATE(A1532, ""en"", ""mt"")"),"$ 230 miljun")</f>
        <v>$ 230 miljun</v>
      </c>
    </row>
    <row r="1533" ht="15.75" customHeight="1">
      <c r="A1533" s="2" t="s">
        <v>1533</v>
      </c>
      <c r="B1533" s="2" t="str">
        <f>IFERROR(__xludf.DUMMYFUNCTION("GOOGLETRANSLATE(A1533, ""en"", ""mt"")"),"tribujiet li ma riedux jagħmlu negozju mal-Ingliżi")</f>
        <v>tribujiet li ma riedux jagħmlu negozju mal-Ingliżi</v>
      </c>
    </row>
    <row r="1534" ht="15.75" customHeight="1">
      <c r="A1534" s="2" t="s">
        <v>1534</v>
      </c>
      <c r="B1534" s="2" t="str">
        <f>IFERROR(__xludf.DUMMYFUNCTION("GOOGLETRANSLATE(A1534, ""en"", ""mt"")"),"Kif tinqasam il-Kalifornja?")</f>
        <v>Kif tinqasam il-Kalifornja?</v>
      </c>
    </row>
    <row r="1535" ht="15.75" customHeight="1">
      <c r="A1535" s="2" t="s">
        <v>1535</v>
      </c>
      <c r="B1535" s="2" t="str">
        <f>IFERROR(__xludf.DUMMYFUNCTION("GOOGLETRANSLATE(A1535, ""en"", ""mt"")"),"Liema grupp iddeċieda li jidħol eċċezzjoni għomja mingħajr ebda ħabs?")</f>
        <v>Liema grupp iddeċieda li jidħol eċċezzjoni għomja mingħajr ebda ħabs?</v>
      </c>
    </row>
    <row r="1536" ht="15.75" customHeight="1">
      <c r="A1536" s="2" t="s">
        <v>1536</v>
      </c>
      <c r="B1536" s="2" t="str">
        <f>IFERROR(__xludf.DUMMYFUNCTION("GOOGLETRANSLATE(A1536, ""en"", ""mt"")"),"Meta tliet forzi jaġixxu fuq partikula punt, x'jiġri?")</f>
        <v>Meta tliet forzi jaġixxu fuq partikula punt, x'jiġri?</v>
      </c>
    </row>
    <row r="1537" ht="15.75" customHeight="1">
      <c r="A1537" s="2" t="s">
        <v>1537</v>
      </c>
      <c r="B1537" s="2" t="str">
        <f>IFERROR(__xludf.DUMMYFUNCTION("GOOGLETRANSLATE(A1537, ""en"", ""mt"")"),"satellita")</f>
        <v>satellita</v>
      </c>
    </row>
    <row r="1538" ht="15.75" customHeight="1">
      <c r="A1538" s="2" t="s">
        <v>1538</v>
      </c>
      <c r="B1538" s="2" t="str">
        <f>IFERROR(__xludf.DUMMYFUNCTION("GOOGLETRANSLATE(A1538, ""en"", ""mt"")"),"Meta seħħew l-oriġini ta 'kampi manjetiċi u elettriċi?")</f>
        <v>Meta seħħew l-oriġini ta 'kampi manjetiċi u elettriċi?</v>
      </c>
    </row>
    <row r="1539" ht="15.75" customHeight="1">
      <c r="A1539" s="2" t="s">
        <v>1539</v>
      </c>
      <c r="B1539" s="2" t="str">
        <f>IFERROR(__xludf.DUMMYFUNCTION("GOOGLETRANSLATE(A1539, ""en"", ""mt"")"),"Ta 'liema forma huma testijiet ta' mersenne?")</f>
        <v>Ta 'liema forma huma testijiet ta' mersenne?</v>
      </c>
    </row>
    <row r="1540" ht="15.75" customHeight="1">
      <c r="A1540" s="2" t="s">
        <v>1540</v>
      </c>
      <c r="B1540" s="2" t="str">
        <f>IFERROR(__xludf.DUMMYFUNCTION("GOOGLETRANSLATE(A1540, ""en"", ""mt"")"),"bunker")</f>
        <v>bunker</v>
      </c>
    </row>
    <row r="1541" ht="15.75" customHeight="1">
      <c r="A1541" s="2" t="s">
        <v>1541</v>
      </c>
      <c r="B1541" s="2" t="str">
        <f>IFERROR(__xludf.DUMMYFUNCTION("GOOGLETRANSLATE(A1541, ""en"", ""mt"")"),"in-netwerk u l-utenti konnessi")</f>
        <v>in-netwerk u l-utenti konnessi</v>
      </c>
    </row>
    <row r="1542" ht="15.75" customHeight="1">
      <c r="A1542" s="2" t="s">
        <v>1542</v>
      </c>
      <c r="B1542" s="2" t="str">
        <f>IFERROR(__xludf.DUMMYFUNCTION("GOOGLETRANSLATE(A1542, ""en"", ""mt"")"),"Xi tgħid id-deformazzjoni ta 'blat tgħid ġeoloġi?")</f>
        <v>Xi tgħid id-deformazzjoni ta 'blat tgħid ġeoloġi?</v>
      </c>
    </row>
    <row r="1543" ht="15.75" customHeight="1">
      <c r="A1543" s="2" t="s">
        <v>1543</v>
      </c>
      <c r="B1543" s="2" t="str">
        <f>IFERROR(__xludf.DUMMYFUNCTION("GOOGLETRANSLATE(A1543, ""en"", ""mt"")"),"Il-kostruzzjoni tal-awtostradi")</f>
        <v>Il-kostruzzjoni tal-awtostradi</v>
      </c>
    </row>
    <row r="1544" ht="15.75" customHeight="1">
      <c r="A1544" s="2" t="s">
        <v>1544</v>
      </c>
      <c r="B1544" s="2" t="str">
        <f>IFERROR(__xludf.DUMMYFUNCTION("GOOGLETRANSLATE(A1544, ""en"", ""mt"")"),"F'April 2014, kemm studenti ta 'New Zealand attendew skejjel privati?")</f>
        <v>F'April 2014, kemm studenti ta 'New Zealand attendew skejjel privati?</v>
      </c>
    </row>
    <row r="1545" ht="15.75" customHeight="1">
      <c r="A1545" s="2" t="s">
        <v>1545</v>
      </c>
      <c r="B1545" s="2" t="str">
        <f>IFERROR(__xludf.DUMMYFUNCTION("GOOGLETRANSLATE(A1545, ""en"", ""mt"")"),"Id-dibattiti dwar id-diżubbidjenza ċivili jinkludu jew jeskludu liema prattika ewlenija?")</f>
        <v>Id-dibattiti dwar id-diżubbidjenza ċivili jinkludu jew jeskludu liema prattika ewlenija?</v>
      </c>
    </row>
    <row r="1546" ht="15.75" customHeight="1">
      <c r="A1546" s="2" t="s">
        <v>1546</v>
      </c>
      <c r="B1546" s="2" t="str">
        <f>IFERROR(__xludf.DUMMYFUNCTION("GOOGLETRANSLATE(A1546, ""en"", ""mt"")"),"X'inhuma ż-żewġ simboli li jfissru l-ispiżerija f'pajjiżi li ma jitkellmux bl-Ingliż?")</f>
        <v>X'inhuma ż-żewġ simboli li jfissru l-ispiżerija f'pajjiżi li ma jitkellmux bl-Ingliż?</v>
      </c>
    </row>
    <row r="1547" ht="15.75" customHeight="1">
      <c r="A1547" s="2" t="s">
        <v>1547</v>
      </c>
      <c r="B1547" s="2" t="str">
        <f>IFERROR(__xludf.DUMMYFUNCTION("GOOGLETRANSLATE(A1547, ""en"", ""mt"")"),"Il-Franċiż ħaseb li jġib x’jista ’jgħolli reġjuni oħra?")</f>
        <v>Il-Franċiż ħaseb li jġib x’jista ’jgħolli reġjuni oħra?</v>
      </c>
    </row>
    <row r="1548" ht="15.75" customHeight="1">
      <c r="A1548" s="2" t="s">
        <v>1548</v>
      </c>
      <c r="B1548" s="2" t="str">
        <f>IFERROR(__xludf.DUMMYFUNCTION("GOOGLETRANSLATE(A1548, ""en"", ""mt"")"),"Problema hija meqjusa bħala inerenti diffiċli jekk is-soluzzjoni tagħha teħtieġ riżorsi sinifikanti, ikun xi jkun l-algoritmu użat. It-teorija tifformalizza din l-intwizzjoni, billi tintroduċi mudelli matematiċi ta 'komputazzjoni biex tistudja dawn il-pro"&amp;"blemi u tikkwantifika l-ammont ta' riżorsi meħtieġa biex issolvihom, bħal ħin u ħażna. Miżuri oħra ta 'kumplessità jintużaw ukoll, bħall-ammont ta' komunikazzjoni (użat fil-kumplessità tal-komunikazzjoni), in-numru ta 'xtiebi f'ċirkwit (użat fil-kumplessi"&amp;"tà taċ-ċirkwit) u n-numru ta' proċessuri (użati fil-kompjuters paralleli). Wieħed mir-rwoli tat-teorija tal-kumplessità tal-komputazzjoni huwa li jiddetermina l-limiti prattiċi fuq dak li l-kompjuters jistgħu u ma jistgħux jagħmlu.")</f>
        <v>Problema hija meqjusa bħala inerenti diffiċli jekk is-soluzzjoni tagħha teħtieġ riżorsi sinifikanti, ikun xi jkun l-algoritmu użat. It-teorija tifformalizza din l-intwizzjoni, billi tintroduċi mudelli matematiċi ta 'komputazzjoni biex tistudja dawn il-problemi u tikkwantifika l-ammont ta' riżorsi meħtieġa biex issolvihom, bħal ħin u ħażna. Miżuri oħra ta 'kumplessità jintużaw ukoll, bħall-ammont ta' komunikazzjoni (użat fil-kumplessità tal-komunikazzjoni), in-numru ta 'xtiebi f'ċirkwit (użat fil-kumplessità taċ-ċirkwit) u n-numru ta' proċessuri (użati fil-kompjuters paralleli). Wieħed mir-rwoli tat-teorija tal-kumplessità tal-komputazzjoni huwa li jiddetermina l-limiti prattiċi fuq dak li l-kompjuters jistgħu u ma jistgħux jagħmlu.</v>
      </c>
    </row>
    <row r="1549" ht="15.75" customHeight="1">
      <c r="A1549" s="2" t="s">
        <v>1549</v>
      </c>
      <c r="B1549" s="2" t="str">
        <f>IFERROR(__xludf.DUMMYFUNCTION("GOOGLETRANSLATE(A1549, ""en"", ""mt"")"),"Kemm mili qed jivvjaġġa fit-trab fuq il-Paċifiku?")</f>
        <v>Kemm mili qed jivvjaġġa fit-trab fuq il-Paċifiku?</v>
      </c>
    </row>
    <row r="1550" ht="15.75" customHeight="1">
      <c r="A1550" s="2" t="s">
        <v>1550</v>
      </c>
      <c r="B1550" s="2" t="str">
        <f>IFERROR(__xludf.DUMMYFUNCTION("GOOGLETRANSLATE(A1550, ""en"", ""mt"")"),"Liema CEO ta 'Goldman Sachs huwa wkoll alumni ta' l-Università ta 'Chicago?")</f>
        <v>Liema CEO ta 'Goldman Sachs huwa wkoll alumni ta' l-Università ta 'Chicago?</v>
      </c>
    </row>
    <row r="1551" ht="15.75" customHeight="1">
      <c r="A1551" s="2" t="s">
        <v>1551</v>
      </c>
      <c r="B1551" s="2" t="str">
        <f>IFERROR(__xludf.DUMMYFUNCTION("GOOGLETRANSLATE(A1551, ""en"", ""mt"")"),"melħ u ħadid")</f>
        <v>melħ u ħadid</v>
      </c>
    </row>
    <row r="1552" ht="15.75" customHeight="1">
      <c r="A1552" s="2" t="s">
        <v>1552</v>
      </c>
      <c r="B1552" s="2" t="str">
        <f>IFERROR(__xludf.DUMMYFUNCTION("GOOGLETRANSLATE(A1552, ""en"", ""mt"")"),"Min ħakem ħafna attakki ta 'terrur?")</f>
        <v>Min ħakem ħafna attakki ta 'terrur?</v>
      </c>
    </row>
    <row r="1553" ht="15.75" customHeight="1">
      <c r="A1553" s="2" t="s">
        <v>1553</v>
      </c>
      <c r="B1553" s="2" t="str">
        <f>IFERROR(__xludf.DUMMYFUNCTION("GOOGLETRANSLATE(A1553, ""en"", ""mt"")"),"mill-1910–1940")</f>
        <v>mill-1910–1940</v>
      </c>
    </row>
    <row r="1554" ht="15.75" customHeight="1">
      <c r="A1554" s="2" t="s">
        <v>1554</v>
      </c>
      <c r="B1554" s="2" t="str">
        <f>IFERROR(__xludf.DUMMYFUNCTION("GOOGLETRANSLATE(A1554, ""en"", ""mt"")"),"1973–1974")</f>
        <v>1973–1974</v>
      </c>
    </row>
    <row r="1555" ht="15.75" customHeight="1">
      <c r="A1555" s="2" t="s">
        <v>1555</v>
      </c>
      <c r="B1555" s="2" t="str">
        <f>IFERROR(__xludf.DUMMYFUNCTION("GOOGLETRANSLATE(A1555, ""en"", ""mt"")"),"Liema parti ta 'uniformi trid tilbes jekk tmur l-iskola pubblika fl-Awstralja?")</f>
        <v>Liema parti ta 'uniformi trid tilbes jekk tmur l-iskola pubblika fl-Awstralja?</v>
      </c>
    </row>
    <row r="1556" ht="15.75" customHeight="1">
      <c r="A1556" s="2" t="s">
        <v>1556</v>
      </c>
      <c r="B1556" s="2" t="str">
        <f>IFERROR(__xludf.DUMMYFUNCTION("GOOGLETRANSLATE(A1556, ""en"", ""mt"")"),"L-aħħar evoluzzjoni ewlenija tad-disinn tal-magna bil-fwar kienet l-użu ta 'turbini tal-fwar li jibdew fil-parti tard tas-seklu 19. It-turbini tal-fwar huma ġeneralment aktar effiċjenti minn magni tal-fwar tat-tip pistun reċiprokanti (għal outputs 'il fuq"&amp;" minn bosta mijiet ta' horsepower), għandhom inqas partijiet li jiċċaqalqu, u jipprovdu enerġija li jdur direttament minflok permezz ta 'sistema ta' virga ta 'konnessjoni jew mezzi simili. It-turbini tal-fwar prattikament issostitwixxew magni reċiprokanti"&amp;" fl-istazzjonijiet li jiġġeneraw l-elettriku kmieni fis-seklu 20, fejn l-effiċjenza tagħhom, veloċità ogħla xierqa għas-servizz tal-ġeneratur, u rotazzjoni bla xkiel kienu vantaġġi. Illum il-biċċa l-kbira tal-enerġija elettrika hija pprovduta minn turbini"&amp;" tal-fwar. Fl-Istati Uniti 90% tal-enerġija elettrika hija prodotta b'dan il-mod bl-użu ta 'varjetà ta' sorsi tas-sħana. It-turbini tal-fwar ġew applikati b'mod estensiv għall-propulsjoni ta 'vapuri kbar matul il-biċċa l-kbira tas-seklu 20.")</f>
        <v>L-aħħar evoluzzjoni ewlenija tad-disinn tal-magna bil-fwar kienet l-użu ta 'turbini tal-fwar li jibdew fil-parti tard tas-seklu 19. It-turbini tal-fwar huma ġeneralment aktar effiċjenti minn magni tal-fwar tat-tip pistun reċiprokanti (għal outputs 'il fuq minn bosta mijiet ta' horsepower), għandhom inqas partijiet li jiċċaqalqu, u jipprovdu enerġija li jdur direttament minflok permezz ta 'sistema ta' virga ta 'konnessjoni jew mezzi simili. It-turbini tal-fwar prattikament issostitwixxew magni reċiprokanti fl-istazzjonijiet li jiġġeneraw l-elettriku kmieni fis-seklu 20, fejn l-effiċjenza tagħhom, veloċità ogħla xierqa għas-servizz tal-ġeneratur, u rotazzjoni bla xkiel kienu vantaġġi. Illum il-biċċa l-kbira tal-enerġija elettrika hija pprovduta minn turbini tal-fwar. Fl-Istati Uniti 90% tal-enerġija elettrika hija prodotta b'dan il-mod bl-użu ta 'varjetà ta' sorsi tas-sħana. It-turbini tal-fwar ġew applikati b'mod estensiv għall-propulsjoni ta 'vapuri kbar matul il-biċċa l-kbira tas-seklu 20.</v>
      </c>
    </row>
    <row r="1557" ht="15.75" customHeight="1">
      <c r="A1557" s="2" t="s">
        <v>1557</v>
      </c>
      <c r="B1557" s="2" t="str">
        <f>IFERROR(__xludf.DUMMYFUNCTION("GOOGLETRANSLATE(A1557, ""en"", ""mt"")"),"Tankers iżolati apposta")</f>
        <v>Tankers iżolati apposta</v>
      </c>
    </row>
    <row r="1558" ht="15.75" customHeight="1">
      <c r="A1558" s="2" t="s">
        <v>1558</v>
      </c>
      <c r="B1558" s="2" t="str">
        <f>IFERROR(__xludf.DUMMYFUNCTION("GOOGLETRANSLATE(A1558, ""en"", ""mt"")"),"Dirichlet's")</f>
        <v>Dirichlet's</v>
      </c>
    </row>
    <row r="1559" ht="15.75" customHeight="1">
      <c r="A1559" s="2" t="s">
        <v>1559</v>
      </c>
      <c r="B1559" s="2" t="str">
        <f>IFERROR(__xludf.DUMMYFUNCTION("GOOGLETRANSLATE(A1559, ""en"", ""mt"")"),"Liema organizzazzjoni tmexxi s-satellita li kejjel it-trab li żbarka fuq l-Amażonja?")</f>
        <v>Liema organizzazzjoni tmexxi s-satellita li kejjel it-trab li żbarka fuq l-Amażonja?</v>
      </c>
    </row>
    <row r="1560" ht="15.75" customHeight="1">
      <c r="A1560" s="2" t="s">
        <v>1560</v>
      </c>
      <c r="B1560" s="2" t="str">
        <f>IFERROR(__xludf.DUMMYFUNCTION("GOOGLETRANSLATE(A1560, ""en"", ""mt"")"),"ctenophores")</f>
        <v>ctenophores</v>
      </c>
    </row>
    <row r="1561" ht="15.75" customHeight="1">
      <c r="A1561" s="2" t="s">
        <v>1561</v>
      </c>
      <c r="B1561" s="2" t="str">
        <f>IFERROR(__xludf.DUMMYFUNCTION("GOOGLETRANSLATE(A1561, ""en"", ""mt"")"),"1526")</f>
        <v>1526</v>
      </c>
    </row>
    <row r="1562" ht="15.75" customHeight="1">
      <c r="A1562" s="2" t="s">
        <v>1562</v>
      </c>
      <c r="B1562" s="2" t="str">
        <f>IFERROR(__xludf.DUMMYFUNCTION("GOOGLETRANSLATE(A1562, ""en"", ""mt"")"),"Rikostruzzjoni")</f>
        <v>Rikostruzzjoni</v>
      </c>
    </row>
    <row r="1563" ht="15.75" customHeight="1">
      <c r="A1563" s="2" t="s">
        <v>1563</v>
      </c>
      <c r="B1563" s="2" t="str">
        <f>IFERROR(__xludf.DUMMYFUNCTION("GOOGLETRANSLATE(A1563, ""en"", ""mt"")"),"Jekk id-dispożizzjonijiet tat-trattati għandhom effett dirett u huma ċari biżżejjed, preċiżi u inkondizzjonati.")</f>
        <v>Jekk id-dispożizzjonijiet tat-trattati għandhom effett dirett u huma ċari biżżejjed, preċiżi u inkondizzjonati.</v>
      </c>
    </row>
    <row r="1564" ht="15.75" customHeight="1">
      <c r="A1564" s="2" t="s">
        <v>1564</v>
      </c>
      <c r="B1564" s="2" t="str">
        <f>IFERROR(__xludf.DUMMYFUNCTION("GOOGLETRANSLATE(A1564, ""en"", ""mt"")"),"X'tip ta 'blat skopra l-eroj Siegfried?")</f>
        <v>X'tip ta 'blat skopra l-eroj Siegfried?</v>
      </c>
    </row>
    <row r="1565" ht="15.75" customHeight="1">
      <c r="A1565" s="2" t="s">
        <v>1565</v>
      </c>
      <c r="B1565" s="2" t="str">
        <f>IFERROR(__xludf.DUMMYFUNCTION("GOOGLETRANSLATE(A1565, ""en"", ""mt"")"),"l-orjent kontemporanju")</f>
        <v>l-orjent kontemporanju</v>
      </c>
    </row>
    <row r="1566" ht="15.75" customHeight="1">
      <c r="A1566" s="2" t="s">
        <v>1566</v>
      </c>
      <c r="B1566" s="2" t="str">
        <f>IFERROR(__xludf.DUMMYFUNCTION("GOOGLETRANSLATE(A1566, ""en"", ""mt"")"),"86 km twil,")</f>
        <v>86 km twil,</v>
      </c>
    </row>
    <row r="1567" ht="15.75" customHeight="1">
      <c r="A1567" s="2" t="s">
        <v>1567</v>
      </c>
      <c r="B1567" s="2" t="str">
        <f>IFERROR(__xludf.DUMMYFUNCTION("GOOGLETRANSLATE(A1567, ""en"", ""mt"")"),"Fid-determinazzjoni ta 'klassijiet ta' kumplessità, x'inhuma żewġ eżempji ta 'tipi ta' magni tat-Turing?")</f>
        <v>Fid-determinazzjoni ta 'klassijiet ta' kumplessità, x'inhuma żewġ eżempji ta 'tipi ta' magni tat-Turing?</v>
      </c>
    </row>
    <row r="1568" ht="15.75" customHeight="1">
      <c r="A1568" s="2" t="s">
        <v>1568</v>
      </c>
      <c r="B1568" s="2" t="str">
        <f>IFERROR(__xludf.DUMMYFUNCTION("GOOGLETRANSLATE(A1568, ""en"", ""mt"")"),"Minn fejn il-bejgħ ta 'Jesse de Forest jasal fl-Amerika ta' Fuq?")</f>
        <v>Minn fejn il-bejgħ ta 'Jesse de Forest jasal fl-Amerika ta' Fuq?</v>
      </c>
    </row>
    <row r="1569" ht="15.75" customHeight="1">
      <c r="A1569" s="2" t="s">
        <v>1569</v>
      </c>
      <c r="B1569" s="2" t="str">
        <f>IFERROR(__xludf.DUMMYFUNCTION("GOOGLETRANSLATE(A1569, ""en"", ""mt"")"),"L-ispiża għolja tal-mediċini u t-teknoloġija relatata mal-mediċina")</f>
        <v>L-ispiża għolja tal-mediċini u t-teknoloġija relatata mal-mediċina</v>
      </c>
    </row>
    <row r="1570" ht="15.75" customHeight="1">
      <c r="A1570" s="2" t="s">
        <v>1570</v>
      </c>
      <c r="B1570" s="2" t="str">
        <f>IFERROR(__xludf.DUMMYFUNCTION("GOOGLETRANSLATE(A1570, ""en"", ""mt"")"),"Għal liema tip ta 'organiżmi huwa tossiku bl-ossiġnu?")</f>
        <v>Għal liema tip ta 'organiżmi huwa tossiku bl-ossiġnu?</v>
      </c>
    </row>
    <row r="1571" ht="15.75" customHeight="1">
      <c r="A1571" s="2" t="s">
        <v>1571</v>
      </c>
      <c r="B1571" s="2" t="str">
        <f>IFERROR(__xludf.DUMMYFUNCTION("GOOGLETRANSLATE(A1571, ""en"", ""mt"")"),"X'jistgħu ma jinnewtralizzawx l-antikorpi?")</f>
        <v>X'jistgħu ma jinnewtralizzawx l-antikorpi?</v>
      </c>
    </row>
    <row r="1572" ht="15.75" customHeight="1">
      <c r="A1572" s="2" t="s">
        <v>1572</v>
      </c>
      <c r="B1572" s="2" t="str">
        <f>IFERROR(__xludf.DUMMYFUNCTION("GOOGLETRANSLATE(A1572, ""en"", ""mt"")"),"Fil-Greċja antika, id-djoċli ta 'Carystus (seklu 4 QK) kien wieħed minn bosta rġiel li jistudjaw il-proprjetajiet mediċinali tal-pjanti. Huwa kiteb diversi trattati dwar is-suġġett. It-tabib Grieg Pedanius Dioscorides huwa famuż għall-kitba ta ’ktieb ta’ "&amp;"ħames volum fil-Grieg nattiv tiegħu περί ύλης ιατρικής fis-seklu 1 WK. It-traduzzjoni Latina de Materia medica (li tikkonċerna sustanzi mediċi) intużat bażi għal ħafna testi medjevali, u kienet mibnija minn bosta xjenzati tal-Lvant Nofsani matul l-Età tad"&amp;"-Deheb Iżlamika. It-titlu ħoloq it-terminu Materia Medica.")</f>
        <v>Fil-Greċja antika, id-djoċli ta 'Carystus (seklu 4 QK) kien wieħed minn bosta rġiel li jistudjaw il-proprjetajiet mediċinali tal-pjanti. Huwa kiteb diversi trattati dwar is-suġġett. It-tabib Grieg Pedanius Dioscorides huwa famuż għall-kitba ta ’ktieb ta’ ħames volum fil-Grieg nattiv tiegħu περί ύλης ιατρικής fis-seklu 1 WK. It-traduzzjoni Latina de Materia medica (li tikkonċerna sustanzi mediċi) intużat bażi għal ħafna testi medjevali, u kienet mibnija minn bosta xjenzati tal-Lvant Nofsani matul l-Età tad-Deheb Iżlamika. It-titlu ħoloq it-terminu Materia Medica.</v>
      </c>
    </row>
    <row r="1573" ht="15.75" customHeight="1">
      <c r="A1573" s="2" t="s">
        <v>1573</v>
      </c>
      <c r="B1573" s="2" t="str">
        <f>IFERROR(__xludf.DUMMYFUNCTION("GOOGLETRANSLATE(A1573, ""en"", ""mt"")"),"Liema għażla kellha l-Franċiż għall-art li ċediet?")</f>
        <v>Liema għażla kellha l-Franċiż għall-art li ċediet?</v>
      </c>
    </row>
    <row r="1574" ht="15.75" customHeight="1">
      <c r="A1574" s="2" t="s">
        <v>1574</v>
      </c>
      <c r="B1574" s="2" t="str">
        <f>IFERROR(__xludf.DUMMYFUNCTION("GOOGLETRANSLATE(A1574, ""en"", ""mt"")"),"Liema ko-riċettur fuq iċ-ċellula T jgħin fir-rikonoxximent tal-kumpless MHC-antigen?")</f>
        <v>Liema ko-riċettur fuq iċ-ċellula T jgħin fir-rikonoxximent tal-kumpless MHC-antigen?</v>
      </c>
    </row>
    <row r="1575" ht="15.75" customHeight="1">
      <c r="A1575" s="2" t="s">
        <v>1575</v>
      </c>
      <c r="B1575" s="2" t="str">
        <f>IFERROR(__xludf.DUMMYFUNCTION("GOOGLETRANSLATE(A1575, ""en"", ""mt"")"),"Meta ngħalaq it-Teatru tat-Torri?")</f>
        <v>Meta ngħalaq it-Teatru tat-Torri?</v>
      </c>
    </row>
    <row r="1576" ht="15.75" customHeight="1">
      <c r="A1576" s="2" t="s">
        <v>1576</v>
      </c>
      <c r="B1576" s="2" t="str">
        <f>IFERROR(__xludf.DUMMYFUNCTION("GOOGLETRANSLATE(A1576, ""en"", ""mt"")"),"F'liema pajjiż għandu l-patoġeni PLOS bil-kwartjieri ġenerali?")</f>
        <v>F'liema pajjiż għandu l-patoġeni PLOS bil-kwartjieri ġenerali?</v>
      </c>
    </row>
    <row r="1577" ht="15.75" customHeight="1">
      <c r="A1577" s="2" t="s">
        <v>1577</v>
      </c>
      <c r="B1577" s="2" t="str">
        <f>IFERROR(__xludf.DUMMYFUNCTION("GOOGLETRANSLATE(A1577, ""en"", ""mt"")"),"Liema raġunijiet jikkawżaw falliment tad-diżubbidjenza mal-awtoritajiet?")</f>
        <v>Liema raġunijiet jikkawżaw falliment tad-diżubbidjenza mal-awtoritajiet?</v>
      </c>
    </row>
    <row r="1578" ht="15.75" customHeight="1">
      <c r="A1578" s="2" t="s">
        <v>1578</v>
      </c>
      <c r="B1578" s="2" t="str">
        <f>IFERROR(__xludf.DUMMYFUNCTION("GOOGLETRANSLATE(A1578, ""en"", ""mt"")"),"residenzjali u mhux residenzjali")</f>
        <v>residenzjali u mhux residenzjali</v>
      </c>
    </row>
    <row r="1579" ht="15.75" customHeight="1">
      <c r="A1579" s="2" t="s">
        <v>1579</v>
      </c>
      <c r="B1579" s="2" t="str">
        <f>IFERROR(__xludf.DUMMYFUNCTION("GOOGLETRANSLATE(A1579, ""en"", ""mt"")"),"teknoloġiji u ideat.")</f>
        <v>teknoloġiji u ideat.</v>
      </c>
    </row>
    <row r="1580" ht="15.75" customHeight="1">
      <c r="A1580" s="2" t="s">
        <v>1580</v>
      </c>
      <c r="B1580" s="2" t="str">
        <f>IFERROR(__xludf.DUMMYFUNCTION("GOOGLETRANSLATE(A1580, ""en"", ""mt"")"),"Kemm nies Franċiżi ntilfu għall-pesta bejn l-1628-31?")</f>
        <v>Kemm nies Franċiżi ntilfu għall-pesta bejn l-1628-31?</v>
      </c>
    </row>
    <row r="1581" ht="15.75" customHeight="1">
      <c r="A1581" s="2" t="s">
        <v>1581</v>
      </c>
      <c r="B1581" s="2" t="str">
        <f>IFERROR(__xludf.DUMMYFUNCTION("GOOGLETRANSLATE(A1581, ""en"", ""mt"")"),"Żvantaġġ politiku huwa attribut ta 'liema politiki tal-istat?")</f>
        <v>Żvantaġġ politiku huwa attribut ta 'liema politiki tal-istat?</v>
      </c>
    </row>
    <row r="1582" ht="15.75" customHeight="1">
      <c r="A1582" s="2" t="s">
        <v>1582</v>
      </c>
      <c r="B1582" s="2" t="str">
        <f>IFERROR(__xludf.DUMMYFUNCTION("GOOGLETRANSLATE(A1582, ""en"", ""mt"")"),"F'liema sena fetħet iċ-Ċentru Williams u Logan?")</f>
        <v>F'liema sena fetħet iċ-Ċentru Williams u Logan?</v>
      </c>
    </row>
    <row r="1583" ht="15.75" customHeight="1">
      <c r="A1583" s="2" t="s">
        <v>1583</v>
      </c>
      <c r="B1583" s="2" t="str">
        <f>IFERROR(__xludf.DUMMYFUNCTION("GOOGLETRANSLATE(A1583, ""en"", ""mt"")"),"Kemm għandha siġġu l-Awstralja fil-Kamra tad-Deputati?")</f>
        <v>Kemm għandha siġġu l-Awstralja fil-Kamra tad-Deputati?</v>
      </c>
    </row>
    <row r="1584" ht="15.75" customHeight="1">
      <c r="A1584" s="2" t="s">
        <v>1584</v>
      </c>
      <c r="B1584" s="2" t="str">
        <f>IFERROR(__xludf.DUMMYFUNCTION("GOOGLETRANSLATE(A1584, ""en"", ""mt"")"),"Fejn bena Marin l-aħħar fort?")</f>
        <v>Fejn bena Marin l-aħħar fort?</v>
      </c>
    </row>
    <row r="1585" ht="15.75" customHeight="1">
      <c r="A1585" s="2" t="s">
        <v>1585</v>
      </c>
      <c r="B1585" s="2" t="str">
        <f>IFERROR(__xludf.DUMMYFUNCTION("GOOGLETRANSLATE(A1585, ""en"", ""mt"")"),"Kemm għandu ġonna botaniċi ta 'Varsavja?")</f>
        <v>Kemm għandu ġonna botaniċi ta 'Varsavja?</v>
      </c>
    </row>
    <row r="1586" ht="15.75" customHeight="1">
      <c r="A1586" s="2" t="s">
        <v>1586</v>
      </c>
      <c r="B1586" s="2" t="str">
        <f>IFERROR(__xludf.DUMMYFUNCTION("GOOGLETRANSLATE(A1586, ""en"", ""mt"")"),"X'kien id-dmir ideali ta 'magna ġdida?")</f>
        <v>X'kien id-dmir ideali ta 'magna ġdida?</v>
      </c>
    </row>
    <row r="1587" ht="15.75" customHeight="1">
      <c r="A1587" s="2" t="s">
        <v>1587</v>
      </c>
      <c r="B1587" s="2" t="str">
        <f>IFERROR(__xludf.DUMMYFUNCTION("GOOGLETRANSLATE(A1587, ""en"", ""mt"")"),"Meta sar l-esperiment Miller-Urey?")</f>
        <v>Meta sar l-esperiment Miller-Urey?</v>
      </c>
    </row>
    <row r="1588" ht="15.75" customHeight="1">
      <c r="A1588" s="2" t="s">
        <v>1588</v>
      </c>
      <c r="B1588" s="2" t="str">
        <f>IFERROR(__xludf.DUMMYFUNCTION("GOOGLETRANSLATE(A1588, ""en"", ""mt"")"),"mexxejja tal-partiti tal-oppożizzjoni u MSPs oħra")</f>
        <v>mexxejja tal-partiti tal-oppożizzjoni u MSPs oħra</v>
      </c>
    </row>
    <row r="1589" ht="15.75" customHeight="1">
      <c r="A1589" s="2" t="s">
        <v>1589</v>
      </c>
      <c r="B1589" s="2" t="str">
        <f>IFERROR(__xludf.DUMMYFUNCTION("GOOGLETRANSLATE(A1589, ""en"", ""mt"")"),"polinomju")</f>
        <v>polinomju</v>
      </c>
    </row>
    <row r="1590" ht="15.75" customHeight="1">
      <c r="A1590" s="2" t="s">
        <v>1590</v>
      </c>
      <c r="B1590" s="2" t="str">
        <f>IFERROR(__xludf.DUMMYFUNCTION("GOOGLETRANSLATE(A1590, ""en"", ""mt"")"),"Dak li wera l-ispiżjar Ingliż li n-nar kellu bżonn biss nitoaereus?")</f>
        <v>Dak li wera l-ispiżjar Ingliż li n-nar kellu bżonn biss nitoaereus?</v>
      </c>
    </row>
    <row r="1591" ht="15.75" customHeight="1">
      <c r="A1591" s="2" t="s">
        <v>1591</v>
      </c>
      <c r="B1591" s="2" t="str">
        <f>IFERROR(__xludf.DUMMYFUNCTION("GOOGLETRANSLATE(A1591, ""en"", ""mt"")"),"Magna tat-Turing")</f>
        <v>Magna tat-Turing</v>
      </c>
    </row>
    <row r="1592" ht="15.75" customHeight="1">
      <c r="A1592" s="2" t="s">
        <v>1592</v>
      </c>
      <c r="B1592" s="2" t="str">
        <f>IFERROR(__xludf.DUMMYFUNCTION("GOOGLETRANSLATE(A1592, ""en"", ""mt"")"),"X'inhu l-proċess li bih is-sistema immunitarja tidentifika t-tumuri?")</f>
        <v>X'inhu l-proċess li bih is-sistema immunitarja tidentifika t-tumuri?</v>
      </c>
    </row>
    <row r="1593" ht="15.75" customHeight="1">
      <c r="A1593" s="2" t="s">
        <v>1593</v>
      </c>
      <c r="B1593" s="2" t="str">
        <f>IFERROR(__xludf.DUMMYFUNCTION("GOOGLETRANSLATE(A1593, ""en"", ""mt"")"),"Matul l-2003–04, il-valur gross tal-produzzjoni agrikola Vittorjana żdied bi 17% għal $ 8.7 biljun. Dan kien jirrappreżenta 24% tal-valur gross totali tal-produzzjoni agrikola nazzjonali. Mill-2004, huwa stmat li 32,463 irziezet okkupaw madwar 136,000 kil"&amp;"ometru kwadru (52,500 sq mi) ta 'art Vittorjana. Dan jinkludi aktar minn 60% tal-wiċċ tal-art totali tal-istat. L-irziezet Vittorjani jvarjaw minn ħwejjeġ żgħar tal-ortikultura għal produzzjonijiet ta 'bhejjem u qamħ fuq skala kbira. Kwart ta 'art agrikol"&amp;"a tintuża biex tikber għelejjel konsumibbli.")</f>
        <v>Matul l-2003–04, il-valur gross tal-produzzjoni agrikola Vittorjana żdied bi 17% għal $ 8.7 biljun. Dan kien jirrappreżenta 24% tal-valur gross totali tal-produzzjoni agrikola nazzjonali. Mill-2004, huwa stmat li 32,463 irziezet okkupaw madwar 136,000 kilometru kwadru (52,500 sq mi) ta 'art Vittorjana. Dan jinkludi aktar minn 60% tal-wiċċ tal-art totali tal-istat. L-irziezet Vittorjani jvarjaw minn ħwejjeġ żgħar tal-ortikultura għal produzzjonijiet ta 'bhejjem u qamħ fuq skala kbira. Kwart ta 'art agrikola tintuża biex tikber għelejjel konsumibbli.</v>
      </c>
    </row>
    <row r="1594" ht="15.75" customHeight="1">
      <c r="A1594" s="2" t="s">
        <v>1594</v>
      </c>
      <c r="B1594" s="2" t="str">
        <f>IFERROR(__xludf.DUMMYFUNCTION("GOOGLETRANSLATE(A1594, ""en"", ""mt"")"),"issir kompletament imnaqqsa")</f>
        <v>issir kompletament imnaqqsa</v>
      </c>
    </row>
    <row r="1595" ht="15.75" customHeight="1">
      <c r="A1595" s="2" t="s">
        <v>1595</v>
      </c>
      <c r="B1595" s="2" t="str">
        <f>IFERROR(__xludf.DUMMYFUNCTION("GOOGLETRANSLATE(A1595, ""en"", ""mt"")"),"1288")</f>
        <v>1288</v>
      </c>
    </row>
    <row r="1596" ht="15.75" customHeight="1">
      <c r="A1596" s="2" t="s">
        <v>1596</v>
      </c>
      <c r="B1596" s="2" t="str">
        <f>IFERROR(__xludf.DUMMYFUNCTION("GOOGLETRANSLATE(A1596, ""en"", ""mt"")"),"Dixxiplini varji tal-ispiżerija")</f>
        <v>Dixxiplini varji tal-ispiżerija</v>
      </c>
    </row>
    <row r="1597" ht="15.75" customHeight="1">
      <c r="A1597" s="2" t="s">
        <v>1597</v>
      </c>
      <c r="B1597" s="2" t="str">
        <f>IFERROR(__xludf.DUMMYFUNCTION("GOOGLETRANSLATE(A1597, ""en"", ""mt"")"),"Liema maltempata qabdet l-istat li laqat lil Jacksonville fl-1964?")</f>
        <v>Liema maltempata qabdet l-istat li laqat lil Jacksonville fl-1964?</v>
      </c>
    </row>
    <row r="1598" ht="15.75" customHeight="1">
      <c r="A1598" s="2" t="s">
        <v>1598</v>
      </c>
      <c r="B1598" s="2" t="str">
        <f>IFERROR(__xludf.DUMMYFUNCTION("GOOGLETRANSLATE(A1598, ""en"", ""mt"")"),"Ir-risponsi immuni żejda jinkludu t-tarf l-ieħor ta 'disfunzjoni immuni, partikolarment id-disturbi awtoimmuni. Hawnhekk, is-sistema immunitarja tonqos milli tiddistingwi sew bejn l-awto u dawk li mhumiex self, u tattakka parti mill-ġisem. Taħt ċirkostanz"&amp;"i normali, ħafna ċelloli T u antikorpi jirreaġixxu ma 'peptidi ""awto"". Waħda mill-funzjonijiet ta 'ċelloli speċjalizzati (li jinsabu fit-timu u l-mudullun) hija li tippreżenta limfoċiti żgħażagħ b'antiġeni awto prodotti madwar il-ġisem u li telimina daw"&amp;"k iċ-ċelloli li jirrikonoxxu l-awto-antiġeni, li jipprevjenu l-awtoimmunità.")</f>
        <v>Ir-risponsi immuni żejda jinkludu t-tarf l-ieħor ta 'disfunzjoni immuni, partikolarment id-disturbi awtoimmuni. Hawnhekk, is-sistema immunitarja tonqos milli tiddistingwi sew bejn l-awto u dawk li mhumiex self, u tattakka parti mill-ġisem. Taħt ċirkostanzi normali, ħafna ċelloli T u antikorpi jirreaġixxu ma 'peptidi "awto". Waħda mill-funzjonijiet ta 'ċelloli speċjalizzati (li jinsabu fit-timu u l-mudullun) hija li tippreżenta limfoċiti żgħażagħ b'antiġeni awto prodotti madwar il-ġisem u li telimina dawk iċ-ċelloli li jirrikonoxxu l-awto-antiġeni, li jipprevjenu l-awtoimmunità.</v>
      </c>
    </row>
    <row r="1599" ht="15.75" customHeight="1">
      <c r="A1599" s="2" t="s">
        <v>1599</v>
      </c>
      <c r="B1599" s="2" t="str">
        <f>IFERROR(__xludf.DUMMYFUNCTION("GOOGLETRANSLATE(A1599, ""en"", ""mt"")"),"18-il miljun volum")</f>
        <v>18-il miljun volum</v>
      </c>
    </row>
    <row r="1600" ht="15.75" customHeight="1">
      <c r="A1600" s="2" t="s">
        <v>1600</v>
      </c>
      <c r="B1600" s="2" t="str">
        <f>IFERROR(__xludf.DUMMYFUNCTION("GOOGLETRANSLATE(A1600, ""en"", ""mt"")"),"Ħafna tipi ta 'magni tat-Turing jintużaw biex jiddefinixxu klassijiet ta' kumplessità, bħal magni tat-turing deterministiċi, magni tat-turing probabilistiċi, magni tat-Turing mhux deterministiċi, magni kwantistiċi tat-Turing, magni simmetriċi tat-Turing u"&amp;" magni li jalternaw. Dawn huma kollha daqstant qawwija fil-prinċipju, iżda meta r-riżorsi (bħal ħin jew spazju) huma limitati, uħud minn dawn jistgħu jkunu aktar qawwija minn oħrajn.")</f>
        <v>Ħafna tipi ta 'magni tat-Turing jintużaw biex jiddefinixxu klassijiet ta' kumplessità, bħal magni tat-turing deterministiċi, magni tat-turing probabilistiċi, magni tat-Turing mhux deterministiċi, magni kwantistiċi tat-Turing, magni simmetriċi tat-Turing u magni li jalternaw. Dawn huma kollha daqstant qawwija fil-prinċipju, iżda meta r-riżorsi (bħal ħin jew spazju) huma limitati, uħud minn dawn jistgħu jkunu aktar qawwija minn oħrajn.</v>
      </c>
    </row>
    <row r="1601" ht="15.75" customHeight="1">
      <c r="A1601" s="2" t="s">
        <v>1601</v>
      </c>
      <c r="B1601" s="2" t="str">
        <f>IFERROR(__xludf.DUMMYFUNCTION("GOOGLETRANSLATE(A1601, ""en"", ""mt"")"),"Eżempji eċċezzjonali ta 'l-arkitettura burgheż tal-perjodi aktar tard ma ġewx restawrati mill-awtoritajiet komunisti wara l-gwerra (bħalma semmew il-Palazz Kronenberg u l-Kumpanija tal-Assikurazzjoni Rosja Building) jew inbnew mill-ġdid fl-istil ta' reali"&amp;"żmu soċjalista (bħal edifiċju ta 'Filarmonija ta' Varsavja oriġinarjament ispirati minn Palais Garnier fi Pariġi). Minkejja li l-Bini tal-Università tat-Teknoloġija ta 'Varsavja (1899-1902) huwa l-iktar interessanti ta' l-arkitettura tard tas-seklu 19. Xi"&amp;" bini tas-seklu 19 fid-distrett ta 'Praga (il-bank tal-lemin ta' Vistula) ġew restawrati għalkemm ħafna nżammu ħażin. L-awtoritajiet tal-gvern muniċipali ta 'Varsavja ddeċidew li jibnu mill-ġdid il-Palazz Sassonu u l-Palazz Brühl, l-iktar bini distintiv f"&amp;"i Prewar Varsavja.")</f>
        <v>Eżempji eċċezzjonali ta 'l-arkitettura burgheż tal-perjodi aktar tard ma ġewx restawrati mill-awtoritajiet komunisti wara l-gwerra (bħalma semmew il-Palazz Kronenberg u l-Kumpanija tal-Assikurazzjoni Rosja Building) jew inbnew mill-ġdid fl-istil ta' realiżmu soċjalista (bħal edifiċju ta 'Filarmonija ta' Varsavja oriġinarjament ispirati minn Palais Garnier fi Pariġi). Minkejja li l-Bini tal-Università tat-Teknoloġija ta 'Varsavja (1899-1902) huwa l-iktar interessanti ta' l-arkitettura tard tas-seklu 19. Xi bini tas-seklu 19 fid-distrett ta 'Praga (il-bank tal-lemin ta' Vistula) ġew restawrati għalkemm ħafna nżammu ħażin. L-awtoritajiet tal-gvern muniċipali ta 'Varsavja ddeċidew li jibnu mill-ġdid il-Palazz Sassonu u l-Palazz Brühl, l-iktar bini distintiv fi Prewar Varsavja.</v>
      </c>
    </row>
    <row r="1602" ht="15.75" customHeight="1">
      <c r="A1602" s="2" t="s">
        <v>1602</v>
      </c>
      <c r="B1602" s="2" t="str">
        <f>IFERROR(__xludf.DUMMYFUNCTION("GOOGLETRANSLATE(A1602, ""en"", ""mt"")"),"James Clerk Maxwell")</f>
        <v>James Clerk Maxwell</v>
      </c>
    </row>
    <row r="1603" ht="15.75" customHeight="1">
      <c r="A1603" s="2" t="s">
        <v>1603</v>
      </c>
      <c r="B1603" s="2" t="str">
        <f>IFERROR(__xludf.DUMMYFUNCTION("GOOGLETRANSLATE(A1603, ""en"", ""mt"")"),"Liema soċjetà waqqfet l-Università ta 'Chicago?")</f>
        <v>Liema soċjetà waqqfet l-Università ta 'Chicago?</v>
      </c>
    </row>
    <row r="1604" ht="15.75" customHeight="1">
      <c r="A1604" s="2" t="s">
        <v>1604</v>
      </c>
      <c r="B1604" s="2" t="str">
        <f>IFERROR(__xludf.DUMMYFUNCTION("GOOGLETRANSLATE(A1604, ""en"", ""mt"")"),"Qattiel t")</f>
        <v>Qattiel t</v>
      </c>
    </row>
    <row r="1605" ht="15.75" customHeight="1">
      <c r="A1605" s="2" t="s">
        <v>1605</v>
      </c>
      <c r="B1605" s="2" t="str">
        <f>IFERROR(__xludf.DUMMYFUNCTION("GOOGLETRANSLATE(A1605, ""en"", ""mt"")"),"Kemm-il sena kompliet l-agrikoltura tal-Età tal-Bronż?")</f>
        <v>Kemm-il sena kompliet l-agrikoltura tal-Età tal-Bronż?</v>
      </c>
    </row>
    <row r="1606" ht="15.75" customHeight="1">
      <c r="A1606" s="2" t="s">
        <v>1606</v>
      </c>
      <c r="B1606" s="2" t="str">
        <f>IFERROR(__xludf.DUMMYFUNCTION("GOOGLETRANSLATE(A1606, ""en"", ""mt"")"),"Kemm nefqu l-Arabja Sawdita fit-tixrid tal-wahhabism?")</f>
        <v>Kemm nefqu l-Arabja Sawdita fit-tixrid tal-wahhabism?</v>
      </c>
    </row>
    <row r="1607" ht="15.75" customHeight="1">
      <c r="A1607" s="2" t="s">
        <v>1607</v>
      </c>
      <c r="B1607" s="2" t="str">
        <f>IFERROR(__xludf.DUMMYFUNCTION("GOOGLETRANSLATE(A1607, ""en"", ""mt"")"),"Liema distinzjoni għandu l-Kulleġġ Radcliffe fost l-universitajiet?")</f>
        <v>Liema distinzjoni għandu l-Kulleġġ Radcliffe fost l-universitajiet?</v>
      </c>
    </row>
    <row r="1608" ht="15.75" customHeight="1">
      <c r="A1608" s="2" t="s">
        <v>1608</v>
      </c>
      <c r="B1608" s="2" t="str">
        <f>IFERROR(__xludf.DUMMYFUNCTION("GOOGLETRANSLATE(A1608, ""en"", ""mt"")"),"X'kien il-persentaġġ tad-djar li qatt ma laħaq?")</f>
        <v>X'kien il-persentaġġ tad-djar li qatt ma laħaq?</v>
      </c>
    </row>
    <row r="1609" ht="15.75" customHeight="1">
      <c r="A1609" s="2" t="s">
        <v>1609</v>
      </c>
      <c r="B1609" s="2" t="str">
        <f>IFERROR(__xludf.DUMMYFUNCTION("GOOGLETRANSLATE(A1609, ""en"", ""mt"")"),"X'kien l-interess ċentrali tal-Ġermanja?")</f>
        <v>X'kien l-interess ċentrali tal-Ġermanja?</v>
      </c>
    </row>
    <row r="1610" ht="15.75" customHeight="1">
      <c r="A1610" s="2" t="s">
        <v>1610</v>
      </c>
      <c r="B1610" s="2" t="str">
        <f>IFERROR(__xludf.DUMMYFUNCTION("GOOGLETRANSLATE(A1610, ""en"", ""mt"")"),"Bħala eżempji interessanti ta 'esponimenti l-iktar notevoli huma: l-ewwel mużew tal-posters tad-dinja li jiftaħar waħda mill-ikbar kollezzjonijiet ta' posters tal-arti fid-dinja, Mużew tal-Kaċċa u l-Irkib u l-Mużew tal-Ferrovija. Minn fost is-60 mużew ta "&amp;"'Varsavja, l-iktar prestiġjużi huma Mużew Nazzjonali b'kollezzjoni ta' xogħlijiet li l-oriġini tagħhom tvarja fil-ħin mill-antikità sal-epoka preżenti kif ukoll waħda mill-aqwa kollezzjonijiet ta 'pitturi fil-pajjiż inklużi xi pitturi mill-kollezzjoni pri"&amp;"vata ta' Adolf Hitler , u l-Mużew tal-Armata Pollakka li s-sett juri l-istorja tal-armi.")</f>
        <v>Bħala eżempji interessanti ta 'esponimenti l-iktar notevoli huma: l-ewwel mużew tal-posters tad-dinja li jiftaħar waħda mill-ikbar kollezzjonijiet ta' posters tal-arti fid-dinja, Mużew tal-Kaċċa u l-Irkib u l-Mużew tal-Ferrovija. Minn fost is-60 mużew ta 'Varsavja, l-iktar prestiġjużi huma Mużew Nazzjonali b'kollezzjoni ta' xogħlijiet li l-oriġini tagħhom tvarja fil-ħin mill-antikità sal-epoka preżenti kif ukoll waħda mill-aqwa kollezzjonijiet ta 'pitturi fil-pajjiż inklużi xi pitturi mill-kollezzjoni privata ta' Adolf Hitler , u l-Mużew tal-Armata Pollakka li s-sett juri l-istorja tal-armi.</v>
      </c>
    </row>
    <row r="1611" ht="15.75" customHeight="1">
      <c r="A1611" s="2" t="s">
        <v>1611</v>
      </c>
      <c r="B1611" s="2" t="str">
        <f>IFERROR(__xludf.DUMMYFUNCTION("GOOGLETRANSLATE(A1611, ""en"", ""mt"")"),"Fresno (/ ˈfrɛznoʊ / Frez-Noh), is-sede tal-kontea tal-Kontea ta 'Fresno, hija belt fl-Istat ta' l-Istati Uniti ta 'California. Mill-2015, il-popolazzjoni tal-belt kienet ta '520,159, u għamilha l-ħames l-akbar belt f'Kalifornja, l-akbar belt interna f'Ka"&amp;"lifornja u l-34 l-akbar livell fin-nazzjon. Fresno jinsab fiċ-ċentru tal-Wied ta 'San Joaquin u huwa l-akbar belt fil-Wied Ċentrali, li fiha l-Wied ta' San Joaquin. Huwa madwar 220 mil (350 km) fil-majjistral ta 'Los Angeles, 170 mil (270 km) fin-nofsinha"&amp;"r tal-kapitali tal-istat, Sacramento, jew 185 mil (300 km) fin-nofsinhar ta' San Francisco. L-isem Fresno jfisser ""siġra tal-irmied"" bl-Ispanjol, u weraq tal-irmied jidher fuq il-bandiera tal-belt.")</f>
        <v>Fresno (/ ˈfrɛznoʊ / Frez-Noh), is-sede tal-kontea tal-Kontea ta 'Fresno, hija belt fl-Istat ta' l-Istati Uniti ta 'California. Mill-2015, il-popolazzjoni tal-belt kienet ta '520,159, u għamilha l-ħames l-akbar belt f'Kalifornja, l-akbar belt interna f'Kalifornja u l-34 l-akbar livell fin-nazzjon. Fresno jinsab fiċ-ċentru tal-Wied ta 'San Joaquin u huwa l-akbar belt fil-Wied Ċentrali, li fiha l-Wied ta' San Joaquin. Huwa madwar 220 mil (350 km) fil-majjistral ta 'Los Angeles, 170 mil (270 km) fin-nofsinhar tal-kapitali tal-istat, Sacramento, jew 185 mil (300 km) fin-nofsinhar ta' San Francisco. L-isem Fresno jfisser "siġra tal-irmied" bl-Ispanjol, u weraq tal-irmied jidher fuq il-bandiera tal-belt.</v>
      </c>
    </row>
    <row r="1612" ht="15.75" customHeight="1">
      <c r="A1612" s="2" t="s">
        <v>1612</v>
      </c>
      <c r="B1612" s="2" t="str">
        <f>IFERROR(__xludf.DUMMYFUNCTION("GOOGLETRANSLATE(A1612, ""en"", ""mt"")"),"F'każijiet ta 'mezz fiżiku maqsum kif jiġu kkonsenjati")</f>
        <v>F'każijiet ta 'mezz fiżiku maqsum kif jiġu kkonsenjati</v>
      </c>
    </row>
    <row r="1613" ht="15.75" customHeight="1">
      <c r="A1613" s="2" t="s">
        <v>1613</v>
      </c>
      <c r="B1613" s="2" t="str">
        <f>IFERROR(__xludf.DUMMYFUNCTION("GOOGLETRANSLATE(A1613, ""en"", ""mt"")"),"Dynasty Yuan")</f>
        <v>Dynasty Yuan</v>
      </c>
    </row>
    <row r="1614" ht="15.75" customHeight="1">
      <c r="A1614" s="2" t="s">
        <v>1614</v>
      </c>
      <c r="B1614" s="2" t="str">
        <f>IFERROR(__xludf.DUMMYFUNCTION("GOOGLETRANSLATE(A1614, ""en"", ""mt"")"),"X'inhu ekwivalenti għal 804 litru ta 'ossiġnu gassuż?")</f>
        <v>X'inhu ekwivalenti għal 804 litru ta 'ossiġnu gassuż?</v>
      </c>
    </row>
    <row r="1615" ht="15.75" customHeight="1">
      <c r="A1615" s="2" t="s">
        <v>1615</v>
      </c>
      <c r="B1615" s="2" t="str">
        <f>IFERROR(__xludf.DUMMYFUNCTION("GOOGLETRANSLATE(A1615, ""en"", ""mt"")"),"X'inhi l-istima għall-ammont ta 'speċi ta' siġar fil-foresta tropikali tal-Amażonja?")</f>
        <v>X'inhi l-istima għall-ammont ta 'speċi ta' siġar fil-foresta tropikali tal-Amażonja?</v>
      </c>
    </row>
    <row r="1616" ht="15.75" customHeight="1">
      <c r="A1616" s="2" t="s">
        <v>1616</v>
      </c>
      <c r="B1616" s="2" t="str">
        <f>IFERROR(__xludf.DUMMYFUNCTION("GOOGLETRANSLATE(A1616, ""en"", ""mt"")"),"Kemm riżorsi kienu jpoġġu l-Franċiżi fl-Amerika t'Isfel?")</f>
        <v>Kemm riżorsi kienu jpoġġu l-Franċiżi fl-Amerika t'Isfel?</v>
      </c>
    </row>
    <row r="1617" ht="15.75" customHeight="1">
      <c r="A1617" s="2" t="s">
        <v>1617</v>
      </c>
      <c r="B1617" s="2" t="str">
        <f>IFERROR(__xludf.DUMMYFUNCTION("GOOGLETRANSLATE(A1617, ""en"", ""mt"")"),"100–106 ° F.")</f>
        <v>100–106 ° F.</v>
      </c>
    </row>
    <row r="1618" ht="15.75" customHeight="1">
      <c r="A1618" s="2" t="s">
        <v>1618</v>
      </c>
      <c r="B1618" s="2" t="str">
        <f>IFERROR(__xludf.DUMMYFUNCTION("GOOGLETRANSLATE(A1618, ""en"", ""mt"")")," Kemm hemm diviżjonijiet tal-klassi tas-soċjetà fil-pjan li ġew approvati Kublai?")</f>
        <v> Kemm hemm diviżjonijiet tal-klassi tas-soċjetà fil-pjan li ġew approvati Kublai?</v>
      </c>
    </row>
    <row r="1619" ht="15.75" customHeight="1">
      <c r="A1619" s="2" t="s">
        <v>1619</v>
      </c>
      <c r="B1619" s="2" t="str">
        <f>IFERROR(__xludf.DUMMYFUNCTION("GOOGLETRANSLATE(A1619, ""en"", ""mt"")"),"Liema grawnd inbena fl-1920?")</f>
        <v>Liema grawnd inbena fl-1920?</v>
      </c>
    </row>
    <row r="1620" ht="15.75" customHeight="1">
      <c r="A1620" s="2" t="s">
        <v>1620</v>
      </c>
      <c r="B1620" s="2" t="str">
        <f>IFERROR(__xludf.DUMMYFUNCTION("GOOGLETRANSLATE(A1620, ""en"", ""mt"")"),"Fejn hi l-massa tal-oġġett, hija l-veloċità tal-oġġett u hija d-distanza għaċ-ċentru tal-passaġġ ċirkolari u hija l-vettur tal-unità li jipponta fid-direzzjoni radjali 'l barra miċ-ċentru. Dan ifisser li l-forza ċentripetali żbilanċjata li tinħass minn kw"&amp;"alunkwe oġġett hija dejjem diretta lejn iċ-ċentru tal-passaġġ mgħawweġ. Il-forzi bħal dawn jaġixxu perpendikulari mal-vettur tal-veloċità assoċjat mal-moviment ta 'oġġett, u għalhekk ma jbiddlux il-veloċità tal-oġġett (kobor tal-veloċità), iżda biss id-di"&amp;"rezzjoni tal-vettur tal-veloċità. Il-forza żbilanċjata li taċċellera oġġett tista 'tissolva f'komponent li huwa perpendikulari mal-passaġġ, u waħda li hija tanġenzjali għall-passaġġ. Dan jagħti kemm il-forza tanġenzjali, li taċċellera l-oġġett billi tnaqq"&amp;"asha jew tħaffefha, u l-forza radjali (ċentripetali), li tbiddel id-direzzjoni tagħha.")</f>
        <v>Fejn hi l-massa tal-oġġett, hija l-veloċità tal-oġġett u hija d-distanza għaċ-ċentru tal-passaġġ ċirkolari u hija l-vettur tal-unità li jipponta fid-direzzjoni radjali 'l barra miċ-ċentru. Dan ifisser li l-forza ċentripetali żbilanċjata li tinħass minn kwalunkwe oġġett hija dejjem diretta lejn iċ-ċentru tal-passaġġ mgħawweġ. Il-forzi bħal dawn jaġixxu perpendikulari mal-vettur tal-veloċità assoċjat mal-moviment ta 'oġġett, u għalhekk ma jbiddlux il-veloċità tal-oġġett (kobor tal-veloċità), iżda biss id-direzzjoni tal-vettur tal-veloċità. Il-forza żbilanċjata li taċċellera oġġett tista 'tissolva f'komponent li huwa perpendikulari mal-passaġġ, u waħda li hija tanġenzjali għall-passaġġ. Dan jagħti kemm il-forza tanġenzjali, li taċċellera l-oġġett billi tnaqqasha jew tħaffefha, u l-forza radjali (ċentripetali), li tbiddel id-direzzjoni tagħha.</v>
      </c>
    </row>
    <row r="1621" ht="15.75" customHeight="1">
      <c r="A1621" s="2" t="s">
        <v>1621</v>
      </c>
      <c r="B1621" s="2" t="str">
        <f>IFERROR(__xludf.DUMMYFUNCTION("GOOGLETRANSLATE(A1621, ""en"", ""mt"")"),"Knisja Kattolika Rumana")</f>
        <v>Knisja Kattolika Rumana</v>
      </c>
    </row>
    <row r="1622" ht="15.75" customHeight="1">
      <c r="A1622" s="2" t="s">
        <v>1622</v>
      </c>
      <c r="B1622" s="2" t="str">
        <f>IFERROR(__xludf.DUMMYFUNCTION("GOOGLETRANSLATE(A1622, ""en"", ""mt"")"),"Meta l-gvern Ingliż ħa art għall-iżvilupp tal-pajjiż tal-Ohio?")</f>
        <v>Meta l-gvern Ingliż ħa art għall-iżvilupp tal-pajjiż tal-Ohio?</v>
      </c>
    </row>
    <row r="1623" ht="15.75" customHeight="1">
      <c r="A1623" s="2" t="s">
        <v>1623</v>
      </c>
      <c r="B1623" s="2" t="str">
        <f>IFERROR(__xludf.DUMMYFUNCTION("GOOGLETRANSLATE(A1623, ""en"", ""mt"")"),"Fl-Irlanda, l-iskejjel privati ​​(Irlandiżi: Scoil phríobháideach) mhumiex tas-soltu minħabba li ċertu numru ta ’salarji tal-għalliema jitħallsu mill-istat. Jekk l-iskola tixtieq timpjega għalliema żejda huma jitħallsu bi ħlasijiet tal-iskola, li għandhom"&amp;" tendenza li jkunu relattivament baxxi fl-Irlanda meta mqabbla mal-bqija tad-dinja. Madankollu, hemm element limitat ta 'valutazzjoni tal-istat ta' skejjel privati, minħabba r-rekwiżit li l-istat jiżgura li t-tfal jirċievu ċerta edukazzjoni minima; L-iske"&amp;"jjel privati ​​Irlandiżi għandhom xorta jaħdmu lejn iċ-ċertifikat tal-junior u ċ-ċertifikat tat-tluq, eż. Bosta skejjel privati ​​fl-Irlanda jirdoppjaw ukoll bħala skejjel tal-imbark. Il-ħlas medju huwa ta 'madwar € 5,000 kull sena għal ħafna skejjel, iżd"&amp;"a wħud minn dawn l-iskejjel jipprovdu wkoll imbark u t-tariffi jistgħu mbagħad jogħlew sa € 25,000 fis-sena. L-iskejjel li jħallsu t-tariffi huma ġeneralment immexxija minn ordni reliġjuża, i.e., is-Soċjetà ta ’Ġesù jew kongregazzjoni ta’ aħwa Kristjani, "&amp;"eċċ.")</f>
        <v>Fl-Irlanda, l-iskejjel privati ​​(Irlandiżi: Scoil phríobháideach) mhumiex tas-soltu minħabba li ċertu numru ta ’salarji tal-għalliema jitħallsu mill-istat. Jekk l-iskola tixtieq timpjega għalliema żejda huma jitħallsu bi ħlasijiet tal-iskola, li għandhom tendenza li jkunu relattivament baxxi fl-Irlanda meta mqabbla mal-bqija tad-dinja. Madankollu, hemm element limitat ta 'valutazzjoni tal-istat ta' skejjel privati, minħabba r-rekwiżit li l-istat jiżgura li t-tfal jirċievu ċerta edukazzjoni minima; L-iskejjel privati ​​Irlandiżi għandhom xorta jaħdmu lejn iċ-ċertifikat tal-junior u ċ-ċertifikat tat-tluq, eż. Bosta skejjel privati ​​fl-Irlanda jirdoppjaw ukoll bħala skejjel tal-imbark. Il-ħlas medju huwa ta 'madwar € 5,000 kull sena għal ħafna skejjel, iżda wħud minn dawn l-iskejjel jipprovdu wkoll imbark u t-tariffi jistgħu mbagħad jogħlew sa € 25,000 fis-sena. L-iskejjel li jħallsu t-tariffi huma ġeneralment immexxija minn ordni reliġjuża, i.e., is-Soċjetà ta ’Ġesù jew kongregazzjoni ta’ aħwa Kristjani, eċċ.</v>
      </c>
    </row>
    <row r="1624" ht="15.75" customHeight="1">
      <c r="A1624" s="2" t="s">
        <v>1624</v>
      </c>
      <c r="B1624" s="2" t="str">
        <f>IFERROR(__xludf.DUMMYFUNCTION("GOOGLETRANSLATE(A1624, ""en"", ""mt"")"),"Sas-snin sebgħin")</f>
        <v>Sas-snin sebgħin</v>
      </c>
    </row>
    <row r="1625" ht="15.75" customHeight="1">
      <c r="A1625" s="2" t="s">
        <v>1625</v>
      </c>
      <c r="B1625" s="2" t="str">
        <f>IFERROR(__xludf.DUMMYFUNCTION("GOOGLETRANSLATE(A1625, ""en"", ""mt"")"),"Min il-Mongoli rrifjutaw il-kontroll tal-Korea?")</f>
        <v>Min il-Mongoli rrifjutaw il-kontroll tal-Korea?</v>
      </c>
    </row>
    <row r="1626" ht="15.75" customHeight="1">
      <c r="A1626" s="2" t="s">
        <v>1626</v>
      </c>
      <c r="B1626" s="2" t="str">
        <f>IFERROR(__xludf.DUMMYFUNCTION("GOOGLETRANSLATE(A1626, ""en"", ""mt"")"),"Meta nħoloq id-Dipartiment tal-Enerġija fil-Livell tal-Kabinett?")</f>
        <v>Meta nħoloq id-Dipartiment tal-Enerġija fil-Livell tal-Kabinett?</v>
      </c>
    </row>
    <row r="1627" ht="15.75" customHeight="1">
      <c r="A1627" s="2" t="s">
        <v>1627</v>
      </c>
      <c r="B1627" s="2" t="str">
        <f>IFERROR(__xludf.DUMMYFUNCTION("GOOGLETRANSLATE(A1627, ""en"", ""mt"")"),"$ 960 biljun")</f>
        <v>$ 960 biljun</v>
      </c>
    </row>
    <row r="1628" ht="15.75" customHeight="1">
      <c r="A1628" s="2" t="s">
        <v>1628</v>
      </c>
      <c r="B1628" s="2" t="str">
        <f>IFERROR(__xludf.DUMMYFUNCTION("GOOGLETRANSLATE(A1628, ""en"", ""mt"")"),"X'inhu l-isem ta 'Varsavja fil-lingwa Pollakka?")</f>
        <v>X'inhu l-isem ta 'Varsavja fil-lingwa Pollakka?</v>
      </c>
    </row>
    <row r="1629" ht="15.75" customHeight="1">
      <c r="A1629" s="2" t="s">
        <v>1629</v>
      </c>
      <c r="B1629" s="2" t="str">
        <f>IFERROR(__xludf.DUMMYFUNCTION("GOOGLETRANSLATE(A1629, ""en"", ""mt"")"),"Is-satellita Calipso tan-NASA kejjel l-ammont ta 'trab ittrasportat mir-riħ mis-Saħara għall-Amażon L-Oċean Atlantiku (xi trab jaqa 'fl-Atlantiku), imbagħad f'35 grad lonġitudni tal-punent fil-kosta tal-Lvant ta' l-Amerika t'Isfel, 27.7 miljun tunnellata "&amp;"(15%) ta 'trab jaqgħu fuq il-baċin tal-Amażonja, 132 miljun tunnellata ta' trab jibqgħu fl-arja, 43 miljun tunnellata ta 'trab huma windblown u taqa' fuq il-Baħar Karibew, li għaddew 75 grad lonġitudni tal-punent.")</f>
        <v>Is-satellita Calipso tan-NASA kejjel l-ammont ta 'trab ittrasportat mir-riħ mis-Saħara għall-Amażon L-Oċean Atlantiku (xi trab jaqa 'fl-Atlantiku), imbagħad f'35 grad lonġitudni tal-punent fil-kosta tal-Lvant ta' l-Amerika t'Isfel, 27.7 miljun tunnellata (15%) ta 'trab jaqgħu fuq il-baċin tal-Amażonja, 132 miljun tunnellata ta' trab jibqgħu fl-arja, 43 miljun tunnellata ta 'trab huma windblown u taqa' fuq il-Baħar Karibew, li għaddew 75 grad lonġitudni tal-punent.</v>
      </c>
    </row>
    <row r="1630" ht="15.75" customHeight="1">
      <c r="A1630" s="2" t="s">
        <v>1630</v>
      </c>
      <c r="B1630" s="2" t="str">
        <f>IFERROR(__xludf.DUMMYFUNCTION("GOOGLETRANSLATE(A1630, ""en"", ""mt"")"),"X’kienet il-fergħa ta ’Rhine biex tifforma fl-Awstrija?")</f>
        <v>X’kienet il-fergħa ta ’Rhine biex tifforma fl-Awstrija?</v>
      </c>
    </row>
    <row r="1631" ht="15.75" customHeight="1">
      <c r="A1631" s="2" t="s">
        <v>1631</v>
      </c>
      <c r="B1631" s="2" t="str">
        <f>IFERROR(__xludf.DUMMYFUNCTION("GOOGLETRANSLATE(A1631, ""en"", ""mt"")"),"okkorrenza")</f>
        <v>okkorrenza</v>
      </c>
    </row>
    <row r="1632" ht="15.75" customHeight="1">
      <c r="A1632" s="2" t="s">
        <v>1632</v>
      </c>
      <c r="B1632" s="2" t="str">
        <f>IFERROR(__xludf.DUMMYFUNCTION("GOOGLETRANSLATE(A1632, ""en"", ""mt"")"),"X'jifakkar l-istorja erojka ta 'Old Town?")</f>
        <v>X'jifakkar l-istorja erojka ta 'Old Town?</v>
      </c>
    </row>
    <row r="1633" ht="15.75" customHeight="1">
      <c r="A1633" s="2" t="s">
        <v>1633</v>
      </c>
      <c r="B1633" s="2" t="str">
        <f>IFERROR(__xludf.DUMMYFUNCTION("GOOGLETRANSLATE(A1633, ""en"", ""mt"")"),"Għal liema tip ta 'għajnuna lill-istudenti barra mill-belt hija magħrufa l-Fratellanza Mhux Musulmana?")</f>
        <v>Għal liema tip ta 'għajnuna lill-istudenti barra mill-belt hija magħrufa l-Fratellanza Mhux Musulmana?</v>
      </c>
    </row>
    <row r="1634" ht="15.75" customHeight="1">
      <c r="A1634" s="2" t="s">
        <v>1634</v>
      </c>
      <c r="B1634" s="2" t="str">
        <f>IFERROR(__xludf.DUMMYFUNCTION("GOOGLETRANSLATE(A1634, ""en"", ""mt"")"),"Thomas Sowell")</f>
        <v>Thomas Sowell</v>
      </c>
    </row>
    <row r="1635" ht="15.75" customHeight="1">
      <c r="A1635" s="2" t="s">
        <v>1635</v>
      </c>
      <c r="B1635" s="2" t="str">
        <f>IFERROR(__xludf.DUMMYFUNCTION("GOOGLETRANSLATE(A1635, ""en"", ""mt"")"),"Liema proprjetà tas-Serje Armonika 1 + 1/2 + 1/3 + 1/4 + ... turi li hemm numru infinit ta 'primes?")</f>
        <v>Liema proprjetà tas-Serje Armonika 1 + 1/2 + 1/3 + 1/4 + ... turi li hemm numru infinit ta 'primes?</v>
      </c>
    </row>
    <row r="1636" ht="15.75" customHeight="1">
      <c r="A1636" s="2" t="s">
        <v>1636</v>
      </c>
      <c r="B1636" s="2" t="str">
        <f>IFERROR(__xludf.DUMMYFUNCTION("GOOGLETRANSLATE(A1636, ""en"", ""mt"")"),"CA. 22,000–14,000 yr bp")</f>
        <v>CA. 22,000–14,000 yr bp</v>
      </c>
    </row>
    <row r="1637" ht="15.75" customHeight="1">
      <c r="A1637" s="2" t="s">
        <v>1637</v>
      </c>
      <c r="B1637" s="2" t="str">
        <f>IFERROR(__xludf.DUMMYFUNCTION("GOOGLETRANSLATE(A1637, ""en"", ""mt"")"),"Il-kriżi tal-enerġija")</f>
        <v>Il-kriżi tal-enerġija</v>
      </c>
    </row>
    <row r="1638" ht="15.75" customHeight="1">
      <c r="A1638" s="2" t="s">
        <v>1638</v>
      </c>
      <c r="B1638" s="2" t="str">
        <f>IFERROR(__xludf.DUMMYFUNCTION("GOOGLETRANSLATE(A1638, ""en"", ""mt"")"),"Kien hemm 158,349 djar, li minnhom 68,511 (43.3%) kellhom tfal taħt it-18-il sena li jgħixu fihom, 69.284 (43,8%) kienu koppji miżżewġa tas-sess oppost li jgħixu flimkien, 30,547 (19.3%) kellhom housolder femminili mingħajr raġel preżenti , 11,698 (7.4%) "&amp;"kellhom familja maskili mingħajr l-ebda mara preżenti. Kien hemm 12,843 (8.1%) sħubijiet mhux miżżewġa tas-sess oppost, u 1,388 (0.9%) koppji jew sħubijiet miżżewġa tal-istess sess. 35,064 djar (22.1%) kienu magħmula minn individwi u 12,344 (7.8%) kellhom"&amp;" lil xi ħadd li jgħix waħdu li kellu 65 sena jew aktar. Id-daqs medju tad-dar kien 3.07. Kien hemm 111,529 familja (70.4% tad-djar kollha); Id-daqs medju tal-familja kien 3.62.")</f>
        <v>Kien hemm 158,349 djar, li minnhom 68,511 (43.3%) kellhom tfal taħt it-18-il sena li jgħixu fihom, 69.284 (43,8%) kienu koppji miżżewġa tas-sess oppost li jgħixu flimkien, 30,547 (19.3%) kellhom housolder femminili mingħajr raġel preżenti , 11,698 (7.4%) kellhom familja maskili mingħajr l-ebda mara preżenti. Kien hemm 12,843 (8.1%) sħubijiet mhux miżżewġa tas-sess oppost, u 1,388 (0.9%) koppji jew sħubijiet miżżewġa tal-istess sess. 35,064 djar (22.1%) kienu magħmula minn individwi u 12,344 (7.8%) kellhom lil xi ħadd li jgħix waħdu li kellu 65 sena jew aktar. Id-daqs medju tad-dar kien 3.07. Kien hemm 111,529 familja (70.4% tad-djar kollha); Id-daqs medju tal-familja kien 3.62.</v>
      </c>
    </row>
    <row r="1639" ht="15.75" customHeight="1">
      <c r="A1639" s="2" t="s">
        <v>1639</v>
      </c>
      <c r="B1639" s="2" t="str">
        <f>IFERROR(__xludf.DUMMYFUNCTION("GOOGLETRANSLATE(A1639, ""en"", ""mt"")"),"Ipprovdi metodu ta 'rotta tolleranti għall-ħsarat u effiċjenti għal messaġġi tat-telekomunikazzjoni")</f>
        <v>Ipprovdi metodu ta 'rotta tolleranti għall-ħsarat u effiċjenti għal messaġġi tat-telekomunikazzjoni</v>
      </c>
    </row>
    <row r="1640" ht="15.75" customHeight="1">
      <c r="A1640" s="2" t="s">
        <v>1640</v>
      </c>
      <c r="B1640" s="2" t="str">
        <f>IFERROR(__xludf.DUMMYFUNCTION("GOOGLETRANSLATE(A1640, ""en"", ""mt"")"),"Fejn ġew megħluba l-Franċiżi fil-Kanada?")</f>
        <v>Fejn ġew megħluba l-Franċiżi fil-Kanada?</v>
      </c>
    </row>
    <row r="1641" ht="15.75" customHeight="1">
      <c r="A1641" s="2" t="s">
        <v>1641</v>
      </c>
      <c r="B1641" s="2" t="str">
        <f>IFERROR(__xludf.DUMMYFUNCTION("GOOGLETRANSLATE(A1641, ""en"", ""mt"")"),"L-ebda truppi tal-Armata Regolari Franċiżi ma kienu stazzjonati fl-Amerika ta ’Fuq,")</f>
        <v>L-ebda truppi tal-Armata Regolari Franċiżi ma kienu stazzjonati fl-Amerika ta ’Fuq,</v>
      </c>
    </row>
    <row r="1642" ht="15.75" customHeight="1">
      <c r="A1642" s="2" t="s">
        <v>1642</v>
      </c>
      <c r="B1642" s="2" t="str">
        <f>IFERROR(__xludf.DUMMYFUNCTION("GOOGLETRANSLATE(A1642, ""en"", ""mt"")"),"131")</f>
        <v>131</v>
      </c>
    </row>
    <row r="1643" ht="15.75" customHeight="1">
      <c r="A1643" s="2" t="s">
        <v>1643</v>
      </c>
      <c r="B1643" s="2" t="str">
        <f>IFERROR(__xludf.DUMMYFUNCTION("GOOGLETRANSLATE(A1643, ""en"", ""mt"")"),"kombustjoni esterna")</f>
        <v>kombustjoni esterna</v>
      </c>
    </row>
    <row r="1644" ht="15.75" customHeight="1">
      <c r="A1644" s="2" t="s">
        <v>1644</v>
      </c>
      <c r="B1644" s="2" t="str">
        <f>IFERROR(__xludf.DUMMYFUNCTION("GOOGLETRANSLATE(A1644, ""en"", ""mt"")"),"Kemm mill-aktar sinjuri 400 Amerikani kibru fi privileġġ sostanzjali?")</f>
        <v>Kemm mill-aktar sinjuri 400 Amerikani kibru fi privileġġ sostanzjali?</v>
      </c>
    </row>
    <row r="1645" ht="15.75" customHeight="1">
      <c r="A1645" s="2" t="s">
        <v>1645</v>
      </c>
      <c r="B1645" s="2" t="str">
        <f>IFERROR(__xludf.DUMMYFUNCTION("GOOGLETRANSLATE(A1645, ""en"", ""mt"")"),"Min ma mexxax rinforzi ġodda ta 'Franza fl-1756?")</f>
        <v>Min ma mexxax rinforzi ġodda ta 'Franza fl-1756?</v>
      </c>
    </row>
    <row r="1646" ht="15.75" customHeight="1">
      <c r="A1646" s="2" t="s">
        <v>1646</v>
      </c>
      <c r="B1646" s="2" t="str">
        <f>IFERROR(__xludf.DUMMYFUNCTION("GOOGLETRANSLATE(A1646, ""en"", ""mt"")"),"amministrazzjoni kolonjali Ġermaniża Nażista")</f>
        <v>amministrazzjoni kolonjali Ġermaniża Nażista</v>
      </c>
    </row>
    <row r="1647" ht="15.75" customHeight="1">
      <c r="A1647" s="2" t="s">
        <v>1647</v>
      </c>
      <c r="B1647" s="2" t="str">
        <f>IFERROR(__xludf.DUMMYFUNCTION("GOOGLETRANSLATE(A1647, ""en"", ""mt"")"),"Meta ġie stabbilit is-soluzzjoni li kienet se ssir Varsavja?")</f>
        <v>Meta ġie stabbilit is-soluzzjoni li kienet se ssir Varsavja?</v>
      </c>
    </row>
    <row r="1648" ht="15.75" customHeight="1">
      <c r="A1648" s="2" t="s">
        <v>1648</v>
      </c>
      <c r="B1648" s="2" t="str">
        <f>IFERROR(__xludf.DUMMYFUNCTION("GOOGLETRANSLATE(A1648, ""en"", ""mt"")"),"Seklu 18")</f>
        <v>Seklu 18</v>
      </c>
    </row>
    <row r="1649" ht="15.75" customHeight="1">
      <c r="A1649" s="2" t="s">
        <v>1649</v>
      </c>
      <c r="B1649" s="2" t="str">
        <f>IFERROR(__xludf.DUMMYFUNCTION("GOOGLETRANSLATE(A1649, ""en"", ""mt"")"),"1321 sa 1323")</f>
        <v>1321 sa 1323</v>
      </c>
    </row>
    <row r="1650" ht="15.75" customHeight="1">
      <c r="A1650" s="2" t="s">
        <v>1650</v>
      </c>
      <c r="B1650" s="2" t="str">
        <f>IFERROR(__xludf.DUMMYFUNCTION("GOOGLETRANSLATE(A1650, ""en"", ""mt"")"),"Kemm Huguenots Franċiżi eventwalment marru jgħixu Missouri mill-belt ta 'Manakin?")</f>
        <v>Kemm Huguenots Franċiżi eventwalment marru jgħixu Missouri mill-belt ta 'Manakin?</v>
      </c>
    </row>
    <row r="1651" ht="15.75" customHeight="1">
      <c r="A1651" s="2" t="s">
        <v>1651</v>
      </c>
      <c r="B1651" s="2" t="str">
        <f>IFERROR(__xludf.DUMMYFUNCTION("GOOGLETRANSLATE(A1651, ""en"", ""mt"")"),"Min mhux meħtieġ jissorvelja tekniku tal-ispiżerija fir-Renju Unit?")</f>
        <v>Min mhux meħtieġ jissorvelja tekniku tal-ispiżerija fir-Renju Unit?</v>
      </c>
    </row>
    <row r="1652" ht="15.75" customHeight="1">
      <c r="A1652" s="2" t="s">
        <v>1652</v>
      </c>
      <c r="B1652" s="2" t="str">
        <f>IFERROR(__xludf.DUMMYFUNCTION("GOOGLETRANSLATE(A1652, ""en"", ""mt"")"),"Min għeleb lil Montcalm fil-Quebec?")</f>
        <v>Min għeleb lil Montcalm fil-Quebec?</v>
      </c>
    </row>
    <row r="1653" ht="15.75" customHeight="1">
      <c r="A1653" s="2" t="s">
        <v>1653</v>
      </c>
      <c r="B1653" s="2" t="str">
        <f>IFERROR(__xludf.DUMMYFUNCTION("GOOGLETRANSLATE(A1653, ""en"", ""mt"")"),"John Mearsheimer u Robert Pape")</f>
        <v>John Mearsheimer u Robert Pape</v>
      </c>
    </row>
    <row r="1654" ht="15.75" customHeight="1">
      <c r="A1654" s="2" t="s">
        <v>1654</v>
      </c>
      <c r="B1654" s="2" t="str">
        <f>IFERROR(__xludf.DUMMYFUNCTION("GOOGLETRANSLATE(A1654, ""en"", ""mt"")"),"Kemm ikel jista 'jiekol il-larva tal-krustaċji kuljum?")</f>
        <v>Kemm ikel jista 'jiekol il-larva tal-krustaċji kuljum?</v>
      </c>
    </row>
    <row r="1655" ht="15.75" customHeight="1">
      <c r="A1655" s="2" t="s">
        <v>1655</v>
      </c>
      <c r="B1655" s="2" t="str">
        <f>IFERROR(__xludf.DUMMYFUNCTION("GOOGLETRANSLATE(A1655, ""en"", ""mt"")"),"Fornituri tad-Droga Internazzjonali")</f>
        <v>Fornituri tad-Droga Internazzjonali</v>
      </c>
    </row>
    <row r="1656" ht="15.75" customHeight="1">
      <c r="A1656" s="2" t="s">
        <v>1656</v>
      </c>
      <c r="B1656" s="2" t="str">
        <f>IFERROR(__xludf.DUMMYFUNCTION("GOOGLETRANSLATE(A1656, ""en"", ""mt"")"),"Liema snowbaorder famuż jgħix fin-nofsinhar ta 'California?")</f>
        <v>Liema snowbaorder famuż jgħix fin-nofsinhar ta 'California?</v>
      </c>
    </row>
    <row r="1657" ht="15.75" customHeight="1">
      <c r="A1657" s="2" t="s">
        <v>1657</v>
      </c>
      <c r="B1657" s="2" t="str">
        <f>IFERROR(__xludf.DUMMYFUNCTION("GOOGLETRANSLATE(A1657, ""en"", ""mt"")"),"Meta l-Ġiħad Iżlamiku Eġizzjan joqtol lil Anwar Sadat?")</f>
        <v>Meta l-Ġiħad Iżlamiku Eġizzjan joqtol lil Anwar Sadat?</v>
      </c>
    </row>
    <row r="1658" ht="15.75" customHeight="1">
      <c r="A1658" s="2" t="s">
        <v>1658</v>
      </c>
      <c r="B1658" s="2" t="str">
        <f>IFERROR(__xludf.DUMMYFUNCTION("GOOGLETRANSLATE(A1658, ""en"", ""mt"")"),"F'liema magna teoretika hija kkonfermata li problema fis-sħubija fil-klassi NP?")</f>
        <v>F'liema magna teoretika hija kkonfermata li problema fis-sħubija fil-klassi NP?</v>
      </c>
    </row>
    <row r="1659" ht="15.75" customHeight="1">
      <c r="A1659" s="2" t="s">
        <v>1659</v>
      </c>
      <c r="B1659" s="2" t="str">
        <f>IFERROR(__xludf.DUMMYFUNCTION("GOOGLETRANSLATE(A1659, ""en"", ""mt"")"),"X’kawża li r-Renju Unit ikollu kriżi taż-żejt f’pajjiżha stess?")</f>
        <v>X’kawża li r-Renju Unit ikollu kriżi taż-żejt f’pajjiżha stess?</v>
      </c>
    </row>
    <row r="1660" ht="15.75" customHeight="1">
      <c r="A1660" s="2" t="s">
        <v>1660</v>
      </c>
      <c r="B1660" s="2" t="str">
        <f>IFERROR(__xludf.DUMMYFUNCTION("GOOGLETRANSLATE(A1660, ""en"", ""mt"")"),"X'jistgħu jservu t-tankijiet tal-ossiġnu, il-krijoġeniċi, u l-komposti kimiċi?")</f>
        <v>X'jistgħu jservu t-tankijiet tal-ossiġnu, il-krijoġeniċi, u l-komposti kimiċi?</v>
      </c>
    </row>
    <row r="1661" ht="15.75" customHeight="1">
      <c r="A1661" s="2" t="s">
        <v>1661</v>
      </c>
      <c r="B1661" s="2" t="str">
        <f>IFERROR(__xludf.DUMMYFUNCTION("GOOGLETRANSLATE(A1661, ""en"", ""mt"")"),"Min żviluppa l-kunċett ta 'actinide?")</f>
        <v>Min żviluppa l-kunċett ta 'actinide?</v>
      </c>
    </row>
    <row r="1662" ht="15.75" customHeight="1">
      <c r="A1662" s="2" t="s">
        <v>1662</v>
      </c>
      <c r="B1662" s="2" t="str">
        <f>IFERROR(__xludf.DUMMYFUNCTION("GOOGLETRANSLATE(A1662, ""en"", ""mt"")"),"91%")</f>
        <v>91%</v>
      </c>
    </row>
    <row r="1663" ht="15.75" customHeight="1">
      <c r="A1663" s="2" t="s">
        <v>1663</v>
      </c>
      <c r="B1663" s="2" t="str">
        <f>IFERROR(__xludf.DUMMYFUNCTION("GOOGLETRANSLATE(A1663, ""en"", ""mt"")"),"F'liema tip ta 'molekuli jinstabu l-ossiġnu?")</f>
        <v>F'liema tip ta 'molekuli jinstabu l-ossiġnu?</v>
      </c>
    </row>
    <row r="1664" ht="15.75" customHeight="1">
      <c r="A1664" s="2" t="s">
        <v>1664</v>
      </c>
      <c r="B1664" s="2" t="str">
        <f>IFERROR(__xludf.DUMMYFUNCTION("GOOGLETRANSLATE(A1664, ""en"", ""mt"")"),"Baldwin")</f>
        <v>Baldwin</v>
      </c>
    </row>
    <row r="1665" ht="15.75" customHeight="1">
      <c r="A1665" s="2" t="s">
        <v>1665</v>
      </c>
      <c r="B1665" s="2" t="str">
        <f>IFERROR(__xludf.DUMMYFUNCTION("GOOGLETRANSLATE(A1665, ""en"", ""mt"")"),"Il-partiċelli tal-materja huma murija bħala x'tip ta 'linji fid-dijagramma ta' Feynman?")</f>
        <v>Il-partiċelli tal-materja huma murija bħala x'tip ta 'linji fid-dijagramma ta' Feynman?</v>
      </c>
    </row>
    <row r="1666" ht="15.75" customHeight="1">
      <c r="A1666" s="2" t="s">
        <v>1666</v>
      </c>
      <c r="B1666" s="2" t="str">
        <f>IFERROR(__xludf.DUMMYFUNCTION("GOOGLETRANSLATE(A1666, ""en"", ""mt"")"),"X'inhu t-tip ta 'tnaqqis l-iktar impjegat ta' spiss?")</f>
        <v>X'inhu t-tip ta 'tnaqqis l-iktar impjegat ta' spiss?</v>
      </c>
    </row>
    <row r="1667" ht="15.75" customHeight="1">
      <c r="A1667" s="2" t="s">
        <v>1667</v>
      </c>
      <c r="B1667" s="2" t="str">
        <f>IFERROR(__xludf.DUMMYFUNCTION("GOOGLETRANSLATE(A1667, ""en"", ""mt"")"),"Protesti illegali simboliċi")</f>
        <v>Protesti illegali simboliċi</v>
      </c>
    </row>
    <row r="1668" ht="15.75" customHeight="1">
      <c r="A1668" s="2" t="s">
        <v>1668</v>
      </c>
      <c r="B1668" s="2" t="str">
        <f>IFERROR(__xludf.DUMMYFUNCTION("GOOGLETRANSLATE(A1668, ""en"", ""mt"")"),"Bejn 96,660 u 128,843 speċi vertebrati jgħixu fejn?")</f>
        <v>Bejn 96,660 u 128,843 speċi vertebrati jgħixu fejn?</v>
      </c>
    </row>
    <row r="1669" ht="15.75" customHeight="1">
      <c r="A1669" s="2" t="s">
        <v>1669</v>
      </c>
      <c r="B1669" s="2" t="str">
        <f>IFERROR(__xludf.DUMMYFUNCTION("GOOGLETRANSLATE(A1669, ""en"", ""mt"")"),"Il-liġi tan-nazzjonalizzazzjoni kienet mill-1962, u t-trattat kien fis-seħħ mill-1958")</f>
        <v>Il-liġi tan-nazzjonalizzazzjoni kienet mill-1962, u t-trattat kien fis-seħħ mill-1958</v>
      </c>
    </row>
    <row r="1670" ht="15.75" customHeight="1">
      <c r="A1670" s="2" t="s">
        <v>1670</v>
      </c>
      <c r="B1670" s="2" t="str">
        <f>IFERROR(__xludf.DUMMYFUNCTION("GOOGLETRANSLATE(A1670, ""en"", ""mt"")"),"Ir-Russja tal-Majjistral")</f>
        <v>Ir-Russja tal-Majjistral</v>
      </c>
    </row>
    <row r="1671" ht="15.75" customHeight="1">
      <c r="A1671" s="2" t="s">
        <v>1671</v>
      </c>
      <c r="B1671" s="2" t="str">
        <f>IFERROR(__xludf.DUMMYFUNCTION("GOOGLETRANSLATE(A1671, ""en"", ""mt"")"),"X'tip ta 'numru kkunsidraw il-Griegi bikrija bħala?")</f>
        <v>X'tip ta 'numru kkunsidraw il-Griegi bikrija bħala?</v>
      </c>
    </row>
    <row r="1672" ht="15.75" customHeight="1">
      <c r="A1672" s="2" t="s">
        <v>1672</v>
      </c>
      <c r="B1672" s="2" t="str">
        <f>IFERROR(__xludf.DUMMYFUNCTION("GOOGLETRANSLATE(A1672, ""en"", ""mt"")"),"168,637")</f>
        <v>168,637</v>
      </c>
    </row>
    <row r="1673" ht="15.75" customHeight="1">
      <c r="A1673" s="2" t="s">
        <v>1673</v>
      </c>
      <c r="B1673" s="2" t="str">
        <f>IFERROR(__xludf.DUMMYFUNCTION("GOOGLETRANSLATE(A1673, ""en"", ""mt"")"),"X'kien l-ewwel kabaret letterarju ta 'Leon?")</f>
        <v>X'kien l-ewwel kabaret letterarju ta 'Leon?</v>
      </c>
    </row>
    <row r="1674" ht="15.75" customHeight="1">
      <c r="A1674" s="2" t="s">
        <v>1674</v>
      </c>
      <c r="B1674" s="2" t="str">
        <f>IFERROR(__xludf.DUMMYFUNCTION("GOOGLETRANSLATE(A1674, ""en"", ""mt"")"),"Liema bini amministrattiv ta 'qabel intuża għall-uffiċċji tal-MSP?")</f>
        <v>Liema bini amministrattiv ta 'qabel intuża għall-uffiċċji tal-MSP?</v>
      </c>
    </row>
    <row r="1675" ht="15.75" customHeight="1">
      <c r="A1675" s="2" t="s">
        <v>1675</v>
      </c>
      <c r="B1675" s="2" t="str">
        <f>IFERROR(__xludf.DUMMYFUNCTION("GOOGLETRANSLATE(A1675, ""en"", ""mt"")"),"Liema operatur jittrasporta merkanzija f'Melbourne?")</f>
        <v>Liema operatur jittrasporta merkanzija f'Melbourne?</v>
      </c>
    </row>
    <row r="1676" ht="15.75" customHeight="1">
      <c r="A1676" s="2" t="s">
        <v>1676</v>
      </c>
      <c r="B1676" s="2" t="str">
        <f>IFERROR(__xludf.DUMMYFUNCTION("GOOGLETRANSLATE(A1676, ""en"", ""mt"")"),"glaċier")</f>
        <v>glaċier</v>
      </c>
    </row>
    <row r="1677" ht="15.75" customHeight="1">
      <c r="A1677" s="2" t="s">
        <v>1677</v>
      </c>
      <c r="B1677" s="2" t="str">
        <f>IFERROR(__xludf.DUMMYFUNCTION("GOOGLETRANSLATE(A1677, ""en"", ""mt"")"),"X'għandhom is-sħana tal-impjanti tal-enerġija nukleari biex joħolqu turbini tal-fwar?")</f>
        <v>X'għandhom is-sħana tal-impjanti tal-enerġija nukleari biex joħolqu turbini tal-fwar?</v>
      </c>
    </row>
    <row r="1678" ht="15.75" customHeight="1">
      <c r="A1678" s="2" t="s">
        <v>1678</v>
      </c>
      <c r="B1678" s="2" t="str">
        <f>IFERROR(__xludf.DUMMYFUNCTION("GOOGLETRANSLATE(A1678, ""en"", ""mt"")"),"kimikament")</f>
        <v>kimikament</v>
      </c>
    </row>
    <row r="1679" ht="15.75" customHeight="1">
      <c r="A1679" s="2" t="s">
        <v>1679</v>
      </c>
      <c r="B1679" s="2" t="str">
        <f>IFERROR(__xludf.DUMMYFUNCTION("GOOGLETRANSLATE(A1679, ""en"", ""mt"")"),"Liema żewġ komposti għaqqdu al-Muwaffaq?")</f>
        <v>Liema żewġ komposti għaqqdu al-Muwaffaq?</v>
      </c>
    </row>
    <row r="1680" ht="15.75" customHeight="1">
      <c r="A1680" s="2" t="s">
        <v>1680</v>
      </c>
      <c r="B1680" s="2" t="str">
        <f>IFERROR(__xludf.DUMMYFUNCTION("GOOGLETRANSLATE(A1680, ""en"", ""mt"")"),"impossibbli")</f>
        <v>impossibbli</v>
      </c>
    </row>
    <row r="1681" ht="15.75" customHeight="1">
      <c r="A1681" s="2" t="s">
        <v>1681</v>
      </c>
      <c r="B1681" s="2" t="str">
        <f>IFERROR(__xludf.DUMMYFUNCTION("GOOGLETRANSLATE(A1681, ""en"", ""mt"")"),"Ritorn akbar tal-kapital")</f>
        <v>Ritorn akbar tal-kapital</v>
      </c>
    </row>
    <row r="1682" ht="15.75" customHeight="1">
      <c r="A1682" s="2" t="s">
        <v>1682</v>
      </c>
      <c r="B1682" s="2" t="str">
        <f>IFERROR(__xludf.DUMMYFUNCTION("GOOGLETRANSLATE(A1682, ""en"", ""mt"")"),"Liema foresta hija mill-fruntiera tan-Nofsinhar ta 'Varsavja?")</f>
        <v>Liema foresta hija mill-fruntiera tan-Nofsinhar ta 'Varsavja?</v>
      </c>
    </row>
    <row r="1683" ht="15.75" customHeight="1">
      <c r="A1683" s="2" t="s">
        <v>1683</v>
      </c>
      <c r="B1683" s="2" t="str">
        <f>IFERROR(__xludf.DUMMYFUNCTION("GOOGLETRANSLATE(A1683, ""en"", ""mt"")"),"il-mezzi tiegħu biex jaħtfu")</f>
        <v>il-mezzi tiegħu biex jaħtfu</v>
      </c>
    </row>
    <row r="1684" ht="15.75" customHeight="1">
      <c r="A1684" s="2" t="s">
        <v>1684</v>
      </c>
      <c r="B1684" s="2" t="str">
        <f>IFERROR(__xludf.DUMMYFUNCTION("GOOGLETRANSLATE(A1684, ""en"", ""mt"")"),"Kif inkella jistgħu l-petroloġisti jifhmu t-temperatura li fiha jidhru fażijiet minerali differenti?")</f>
        <v>Kif inkella jistgħu l-petroloġisti jifhmu t-temperatura li fiha jidhru fażijiet minerali differenti?</v>
      </c>
    </row>
    <row r="1685" ht="15.75" customHeight="1">
      <c r="A1685" s="2" t="s">
        <v>1685</v>
      </c>
      <c r="B1685" s="2" t="str">
        <f>IFERROR(__xludf.DUMMYFUNCTION("GOOGLETRANSLATE(A1685, ""en"", ""mt"")"),"Liema professjoni għandha Zbigniew Marek?")</f>
        <v>Liema professjoni għandha Zbigniew Marek?</v>
      </c>
    </row>
    <row r="1686" ht="15.75" customHeight="1">
      <c r="A1686" s="2" t="s">
        <v>1686</v>
      </c>
      <c r="B1686" s="2" t="str">
        <f>IFERROR(__xludf.DUMMYFUNCTION("GOOGLETRANSLATE(A1686, ""en"", ""mt"")"),"varjat")</f>
        <v>varjat</v>
      </c>
    </row>
    <row r="1687" ht="15.75" customHeight="1">
      <c r="A1687" s="2" t="s">
        <v>1687</v>
      </c>
      <c r="B1687" s="2" t="str">
        <f>IFERROR(__xludf.DUMMYFUNCTION("GOOGLETRANSLATE(A1687, ""en"", ""mt"")"),"2010")</f>
        <v>2010</v>
      </c>
    </row>
    <row r="1688" ht="15.75" customHeight="1">
      <c r="A1688" s="2" t="s">
        <v>1688</v>
      </c>
      <c r="B1688" s="2" t="str">
        <f>IFERROR(__xludf.DUMMYFUNCTION("GOOGLETRANSLATE(A1688, ""en"", ""mt"")"),"fagoċitiku")</f>
        <v>fagoċitiku</v>
      </c>
    </row>
    <row r="1689" ht="15.75" customHeight="1">
      <c r="A1689" s="2" t="s">
        <v>1689</v>
      </c>
      <c r="B1689" s="2" t="str">
        <f>IFERROR(__xludf.DUMMYFUNCTION("GOOGLETRANSLATE(A1689, ""en"", ""mt"")"),"Kaxxa Skyhd")</f>
        <v>Kaxxa Skyhd</v>
      </c>
    </row>
    <row r="1690" ht="15.75" customHeight="1">
      <c r="A1690" s="2" t="s">
        <v>1690</v>
      </c>
      <c r="B1690" s="2" t="str">
        <f>IFERROR(__xludf.DUMMYFUNCTION("GOOGLETRANSLATE(A1690, ""en"", ""mt"")"),"It-Trattat tal-1997 ta ’Amsterdam")</f>
        <v>It-Trattat tal-1997 ta ’Amsterdam</v>
      </c>
    </row>
    <row r="1691" ht="15.75" customHeight="1">
      <c r="A1691" s="2" t="s">
        <v>1691</v>
      </c>
      <c r="B1691" s="2" t="str">
        <f>IFERROR(__xludf.DUMMYFUNCTION("GOOGLETRANSLATE(A1691, ""en"", ""mt"")"),"£ 1.3bn")</f>
        <v>£ 1.3bn</v>
      </c>
    </row>
    <row r="1692" ht="15.75" customHeight="1">
      <c r="A1692" s="2" t="s">
        <v>1692</v>
      </c>
      <c r="B1692" s="2" t="str">
        <f>IFERROR(__xludf.DUMMYFUNCTION("GOOGLETRANSLATE(A1692, ""en"", ""mt"")"),"X'tip ta 'skejjel ikollhom fiċ-Ċina bħala kompromess wara l-indipendenza Ċiniża?")</f>
        <v>X'tip ta 'skejjel ikollhom fiċ-Ċina bħala kompromess wara l-indipendenza Ċiniża?</v>
      </c>
    </row>
    <row r="1693" ht="15.75" customHeight="1">
      <c r="A1693" s="2" t="s">
        <v>1693</v>
      </c>
      <c r="B1693" s="2" t="str">
        <f>IFERROR(__xludf.DUMMYFUNCTION("GOOGLETRANSLATE(A1693, ""en"", ""mt"")"),"X’kienu jagħmlu l-pajjiżi Ewropej matul is-1700?")</f>
        <v>X’kienu jagħmlu l-pajjiżi Ewropej matul is-1700?</v>
      </c>
    </row>
    <row r="1694" ht="15.75" customHeight="1">
      <c r="A1694" s="2" t="s">
        <v>1694</v>
      </c>
      <c r="B1694" s="2" t="str">
        <f>IFERROR(__xludf.DUMMYFUNCTION("GOOGLETRANSLATE(A1694, ""en"", ""mt"")"),"Turkija")</f>
        <v>Turkija</v>
      </c>
    </row>
    <row r="1695" ht="15.75" customHeight="1">
      <c r="A1695" s="2" t="s">
        <v>1695</v>
      </c>
      <c r="B1695" s="2" t="str">
        <f>IFERROR(__xludf.DUMMYFUNCTION("GOOGLETRANSLATE(A1695, ""en"", ""mt"")"),"parti ewlenija")</f>
        <v>parti ewlenija</v>
      </c>
    </row>
    <row r="1696" ht="15.75" customHeight="1">
      <c r="A1696" s="2" t="s">
        <v>1696</v>
      </c>
      <c r="B1696" s="2" t="str">
        <f>IFERROR(__xludf.DUMMYFUNCTION("GOOGLETRANSLATE(A1696, ""en"", ""mt"")"),"X'inhu l-iktar mudell komuni użat fit-teorija tal-kumplessità?")</f>
        <v>X'inhu l-iktar mudell komuni użat fit-teorija tal-kumplessità?</v>
      </c>
    </row>
    <row r="1697" ht="15.75" customHeight="1">
      <c r="A1697" s="2" t="s">
        <v>1697</v>
      </c>
      <c r="B1697" s="2" t="str">
        <f>IFERROR(__xludf.DUMMYFUNCTION("GOOGLETRANSLATE(A1697, ""en"", ""mt"")"),"Kemm inkiteb dwar is-suġġett tal-grammatika?")</f>
        <v>Kemm inkiteb dwar is-suġġett tal-grammatika?</v>
      </c>
    </row>
    <row r="1698" ht="15.75" customHeight="1">
      <c r="A1698" s="2" t="s">
        <v>1698</v>
      </c>
      <c r="B1698" s="2" t="str">
        <f>IFERROR(__xludf.DUMMYFUNCTION("GOOGLETRANSLATE(A1698, ""en"", ""mt"")"),"Indiġeni")</f>
        <v>Indiġeni</v>
      </c>
    </row>
    <row r="1699" ht="15.75" customHeight="1">
      <c r="A1699" s="2" t="s">
        <v>1699</v>
      </c>
      <c r="B1699" s="2" t="str">
        <f>IFERROR(__xludf.DUMMYFUNCTION("GOOGLETRANSLATE(A1699, ""en"", ""mt"")"),"Għaliex xi nies jirreżistu apposta l-uffiċjali tal-liġi?")</f>
        <v>Għaliex xi nies jirreżistu apposta l-uffiċjali tal-liġi?</v>
      </c>
    </row>
    <row r="1700" ht="15.75" customHeight="1">
      <c r="A1700" s="2" t="s">
        <v>1700</v>
      </c>
      <c r="B1700" s="2" t="str">
        <f>IFERROR(__xludf.DUMMYFUNCTION("GOOGLETRANSLATE(A1700, ""en"", ""mt"")"),"bidu tas-seklu 20")</f>
        <v>bidu tas-seklu 20</v>
      </c>
    </row>
    <row r="1701" ht="15.75" customHeight="1">
      <c r="A1701" s="2" t="s">
        <v>1701</v>
      </c>
      <c r="B1701" s="2" t="str">
        <f>IFERROR(__xludf.DUMMYFUNCTION("GOOGLETRANSLATE(A1701, ""en"", ""mt"")"),"L-ammont preżenti ta 'finanzjament ma jistax ikopri l-ispejjeż kurrenti għax-xogħol u l-materjali")</f>
        <v>L-ammont preżenti ta 'finanzjament ma jistax ikopri l-ispejjeż kurrenti għax-xogħol u l-materjali</v>
      </c>
    </row>
    <row r="1702" ht="15.75" customHeight="1">
      <c r="A1702" s="2" t="s">
        <v>1702</v>
      </c>
      <c r="B1702" s="2" t="str">
        <f>IFERROR(__xludf.DUMMYFUNCTION("GOOGLETRANSLATE(A1702, ""en"", ""mt"")"),"17%")</f>
        <v>17%</v>
      </c>
    </row>
    <row r="1703" ht="15.75" customHeight="1">
      <c r="A1703" s="2" t="s">
        <v>1703</v>
      </c>
      <c r="B1703" s="2" t="str">
        <f>IFERROR(__xludf.DUMMYFUNCTION("GOOGLETRANSLATE(A1703, ""en"", ""mt"")"),"Kemm huma misjuba l-fossili li jirrappreżentaw ctenophhores?")</f>
        <v>Kemm huma misjuba l-fossili li jirrappreżentaw ctenophhores?</v>
      </c>
    </row>
    <row r="1704" ht="15.75" customHeight="1">
      <c r="A1704" s="2" t="s">
        <v>1704</v>
      </c>
      <c r="B1704" s="2" t="str">
        <f>IFERROR(__xludf.DUMMYFUNCTION("GOOGLETRANSLATE(A1704, ""en"", ""mt"")"),"X'inhu meħtieġ biex iseħħ il-kombustjoni?")</f>
        <v>X'inhu meħtieġ biex iseħħ il-kombustjoni?</v>
      </c>
    </row>
    <row r="1705" ht="15.75" customHeight="1">
      <c r="A1705" s="2" t="s">
        <v>1705</v>
      </c>
      <c r="B1705" s="2" t="str">
        <f>IFERROR(__xludf.DUMMYFUNCTION("GOOGLETRANSLATE(A1705, ""en"", ""mt"")"),"L-ewwel seklu WK")</f>
        <v>L-ewwel seklu WK</v>
      </c>
    </row>
    <row r="1706" ht="15.75" customHeight="1">
      <c r="A1706" s="2" t="s">
        <v>1706</v>
      </c>
      <c r="B1706" s="2" t="str">
        <f>IFERROR(__xludf.DUMMYFUNCTION("GOOGLETRANSLATE(A1706, ""en"", ""mt"")"),"Sant'eufemia")</f>
        <v>Sant'eufemia</v>
      </c>
    </row>
    <row r="1707" ht="15.75" customHeight="1">
      <c r="A1707" s="2" t="s">
        <v>1707</v>
      </c>
      <c r="B1707" s="2" t="str">
        <f>IFERROR(__xludf.DUMMYFUNCTION("GOOGLETRANSLATE(A1707, ""en"", ""mt"")"),"X'inhuma l-magni tal-ġett użati biex ifornu?")</f>
        <v>X'inhuma l-magni tal-ġett użati biex ifornu?</v>
      </c>
    </row>
    <row r="1708" ht="15.75" customHeight="1">
      <c r="A1708" s="2" t="s">
        <v>1708</v>
      </c>
      <c r="B1708" s="2" t="str">
        <f>IFERROR(__xludf.DUMMYFUNCTION("GOOGLETRANSLATE(A1708, ""en"", ""mt"")"),"U.S.")</f>
        <v>U.S.</v>
      </c>
    </row>
    <row r="1709" ht="15.75" customHeight="1">
      <c r="A1709" s="2" t="s">
        <v>1709</v>
      </c>
      <c r="B1709" s="2" t="str">
        <f>IFERROR(__xludf.DUMMYFUNCTION("GOOGLETRANSLATE(A1709, ""en"", ""mt"")"),"tikser il-liġi għal awto-gratifikazzjoni")</f>
        <v>tikser il-liġi għal awto-gratifikazzjoni</v>
      </c>
    </row>
    <row r="1710" ht="15.75" customHeight="1">
      <c r="A1710" s="2" t="s">
        <v>1710</v>
      </c>
      <c r="B1710" s="2" t="str">
        <f>IFERROR(__xludf.DUMMYFUNCTION("GOOGLETRANSLATE(A1710, ""en"", ""mt"")"),"Min hu wieħed mill-awturi tas-Sommarju tal-WGI?")</f>
        <v>Min hu wieħed mill-awturi tas-Sommarju tal-WGI?</v>
      </c>
    </row>
    <row r="1711" ht="15.75" customHeight="1">
      <c r="A1711" s="2" t="s">
        <v>1711</v>
      </c>
      <c r="B1711" s="2" t="str">
        <f>IFERROR(__xludf.DUMMYFUNCTION("GOOGLETRANSLATE(A1711, ""en"", ""mt"")"),"savana jew deżert")</f>
        <v>savana jew deżert</v>
      </c>
    </row>
    <row r="1712" ht="15.75" customHeight="1">
      <c r="A1712" s="2" t="s">
        <v>1712</v>
      </c>
      <c r="B1712" s="2" t="str">
        <f>IFERROR(__xludf.DUMMYFUNCTION("GOOGLETRANSLATE(A1712, ""en"", ""mt"")"),"X'konkluda Lavoisier ġie kkunsmat mill-kombustjoni fl-esperimenti tiegħu?")</f>
        <v>X'konkluda Lavoisier ġie kkunsmat mill-kombustjoni fl-esperimenti tiegħu?</v>
      </c>
    </row>
    <row r="1713" ht="15.75" customHeight="1">
      <c r="A1713" s="2" t="s">
        <v>1713</v>
      </c>
      <c r="B1713" s="2" t="str">
        <f>IFERROR(__xludf.DUMMYFUNCTION("GOOGLETRANSLATE(A1713, ""en"", ""mt"")"),"Il-varjazzjonijiet fil-klima matul l-aħħar 34 miljun sena ppermettew lir-reġjuni ta 'Savanna jespandu fit-tropiċi.")</f>
        <v>Il-varjazzjonijiet fil-klima matul l-aħħar 34 miljun sena ppermettew lir-reġjuni ta 'Savanna jespandu fit-tropiċi.</v>
      </c>
    </row>
    <row r="1714" ht="15.75" customHeight="1">
      <c r="A1714" s="2" t="s">
        <v>1714</v>
      </c>
      <c r="B1714" s="2" t="str">
        <f>IFERROR(__xludf.DUMMYFUNCTION("GOOGLETRANSLATE(A1714, ""en"", ""mt"")"),"Teorija moderna tan-numru alġebrin")</f>
        <v>Teorija moderna tan-numru alġebrin</v>
      </c>
    </row>
    <row r="1715" ht="15.75" customHeight="1">
      <c r="A1715" s="2" t="s">
        <v>1715</v>
      </c>
      <c r="B1715" s="2" t="str">
        <f>IFERROR(__xludf.DUMMYFUNCTION("GOOGLETRANSLATE(A1715, ""en"", ""mt"")"),"F'liema tipi ta 'organiżmi l-ewwel evolviet is-sistema immuni adatta?")</f>
        <v>F'liema tipi ta 'organiżmi l-ewwel evolviet is-sistema immuni adatta?</v>
      </c>
    </row>
    <row r="1716" ht="15.75" customHeight="1">
      <c r="A1716" s="2" t="s">
        <v>1716</v>
      </c>
      <c r="B1716" s="2" t="str">
        <f>IFERROR(__xludf.DUMMYFUNCTION("GOOGLETRANSLATE(A1716, ""en"", ""mt"")"),"Bħal sponoż u cnidarians, ctenophores għandhom żewġ saffi ewlenin ta 'ċelloli li sandwich saff tan-nofs ta' materjal li jixbah il-ġelatina, li jissejjaħ il-mesoglea f'Cnidarians u ctenophores; Annimali aktar kumplessi għandhom tliet saffi taċ-ċelloli ewle"&amp;"nin u l-ebda saff intermedju simili tal-ġelatina. Għalhekk ctenophores u cnidarians tradizzjonalment ġew ittikkettjati diplobastic, flimkien ma 'sponoż. Kemm ctenophores kif ukoll cnidarians għandhom tip ta 'muskolu li, f'annimali aktar kumplessi, joħroġ "&amp;"mis-saff taċ-ċellula tan-nofs, u bħala riżultat xi kotba ta' test riċenti jikklassifikaw Ctenophores bħala triploblastic, filwaqt li oħrajn għadhom iqisuhom bħala diploBlastic.")</f>
        <v>Bħal sponoż u cnidarians, ctenophores għandhom żewġ saffi ewlenin ta 'ċelloli li sandwich saff tan-nofs ta' materjal li jixbah il-ġelatina, li jissejjaħ il-mesoglea f'Cnidarians u ctenophores; Annimali aktar kumplessi għandhom tliet saffi taċ-ċelloli ewlenin u l-ebda saff intermedju simili tal-ġelatina. Għalhekk ctenophores u cnidarians tradizzjonalment ġew ittikkettjati diplobastic, flimkien ma 'sponoż. Kemm ctenophores kif ukoll cnidarians għandhom tip ta 'muskolu li, f'annimali aktar kumplessi, joħroġ mis-saff taċ-ċellula tan-nofs, u bħala riżultat xi kotba ta' test riċenti jikklassifikaw Ctenophores bħala triploblastic, filwaqt li oħrajn għadhom iqisuhom bħala diploBlastic.</v>
      </c>
    </row>
    <row r="1717" ht="15.75" customHeight="1">
      <c r="A1717" s="2" t="s">
        <v>1717</v>
      </c>
      <c r="B1717" s="2" t="str">
        <f>IFERROR(__xludf.DUMMYFUNCTION("GOOGLETRANSLATE(A1717, ""en"", ""mt"")"),"Xi jfisser l-element tal-ħin fil-kostruzzjoni?")</f>
        <v>Xi jfisser l-element tal-ħin fil-kostruzzjoni?</v>
      </c>
    </row>
    <row r="1718" ht="15.75" customHeight="1">
      <c r="A1718" s="2" t="s">
        <v>1718</v>
      </c>
      <c r="B1718" s="2" t="str">
        <f>IFERROR(__xludf.DUMMYFUNCTION("GOOGLETRANSLATE(A1718, ""en"", ""mt"")"),"kostitwenza")</f>
        <v>kostitwenza</v>
      </c>
    </row>
    <row r="1719" ht="15.75" customHeight="1">
      <c r="A1719" s="2" t="s">
        <v>1719</v>
      </c>
      <c r="B1719" s="2" t="str">
        <f>IFERROR(__xludf.DUMMYFUNCTION("GOOGLETRANSLATE(A1719, ""en"", ""mt"")"),"X'tip ta 'klima għandu California?")</f>
        <v>X'tip ta 'klima għandu California?</v>
      </c>
    </row>
    <row r="1720" ht="15.75" customHeight="1">
      <c r="A1720" s="2" t="s">
        <v>1720</v>
      </c>
      <c r="B1720" s="2" t="str">
        <f>IFERROR(__xludf.DUMMYFUNCTION("GOOGLETRANSLATE(A1720, ""en"", ""mt"")")," X'kien l-isem tat-tieni soluzzjoni Ġermaniża?")</f>
        <v> X'kien l-isem tat-tieni soluzzjoni Ġermaniża?</v>
      </c>
    </row>
    <row r="1721" ht="15.75" customHeight="1">
      <c r="A1721" s="2" t="s">
        <v>1721</v>
      </c>
      <c r="B1721" s="2" t="str">
        <f>IFERROR(__xludf.DUMMYFUNCTION("GOOGLETRANSLATE(A1721, ""en"", ""mt"")"),"Problemi intermedjati NP")</f>
        <v>Problemi intermedjati NP</v>
      </c>
    </row>
    <row r="1722" ht="15.75" customHeight="1">
      <c r="A1722" s="2" t="s">
        <v>1722</v>
      </c>
      <c r="B1722" s="2" t="str">
        <f>IFERROR(__xludf.DUMMYFUNCTION("GOOGLETRANSLATE(A1722, ""en"", ""mt"")"),"L-għarbiel tal-qasam tan-numru ġenerali")</f>
        <v>L-għarbiel tal-qasam tan-numru ġenerali</v>
      </c>
    </row>
    <row r="1723" ht="15.75" customHeight="1">
      <c r="A1723" s="2" t="s">
        <v>1723</v>
      </c>
      <c r="B1723" s="2" t="str">
        <f>IFERROR(__xludf.DUMMYFUNCTION("GOOGLETRANSLATE(A1723, ""en"", ""mt"")"),"Liema katalisti oħra jistgħu jintużaw biex jipproduċu ossiġnu?")</f>
        <v>Liema katalisti oħra jistgħu jintużaw biex jipproduċu ossiġnu?</v>
      </c>
    </row>
    <row r="1724" ht="15.75" customHeight="1">
      <c r="A1724" s="2" t="s">
        <v>1724</v>
      </c>
      <c r="B1724" s="2" t="str">
        <f>IFERROR(__xludf.DUMMYFUNCTION("GOOGLETRANSLATE(A1724, ""en"", ""mt"")"),"Ukoll")</f>
        <v>Ukoll</v>
      </c>
    </row>
    <row r="1725" ht="15.75" customHeight="1">
      <c r="A1725" s="2" t="s">
        <v>1725</v>
      </c>
      <c r="B1725" s="2" t="str">
        <f>IFERROR(__xludf.DUMMYFUNCTION("GOOGLETRANSLATE(A1725, ""en"", ""mt"")")," Min qatt ma ra punti ewlenin tal-biċċa l-kbira tal-logħbiet?")</f>
        <v> Min qatt ma ra punti ewlenin tal-biċċa l-kbira tal-logħbiet?</v>
      </c>
    </row>
    <row r="1726" ht="15.75" customHeight="1">
      <c r="A1726" s="2" t="s">
        <v>1726</v>
      </c>
      <c r="B1726" s="2" t="str">
        <f>IFERROR(__xludf.DUMMYFUNCTION("GOOGLETRANSLATE(A1726, ""en"", ""mt"")"),"HARTHACNUT")</f>
        <v>HARTHACNUT</v>
      </c>
    </row>
    <row r="1727" ht="15.75" customHeight="1">
      <c r="A1727" s="2" t="s">
        <v>1727</v>
      </c>
      <c r="B1727" s="2" t="str">
        <f>IFERROR(__xludf.DUMMYFUNCTION("GOOGLETRANSLATE(A1727, ""en"", ""mt"")"),"Lil min hu Kerman, California msemmi wara?")</f>
        <v>Lil min hu Kerman, California msemmi wara?</v>
      </c>
    </row>
    <row r="1728" ht="15.75" customHeight="1">
      <c r="A1728" s="2" t="s">
        <v>1728</v>
      </c>
      <c r="B1728" s="2" t="str">
        <f>IFERROR(__xludf.DUMMYFUNCTION("GOOGLETRANSLATE(A1728, ""en"", ""mt"")"),"permezz tal-kitba tiegħu")</f>
        <v>permezz tal-kitba tiegħu</v>
      </c>
    </row>
    <row r="1729" ht="15.75" customHeight="1">
      <c r="A1729" s="2" t="s">
        <v>1729</v>
      </c>
      <c r="B1729" s="2" t="str">
        <f>IFERROR(__xludf.DUMMYFUNCTION("GOOGLETRANSLATE(A1729, ""en"", ""mt"")"),"32.9%")</f>
        <v>32.9%</v>
      </c>
    </row>
    <row r="1730" ht="15.75" customHeight="1">
      <c r="A1730" s="2" t="s">
        <v>1730</v>
      </c>
      <c r="B1730" s="2" t="str">
        <f>IFERROR(__xludf.DUMMYFUNCTION("GOOGLETRANSLATE(A1730, ""en"", ""mt"")"),"Liema kumpanija ma qablitx li ttemm il-proċeduri tal-qorti għolja ma 'BSKYB?")</f>
        <v>Liema kumpanija ma qablitx li ttemm il-proċeduri tal-qorti għolja ma 'BSKYB?</v>
      </c>
    </row>
    <row r="1731" ht="15.75" customHeight="1">
      <c r="A1731" s="2" t="s">
        <v>1731</v>
      </c>
      <c r="B1731" s="2" t="str">
        <f>IFERROR(__xludf.DUMMYFUNCTION("GOOGLETRANSLATE(A1731, ""en"", ""mt"")"),"Minimalità")</f>
        <v>Minimalità</v>
      </c>
    </row>
    <row r="1732" ht="15.75" customHeight="1">
      <c r="A1732" s="2" t="s">
        <v>1732</v>
      </c>
      <c r="B1732" s="2" t="str">
        <f>IFERROR(__xludf.DUMMYFUNCTION("GOOGLETRANSLATE(A1732, ""en"", ""mt"")"),"Fit-23 ta 'Ġunju 2005, ir-Rep. Joe Barton, president tal-Kumitat tal-Kamra dwar l-Enerġija u l-Kummerċ kiteb ittri konġunti ma' Ed Whitfield, president tas-Sottokumitat dwar is-Superviżjoni u l-Investigazzjonijiet li jitolbu rekords sħaħ dwar ir-riċerka d"&amp;"war il-klima, kif ukoll informazzjoni personali dwar il-finanzi tagħhom u karrieri, minn Mann, Bradley u Hughes. Sherwood Boehlert, president tal-Kumitat tax-Xjenza tal-Kamra, qalet li din kienet ""investigazzjoni żbaljata u illeġittima"" apparentement im"&amp;"mirata biex tintimida xjenzati, u fuq talba tiegħu l-Akkademja Nazzjonali tax-Xjenzi tal-Istati Uniti rranġat biex il-Kunsill Nazzjonali tar-Riċerka tiegħu jistabbilixxi investigazzjoni speċjali. Ir-rapport tal-Kunsill Nazzjonali tar-Riċerka qabel li kien"&amp;" hemm xi nuqqasijiet statistiċi, iżda dawn ftit kellhom effett fuq il-graff, li ġeneralment kien korrett. F'ittra ta 'l-2006 lil Nature, Mann, Bradley, u Hughes irrimarkaw li l-artikolu oriġinali tagħhom qalu li ""hemm bżonn ta' dejta ta 'riżoluzzjoni għo"&amp;"lja aktar mifruxa qabel ma jistgħu jintlaħqu konklużjonijiet aktar kunfidenti"" u li l-inċertezzi kienu ""l-punt ta' l-artiklu "".")</f>
        <v>Fit-23 ta 'Ġunju 2005, ir-Rep. Joe Barton, president tal-Kumitat tal-Kamra dwar l-Enerġija u l-Kummerċ kiteb ittri konġunti ma' Ed Whitfield, president tas-Sottokumitat dwar is-Superviżjoni u l-Investigazzjonijiet li jitolbu rekords sħaħ dwar ir-riċerka dwar il-klima, kif ukoll informazzjoni personali dwar il-finanzi tagħhom u karrieri, minn Mann, Bradley u Hughes. Sherwood Boehlert, president tal-Kumitat tax-Xjenza tal-Kamra, qalet li din kienet "investigazzjoni żbaljata u illeġittima" apparentement immirata biex tintimida xjenzati, u fuq talba tiegħu l-Akkademja Nazzjonali tax-Xjenzi tal-Istati Uniti rranġat biex il-Kunsill Nazzjonali tar-Riċerka tiegħu jistabbilixxi investigazzjoni speċjali. Ir-rapport tal-Kunsill Nazzjonali tar-Riċerka qabel li kien hemm xi nuqqasijiet statistiċi, iżda dawn ftit kellhom effett fuq il-graff, li ġeneralment kien korrett. F'ittra ta 'l-2006 lil Nature, Mann, Bradley, u Hughes irrimarkaw li l-artikolu oriġinali tagħhom qalu li "hemm bżonn ta' dejta ta 'riżoluzzjoni għolja aktar mifruxa qabel ma jistgħu jintlaħqu konklużjonijiet aktar kunfidenti" u li l-inċertezzi kienu "l-punt ta' l-artiklu ".</v>
      </c>
    </row>
    <row r="1733" ht="15.75" customHeight="1">
      <c r="A1733" s="2" t="s">
        <v>1733</v>
      </c>
      <c r="B1733" s="2" t="str">
        <f>IFERROR(__xludf.DUMMYFUNCTION("GOOGLETRANSLATE(A1733, ""en"", ""mt"")"),"Liema persentaġġ ta 'nies fl-Awstralja jqisu lilhom infushom bħala Huguenots?")</f>
        <v>Liema persentaġġ ta 'nies fl-Awstralja jqisu lilhom infushom bħala Huguenots?</v>
      </c>
    </row>
    <row r="1734" ht="15.75" customHeight="1">
      <c r="A1734" s="2" t="s">
        <v>1734</v>
      </c>
      <c r="B1734" s="2" t="str">
        <f>IFERROR(__xludf.DUMMYFUNCTION("GOOGLETRANSLATE(A1734, ""en"", ""mt"")"),"Iċ-ċensura tal-kummissjoni tas-santer irriżultat f’liema każ?")</f>
        <v>Iċ-ċensura tal-kummissjoni tas-santer irriżultat f’liema każ?</v>
      </c>
    </row>
    <row r="1735" ht="15.75" customHeight="1">
      <c r="A1735" s="2" t="s">
        <v>1735</v>
      </c>
      <c r="B1735" s="2" t="str">
        <f>IFERROR(__xludf.DUMMYFUNCTION("GOOGLETRANSLATE(A1735, ""en"", ""mt"")"),"X'inhu responsabbli biex tillimita l-P skont it-teorema tal-ġerarkija taż-żmien?")</f>
        <v>X'inhu responsabbli biex tillimita l-P skont it-teorema tal-ġerarkija taż-żmien?</v>
      </c>
    </row>
    <row r="1736" ht="15.75" customHeight="1">
      <c r="A1736" s="2" t="s">
        <v>1736</v>
      </c>
      <c r="B1736" s="2" t="str">
        <f>IFERROR(__xludf.DUMMYFUNCTION("GOOGLETRANSLATE(A1736, ""en"", ""mt"")"),"Dak li hu inkluż ma 'kull tikketta tal-pakkett")</f>
        <v>Dak li hu inkluż ma 'kull tikketta tal-pakkett</v>
      </c>
    </row>
    <row r="1737" ht="15.75" customHeight="1">
      <c r="A1737" s="2" t="s">
        <v>1737</v>
      </c>
      <c r="B1737" s="2" t="str">
        <f>IFERROR(__xludf.DUMMYFUNCTION("GOOGLETRANSLATE(A1737, ""en"", ""mt"")"),"X’kawża s-sejba tad-deheb fir-Rabat?")</f>
        <v>X’kawża s-sejba tad-deheb fir-Rabat?</v>
      </c>
    </row>
    <row r="1738" ht="15.75" customHeight="1">
      <c r="A1738" s="2" t="s">
        <v>1738</v>
      </c>
      <c r="B1738" s="2" t="str">
        <f>IFERROR(__xludf.DUMMYFUNCTION("GOOGLETRANSLATE(A1738, ""en"", ""mt"")"),"Franza, l-Arġentina, ir-Renju Unit, il-Belġju, l-Irlanda, l-Italja, Spanja, u l-Indja")</f>
        <v>Franza, l-Arġentina, ir-Renju Unit, il-Belġju, l-Irlanda, l-Italja, Spanja, u l-Indja</v>
      </c>
    </row>
    <row r="1739" ht="15.75" customHeight="1">
      <c r="A1739" s="2" t="s">
        <v>1739</v>
      </c>
      <c r="B1739" s="2" t="str">
        <f>IFERROR(__xludf.DUMMYFUNCTION("GOOGLETRANSLATE(A1739, ""en"", ""mt"")"),"il-forza tal-gravità fuq oġġett")</f>
        <v>il-forza tal-gravità fuq oġġett</v>
      </c>
    </row>
    <row r="1740" ht="15.75" customHeight="1">
      <c r="A1740" s="2" t="s">
        <v>1740</v>
      </c>
      <c r="B1740" s="2" t="str">
        <f>IFERROR(__xludf.DUMMYFUNCTION("GOOGLETRANSLATE(A1740, ""en"", ""mt"")"),"""L-Istituzzjonijiet Komprensivi tal-Yuan il-Kbir""")</f>
        <v>"L-Istituzzjonijiet Komprensivi tal-Yuan il-Kbir"</v>
      </c>
    </row>
    <row r="1741" ht="15.75" customHeight="1">
      <c r="A1741" s="2" t="s">
        <v>1741</v>
      </c>
      <c r="B1741" s="2" t="str">
        <f>IFERROR(__xludf.DUMMYFUNCTION("GOOGLETRANSLATE(A1741, ""en"", ""mt"")"),"F'liema xahar jilgħab it-tim tal-hockey tas-silġ tal-irġiel ta 'Harvard Crimson?")</f>
        <v>F'liema xahar jilgħab it-tim tal-hockey tas-silġ tal-irġiel ta 'Harvard Crimson?</v>
      </c>
    </row>
    <row r="1742" ht="15.75" customHeight="1">
      <c r="A1742" s="2" t="s">
        <v>1742</v>
      </c>
      <c r="B1742" s="2" t="str">
        <f>IFERROR(__xludf.DUMMYFUNCTION("GOOGLETRANSLATE(A1742, ""en"", ""mt"")"),"onomista")</f>
        <v>onomista</v>
      </c>
    </row>
    <row r="1743" ht="15.75" customHeight="1">
      <c r="A1743" s="2" t="s">
        <v>1743</v>
      </c>
      <c r="B1743" s="2" t="str">
        <f>IFERROR(__xludf.DUMMYFUNCTION("GOOGLETRANSLATE(A1743, ""en"", ""mt"")"),"X'tip ta 'impatt għandu l-intraprenditorija bbażata fuq l-opportunità li għandha fuq it-tkabbir ekonomiku?")</f>
        <v>X'tip ta 'impatt għandu l-intraprenditorija bbażata fuq l-opportunità li għandha fuq it-tkabbir ekonomiku?</v>
      </c>
    </row>
    <row r="1744" ht="15.75" customHeight="1">
      <c r="A1744" s="2" t="s">
        <v>1744</v>
      </c>
      <c r="B1744" s="2" t="str">
        <f>IFERROR(__xludf.DUMMYFUNCTION("GOOGLETRANSLATE(A1744, ""en"", ""mt"")"),"arbli")</f>
        <v>arbli</v>
      </c>
    </row>
    <row r="1745" ht="15.75" customHeight="1">
      <c r="A1745" s="2" t="s">
        <v>1745</v>
      </c>
      <c r="B1745" s="2" t="str">
        <f>IFERROR(__xludf.DUMMYFUNCTION("GOOGLETRANSLATE(A1745, ""en"", ""mt"")"),"Minn dak li kien jaħseb Da Vinci li parti ġiet ikkunsmata waqt il-kombustjoni?")</f>
        <v>Minn dak li kien jaħseb Da Vinci li parti ġiet ikkunsmata waqt il-kombustjoni?</v>
      </c>
    </row>
    <row r="1746" ht="15.75" customHeight="1">
      <c r="A1746" s="2" t="s">
        <v>1746</v>
      </c>
      <c r="B1746" s="2" t="str">
        <f>IFERROR(__xludf.DUMMYFUNCTION("GOOGLETRANSLATE(A1746, ""en"", ""mt"")"),"Żvilupp edukattiv u ekonomiku tal-Istat fejn megħjun minn xiex?")</f>
        <v>Żvilupp edukattiv u ekonomiku tal-Istat fejn megħjun minn xiex?</v>
      </c>
    </row>
    <row r="1747" ht="15.75" customHeight="1">
      <c r="A1747" s="2" t="s">
        <v>1747</v>
      </c>
      <c r="B1747" s="2" t="str">
        <f>IFERROR(__xludf.DUMMYFUNCTION("GOOGLETRANSLATE(A1747, ""en"", ""mt"")"),"X'inhu mhux ikkontrollat ​​mis-suq u l-ekonomija?")</f>
        <v>X'inhu mhux ikkontrollat ​​mis-suq u l-ekonomija?</v>
      </c>
    </row>
    <row r="1748" ht="15.75" customHeight="1">
      <c r="A1748" s="2" t="s">
        <v>1748</v>
      </c>
      <c r="B1748" s="2" t="str">
        <f>IFERROR(__xludf.DUMMYFUNCTION("GOOGLETRANSLATE(A1748, ""en"", ""mt"")"),"Fl-approċċ tal-kapaċitajiet, it-tkabbir u d-dħul mhumiex meqjusa bħala mezz biex jintemm aktar milli xiex?")</f>
        <v>Fl-approċċ tal-kapaċitajiet, it-tkabbir u d-dħul mhumiex meqjusa bħala mezz biex jintemm aktar milli xiex?</v>
      </c>
    </row>
    <row r="1749" ht="15.75" customHeight="1">
      <c r="A1749" s="2" t="s">
        <v>1749</v>
      </c>
      <c r="B1749" s="2" t="str">
        <f>IFERROR(__xludf.DUMMYFUNCTION("GOOGLETRANSLATE(A1749, ""en"", ""mt"")"),"Liema gwida tiddikjara li l-univeristy ta 'Chicago hija magħrufa għall-ammont kbir ta' xogħol tagħhom u d-diffikultà akkademika tagħhom?")</f>
        <v>Liema gwida tiddikjara li l-univeristy ta 'Chicago hija magħrufa għall-ammont kbir ta' xogħol tagħhom u d-diffikultà akkademika tagħhom?</v>
      </c>
    </row>
    <row r="1750" ht="15.75" customHeight="1">
      <c r="A1750" s="2" t="s">
        <v>1750</v>
      </c>
      <c r="B1750" s="2" t="str">
        <f>IFERROR(__xludf.DUMMYFUNCTION("GOOGLETRANSLATE(A1750, ""en"", ""mt"")"),"Il-Klassi P tal-Kumplessità hija spiss meqjusa bħala astrazzjoni matematika li timmudella dawk il-kompiti tal-komputazzjoni li jammettu algoritmu effiċjenti. Din l-ipoteżi tissejjaħ it-teżi ta 'Cobham-Edmonds. Il-klassi tal-kumplessità NP, min-naħa l-oħra"&amp;", fiha ħafna problemi li n-nies jixtiequ jsolvu b'mod effiċjenti, iżda li għalih ma huwa magħruf l-ebda algoritmu effiċjenti, bħall-problema ta 'sodisfazzjon Boolean, il-problema tal-passaġġ Hamiltonjan u l-problema tal-kopertura tal-vertiċi. Peress li l-"&amp;"magni tat-Turing deterministiċi huma magni speċjali mhux deterministiċi tat-Turing, huwa faċilment osservat li kull problema f'P hija wkoll membru tal-klassi NP.")</f>
        <v>Il-Klassi P tal-Kumplessità hija spiss meqjusa bħala astrazzjoni matematika li timmudella dawk il-kompiti tal-komputazzjoni li jammettu algoritmu effiċjenti. Din l-ipoteżi tissejjaħ it-teżi ta 'Cobham-Edmonds. Il-klassi tal-kumplessità NP, min-naħa l-oħra, fiha ħafna problemi li n-nies jixtiequ jsolvu b'mod effiċjenti, iżda li għalih ma huwa magħruf l-ebda algoritmu effiċjenti, bħall-problema ta 'sodisfazzjon Boolean, il-problema tal-passaġġ Hamiltonjan u l-problema tal-kopertura tal-vertiċi. Peress li l-magni tat-Turing deterministiċi huma magni speċjali mhux deterministiċi tat-Turing, huwa faċilment osservat li kull problema f'P hija wkoll membru tal-klassi NP.</v>
      </c>
    </row>
    <row r="1751" ht="15.75" customHeight="1">
      <c r="A1751" s="2" t="s">
        <v>1751</v>
      </c>
      <c r="B1751" s="2" t="str">
        <f>IFERROR(__xludf.DUMMYFUNCTION("GOOGLETRANSLATE(A1751, ""en"", ""mt"")"),"Fejn kien ibbażat is-Segretarjat Ċentrali?")</f>
        <v>Fejn kien ibbażat is-Segretarjat Ċentrali?</v>
      </c>
    </row>
    <row r="1752" ht="15.75" customHeight="1">
      <c r="A1752" s="2" t="s">
        <v>1752</v>
      </c>
      <c r="B1752" s="2" t="str">
        <f>IFERROR(__xludf.DUMMYFUNCTION("GOOGLETRANSLATE(A1752, ""en"", ""mt"")"),"Nies ta 'liema nazzjonalità vvintaw it-turbina tal-fwar?")</f>
        <v>Nies ta 'liema nazzjonalità vvintaw it-turbina tal-fwar?</v>
      </c>
    </row>
    <row r="1753" ht="15.75" customHeight="1">
      <c r="A1753" s="2" t="s">
        <v>1753</v>
      </c>
      <c r="B1753" s="2" t="str">
        <f>IFERROR(__xludf.DUMMYFUNCTION("GOOGLETRANSLATE(A1753, ""en"", ""mt"")"),"X'inhi ċitokina rari?")</f>
        <v>X'inhi ċitokina rari?</v>
      </c>
    </row>
    <row r="1754" ht="15.75" customHeight="1">
      <c r="A1754" s="2" t="s">
        <v>1754</v>
      </c>
      <c r="B1754" s="2" t="str">
        <f>IFERROR(__xludf.DUMMYFUNCTION("GOOGLETRANSLATE(A1754, ""en"", ""mt"")"),"Kemm idum biex żoni ġodda jkollhom produzzjoni sinifikanti taż-żejt?")</f>
        <v>Kemm idum biex żoni ġodda jkollhom produzzjoni sinifikanti taż-żejt?</v>
      </c>
    </row>
    <row r="1755" ht="15.75" customHeight="1">
      <c r="A1755" s="2" t="s">
        <v>1755</v>
      </c>
      <c r="B1755" s="2" t="str">
        <f>IFERROR(__xludf.DUMMYFUNCTION("GOOGLETRANSLATE(A1755, ""en"", ""mt"")"),"X'kien l-ewwel isem ta 'Twigg?")</f>
        <v>X'kien l-ewwel isem ta 'Twigg?</v>
      </c>
    </row>
    <row r="1756" ht="15.75" customHeight="1">
      <c r="A1756" s="2" t="s">
        <v>1756</v>
      </c>
      <c r="B1756" s="2" t="str">
        <f>IFERROR(__xludf.DUMMYFUNCTION("GOOGLETRANSLATE(A1756, ""en"", ""mt"")"),"Nieuwe Maas")</f>
        <v>Nieuwe Maas</v>
      </c>
    </row>
    <row r="1757" ht="15.75" customHeight="1">
      <c r="A1757" s="2" t="s">
        <v>1757</v>
      </c>
      <c r="B1757" s="2" t="str">
        <f>IFERROR(__xludf.DUMMYFUNCTION("GOOGLETRANSLATE(A1757, ""en"", ""mt"")"),"X'inhu l-livell ta 'inugwaljanza ta' ekonomija li qed tiżviluppa msejħa?")</f>
        <v>X'inhu l-livell ta 'inugwaljanza ta' ekonomija li qed tiżviluppa msejħa?</v>
      </c>
    </row>
    <row r="1758" ht="15.75" customHeight="1">
      <c r="A1758" s="2" t="s">
        <v>1758</v>
      </c>
      <c r="B1758" s="2" t="str">
        <f>IFERROR(__xludf.DUMMYFUNCTION("GOOGLETRANSLATE(A1758, ""en"", ""mt"")"),"muri li għandu soluzzjonijiet aktar effiċjenti")</f>
        <v>muri li għandu soluzzjonijiet aktar effiċjenti</v>
      </c>
    </row>
    <row r="1759" ht="15.75" customHeight="1">
      <c r="A1759" s="2" t="s">
        <v>1759</v>
      </c>
      <c r="B1759" s="2" t="str">
        <f>IFERROR(__xludf.DUMMYFUNCTION("GOOGLETRANSLATE(A1759, ""en"", ""mt"")"),"deċimali rikurrenti")</f>
        <v>deċimali rikurrenti</v>
      </c>
    </row>
    <row r="1760" ht="15.75" customHeight="1">
      <c r="A1760" s="2" t="s">
        <v>1760</v>
      </c>
      <c r="B1760" s="2" t="str">
        <f>IFERROR(__xludf.DUMMYFUNCTION("GOOGLETRANSLATE(A1760, ""en"", ""mt"")"),"ftit jew wisq tond")</f>
        <v>ftit jew wisq tond</v>
      </c>
    </row>
    <row r="1761" ht="15.75" customHeight="1">
      <c r="A1761" s="2" t="s">
        <v>1761</v>
      </c>
      <c r="B1761" s="2" t="str">
        <f>IFERROR(__xludf.DUMMYFUNCTION("GOOGLETRANSLATE(A1761, ""en"", ""mt"")"),"Il-kompetenza tal-Fratellanza Musulmana tqabbel sew ma 'liema tip ta' gvernijiet lokali?")</f>
        <v>Il-kompetenza tal-Fratellanza Musulmana tqabbel sew ma 'liema tip ta' gvernijiet lokali?</v>
      </c>
    </row>
    <row r="1762" ht="15.75" customHeight="1">
      <c r="A1762" s="2" t="s">
        <v>1762</v>
      </c>
      <c r="B1762" s="2" t="str">
        <f>IFERROR(__xludf.DUMMYFUNCTION("GOOGLETRANSLATE(A1762, ""en"", ""mt"")"),"Delta tal-marea")</f>
        <v>Delta tal-marea</v>
      </c>
    </row>
    <row r="1763" ht="15.75" customHeight="1">
      <c r="A1763" s="2" t="s">
        <v>1763</v>
      </c>
      <c r="B1763" s="2" t="str">
        <f>IFERROR(__xludf.DUMMYFUNCTION("GOOGLETRANSLATE(A1763, ""en"", ""mt"")"),"Kemm tunnellata metrika ta 'karbonju huma maħsuba li jinħelsu mill-foresta tropikali tal-Amażonja kull sena?")</f>
        <v>Kemm tunnellata metrika ta 'karbonju huma maħsuba li jinħelsu mill-foresta tropikali tal-Amażonja kull sena?</v>
      </c>
    </row>
    <row r="1764" ht="15.75" customHeight="1">
      <c r="A1764" s="2" t="s">
        <v>1764</v>
      </c>
      <c r="B1764" s="2" t="str">
        <f>IFERROR(__xludf.DUMMYFUNCTION("GOOGLETRANSLATE(A1764, ""en"", ""mt"")"),"Il-BSKYB jista 'jivverifika l-preżenza ta' kanali fuq l-EPG tagħhom?")</f>
        <v>Il-BSKYB jista 'jivverifika l-preżenza ta' kanali fuq l-EPG tagħhom?</v>
      </c>
    </row>
    <row r="1765" ht="15.75" customHeight="1">
      <c r="A1765" s="2" t="s">
        <v>1765</v>
      </c>
      <c r="B1765" s="2" t="str">
        <f>IFERROR(__xludf.DUMMYFUNCTION("GOOGLETRANSLATE(A1765, ""en"", ""mt"")"),"Fejn għexu suldati Ingliżi?")</f>
        <v>Fejn għexu suldati Ingliżi?</v>
      </c>
    </row>
    <row r="1766" ht="15.75" customHeight="1">
      <c r="A1766" s="2" t="s">
        <v>1766</v>
      </c>
      <c r="B1766" s="2" t="str">
        <f>IFERROR(__xludf.DUMMYFUNCTION("GOOGLETRANSLATE(A1766, ""en"", ""mt"")"),"X'inhuma magni li jużaw erba 'stadji ta' espansjoni magħrufa bħala?")</f>
        <v>X'inhuma magni li jużaw erba 'stadji ta' espansjoni magħrufa bħala?</v>
      </c>
    </row>
    <row r="1767" ht="15.75" customHeight="1">
      <c r="A1767" s="2" t="s">
        <v>1767</v>
      </c>
      <c r="B1767" s="2" t="str">
        <f>IFERROR(__xludf.DUMMYFUNCTION("GOOGLETRANSLATE(A1767, ""en"", ""mt"")"),"Memorja attiva fit-tul hija akkwistata wara infezzjoni bl-attivazzjoni taċ-ċelloli B u T. L-immunità attiva tista 'wkoll tiġi ġġenerata artifiċjalment, permezz tat-tilqima. Il-prinċipju wara t-tilqima (imsejjaħ ukoll immunizzazzjoni) huwa li jintroduċi an"&amp;"tiġen minn patoġen sabiex jistimula s-sistema immunitarja u jiżviluppa immunità speċifika kontra dak il-patoġen partikolari mingħajr ma jikkawża marda assoċjata ma 'dak l-organiżmu. Din l-induzzjoni deliberata ta 'rispons immuni hija suċċess minħabba li t"&amp;"isfrutta l-ispeċifiċità naturali tas-sistema immunitarja, kif ukoll l-induċibilità tagħha. Bil-marda infettiva li fadal waħda mill-kawżi ewlenin tal-mewt fil-popolazzjoni umana, it-tilqima tirrappreżenta l-iktar manipulazzjoni effettiva tas-sistema immuni"&amp;" li żviluppa l-umanità.")</f>
        <v>Memorja attiva fit-tul hija akkwistata wara infezzjoni bl-attivazzjoni taċ-ċelloli B u T. L-immunità attiva tista 'wkoll tiġi ġġenerata artifiċjalment, permezz tat-tilqima. Il-prinċipju wara t-tilqima (imsejjaħ ukoll immunizzazzjoni) huwa li jintroduċi antiġen minn patoġen sabiex jistimula s-sistema immunitarja u jiżviluppa immunità speċifika kontra dak il-patoġen partikolari mingħajr ma jikkawża marda assoċjata ma 'dak l-organiżmu. Din l-induzzjoni deliberata ta 'rispons immuni hija suċċess minħabba li tisfrutta l-ispeċifiċità naturali tas-sistema immunitarja, kif ukoll l-induċibilità tagħha. Bil-marda infettiva li fadal waħda mill-kawżi ewlenin tal-mewt fil-popolazzjoni umana, it-tilqima tirrappreżenta l-iktar manipulazzjoni effettiva tas-sistema immuni li żviluppa l-umanità.</v>
      </c>
    </row>
    <row r="1768" ht="15.75" customHeight="1">
      <c r="A1768" s="2" t="s">
        <v>1768</v>
      </c>
      <c r="B1768" s="2" t="str">
        <f>IFERROR(__xludf.DUMMYFUNCTION("GOOGLETRANSLATE(A1768, ""en"", ""mt"")"),"Kemm tiswa biex tidħol għal laqgħa tal-Parlament?")</f>
        <v>Kemm tiswa biex tidħol għal laqgħa tal-Parlament?</v>
      </c>
    </row>
    <row r="1769" ht="15.75" customHeight="1">
      <c r="A1769" s="2" t="s">
        <v>1769</v>
      </c>
      <c r="B1769" s="2" t="str">
        <f>IFERROR(__xludf.DUMMYFUNCTION("GOOGLETRANSLATE(A1769, ""en"", ""mt"")"),"Fil-bidu tas-snin 1950, l-applikazzjonijiet tal-istudenti naqsu bħala riżultat taż-żieda fil-kriminalità u l-faqar fil-viċinat tal-Hyde Park. Bi tweġiba, l-università saret sponsor ewlieni ta 'proġett ta' tiġdid urban kontroversjali għal Hyde Park, li aff"&amp;"ettwa profondament kemm l-arkitettura tal-viċinat kif ukoll il-pjan tat-triq. Matul dan il-perjodu l-università, bħal Shimer College u 10 oħrajn, adottaw programm ta 'parteċipant bikri li ppermetta studenti żgħar ħafna biex jattendu l-kulleġġ; Barra minn "&amp;"hekk, l-istudenti rreġistrati f'Shimer ingħataw it-trasferiment awtomatikament fl-Università ta 'Chicago wara t-tieni sena tagħhom, wara li ħadu eżamijiet u korsijiet komparabbli jew identiċi.")</f>
        <v>Fil-bidu tas-snin 1950, l-applikazzjonijiet tal-istudenti naqsu bħala riżultat taż-żieda fil-kriminalità u l-faqar fil-viċinat tal-Hyde Park. Bi tweġiba, l-università saret sponsor ewlieni ta 'proġett ta' tiġdid urban kontroversjali għal Hyde Park, li affettwa profondament kemm l-arkitettura tal-viċinat kif ukoll il-pjan tat-triq. Matul dan il-perjodu l-università, bħal Shimer College u 10 oħrajn, adottaw programm ta 'parteċipant bikri li ppermetta studenti żgħar ħafna biex jattendu l-kulleġġ; Barra minn hekk, l-istudenti rreġistrati f'Shimer ingħataw it-trasferiment awtomatikament fl-Università ta 'Chicago wara t-tieni sena tagħhom, wara li ħadu eżamijiet u korsijiet komparabbli jew identiċi.</v>
      </c>
    </row>
    <row r="1770" ht="15.75" customHeight="1">
      <c r="A1770" s="2" t="s">
        <v>1770</v>
      </c>
      <c r="B1770" s="2" t="str">
        <f>IFERROR(__xludf.DUMMYFUNCTION("GOOGLETRANSLATE(A1770, ""en"", ""mt"")"),"William II")</f>
        <v>William II</v>
      </c>
    </row>
    <row r="1771" ht="15.75" customHeight="1">
      <c r="A1771" s="2" t="s">
        <v>1771</v>
      </c>
      <c r="B1771" s="2" t="str">
        <f>IFERROR(__xludf.DUMMYFUNCTION("GOOGLETRANSLATE(A1771, ""en"", ""mt"")"),"X'inhu l-isem tal-lukanda li ġiet imsejħa mill-ġdid il-Grand 1401?")</f>
        <v>X'inhu l-isem tal-lukanda li ġiet imsejħa mill-ġdid il-Grand 1401?</v>
      </c>
    </row>
    <row r="1772" ht="15.75" customHeight="1">
      <c r="A1772" s="2" t="s">
        <v>1772</v>
      </c>
      <c r="B1772" s="2" t="str">
        <f>IFERROR(__xludf.DUMMYFUNCTION("GOOGLETRANSLATE(A1772, ""en"", ""mt"")"),"Amazon_rainforest")</f>
        <v>Amazon_rainforest</v>
      </c>
    </row>
    <row r="1773" ht="15.75" customHeight="1">
      <c r="A1773" s="2" t="s">
        <v>1773</v>
      </c>
      <c r="B1773" s="2" t="str">
        <f>IFERROR(__xludf.DUMMYFUNCTION("GOOGLETRANSLATE(A1773, ""en"", ""mt"")"),"kordi ideali li huma bla massa")</f>
        <v>kordi ideali li huma bla massa</v>
      </c>
    </row>
    <row r="1774" ht="15.75" customHeight="1">
      <c r="A1774" s="2" t="s">
        <v>1774</v>
      </c>
      <c r="B1774" s="2" t="str">
        <f>IFERROR(__xludf.DUMMYFUNCTION("GOOGLETRANSLATE(A1774, ""en"", ""mt"")"),"Minbarra s-snin 1980, f'liema għaxar snin żviluppaw il-biċċa l-kbira tal-kontej ta 'San Bernardino u Riverside?")</f>
        <v>Minbarra s-snin 1980, f'liema għaxar snin żviluppaw il-biċċa l-kbira tal-kontej ta 'San Bernardino u Riverside?</v>
      </c>
    </row>
    <row r="1775" ht="15.75" customHeight="1">
      <c r="A1775" s="2" t="s">
        <v>1775</v>
      </c>
      <c r="B1775" s="2" t="str">
        <f>IFERROR(__xludf.DUMMYFUNCTION("GOOGLETRANSLATE(A1775, ""en"", ""mt"")"),"Hmong jew Laotian")</f>
        <v>Hmong jew Laotian</v>
      </c>
    </row>
    <row r="1776" ht="15.75" customHeight="1">
      <c r="A1776" s="2" t="s">
        <v>1776</v>
      </c>
      <c r="B1776" s="2" t="str">
        <f>IFERROR(__xludf.DUMMYFUNCTION("GOOGLETRANSLATE(A1776, ""en"", ""mt"")"),"Monarka")</f>
        <v>Monarka</v>
      </c>
    </row>
    <row r="1777" ht="15.75" customHeight="1">
      <c r="A1777" s="2" t="s">
        <v>1777</v>
      </c>
      <c r="B1777" s="2" t="str">
        <f>IFERROR(__xludf.DUMMYFUNCTION("GOOGLETRANSLATE(A1777, ""en"", ""mt"")"),"X'inhi l-karriera ta 'Raghuram Rajan?")</f>
        <v>X'inhi l-karriera ta 'Raghuram Rajan?</v>
      </c>
    </row>
    <row r="1778" ht="15.75" customHeight="1">
      <c r="A1778" s="2" t="s">
        <v>1778</v>
      </c>
      <c r="B1778" s="2" t="str">
        <f>IFERROR(__xludf.DUMMYFUNCTION("GOOGLETRANSLATE(A1778, ""en"", ""mt"")"),"Fruntiera tal-Istati Uniti tal-Messiku")</f>
        <v>Fruntiera tal-Istati Uniti tal-Messiku</v>
      </c>
    </row>
    <row r="1779" ht="15.75" customHeight="1">
      <c r="A1779" s="2" t="s">
        <v>1779</v>
      </c>
      <c r="B1779" s="2" t="str">
        <f>IFERROR(__xludf.DUMMYFUNCTION("GOOGLETRANSLATE(A1779, ""en"", ""mt"")"),"Mis-sokits tas-snien fl-iskeletri tal-bniedem")</f>
        <v>Mis-sokits tas-snien fl-iskeletri tal-bniedem</v>
      </c>
    </row>
    <row r="1780" ht="15.75" customHeight="1">
      <c r="A1780" s="2" t="s">
        <v>1780</v>
      </c>
      <c r="B1780" s="2" t="str">
        <f>IFERROR(__xludf.DUMMYFUNCTION("GOOGLETRANSLATE(A1780, ""en"", ""mt"")"),"Xi nies jiddeskrivu dak bejn individwi jew gruppi bħala imperjalizmu jew kolonjaliżmu?")</f>
        <v>Xi nies jiddeskrivu dak bejn individwi jew gruppi bħala imperjalizmu jew kolonjaliżmu?</v>
      </c>
    </row>
    <row r="1781" ht="15.75" customHeight="1">
      <c r="A1781" s="2" t="s">
        <v>1781</v>
      </c>
      <c r="B1781" s="2" t="str">
        <f>IFERROR(__xludf.DUMMYFUNCTION("GOOGLETRANSLATE(A1781, ""en"", ""mt"")"),"Chen's")</f>
        <v>Chen's</v>
      </c>
    </row>
    <row r="1782" ht="15.75" customHeight="1">
      <c r="A1782" s="2" t="s">
        <v>1782</v>
      </c>
      <c r="B1782" s="2" t="str">
        <f>IFERROR(__xludf.DUMMYFUNCTION("GOOGLETRANSLATE(A1782, ""en"", ""mt"")"),"Differenzi Nazzjonalisti")</f>
        <v>Differenzi Nazzjonalisti</v>
      </c>
    </row>
    <row r="1783" ht="15.75" customHeight="1">
      <c r="A1783" s="2" t="s">
        <v>1783</v>
      </c>
      <c r="B1783" s="2" t="str">
        <f>IFERROR(__xludf.DUMMYFUNCTION("GOOGLETRANSLATE(A1783, ""en"", ""mt"")"),"Obbligatament anerobiku")</f>
        <v>Obbligatament anerobiku</v>
      </c>
    </row>
    <row r="1784" ht="15.75" customHeight="1">
      <c r="A1784" s="2" t="s">
        <v>1784</v>
      </c>
      <c r="B1784" s="2" t="str">
        <f>IFERROR(__xludf.DUMMYFUNCTION("GOOGLETRANSLATE(A1784, ""en"", ""mt"")"),"IPCC")</f>
        <v>IPCC</v>
      </c>
    </row>
    <row r="1785" ht="15.75" customHeight="1">
      <c r="A1785" s="2" t="s">
        <v>1785</v>
      </c>
      <c r="B1785" s="2" t="str">
        <f>IFERROR(__xludf.DUMMYFUNCTION("GOOGLETRANSLATE(A1785, ""en"", ""mt"")"),"Min kien Frederic Wola?")</f>
        <v>Min kien Frederic Wola?</v>
      </c>
    </row>
    <row r="1786" ht="15.75" customHeight="1">
      <c r="A1786" s="2" t="s">
        <v>1786</v>
      </c>
      <c r="B1786" s="2" t="str">
        <f>IFERROR(__xludf.DUMMYFUNCTION("GOOGLETRANSLATE(A1786, ""en"", ""mt"")"),"Liema karatteristika dovuta l-biċċa l-kbira tal-oġġetti juru wara l-ħruq?")</f>
        <v>Liema karatteristika dovuta l-biċċa l-kbira tal-oġġetti juru wara l-ħruq?</v>
      </c>
    </row>
    <row r="1787" ht="15.75" customHeight="1">
      <c r="A1787" s="2" t="s">
        <v>1787</v>
      </c>
      <c r="B1787" s="2" t="str">
        <f>IFERROR(__xludf.DUMMYFUNCTION("GOOGLETRANSLATE(A1787, ""en"", ""mt"")"),"Dak li jinkludi termini ta 'pressjoni meta tikkalkula żona fil-volum?")</f>
        <v>Dak li jinkludi termini ta 'pressjoni meta tikkalkula żona fil-volum?</v>
      </c>
    </row>
    <row r="1788" ht="15.75" customHeight="1">
      <c r="A1788" s="2" t="s">
        <v>1788</v>
      </c>
      <c r="B1788" s="2" t="str">
        <f>IFERROR(__xludf.DUMMYFUNCTION("GOOGLETRANSLATE(A1788, ""en"", ""mt"")"),"Sky_ (United_Kingdom)")</f>
        <v>Sky_ (United_Kingdom)</v>
      </c>
    </row>
    <row r="1789" ht="15.75" customHeight="1">
      <c r="A1789" s="2" t="s">
        <v>1789</v>
      </c>
      <c r="B1789" s="2" t="str">
        <f>IFERROR(__xludf.DUMMYFUNCTION("GOOGLETRANSLATE(A1789, ""en"", ""mt"")"),"X'kienet l-akbar reliġjon fil-Quebec?")</f>
        <v>X'kienet l-akbar reliġjon fil-Quebec?</v>
      </c>
    </row>
    <row r="1790" ht="15.75" customHeight="1">
      <c r="A1790" s="2" t="s">
        <v>1790</v>
      </c>
      <c r="B1790" s="2" t="str">
        <f>IFERROR(__xludf.DUMMYFUNCTION("GOOGLETRANSLATE(A1790, ""en"", ""mt"")"),"X’wassal għat-turiżmu ta ’Jacksonville li jkun inqas mixtieq matul is-snin 1900?")</f>
        <v>X’wassal għat-turiżmu ta ’Jacksonville li jkun inqas mixtieq matul is-snin 1900?</v>
      </c>
    </row>
    <row r="1791" ht="15.75" customHeight="1">
      <c r="A1791" s="2" t="s">
        <v>1791</v>
      </c>
      <c r="B1791" s="2" t="str">
        <f>IFERROR(__xludf.DUMMYFUNCTION("GOOGLETRANSLATE(A1791, ""en"", ""mt"")"),"F’xi żoni rurali fir-Renju Unit, hemm tobba li jqassmu li huma permessi kemm jippreskrivu u jwarrbu mediċini biss għall-preskrizzjoni lill-pazjenti tagħhom minn ġewwa l-prattiki tagħhom. Il-liġi tirrikjedi li l-prattika tal-GP tkun tinsab f'żona rurali no"&amp;"minata u li hemm ukoll distanza minima speċifikata (bħalissa 1.6 kilometri) bejn id-dar tal-pazjent u l-eqreb spiżerija bl-imnut. Din il-liġi teżisti wkoll fl-Awstrija għal tobba ġenerali jekk l-eqreb farmaċija tkun aktar minn 4 kilometri 'l bogħod, jew f"&amp;"ejn l-ebda waħda hija rreġistrata fil-belt.")</f>
        <v>F’xi żoni rurali fir-Renju Unit, hemm tobba li jqassmu li huma permessi kemm jippreskrivu u jwarrbu mediċini biss għall-preskrizzjoni lill-pazjenti tagħhom minn ġewwa l-prattiki tagħhom. Il-liġi tirrikjedi li l-prattika tal-GP tkun tinsab f'żona rurali nominata u li hemm ukoll distanza minima speċifikata (bħalissa 1.6 kilometri) bejn id-dar tal-pazjent u l-eqreb spiżerija bl-imnut. Din il-liġi teżisti wkoll fl-Awstrija għal tobba ġenerali jekk l-eqreb farmaċija tkun aktar minn 4 kilometri 'l bogħod, jew fejn l-ebda waħda hija rreġistrata fil-belt.</v>
      </c>
    </row>
    <row r="1792" ht="15.75" customHeight="1">
      <c r="A1792" s="2" t="s">
        <v>1792</v>
      </c>
      <c r="B1792" s="2" t="str">
        <f>IFERROR(__xludf.DUMMYFUNCTION("GOOGLETRANSLATE(A1792, ""en"", ""mt"")"),"B'liema proċess isir l-ossiġnu singlet fit-tropophere?")</f>
        <v>B'liema proċess isir l-ossiġnu singlet fit-tropophere?</v>
      </c>
    </row>
    <row r="1793" ht="15.75" customHeight="1">
      <c r="A1793" s="2" t="s">
        <v>1793</v>
      </c>
      <c r="B1793" s="2" t="str">
        <f>IFERROR(__xludf.DUMMYFUNCTION("GOOGLETRANSLATE(A1793, ""en"", ""mt"")"),"Liema ktieb kien ippubblikat is-seba 'lezzjonijiet Ingliżi ta' Iqbal?")</f>
        <v>Liema ktieb kien ippubblikat is-seba 'lezzjonijiet Ingliżi ta' Iqbal?</v>
      </c>
    </row>
    <row r="1794" ht="15.75" customHeight="1">
      <c r="A1794" s="2" t="s">
        <v>1794</v>
      </c>
      <c r="B1794" s="2" t="str">
        <f>IFERROR(__xludf.DUMMYFUNCTION("GOOGLETRANSLATE(A1794, ""en"", ""mt"")"),"Trespassing f'installazzjoni ta 'missili nukleari")</f>
        <v>Trespassing f'installazzjoni ta 'missili nukleari</v>
      </c>
    </row>
    <row r="1795" ht="15.75" customHeight="1">
      <c r="A1795" s="2" t="s">
        <v>1795</v>
      </c>
      <c r="B1795" s="2" t="str">
        <f>IFERROR(__xludf.DUMMYFUNCTION("GOOGLETRANSLATE(A1795, ""en"", ""mt"")"),"Il-liġi ta 'min għamlet il-mistrieħ fiżikament indistingwibbli minn veloċità kostanti żero?")</f>
        <v>Il-liġi ta 'min għamlet il-mistrieħ fiżikament indistingwibbli minn veloċità kostanti żero?</v>
      </c>
    </row>
    <row r="1796" ht="15.75" customHeight="1">
      <c r="A1796" s="2" t="s">
        <v>1796</v>
      </c>
      <c r="B1796" s="2" t="str">
        <f>IFERROR(__xludf.DUMMYFUNCTION("GOOGLETRANSLATE(A1796, ""en"", ""mt"")"),"ġurnalist")</f>
        <v>ġurnalist</v>
      </c>
    </row>
    <row r="1797" ht="15.75" customHeight="1">
      <c r="A1797" s="2" t="s">
        <v>1797</v>
      </c>
      <c r="B1797" s="2" t="str">
        <f>IFERROR(__xludf.DUMMYFUNCTION("GOOGLETRANSLATE(A1797, ""en"", ""mt"")"),"Biex testendi l-benefiċċji tan-netwerking")</f>
        <v>Biex testendi l-benefiċċji tan-netwerking</v>
      </c>
    </row>
    <row r="1798" ht="15.75" customHeight="1">
      <c r="A1798" s="2" t="s">
        <v>1798</v>
      </c>
      <c r="B1798" s="2" t="str">
        <f>IFERROR(__xludf.DUMMYFUNCTION("GOOGLETRANSLATE(A1798, ""en"", ""mt"")"),"Bħala protesta")</f>
        <v>Bħala protesta</v>
      </c>
    </row>
    <row r="1799" ht="15.75" customHeight="1">
      <c r="A1799" s="2" t="s">
        <v>1799</v>
      </c>
      <c r="B1799" s="2" t="str">
        <f>IFERROR(__xludf.DUMMYFUNCTION("GOOGLETRANSLATE(A1799, ""en"", ""mt"")"),"X'inhuma maħsuba bħala teknoloġija prattika tal-komputazzjoni?")</f>
        <v>X'inhuma maħsuba bħala teknoloġija prattika tal-komputazzjoni?</v>
      </c>
    </row>
    <row r="1800" ht="15.75" customHeight="1">
      <c r="A1800" s="2" t="s">
        <v>1800</v>
      </c>
      <c r="B1800" s="2" t="str">
        <f>IFERROR(__xludf.DUMMYFUNCTION("GOOGLETRANSLATE(A1800, ""en"", ""mt"")"),"Kemm inqas il-fwar uża l-magna Corliss meta mqabbel mal-magna Watt?")</f>
        <v>Kemm inqas il-fwar uża l-magna Corliss meta mqabbel mal-magna Watt?</v>
      </c>
    </row>
    <row r="1801" ht="15.75" customHeight="1">
      <c r="A1801" s="2" t="s">
        <v>1801</v>
      </c>
      <c r="B1801" s="2" t="str">
        <f>IFERROR(__xludf.DUMMYFUNCTION("GOOGLETRANSLATE(A1801, ""en"", ""mt"")"),"X'inhu l-isem tas-sistema ta 'ġirja tat-TV li tuża BSKYB?")</f>
        <v>X'inhu l-isem tas-sistema ta 'ġirja tat-TV li tuża BSKYB?</v>
      </c>
    </row>
    <row r="1802" ht="15.75" customHeight="1">
      <c r="A1802" s="2" t="s">
        <v>1802</v>
      </c>
      <c r="B1802" s="2" t="str">
        <f>IFERROR(__xludf.DUMMYFUNCTION("GOOGLETRANSLATE(A1802, ""en"", ""mt"")"),"għant")</f>
        <v>għant</v>
      </c>
    </row>
    <row r="1803" ht="15.75" customHeight="1">
      <c r="A1803" s="2" t="s">
        <v>1803</v>
      </c>
      <c r="B1803" s="2" t="str">
        <f>IFERROR(__xludf.DUMMYFUNCTION("GOOGLETRANSLATE(A1803, ""en"", ""mt"")"),"X'inhu t-tieni port kummerċjali l-aktar faċli ta 'l-Istati Uniti?")</f>
        <v>X'inhu t-tieni port kummerċjali l-aktar faċli ta 'l-Istati Uniti?</v>
      </c>
    </row>
    <row r="1804" ht="15.75" customHeight="1">
      <c r="A1804" s="2" t="s">
        <v>1804</v>
      </c>
      <c r="B1804" s="2" t="str">
        <f>IFERROR(__xludf.DUMMYFUNCTION("GOOGLETRANSLATE(A1804, ""en"", ""mt"")"),"Il-liberalizzazzjoni tal-kummerċ tista 'tbiddel l-inugwaljanza ekonomika minn skala globali għal domestika. Meta pajjiżi sinjuri jinnegozjaw ma 'pajjiżi foqra, il-ħaddiema b'ħiliet baxxi fil-pajjiżi sinjuri jistgħu jaraw pagi mnaqqsa bħala riżultat tal-ko"&amp;"mpetizzjoni, filwaqt li ħaddiema b'ħiliet baxxi fil-pajjiżi foqra jistgħu jaraw żieda fil-pagi. L-ekonomista tal-kummerċ Paul Krugman jistma li l-liberalizzazzjoni tal-kummerċ kellha effett li jista 'jitkejjel fuq l-inugwaljanza dejjem tikber fl-Istati Un"&amp;"iti. Huwa jattribwixxi din ix-xejra għal żieda fil-kummerċ ma 'pajjiżi foqra u l-frammentazzjoni tal-mezzi ta' produzzjoni, li tirriżulta f'impjiegi b'ħiliet baxxi jsiru aktar kummerċjabbli. Madankollu, huwa jammetti li l-effett tal-kummerċ fuq l-inugwalj"&amp;"anza fl-Amerika huwa minuri meta mqabbel ma 'kawżi oħra, bħal innovazzjoni teknoloġika, fehma maqsuma minn esperti oħra. L-ekonomisti empiriċi Max Roser u Jesus Crespo-Cuaresma jsibu appoġġ fid-dejta li l-kummerċ internazzjonali qed iżid l-inugwaljanza fi"&amp;"d-dħul. Huma jikkonfermaw b'mod empiriku l-previżjonijiet tat-teorema ta 'Stolper - Samuelson rigward l-effetti tal-kummerċ internazzjonali fuq id-distribuzzjoni tad-dħul. Lawrence Katz jistma li l-kummerċ kien jirrappreżenta biss 5-15% tal-inugwaljanza t"&amp;"ad-dħul dejjem tiżdied. Robert Lawrence jargumenta li l-innovazzjoni u l-awtomazzjoni teknoloġika fissru li impjiegi b'ħiliet baxxi ġew sostitwiti minn xogħol tal-magni f'pajjiżi sinjuri, u li pajjiżi aktar sinjuri m'għadx għandhom numru sinifikanti ta 'ħ"&amp;"addiema tal-manifattura b'ħiliet baxxi li jistgħu jiġu affettwati mill-kompetizzjoni minn pajjiżi foqra.")</f>
        <v>Il-liberalizzazzjoni tal-kummerċ tista 'tbiddel l-inugwaljanza ekonomika minn skala globali għal domestika. Meta pajjiżi sinjuri jinnegozjaw ma 'pajjiżi foqra, il-ħaddiema b'ħiliet baxxi fil-pajjiżi sinjuri jistgħu jaraw pagi mnaqqsa bħala riżultat tal-kompetizzjoni, filwaqt li ħaddiema b'ħiliet baxxi fil-pajjiżi foqra jistgħu jaraw żieda fil-pagi. L-ekonomista tal-kummerċ Paul Krugman jistma li l-liberalizzazzjoni tal-kummerċ kellha effett li jista 'jitkejjel fuq l-inugwaljanza dejjem tikber fl-Istati Uniti. Huwa jattribwixxi din ix-xejra għal żieda fil-kummerċ ma 'pajjiżi foqra u l-frammentazzjoni tal-mezzi ta' produzzjoni, li tirriżulta f'impjiegi b'ħiliet baxxi jsiru aktar kummerċjabbli. Madankollu, huwa jammetti li l-effett tal-kummerċ fuq l-inugwaljanza fl-Amerika huwa minuri meta mqabbel ma 'kawżi oħra, bħal innovazzjoni teknoloġika, fehma maqsuma minn esperti oħra. L-ekonomisti empiriċi Max Roser u Jesus Crespo-Cuaresma jsibu appoġġ fid-dejta li l-kummerċ internazzjonali qed iżid l-inugwaljanza fid-dħul. Huma jikkonfermaw b'mod empiriku l-previżjonijiet tat-teorema ta 'Stolper - Samuelson rigward l-effetti tal-kummerċ internazzjonali fuq id-distribuzzjoni tad-dħul. Lawrence Katz jistma li l-kummerċ kien jirrappreżenta biss 5-15% tal-inugwaljanza tad-dħul dejjem tiżdied. Robert Lawrence jargumenta li l-innovazzjoni u l-awtomazzjoni teknoloġika fissru li impjiegi b'ħiliet baxxi ġew sostitwiti minn xogħol tal-magni f'pajjiżi sinjuri, u li pajjiżi aktar sinjuri m'għadx għandhom numru sinifikanti ta 'ħaddiema tal-manifattura b'ħiliet baxxi li jistgħu jiġu affettwati mill-kompetizzjoni minn pajjiżi foqra.</v>
      </c>
    </row>
    <row r="1805" ht="15.75" customHeight="1">
      <c r="A1805" s="2" t="s">
        <v>1805</v>
      </c>
      <c r="B1805" s="2" t="str">
        <f>IFERROR(__xludf.DUMMYFUNCTION("GOOGLETRANSLATE(A1805, ""en"", ""mt"")"),"Novembru 1979")</f>
        <v>Novembru 1979</v>
      </c>
    </row>
    <row r="1806" ht="15.75" customHeight="1">
      <c r="A1806" s="2" t="s">
        <v>1806</v>
      </c>
      <c r="B1806" s="2" t="str">
        <f>IFERROR(__xludf.DUMMYFUNCTION("GOOGLETRANSLATE(A1806, ""en"", ""mt"")"),"Diviżjoni III tal-NCAA")</f>
        <v>Diviżjoni III tal-NCAA</v>
      </c>
    </row>
    <row r="1807" ht="15.75" customHeight="1">
      <c r="A1807" s="2" t="s">
        <v>1807</v>
      </c>
      <c r="B1807" s="2" t="str">
        <f>IFERROR(__xludf.DUMMYFUNCTION("GOOGLETRANSLATE(A1807, ""en"", ""mt"")"),"X'inhu t-Trattat dwar it-Tibdil fil-Klima tan-NU?")</f>
        <v>X'inhu t-Trattat dwar it-Tibdil fil-Klima tan-NU?</v>
      </c>
    </row>
    <row r="1808" ht="15.75" customHeight="1">
      <c r="A1808" s="2" t="s">
        <v>1808</v>
      </c>
      <c r="B1808" s="2" t="str">
        <f>IFERROR(__xludf.DUMMYFUNCTION("GOOGLETRANSLATE(A1808, ""en"", ""mt"")"),"X'tip ta 'mġieba fil-primes huwa possibbli li tiddetermina?")</f>
        <v>X'tip ta 'mġieba fil-primes huwa possibbli li tiddetermina?</v>
      </c>
    </row>
    <row r="1809" ht="15.75" customHeight="1">
      <c r="A1809" s="2" t="s">
        <v>1809</v>
      </c>
      <c r="B1809" s="2" t="str">
        <f>IFERROR(__xludf.DUMMYFUNCTION("GOOGLETRANSLATE(A1809, ""en"", ""mt"")"),"5,500,000")</f>
        <v>5,500,000</v>
      </c>
    </row>
    <row r="1810" ht="15.75" customHeight="1">
      <c r="A1810" s="2" t="s">
        <v>1810</v>
      </c>
      <c r="B1810" s="2" t="str">
        <f>IFERROR(__xludf.DUMMYFUNCTION("GOOGLETRANSLATE(A1810, ""en"", ""mt"")"),"VBNS installa waħda mill-ewwel produzzjoni ta ’links IP OC-48C (2.5 GBIT / S) fi Frar 1999 u kompliet taġġorna s-sinsla kollha għal OC-48C")</f>
        <v>VBNS installa waħda mill-ewwel produzzjoni ta ’links IP OC-48C (2.5 GBIT / S) fi Frar 1999 u kompliet taġġorna s-sinsla kollha għal OC-48C</v>
      </c>
    </row>
    <row r="1811" ht="15.75" customHeight="1">
      <c r="A1811" s="2" t="s">
        <v>1811</v>
      </c>
      <c r="B1811" s="2" t="str">
        <f>IFERROR(__xludf.DUMMYFUNCTION("GOOGLETRANSLATE(A1811, ""en"", ""mt"")"),"Għaliex il-klijenti ma jistgħux jordnaw mill-ispiżeriji tal-internet?")</f>
        <v>Għaliex il-klijenti ma jistgħux jordnaw mill-ispiżeriji tal-internet?</v>
      </c>
    </row>
    <row r="1812" ht="15.75" customHeight="1">
      <c r="A1812" s="2" t="s">
        <v>1812</v>
      </c>
      <c r="B1812" s="2" t="str">
        <f>IFERROR(__xludf.DUMMYFUNCTION("GOOGLETRANSLATE(A1812, ""en"", ""mt"")"),"L-Ekonomija tad-Dinja")</f>
        <v>L-Ekonomija tad-Dinja</v>
      </c>
    </row>
    <row r="1813" ht="15.75" customHeight="1">
      <c r="A1813" s="2" t="s">
        <v>1813</v>
      </c>
      <c r="B1813" s="2" t="str">
        <f>IFERROR(__xludf.DUMMYFUNCTION("GOOGLETRANSLATE(A1813, ""en"", ""mt"")"),"Liema proprjetà tas-Serje Armonika 1 + 1/2 + 1/3 +1/4 ... turi li hemm numru infinit ta 'bażijiet?")</f>
        <v>Liema proprjetà tas-Serje Armonika 1 + 1/2 + 1/3 +1/4 ... turi li hemm numru infinit ta 'bażijiet?</v>
      </c>
    </row>
    <row r="1814" ht="15.75" customHeight="1">
      <c r="A1814" s="2" t="s">
        <v>1814</v>
      </c>
      <c r="B1814" s="2" t="str">
        <f>IFERROR(__xludf.DUMMYFUNCTION("GOOGLETRANSLATE(A1814, ""en"", ""mt"")"),"Taħdem permezz tal-Modernist Tork Mustafa Kemal Atatürk")</f>
        <v>Taħdem permezz tal-Modernist Tork Mustafa Kemal Atatürk</v>
      </c>
    </row>
    <row r="1815" ht="15.75" customHeight="1">
      <c r="A1815" s="2" t="s">
        <v>1815</v>
      </c>
      <c r="B1815" s="2" t="str">
        <f>IFERROR(__xludf.DUMMYFUNCTION("GOOGLETRANSLATE(A1815, ""en"", ""mt"")"),"Università ta ’Florida tat-Tramuntana")</f>
        <v>Università ta ’Florida tat-Tramuntana</v>
      </c>
    </row>
    <row r="1816" ht="15.75" customHeight="1">
      <c r="A1816" s="2" t="s">
        <v>1816</v>
      </c>
      <c r="B1816" s="2" t="str">
        <f>IFERROR(__xludf.DUMMYFUNCTION("GOOGLETRANSLATE(A1816, ""en"", ""mt"")")," L-Ingliż ħaseb li jġib x’jista ’jgħolli reġjuni oħra?")</f>
        <v> L-Ingliż ħaseb li jġib x’jista ’jgħolli reġjuni oħra?</v>
      </c>
    </row>
    <row r="1817" ht="15.75" customHeight="1">
      <c r="A1817" s="2" t="s">
        <v>1817</v>
      </c>
      <c r="B1817" s="2" t="str">
        <f>IFERROR(__xludf.DUMMYFUNCTION("GOOGLETRANSLATE(A1817, ""en"", ""mt"")"),"Loudoun")</f>
        <v>Loudoun</v>
      </c>
    </row>
    <row r="1818" ht="15.75" customHeight="1">
      <c r="A1818" s="2" t="s">
        <v>1818</v>
      </c>
      <c r="B1818" s="2" t="str">
        <f>IFERROR(__xludf.DUMMYFUNCTION("GOOGLETRANSLATE(A1818, ""en"", ""mt"")"),"X'inhi kundizzjoni li tikkawża immunodefiċjenza?")</f>
        <v>X'inhi kundizzjoni li tikkawża immunodefiċjenza?</v>
      </c>
    </row>
    <row r="1819" ht="15.75" customHeight="1">
      <c r="A1819" s="2" t="s">
        <v>1819</v>
      </c>
      <c r="B1819" s="2" t="str">
        <f>IFERROR(__xludf.DUMMYFUNCTION("GOOGLETRANSLATE(A1819, ""en"", ""mt"")"),"X'kien assorbit fil-lingwa Anglo-Norman?")</f>
        <v>X'kien assorbit fil-lingwa Anglo-Norman?</v>
      </c>
    </row>
    <row r="1820" ht="15.75" customHeight="1">
      <c r="A1820" s="2" t="s">
        <v>1820</v>
      </c>
      <c r="B1820" s="2" t="str">
        <f>IFERROR(__xludf.DUMMYFUNCTION("GOOGLETRANSLATE(A1820, ""en"", ""mt"")"),"id-dettalji speċifiċi tal-mudell tal-komputazzjoni użat")</f>
        <v>id-dettalji speċifiċi tal-mudell tal-komputazzjoni użat</v>
      </c>
    </row>
    <row r="1821" ht="15.75" customHeight="1">
      <c r="A1821" s="2" t="s">
        <v>1821</v>
      </c>
      <c r="B1821" s="2" t="str">
        <f>IFERROR(__xludf.DUMMYFUNCTION("GOOGLETRANSLATE(A1821, ""en"", ""mt"")"),"X'tip ta 'intraprenditorija twassal għal rigressjoni fit-teknoloġija?")</f>
        <v>X'tip ta 'intraprenditorija twassal għal rigressjoni fit-teknoloġija?</v>
      </c>
    </row>
    <row r="1822" ht="15.75" customHeight="1">
      <c r="A1822" s="2" t="s">
        <v>1822</v>
      </c>
      <c r="B1822" s="2" t="str">
        <f>IFERROR(__xludf.DUMMYFUNCTION("GOOGLETRANSLATE(A1822, ""en"", ""mt"")"),"Pol Mokotowskie")</f>
        <v>Pol Mokotowskie</v>
      </c>
    </row>
    <row r="1823" ht="15.75" customHeight="1">
      <c r="A1823" s="2" t="s">
        <v>1823</v>
      </c>
      <c r="B1823" s="2" t="str">
        <f>IFERROR(__xludf.DUMMYFUNCTION("GOOGLETRANSLATE(A1823, ""en"", ""mt"")"),"F'liema sena nbniet il-librerija D'Angelo u Rika?")</f>
        <v>F'liema sena nbniet il-librerija D'Angelo u Rika?</v>
      </c>
    </row>
    <row r="1824" ht="15.75" customHeight="1">
      <c r="A1824" s="2" t="s">
        <v>1824</v>
      </c>
      <c r="B1824" s="2" t="str">
        <f>IFERROR(__xludf.DUMMYFUNCTION("GOOGLETRANSLATE(A1824, ""en"", ""mt"")"),"Meta twaqqfet il-Fratellanza Mhux Musulmana?")</f>
        <v>Meta twaqqfet il-Fratellanza Mhux Musulmana?</v>
      </c>
    </row>
    <row r="1825" ht="15.75" customHeight="1">
      <c r="A1825" s="2" t="s">
        <v>1825</v>
      </c>
      <c r="B1825" s="2" t="str">
        <f>IFERROR(__xludf.DUMMYFUNCTION("GOOGLETRANSLATE(A1825, ""en"", ""mt"")"),"X'inhu eżempju ta 'sustanza kkontrollata?")</f>
        <v>X'inhu eżempju ta 'sustanza kkontrollata?</v>
      </c>
    </row>
    <row r="1826" ht="15.75" customHeight="1">
      <c r="A1826" s="2" t="s">
        <v>1826</v>
      </c>
      <c r="B1826" s="2" t="str">
        <f>IFERROR(__xludf.DUMMYFUNCTION("GOOGLETRANSLATE(A1826, ""en"", ""mt"")"),"Fejn kien il-Franċiż bil-quddiem?")</f>
        <v>Fejn kien il-Franċiż bil-quddiem?</v>
      </c>
    </row>
    <row r="1827" ht="15.75" customHeight="1">
      <c r="A1827" s="2" t="s">
        <v>1827</v>
      </c>
      <c r="B1827" s="2" t="str">
        <f>IFERROR(__xludf.DUMMYFUNCTION("GOOGLETRANSLATE(A1827, ""en"", ""mt"")"),"Artikolu 66")</f>
        <v>Artikolu 66</v>
      </c>
    </row>
    <row r="1828" ht="15.75" customHeight="1">
      <c r="A1828" s="2" t="s">
        <v>1828</v>
      </c>
      <c r="B1828" s="2" t="str">
        <f>IFERROR(__xludf.DUMMYFUNCTION("GOOGLETRANSLATE(A1828, ""en"", ""mt"")"),"Għat-tliet mitt sena li ġejjin, l-Iskozja kienet direttament regolata mill-Parlament tal-Gran Brittanja u l-Parlament Sussegwenti tar-Renju Unit, it-tnejn bilqiegħda f'Westminster, u n-nuqqas ta 'Parlament ta' l-Iskozja baqa 'element importanti fl-identit"&amp;"à nazzjonali Skoċċiża. Suġġerimenti għal parlament 'devolut' saru qabel l-1914, iżda ġew imkabbra minħabba t-tifqigħa tal-Ewwel Gwerra Dinjija. Żieda qawwija fin-nazzjonaliżmu fl-Iskozja matul l-aħħar tas-snin 1960 xprunat it-talbiet għal xi forma ta 'reg"&amp;"ola tad-dar jew indipendenza sħiħa, u fl-1969 wasslet lill-gvern Laburista eżistenti ta' Harold Wilson biex iwaqqaf il-Kummissjoni Kilbrandon biex tikkunsidra l-Kostituzzjoni Ingliża. Wieħed mill-għanijiet ewlenin tal-Kummissjoni kien li jeżamina modi kif"&amp;" tippermetti aktar awto-gvern għall-Iskozja, fl-istat unitarju tar-Renju Unit. Kilbrandon ippubblika r-rapport tiegħu fl-1973 li rrakkomanda t-twaqqif ta 'assemblea Skoċċiża eletta direttament biex tilleġiżla għall-maġġoranza tal-affarijiet Skoċċiżi domes"&amp;"tiċi.")</f>
        <v>Għat-tliet mitt sena li ġejjin, l-Iskozja kienet direttament regolata mill-Parlament tal-Gran Brittanja u l-Parlament Sussegwenti tar-Renju Unit, it-tnejn bilqiegħda f'Westminster, u n-nuqqas ta 'Parlament ta' l-Iskozja baqa 'element importanti fl-identità nazzjonali Skoċċiża. Suġġerimenti għal parlament 'devolut' saru qabel l-1914, iżda ġew imkabbra minħabba t-tifqigħa tal-Ewwel Gwerra Dinjija. Żieda qawwija fin-nazzjonaliżmu fl-Iskozja matul l-aħħar tas-snin 1960 xprunat it-talbiet għal xi forma ta 'regola tad-dar jew indipendenza sħiħa, u fl-1969 wasslet lill-gvern Laburista eżistenti ta' Harold Wilson biex iwaqqaf il-Kummissjoni Kilbrandon biex tikkunsidra l-Kostituzzjoni Ingliża. Wieħed mill-għanijiet ewlenin tal-Kummissjoni kien li jeżamina modi kif tippermetti aktar awto-gvern għall-Iskozja, fl-istat unitarju tar-Renju Unit. Kilbrandon ippubblika r-rapport tiegħu fl-1973 li rrakkomanda t-twaqqif ta 'assemblea Skoċċiża eletta direttament biex tilleġiżla għall-maġġoranza tal-affarijiet Skoċċiżi domestiċi.</v>
      </c>
    </row>
    <row r="1829" ht="15.75" customHeight="1">
      <c r="A1829" s="2" t="s">
        <v>1829</v>
      </c>
      <c r="B1829" s="2" t="str">
        <f>IFERROR(__xludf.DUMMYFUNCTION("GOOGLETRANSLATE(A1829, ""en"", ""mt"")"),"Min xtara l-fabbrika fl-1925?")</f>
        <v>Min xtara l-fabbrika fl-1925?</v>
      </c>
    </row>
    <row r="1830" ht="15.75" customHeight="1">
      <c r="A1830" s="2" t="s">
        <v>1830</v>
      </c>
      <c r="B1830" s="2" t="str">
        <f>IFERROR(__xludf.DUMMYFUNCTION("GOOGLETRANSLATE(A1830, ""en"", ""mt"")"),"Ir-rati ta 'żieda fil-livell tal-baħar naqsu")</f>
        <v>Ir-rati ta 'żieda fil-livell tal-baħar naqsu</v>
      </c>
    </row>
    <row r="1831" ht="15.75" customHeight="1">
      <c r="A1831" s="2" t="s">
        <v>1831</v>
      </c>
      <c r="B1831" s="2" t="str">
        <f>IFERROR(__xludf.DUMMYFUNCTION("GOOGLETRANSLATE(A1831, ""en"", ""mt"")"),"X'għandha t-tendenza li l-ekonomija Amerikana tmur ""minn bużżieqa għal bużżieqa""?")</f>
        <v>X'għandha t-tendenza li l-ekonomija Amerikana tmur "minn bużżieqa għal bużżieqa"?</v>
      </c>
    </row>
    <row r="1832" ht="15.75" customHeight="1">
      <c r="A1832" s="2" t="s">
        <v>1832</v>
      </c>
      <c r="B1832" s="2" t="str">
        <f>IFERROR(__xludf.DUMMYFUNCTION("GOOGLETRANSLATE(A1832, ""en"", ""mt"")"),"Għaliex il-Prussja kisbet it-titlu tal- ""Phoenix Counrty""?")</f>
        <v>Għaliex il-Prussja kisbet it-titlu tal- "Phoenix Counrty"?</v>
      </c>
    </row>
    <row r="1833" ht="15.75" customHeight="1">
      <c r="A1833" s="2" t="s">
        <v>1833</v>
      </c>
      <c r="B1833" s="2" t="str">
        <f>IFERROR(__xludf.DUMMYFUNCTION("GOOGLETRANSLATE(A1833, ""en"", ""mt"")"),"Madwar 2.5 miljun sena ilu (li ntemm 11,600 sena ilu) kien il-perjodu ġeoloġiku tal-etajiet tas-silġ. Minn madwar 600,000 sena ilu, seħħew sitt etajiet kbar tas-silġ, li fihom il-livell tal-baħar niżel 120 m (390 pied) u ħafna mill-marġini kontinentali sa"&amp;"ru esposti. Fil-Pleistocene bikri, ir-Renu segwa kors lejn il-majjistral, permezz tal-Baħar tat-Tramuntana preżenti. Matul l-hekk imsejħa glaciation Anglian (~ 450,000 yr bp, l-isotopi tal-ossiġnu tal-baħar stadju 12), il-parti tat-tramuntana tal-Baħar ta"&amp;"t-Tramuntana preżenti kienet imblukkata mis-silġ u lag kbir żviluppat, li tfur mill-Kanal Ingliż. Dan ikkawża li l-kors tar-Rhine jiġi ddevjat mill-Kanal Ingliż. Minn dakinhar, fi żminijiet glaċjali, il-ħalq tax-xmara kien jinsab barra mill-kosta ta 'Bres"&amp;"t, Franza u xmajjar, bħat-Thames u s-Seine, saru tributarji għar-Renu. Matul l-interglacials, meta l-livell tal-baħar tela 'għal bejn wieħed u ieħor il-livell preżenti, ir-Rhine bena deltas, f'dak li issa huwa l-Olanda.")</f>
        <v>Madwar 2.5 miljun sena ilu (li ntemm 11,600 sena ilu) kien il-perjodu ġeoloġiku tal-etajiet tas-silġ. Minn madwar 600,000 sena ilu, seħħew sitt etajiet kbar tas-silġ, li fihom il-livell tal-baħar niżel 120 m (390 pied) u ħafna mill-marġini kontinentali saru esposti. Fil-Pleistocene bikri, ir-Renu segwa kors lejn il-majjistral, permezz tal-Baħar tat-Tramuntana preżenti. Matul l-hekk imsejħa glaciation Anglian (~ 450,000 yr bp, l-isotopi tal-ossiġnu tal-baħar stadju 12), il-parti tat-tramuntana tal-Baħar tat-Tramuntana preżenti kienet imblukkata mis-silġ u lag kbir żviluppat, li tfur mill-Kanal Ingliż. Dan ikkawża li l-kors tar-Rhine jiġi ddevjat mill-Kanal Ingliż. Minn dakinhar, fi żminijiet glaċjali, il-ħalq tax-xmara kien jinsab barra mill-kosta ta 'Brest, Franza u xmajjar, bħat-Thames u s-Seine, saru tributarji għar-Renu. Matul l-interglacials, meta l-livell tal-baħar tela 'għal bejn wieħed u ieħor il-livell preżenti, ir-Rhine bena deltas, f'dak li issa huwa l-Olanda.</v>
      </c>
    </row>
    <row r="1834" ht="15.75" customHeight="1">
      <c r="A1834" s="2" t="s">
        <v>1834</v>
      </c>
      <c r="B1834" s="2" t="str">
        <f>IFERROR(__xludf.DUMMYFUNCTION("GOOGLETRANSLATE(A1834, ""en"", ""mt"")"),"Kumitat Eżekuttiv")</f>
        <v>Kumitat Eżekuttiv</v>
      </c>
    </row>
    <row r="1835" ht="15.75" customHeight="1">
      <c r="A1835" s="2" t="s">
        <v>1835</v>
      </c>
      <c r="B1835" s="2" t="str">
        <f>IFERROR(__xludf.DUMMYFUNCTION("GOOGLETRANSLATE(A1835, ""en"", ""mt"")"),"Battalja tar-Restigouche")</f>
        <v>Battalja tar-Restigouche</v>
      </c>
    </row>
    <row r="1836" ht="15.75" customHeight="1">
      <c r="A1836" s="2" t="s">
        <v>1836</v>
      </c>
      <c r="B1836" s="2" t="str">
        <f>IFERROR(__xludf.DUMMYFUNCTION("GOOGLETRANSLATE(A1836, ""en"", ""mt"")"),"Min kiteb li huwa diffiċli li tipproduċi definizzjoni kollha inklużiva ta 'diżubbidjenza ċivili?")</f>
        <v>Min kiteb li huwa diffiċli li tipproduċi definizzjoni kollha inklużiva ta 'diżubbidjenza ċivili?</v>
      </c>
    </row>
    <row r="1837" ht="15.75" customHeight="1">
      <c r="A1837" s="2" t="s">
        <v>1837</v>
      </c>
      <c r="B1837" s="2" t="str">
        <f>IFERROR(__xludf.DUMMYFUNCTION("GOOGLETRANSLATE(A1837, ""en"", ""mt"")"),"ossiġnu gassuż.")</f>
        <v>ossiġnu gassuż.</v>
      </c>
    </row>
    <row r="1838" ht="15.75" customHeight="1">
      <c r="A1838" s="2" t="s">
        <v>1838</v>
      </c>
      <c r="B1838" s="2" t="str">
        <f>IFERROR(__xludf.DUMMYFUNCTION("GOOGLETRANSLATE(A1838, ""en"", ""mt"")"),"żewġ popolazzjonijiet ta 'annimali gerriema")</f>
        <v>żewġ popolazzjonijiet ta 'annimali gerriema</v>
      </c>
    </row>
    <row r="1839" ht="15.75" customHeight="1">
      <c r="A1839" s="2" t="s">
        <v>1839</v>
      </c>
      <c r="B1839" s="2" t="str">
        <f>IFERROR(__xludf.DUMMYFUNCTION("GOOGLETRANSLATE(A1839, ""en"", ""mt"")"),"Organizzazzjonijiet ta 'Studenti Rikonoxxuti (RSOs)")</f>
        <v>Organizzazzjonijiet ta 'Studenti Rikonoxxuti (RSOs)</v>
      </c>
    </row>
    <row r="1840" ht="15.75" customHeight="1">
      <c r="A1840" s="2" t="s">
        <v>1840</v>
      </c>
      <c r="B1840" s="2" t="str">
        <f>IFERROR(__xludf.DUMMYFUNCTION("GOOGLETRANSLATE(A1840, ""en"", ""mt"")"),"Li tgħaqqad il-pakkett tal-isem modern li jaqleb")</f>
        <v>Li tgħaqqad il-pakkett tal-isem modern li jaqleb</v>
      </c>
    </row>
    <row r="1841" ht="15.75" customHeight="1">
      <c r="A1841" s="2" t="s">
        <v>1841</v>
      </c>
      <c r="B1841" s="2" t="str">
        <f>IFERROR(__xludf.DUMMYFUNCTION("GOOGLETRANSLATE(A1841, ""en"", ""mt"")"),"Kemm irġiel jiffaċċjaw l-armata Roberts?")</f>
        <v>Kemm irġiel jiffaċċjaw l-armata Roberts?</v>
      </c>
    </row>
    <row r="1842" ht="15.75" customHeight="1">
      <c r="A1842" s="2" t="s">
        <v>1842</v>
      </c>
      <c r="B1842" s="2" t="str">
        <f>IFERROR(__xludf.DUMMYFUNCTION("GOOGLETRANSLATE(A1842, ""en"", ""mt"")"),"Liema kundanna kellhom ħafna Pollakki rigward kif ħasbu l-Ġermaniżi fihom infushom?")</f>
        <v>Liema kundanna kellhom ħafna Pollakki rigward kif ħasbu l-Ġermaniżi fihom infushom?</v>
      </c>
    </row>
    <row r="1843" ht="15.75" customHeight="1">
      <c r="A1843" s="2" t="s">
        <v>1843</v>
      </c>
      <c r="B1843" s="2" t="str">
        <f>IFERROR(__xludf.DUMMYFUNCTION("GOOGLETRANSLATE(A1843, ""en"", ""mt"")"),"Kemm kienu fl-ewwel mewġa ta 'Huguenot li ħarbu lejn l-Isvizzera?")</f>
        <v>Kemm kienu fl-ewwel mewġa ta 'Huguenot li ħarbu lejn l-Isvizzera?</v>
      </c>
    </row>
    <row r="1844" ht="15.75" customHeight="1">
      <c r="A1844" s="2" t="s">
        <v>1844</v>
      </c>
      <c r="B1844" s="2" t="str">
        <f>IFERROR(__xludf.DUMMYFUNCTION("GOOGLETRANSLATE(A1844, ""en"", ""mt"")"),"X'għamel Forbes il-kostruzzjoni ta 'fl-2008?")</f>
        <v>X'għamel Forbes il-kostruzzjoni ta 'fl-2008?</v>
      </c>
    </row>
    <row r="1845" ht="15.75" customHeight="1">
      <c r="A1845" s="2" t="s">
        <v>1845</v>
      </c>
      <c r="B1845" s="2" t="str">
        <f>IFERROR(__xludf.DUMMYFUNCTION("GOOGLETRANSLATE(A1845, ""en"", ""mt"")"),"Wara l-1940s")</f>
        <v>Wara l-1940s</v>
      </c>
    </row>
    <row r="1846" ht="15.75" customHeight="1">
      <c r="A1846" s="2" t="s">
        <v>1846</v>
      </c>
      <c r="B1846" s="2" t="str">
        <f>IFERROR(__xludf.DUMMYFUNCTION("GOOGLETRANSLATE(A1846, ""en"", ""mt"")"),"Sam Chisholm")</f>
        <v>Sam Chisholm</v>
      </c>
    </row>
    <row r="1847" ht="15.75" customHeight="1">
      <c r="A1847" s="2" t="s">
        <v>1847</v>
      </c>
      <c r="B1847" s="2" t="str">
        <f>IFERROR(__xludf.DUMMYFUNCTION("GOOGLETRANSLATE(A1847, ""en"", ""mt"")"),"X'inhi konfigurazzjoni tipika")</f>
        <v>X'inhi konfigurazzjoni tipika</v>
      </c>
    </row>
    <row r="1848" ht="15.75" customHeight="1">
      <c r="A1848" s="2" t="s">
        <v>1848</v>
      </c>
      <c r="B1848" s="2" t="str">
        <f>IFERROR(__xludf.DUMMYFUNCTION("GOOGLETRANSLATE(A1848, ""en"", ""mt"")"),"il-Mail Daily")</f>
        <v>il-Mail Daily</v>
      </c>
    </row>
    <row r="1849" ht="15.75" customHeight="1">
      <c r="A1849" s="2" t="s">
        <v>1849</v>
      </c>
      <c r="B1849" s="2" t="str">
        <f>IFERROR(__xludf.DUMMYFUNCTION("GOOGLETRANSLATE(A1849, ""en"", ""mt"")"),"Komposti Organiċi")</f>
        <v>Komposti Organiċi</v>
      </c>
    </row>
    <row r="1850" ht="15.75" customHeight="1">
      <c r="A1850" s="2" t="s">
        <v>1850</v>
      </c>
      <c r="B1850" s="2" t="str">
        <f>IFERROR(__xludf.DUMMYFUNCTION("GOOGLETRANSLATE(A1850, ""en"", ""mt"")"),"X'inhu l-uniku divisor minbarra 1 li numru ewlieni jista 'jkollu?")</f>
        <v>X'inhu l-uniku divisor minbarra 1 li numru ewlieni jista 'jkollu?</v>
      </c>
    </row>
    <row r="1851" ht="15.75" customHeight="1">
      <c r="A1851" s="2" t="s">
        <v>1851</v>
      </c>
      <c r="B1851" s="2" t="str">
        <f>IFERROR(__xludf.DUMMYFUNCTION("GOOGLETRANSLATE(A1851, ""en"", ""mt"")"),"Ċikli tal-isplużjoni u tal-bust")</f>
        <v>Ċikli tal-isplużjoni u tal-bust</v>
      </c>
    </row>
    <row r="1852" ht="15.75" customHeight="1">
      <c r="A1852" s="2" t="s">
        <v>1852</v>
      </c>
      <c r="B1852" s="2" t="str">
        <f>IFERROR(__xludf.DUMMYFUNCTION("GOOGLETRANSLATE(A1852, ""en"", ""mt"")"),"Oċean Paċifiku")</f>
        <v>Oċean Paċifiku</v>
      </c>
    </row>
    <row r="1853" ht="15.75" customHeight="1">
      <c r="A1853" s="2" t="s">
        <v>1853</v>
      </c>
      <c r="B1853" s="2" t="str">
        <f>IFERROR(__xludf.DUMMYFUNCTION("GOOGLETRANSLATE(A1853, ""en"", ""mt"")"),"Stratigrafiku")</f>
        <v>Stratigrafiku</v>
      </c>
    </row>
    <row r="1854" ht="15.75" customHeight="1">
      <c r="A1854" s="2" t="s">
        <v>1854</v>
      </c>
      <c r="B1854" s="2" t="str">
        <f>IFERROR(__xludf.DUMMYFUNCTION("GOOGLETRANSLATE(A1854, ""en"", ""mt"")"),"Liema plejer rebaħ l-ewwel darba t-Trofew Heisman għall-Università?")</f>
        <v>Liema plejer rebaħ l-ewwel darba t-Trofew Heisman għall-Università?</v>
      </c>
    </row>
    <row r="1855" ht="15.75" customHeight="1">
      <c r="A1855" s="2" t="s">
        <v>1855</v>
      </c>
      <c r="B1855" s="2" t="str">
        <f>IFERROR(__xludf.DUMMYFUNCTION("GOOGLETRANSLATE(A1855, ""en"", ""mt"")"),"L-iktar stima aċċettata b'mod wiesa 'għall-Lvant Nofsani, inklużi l-Iraq, l-Iran u s-Sirja, matul dan iż-żmien, hija għal rata ta' mewt ta 'madwar terz. Il-mewt l-Iswed qatlet madwar 40% tal-popolazzjoni tal-Eġittu. Nofs il-popolazzjoni ta 'Pariġi ta' 100"&amp;",000 persuna mietet. Fl-Italja, il-popolazzjoni ta 'Firenze tnaqqset minn 110-120 elf abitant fl-1338' l isfel għal 50 elf fl-1351. Mill-inqas 60% tal-popolazzjoni ta 'Hamburg u Bremen jitħassru, u persentaġġ simili ta' Londoners seta 'miet mill-marda bħa"&amp;"la Ukoll. Interessanti filwaqt li r-rapporti kontemporanji jammontaw għall-fosos tad-dfin tal-massa li qed jinħolqu b'reazzjoni għan-numru kbir ta 'investigazzjonijiet xjentifiċi riċenti ta' fossa tax-xandir fiċ-ċentru ta 'Londra sabu individwi ppreservat"&amp;"i sew biex jiġu midfuna f'qabra iżolati, spazjati b'mod indaqs, li jissuġġerixxu mill-inqas xi wħud -Panning u Dfin Kristjan f'dan il-ħin. Qabel l-1350, kien hemm madwar 170,000 insedjament fil-Ġermanja, u dan tnaqqas bi kważi 40,000 sal-1450. Fl-1348, il"&amp;"-pesta nfirxet malajr li qabel ma xi tobba jew awtoritajiet tal-gvern kellhom il-ħin biex jirriflettu fuq l-oriġini tiegħu, madwar terz tal-Ewropew Il-popolazzjoni kienet diġà miexja. Fi bliet iffullati, ma kienx komuni għal daqs 50% tal-popolazzjoni li t"&amp;"mut. Il-marda qabżet xi żoni, u l-iktar żoni iżolati kienu inqas vulnerabbli għall-kontaġju. Il-patrijiet u s-saċerdoti kienu milquta speċjalment minn meta kienu jieħdu ħsieb il-vittmi tal-mewt sewda.")</f>
        <v>L-iktar stima aċċettata b'mod wiesa 'għall-Lvant Nofsani, inklużi l-Iraq, l-Iran u s-Sirja, matul dan iż-żmien, hija għal rata ta' mewt ta 'madwar terz. Il-mewt l-Iswed qatlet madwar 40% tal-popolazzjoni tal-Eġittu. Nofs il-popolazzjoni ta 'Pariġi ta' 100,000 persuna mietet. Fl-Italja, il-popolazzjoni ta 'Firenze tnaqqset minn 110-120 elf abitant fl-1338' l isfel għal 50 elf fl-1351. Mill-inqas 60% tal-popolazzjoni ta 'Hamburg u Bremen jitħassru, u persentaġġ simili ta' Londoners seta 'miet mill-marda bħala Ukoll. Interessanti filwaqt li r-rapporti kontemporanji jammontaw għall-fosos tad-dfin tal-massa li qed jinħolqu b'reazzjoni għan-numru kbir ta 'investigazzjonijiet xjentifiċi riċenti ta' fossa tax-xandir fiċ-ċentru ta 'Londra sabu individwi ppreservati sew biex jiġu midfuna f'qabra iżolati, spazjati b'mod indaqs, li jissuġġerixxu mill-inqas xi wħud -Panning u Dfin Kristjan f'dan il-ħin. Qabel l-1350, kien hemm madwar 170,000 insedjament fil-Ġermanja, u dan tnaqqas bi kważi 40,000 sal-1450. Fl-1348, il-pesta nfirxet malajr li qabel ma xi tobba jew awtoritajiet tal-gvern kellhom il-ħin biex jirriflettu fuq l-oriġini tiegħu, madwar terz tal-Ewropew Il-popolazzjoni kienet diġà miexja. Fi bliet iffullati, ma kienx komuni għal daqs 50% tal-popolazzjoni li tmut. Il-marda qabżet xi żoni, u l-iktar żoni iżolati kienu inqas vulnerabbli għall-kontaġju. Il-patrijiet u s-saċerdoti kienu milquta speċjalment minn meta kienu jieħdu ħsieb il-vittmi tal-mewt sewda.</v>
      </c>
    </row>
    <row r="1856" ht="15.75" customHeight="1">
      <c r="A1856" s="2" t="s">
        <v>1856</v>
      </c>
      <c r="B1856" s="2" t="str">
        <f>IFERROR(__xludf.DUMMYFUNCTION("GOOGLETRANSLATE(A1856, ""en"", ""mt"")"),"Fejn kien se jkun Shirey meta Fort Oswego ma kellux jiġi attakkat?")</f>
        <v>Fejn kien se jkun Shirey meta Fort Oswego ma kellux jiġi attakkat?</v>
      </c>
    </row>
    <row r="1857" ht="15.75" customHeight="1">
      <c r="A1857" s="2" t="s">
        <v>1857</v>
      </c>
      <c r="B1857" s="2" t="str">
        <f>IFERROR(__xludf.DUMMYFUNCTION("GOOGLETRANSLATE(A1857, ""en"", ""mt"")"),"X'inhu t-terminu meta dawk li jaqilgħu d-dħul medju jaspiraw li jiksbu l-istess standards ta 'għajxien bħal nies sinjuri minnhom infushom?")</f>
        <v>X'inhu t-terminu meta dawk li jaqilgħu d-dħul medju jaspiraw li jiksbu l-istess standards ta 'għajxien bħal nies sinjuri minnhom infushom?</v>
      </c>
    </row>
    <row r="1858" ht="15.75" customHeight="1">
      <c r="A1858" s="2" t="s">
        <v>1858</v>
      </c>
      <c r="B1858" s="2" t="str">
        <f>IFERROR(__xludf.DUMMYFUNCTION("GOOGLETRANSLATE(A1858, ""en"", ""mt"")"),"Liema regola ma għexetx xi indiġeni?")</f>
        <v>Liema regola ma għexetx xi indiġeni?</v>
      </c>
    </row>
    <row r="1859" ht="15.75" customHeight="1">
      <c r="A1859" s="2" t="s">
        <v>1859</v>
      </c>
      <c r="B1859" s="2" t="str">
        <f>IFERROR(__xludf.DUMMYFUNCTION("GOOGLETRANSLATE(A1859, ""en"", ""mt"")"),"Black_death")</f>
        <v>Black_death</v>
      </c>
    </row>
    <row r="1860" ht="15.75" customHeight="1">
      <c r="A1860" s="2" t="s">
        <v>1860</v>
      </c>
      <c r="B1860" s="2" t="str">
        <f>IFERROR(__xludf.DUMMYFUNCTION("GOOGLETRANSLATE(A1860, ""en"", ""mt"")"),"Riċettur taċ-ċelloli T (TCR)")</f>
        <v>Riċettur taċ-ċelloli T (TCR)</v>
      </c>
    </row>
    <row r="1861" ht="15.75" customHeight="1">
      <c r="A1861" s="2" t="s">
        <v>1861</v>
      </c>
      <c r="B1861" s="2" t="str">
        <f>IFERROR(__xludf.DUMMYFUNCTION("GOOGLETRANSLATE(A1861, ""en"", ""mt"")"),"565 ° C.")</f>
        <v>565 ° C.</v>
      </c>
    </row>
    <row r="1862" ht="15.75" customHeight="1">
      <c r="A1862" s="2" t="s">
        <v>1862</v>
      </c>
      <c r="B1862" s="2" t="str">
        <f>IFERROR(__xludf.DUMMYFUNCTION("GOOGLETRANSLATE(A1862, ""en"", ""mt"")"),"Williamite")</f>
        <v>Williamite</v>
      </c>
    </row>
    <row r="1863" ht="15.75" customHeight="1">
      <c r="A1863" s="2" t="s">
        <v>1863</v>
      </c>
      <c r="B1863" s="2" t="str">
        <f>IFERROR(__xludf.DUMMYFUNCTION("GOOGLETRANSLATE(A1863, ""en"", ""mt"")"),"Diċembru, Jannar u Frar")</f>
        <v>Diċembru, Jannar u Frar</v>
      </c>
    </row>
    <row r="1864" ht="15.75" customHeight="1">
      <c r="A1864" s="2" t="s">
        <v>1864</v>
      </c>
      <c r="B1864" s="2" t="str">
        <f>IFERROR(__xludf.DUMMYFUNCTION("GOOGLETRANSLATE(A1864, ""en"", ""mt"")"),"1,230 km")</f>
        <v>1,230 km</v>
      </c>
    </row>
    <row r="1865" ht="15.75" customHeight="1">
      <c r="A1865" s="2" t="s">
        <v>1865</v>
      </c>
      <c r="B1865" s="2" t="str">
        <f>IFERROR(__xludf.DUMMYFUNCTION("GOOGLETRANSLATE(A1865, ""en"", ""mt"")"),"Kif tirriproduċi plankton?")</f>
        <v>Kif tirriproduċi plankton?</v>
      </c>
    </row>
    <row r="1866" ht="15.75" customHeight="1">
      <c r="A1866" s="2" t="s">
        <v>1866</v>
      </c>
      <c r="B1866" s="2" t="str">
        <f>IFERROR(__xludf.DUMMYFUNCTION("GOOGLETRANSLATE(A1866, ""en"", ""mt"")"),"Rebellion Red Turban")</f>
        <v>Rebellion Red Turban</v>
      </c>
    </row>
    <row r="1867" ht="15.75" customHeight="1">
      <c r="A1867" s="2" t="s">
        <v>1867</v>
      </c>
      <c r="B1867" s="2" t="str">
        <f>IFERROR(__xludf.DUMMYFUNCTION("GOOGLETRANSLATE(A1867, ""en"", ""mt"")"),"Kemm volumi huwa dizzjunarju storiku u kritiku?")</f>
        <v>Kemm volumi huwa dizzjunarju storiku u kritiku?</v>
      </c>
    </row>
    <row r="1868" ht="15.75" customHeight="1">
      <c r="A1868" s="2" t="s">
        <v>1868</v>
      </c>
      <c r="B1868" s="2" t="str">
        <f>IFERROR(__xludf.DUMMYFUNCTION("GOOGLETRANSLATE(A1868, ""en"", ""mt"")"),"Meta r-Re Harold II jirbħu l-Ingilterra?")</f>
        <v>Meta r-Re Harold II jirbħu l-Ingilterra?</v>
      </c>
    </row>
    <row r="1869" ht="15.75" customHeight="1">
      <c r="A1869" s="2" t="s">
        <v>1869</v>
      </c>
      <c r="B1869" s="2" t="str">
        <f>IFERROR(__xludf.DUMMYFUNCTION("GOOGLETRANSLATE(A1869, ""en"", ""mt"")"),"Fruntiera Ġermaniża-Żvizzera")</f>
        <v>Fruntiera Ġermaniża-Żvizzera</v>
      </c>
    </row>
    <row r="1870" ht="15.75" customHeight="1">
      <c r="A1870" s="2" t="s">
        <v>1870</v>
      </c>
      <c r="B1870" s="2" t="str">
        <f>IFERROR(__xludf.DUMMYFUNCTION("GOOGLETRANSLATE(A1870, ""en"", ""mt"")"),"Kemm hemm timijiet ewlenin tal-kampjonat tal-futbol kienu f'Los Angeles mill-2005-2014?")</f>
        <v>Kemm hemm timijiet ewlenin tal-kampjonat tal-futbol kienu f'Los Angeles mill-2005-2014?</v>
      </c>
    </row>
    <row r="1871" ht="15.75" customHeight="1">
      <c r="A1871" s="2" t="s">
        <v>1871</v>
      </c>
      <c r="B1871" s="2" t="str">
        <f>IFERROR(__xludf.DUMMYFUNCTION("GOOGLETRANSLATE(A1871, ""en"", ""mt"")"),"X'tip ta 'forza stabbilixxa Harthacnut?")</f>
        <v>X'tip ta 'forza stabbilixxa Harthacnut?</v>
      </c>
    </row>
    <row r="1872" ht="15.75" customHeight="1">
      <c r="A1872" s="2" t="s">
        <v>1872</v>
      </c>
      <c r="B1872" s="2" t="str">
        <f>IFERROR(__xludf.DUMMYFUNCTION("GOOGLETRANSLATE(A1872, ""en"", ""mt"")"),"X'tip ta 'grupp huwa l-Istat Iżlamiku?")</f>
        <v>X'tip ta 'grupp huwa l-Istat Iżlamiku?</v>
      </c>
    </row>
    <row r="1873" ht="15.75" customHeight="1">
      <c r="A1873" s="2" t="s">
        <v>1873</v>
      </c>
      <c r="B1873" s="2" t="str">
        <f>IFERROR(__xludf.DUMMYFUNCTION("GOOGLETRANSLATE(A1873, ""en"", ""mt"")"),"Liema battalji navali tilfet Franza fl-1795?")</f>
        <v>Liema battalji navali tilfet Franza fl-1795?</v>
      </c>
    </row>
    <row r="1874" ht="15.75" customHeight="1">
      <c r="A1874" s="2" t="s">
        <v>1874</v>
      </c>
      <c r="B1874" s="2" t="str">
        <f>IFERROR(__xludf.DUMMYFUNCTION("GOOGLETRANSLATE(A1874, ""en"", ""mt"")"),"tiċrita żoni kbar ta 'art fil-baħar")</f>
        <v>tiċrita żoni kbar ta 'art fil-baħar</v>
      </c>
    </row>
    <row r="1875" ht="15.75" customHeight="1">
      <c r="A1875" s="2" t="s">
        <v>1875</v>
      </c>
      <c r="B1875" s="2" t="str">
        <f>IFERROR(__xludf.DUMMYFUNCTION("GOOGLETRANSLATE(A1875, ""en"", ""mt"")"),"Il-biċċa l-kbira tal-Griegi bikrija lanqas biss ikkunsidraw 1 bħala numru, u għalhekk ma setgħux iqisuh bħala prim. Mill-Medju Evu u r-Rinaxximent ħafna matematiċi kienu jinkludu 1 bħala l-ewwel numru ewlieni. F’nofs is-seklu 18, Christian Goldbach elenka"&amp;" 1 bħala l-ewwel prim fil-famuża korrispondenza tiegħu ma ’Leonhard Euler - li ma qabilx. Fis-seklu 19 ħafna matematiċi għadhom ikkunsidraw in-numru 1 bħala prim. Pereżempju, il-lista ta 'primes ta' Derrick Norman Lehmer sa 10,006,721, stampata mill-ġdid "&amp;"sa l-1956, bdiet b'1 bħala l-ewwel prim tagħha. Henri Lebesgue jingħad li huwa l-aħħar matematiku professjonali li jċempel 1 Prime. Sal-bidu tas-seklu 20, il-matematiċi bdew jaċċettaw li 1 mhuwiex numru ewlieni, iżda jifforma l-kategorija speċjali tiegħu "&amp;"stess bħala ""unità"".")</f>
        <v>Il-biċċa l-kbira tal-Griegi bikrija lanqas biss ikkunsidraw 1 bħala numru, u għalhekk ma setgħux iqisuh bħala prim. Mill-Medju Evu u r-Rinaxximent ħafna matematiċi kienu jinkludu 1 bħala l-ewwel numru ewlieni. F’nofs is-seklu 18, Christian Goldbach elenka 1 bħala l-ewwel prim fil-famuża korrispondenza tiegħu ma ’Leonhard Euler - li ma qabilx. Fis-seklu 19 ħafna matematiċi għadhom ikkunsidraw in-numru 1 bħala prim. Pereżempju, il-lista ta 'primes ta' Derrick Norman Lehmer sa 10,006,721, stampata mill-ġdid sa l-1956, bdiet b'1 bħala l-ewwel prim tagħha. Henri Lebesgue jingħad li huwa l-aħħar matematiku professjonali li jċempel 1 Prime. Sal-bidu tas-seklu 20, il-matematiċi bdew jaċċettaw li 1 mhuwiex numru ewlieni, iżda jifforma l-kategorija speċjali tiegħu stess bħala "unità".</v>
      </c>
    </row>
    <row r="1876" ht="15.75" customHeight="1">
      <c r="A1876" s="2" t="s">
        <v>1876</v>
      </c>
      <c r="B1876" s="2" t="str">
        <f>IFERROR(__xludf.DUMMYFUNCTION("GOOGLETRANSLATE(A1876, ""en"", ""mt"")"),"Mill-pajjiżu oriġinali tagħhom fl-Iskandinavja u l-Ewropa tat-Tramuntana, it-tribujiet Ġermaniċi kibru madwar l-Ewropa tat-Tramuntana u tal-Punent fil-perjodu tan-nofs tal-antikità klassika; L-Ewropa tan-Nofsinhar fl-Antikitajiet Tard, li tirbħu Ċeltiku u"&amp;" popli oħra; u sat-800 CE, li jiffurmaw l-Imperu Ruman Qaddis, l-ewwel Imperu Ġermaniż. Madankollu, ma kien hemm l-ebda kontinwità sistemika reali mill-Imperu Ruman tal-Punent għas-suċċessur Ġermaniż tiegħu li ġie deskritt famuż bħala ""mhux qaddis, mhux "&amp;"Ruman, u mhux imperu"", bħala numru kbir ta 'stati żgħar u prinċipati jeżistu fil-Konfederazzjoni Awtonoma - Għalkemm sal-1000 CE, il-konkwista Ġermanika tal-Ewropa Ċentrali, tal-Punent u tan-Nofsinhar (fil-punent ta 'u inkluża l-Italja) kienet kompluta, "&amp;"eskluża biss l-Iberia Musulmana. Madankollu, kien hemm ftit integrazzjoni kulturali jew identità nazzjonali, u ""il-Ġermanja"" baqgħet fil-biċċa l-kbira terminu kunċettwali li jirreferi għal żona amorfa ta 'l-Ewropa Ċentrali.")</f>
        <v>Mill-pajjiżu oriġinali tagħhom fl-Iskandinavja u l-Ewropa tat-Tramuntana, it-tribujiet Ġermaniċi kibru madwar l-Ewropa tat-Tramuntana u tal-Punent fil-perjodu tan-nofs tal-antikità klassika; L-Ewropa tan-Nofsinhar fl-Antikitajiet Tard, li tirbħu Ċeltiku u popli oħra; u sat-800 CE, li jiffurmaw l-Imperu Ruman Qaddis, l-ewwel Imperu Ġermaniż. Madankollu, ma kien hemm l-ebda kontinwità sistemika reali mill-Imperu Ruman tal-Punent għas-suċċessur Ġermaniż tiegħu li ġie deskritt famuż bħala "mhux qaddis, mhux Ruman, u mhux imperu", bħala numru kbir ta 'stati żgħar u prinċipati jeżistu fil-Konfederazzjoni Awtonoma - Għalkemm sal-1000 CE, il-konkwista Ġermanika tal-Ewropa Ċentrali, tal-Punent u tan-Nofsinhar (fil-punent ta 'u inkluża l-Italja) kienet kompluta, eskluża biss l-Iberia Musulmana. Madankollu, kien hemm ftit integrazzjoni kulturali jew identità nazzjonali, u "il-Ġermanja" baqgħet fil-biċċa l-kbira terminu kunċettwali li jirreferi għal żona amorfa ta 'l-Ewropa Ċentrali.</v>
      </c>
    </row>
    <row r="1877" ht="15.75" customHeight="1">
      <c r="A1877" s="2" t="s">
        <v>1877</v>
      </c>
      <c r="B1877" s="2" t="str">
        <f>IFERROR(__xludf.DUMMYFUNCTION("GOOGLETRANSLATE(A1877, ""en"", ""mt"")"),"L-iktar algoritmu effiċjenti jsolvi problema partikolari")</f>
        <v>L-iktar algoritmu effiċjenti jsolvi problema partikolari</v>
      </c>
    </row>
    <row r="1878" ht="15.75" customHeight="1">
      <c r="A1878" s="2" t="s">
        <v>1878</v>
      </c>
      <c r="B1878" s="2" t="str">
        <f>IFERROR(__xludf.DUMMYFUNCTION("GOOGLETRANSLATE(A1878, ""en"", ""mt"")"),"X'inhu terminu deskrittiv għal rabta ta 'enerġija baxxa għal għolja?")</f>
        <v>X'inhu terminu deskrittiv għal rabta ta 'enerġija baxxa għal għolja?</v>
      </c>
    </row>
    <row r="1879" ht="15.75" customHeight="1">
      <c r="A1879" s="2" t="s">
        <v>1879</v>
      </c>
      <c r="B1879" s="2" t="str">
        <f>IFERROR(__xludf.DUMMYFUNCTION("GOOGLETRANSLATE(A1879, ""en"", ""mt"")"),"L-Att tal-Kolonja tar-Rabat")</f>
        <v>L-Att tal-Kolonja tar-Rabat</v>
      </c>
    </row>
    <row r="1880" ht="15.75" customHeight="1">
      <c r="A1880" s="2" t="s">
        <v>1880</v>
      </c>
      <c r="B1880" s="2" t="str">
        <f>IFERROR(__xludf.DUMMYFUNCTION("GOOGLETRANSLATE(A1880, ""en"", ""mt"")"),"Tribujiet Nattivi")</f>
        <v>Tribujiet Nattivi</v>
      </c>
    </row>
    <row r="1881" ht="15.75" customHeight="1">
      <c r="A1881" s="2" t="s">
        <v>1881</v>
      </c>
      <c r="B1881" s="2" t="str">
        <f>IFERROR(__xludf.DUMMYFUNCTION("GOOGLETRANSLATE(A1881, ""en"", ""mt"")"),"X'inhu terminu għat-treġġigħ lura tal-fluss tal-fwar f'magna tal-pistuni wara kull puplesija?")</f>
        <v>X'inhu terminu għat-treġġigħ lura tal-fluss tal-fwar f'magna tal-pistuni wara kull puplesija?</v>
      </c>
    </row>
    <row r="1882" ht="15.75" customHeight="1">
      <c r="A1882" s="2" t="s">
        <v>1882</v>
      </c>
      <c r="B1882" s="2" t="str">
        <f>IFERROR(__xludf.DUMMYFUNCTION("GOOGLETRANSLATE(A1882, ""en"", ""mt"")"),"temperatura")</f>
        <v>temperatura</v>
      </c>
    </row>
    <row r="1883" ht="15.75" customHeight="1">
      <c r="A1883" s="2" t="s">
        <v>1883</v>
      </c>
      <c r="B1883" s="2" t="str">
        <f>IFERROR(__xludf.DUMMYFUNCTION("GOOGLETRANSLATE(A1883, ""en"", ""mt"")"),"L-Assoċjazzjoni Belġjana tal-Futbol V Bosman")</f>
        <v>L-Assoċjazzjoni Belġjana tal-Futbol V Bosman</v>
      </c>
    </row>
    <row r="1884" ht="15.75" customHeight="1">
      <c r="A1884" s="2" t="s">
        <v>1884</v>
      </c>
      <c r="B1884" s="2" t="str">
        <f>IFERROR(__xludf.DUMMYFUNCTION("GOOGLETRANSLATE(A1884, ""en"", ""mt"")"),"10-15% tal-popolazzjoni")</f>
        <v>10-15% tal-popolazzjoni</v>
      </c>
    </row>
    <row r="1885" ht="15.75" customHeight="1">
      <c r="A1885" s="2" t="s">
        <v>1885</v>
      </c>
      <c r="B1885" s="2" t="str">
        <f>IFERROR(__xludf.DUMMYFUNCTION("GOOGLETRANSLATE(A1885, ""en"", ""mt"")"),"Meta kienet il-pesta l-kbira ta 'Londra?")</f>
        <v>Meta kienet il-pesta l-kbira ta 'Londra?</v>
      </c>
    </row>
    <row r="1886" ht="15.75" customHeight="1">
      <c r="A1886" s="2" t="s">
        <v>1886</v>
      </c>
      <c r="B1886" s="2" t="str">
        <f>IFERROR(__xludf.DUMMYFUNCTION("GOOGLETRANSLATE(A1886, ""en"", ""mt"")"),"X'inhu mod wieħed kif l-IPCC attwali jirrispondi għal evidenza ġdida malajr?")</f>
        <v>X'inhu mod wieħed kif l-IPCC attwali jirrispondi għal evidenza ġdida malajr?</v>
      </c>
    </row>
    <row r="1887" ht="15.75" customHeight="1">
      <c r="A1887" s="2" t="s">
        <v>1887</v>
      </c>
      <c r="B1887" s="2" t="str">
        <f>IFERROR(__xludf.DUMMYFUNCTION("GOOGLETRANSLATE(A1887, ""en"", ""mt"")"),"Fuq xiex għandu l-livell għoli attwali ta 'popolazzjoni?")</f>
        <v>Fuq xiex għandu l-livell għoli attwali ta 'popolazzjoni?</v>
      </c>
    </row>
    <row r="1888" ht="15.75" customHeight="1">
      <c r="A1888" s="2" t="s">
        <v>1888</v>
      </c>
      <c r="B1888" s="2" t="str">
        <f>IFERROR(__xludf.DUMMYFUNCTION("GOOGLETRANSLATE(A1888, ""en"", ""mt"")"),"Dublin, Cork, Portarlington, Lisburn, Waterford u Youghal")</f>
        <v>Dublin, Cork, Portarlington, Lisburn, Waterford u Youghal</v>
      </c>
    </row>
    <row r="1889" ht="15.75" customHeight="1">
      <c r="A1889" s="2" t="s">
        <v>1889</v>
      </c>
      <c r="B1889" s="2" t="str">
        <f>IFERROR(__xludf.DUMMYFUNCTION("GOOGLETRANSLATE(A1889, ""en"", ""mt"")"),"Liema maltempata kellha l-iktar impatt sinifikanti fuq Jacksonville?")</f>
        <v>Liema maltempata kellha l-iktar impatt sinifikanti fuq Jacksonville?</v>
      </c>
    </row>
    <row r="1890" ht="15.75" customHeight="1">
      <c r="A1890" s="2" t="s">
        <v>1890</v>
      </c>
      <c r="B1890" s="2" t="str">
        <f>IFERROR(__xludf.DUMMYFUNCTION("GOOGLETRANSLATE(A1890, ""en"", ""mt"")"),"Liema interpretazzjoni tal-Iżlam hija, għal ħafna mill-osservanti, mhux l- ""istandard tad-deheb"" tar-reliġjon tagħhom?")</f>
        <v>Liema interpretazzjoni tal-Iżlam hija, għal ħafna mill-osservanti, mhux l- "istandard tad-deheb" tar-reliġjon tagħhom?</v>
      </c>
    </row>
    <row r="1891" ht="15.75" customHeight="1">
      <c r="A1891" s="2" t="s">
        <v>1891</v>
      </c>
      <c r="B1891" s="2" t="str">
        <f>IFERROR(__xludf.DUMMYFUNCTION("GOOGLETRANSLATE(A1891, ""en"", ""mt"")"),"Il-poter leġiżlattiv f'Varsavja huwa mogħti fil-Kunsill tal-Belt Unikameral ta 'Varsavja (Rada Miasta), li jinkludi 60 membru. Il-membri tal-Kunsill huma eletti direttament kull erba 'snin. Bħal fil-biċċa l-kbira tal-korpi leġiżlattivi, il-Kunsill tal-Bel"&amp;"t jaqsam ruħu f'kumitati li għandhom is-sorveljanza ta 'diversi funzjonijiet tal-gvern tal-belt. Il-kontijiet mgħoddija minn maġġoranza sempliċi jintbagħtu lis-Sindku (il-President ta 'Varsavja), li jista' jiffirmahom fil-liġi. Jekk is-Sindku jivvota abbo"&amp;"zz ta ’liġi, il-Kunsill għandu 30 jum biex jwarrab il-veto permezz ta’ vot ta ’maġġoranza ta’ żewġ terzi.")</f>
        <v>Il-poter leġiżlattiv f'Varsavja huwa mogħti fil-Kunsill tal-Belt Unikameral ta 'Varsavja (Rada Miasta), li jinkludi 60 membru. Il-membri tal-Kunsill huma eletti direttament kull erba 'snin. Bħal fil-biċċa l-kbira tal-korpi leġiżlattivi, il-Kunsill tal-Belt jaqsam ruħu f'kumitati li għandhom is-sorveljanza ta 'diversi funzjonijiet tal-gvern tal-belt. Il-kontijiet mgħoddija minn maġġoranza sempliċi jintbagħtu lis-Sindku (il-President ta 'Varsavja), li jista' jiffirmahom fil-liġi. Jekk is-Sindku jivvota abbozz ta ’liġi, il-Kunsill għandu 30 jum biex jwarrab il-veto permezz ta’ vot ta ’maġġoranza ta’ żewġ terzi.</v>
      </c>
    </row>
    <row r="1892" ht="15.75" customHeight="1">
      <c r="A1892" s="2" t="s">
        <v>1892</v>
      </c>
      <c r="B1892" s="2" t="str">
        <f>IFERROR(__xludf.DUMMYFUNCTION("GOOGLETRANSLATE(A1892, ""en"", ""mt"")"),"Kemm-il ġurnata f'Awwissu jinsabu taħt l-iffriżar?")</f>
        <v>Kemm-il ġurnata f'Awwissu jinsabu taħt l-iffriżar?</v>
      </c>
    </row>
    <row r="1893" ht="15.75" customHeight="1">
      <c r="A1893" s="2" t="s">
        <v>1893</v>
      </c>
      <c r="B1893" s="2" t="str">
        <f>IFERROR(__xludf.DUMMYFUNCTION("GOOGLETRANSLATE(A1893, ""en"", ""mt"")"),"X'inhu l-isem għall-iskola pubblika u l-kura ta 'kuljum għall-istudenti tal-K-12?")</f>
        <v>X'inhu l-isem għall-iskola pubblika u l-kura ta 'kuljum għall-istudenti tal-K-12?</v>
      </c>
    </row>
    <row r="1894" ht="15.75" customHeight="1">
      <c r="A1894" s="2" t="s">
        <v>1894</v>
      </c>
      <c r="B1894" s="2" t="str">
        <f>IFERROR(__xludf.DUMMYFUNCTION("GOOGLETRANSLATE(A1894, ""en"", ""mt"")"),"sistema magħluqa")</f>
        <v>sistema magħluqa</v>
      </c>
    </row>
    <row r="1895" ht="15.75" customHeight="1">
      <c r="A1895" s="2" t="s">
        <v>1895</v>
      </c>
      <c r="B1895" s="2" t="str">
        <f>IFERROR(__xludf.DUMMYFUNCTION("GOOGLETRANSLATE(A1895, ""en"", ""mt"")"),"X'kien qed jikkawża Franza l-ġdida li jkollha problemi bil-provvista mill-ġdid?")</f>
        <v>X'kien qed jikkawża Franza l-ġdida li jkollha problemi bil-provvista mill-ġdid?</v>
      </c>
    </row>
    <row r="1896" ht="15.75" customHeight="1">
      <c r="A1896" s="2" t="s">
        <v>1896</v>
      </c>
      <c r="B1896" s="2" t="str">
        <f>IFERROR(__xludf.DUMMYFUNCTION("GOOGLETRANSLATE(A1896, ""en"", ""mt"")"),"Liema numru jintuża fil-kompjuters perpendikulari?")</f>
        <v>Liema numru jintuża fil-kompjuters perpendikulari?</v>
      </c>
    </row>
    <row r="1897" ht="15.75" customHeight="1">
      <c r="A1897" s="2" t="s">
        <v>1897</v>
      </c>
      <c r="B1897" s="2" t="str">
        <f>IFERROR(__xludf.DUMMYFUNCTION("GOOGLETRANSLATE(A1897, ""en"", ""mt"")"),"kważi 2,000 m")</f>
        <v>kważi 2,000 m</v>
      </c>
    </row>
    <row r="1898" ht="15.75" customHeight="1">
      <c r="A1898" s="2" t="s">
        <v>1898</v>
      </c>
      <c r="B1898" s="2" t="str">
        <f>IFERROR(__xludf.DUMMYFUNCTION("GOOGLETRANSLATE(A1898, ""en"", ""mt"")"),"Min ifakkar l-istatwa ta 'ftit ribelli?")</f>
        <v>Min ifakkar l-istatwa ta 'ftit ribelli?</v>
      </c>
    </row>
    <row r="1899" ht="15.75" customHeight="1">
      <c r="A1899" s="2" t="s">
        <v>1899</v>
      </c>
      <c r="B1899" s="2" t="str">
        <f>IFERROR(__xludf.DUMMYFUNCTION("GOOGLETRANSLATE(A1899, ""en"", ""mt"")"),"Gauge Bosons")</f>
        <v>Gauge Bosons</v>
      </c>
    </row>
    <row r="1900" ht="15.75" customHeight="1">
      <c r="A1900" s="2" t="s">
        <v>1900</v>
      </c>
      <c r="B1900" s="2" t="str">
        <f>IFERROR(__xludf.DUMMYFUNCTION("GOOGLETRANSLATE(A1900, ""en"", ""mt"")"),"Kif huma allokati n-numri totali ta 'siġġijiet lill-partijiet?")</f>
        <v>Kif huma allokati n-numri totali ta 'siġġijiet lill-partijiet?</v>
      </c>
    </row>
    <row r="1901" ht="15.75" customHeight="1">
      <c r="A1901" s="2" t="s">
        <v>1901</v>
      </c>
      <c r="B1901" s="2" t="str">
        <f>IFERROR(__xludf.DUMMYFUNCTION("GOOGLETRANSLATE(A1901, ""en"", ""mt"")"),"X'irrappreżentat Lempicka aħjar minn ħaddieħor?")</f>
        <v>X'irrappreżentat Lempicka aħjar minn ħaddieħor?</v>
      </c>
    </row>
    <row r="1902" ht="15.75" customHeight="1">
      <c r="A1902" s="2" t="s">
        <v>1902</v>
      </c>
      <c r="B1902" s="2" t="str">
        <f>IFERROR(__xludf.DUMMYFUNCTION("GOOGLETRANSLATE(A1902, ""en"", ""mt"")"),"Liema xogħol preċedenti esperimenti Lavoisier jiskreditaw?")</f>
        <v>Liema xogħol preċedenti esperimenti Lavoisier jiskreditaw?</v>
      </c>
    </row>
    <row r="1903" ht="15.75" customHeight="1">
      <c r="A1903" s="2" t="s">
        <v>1903</v>
      </c>
      <c r="B1903" s="2" t="str">
        <f>IFERROR(__xludf.DUMMYFUNCTION("GOOGLETRANSLATE(A1903, ""en"", ""mt"")"),"Evidenza jew avvenimenti ġodda sinifikanti li jibdlu l-fehim tagħna")</f>
        <v>Evidenza jew avvenimenti ġodda sinifikanti li jibdlu l-fehim tagħna</v>
      </c>
    </row>
    <row r="1904" ht="15.75" customHeight="1">
      <c r="A1904" s="2" t="s">
        <v>1904</v>
      </c>
      <c r="B1904" s="2" t="str">
        <f>IFERROR(__xludf.DUMMYFUNCTION("GOOGLETRANSLATE(A1904, ""en"", ""mt"")"),"Żoni kklerjati mill-foresta huma viżibbli għall-għajn")</f>
        <v>Żoni kklerjati mill-foresta huma viżibbli għall-għajn</v>
      </c>
    </row>
    <row r="1905" ht="15.75" customHeight="1">
      <c r="A1905" s="2" t="s">
        <v>1905</v>
      </c>
      <c r="B1905" s="2" t="str">
        <f>IFERROR(__xludf.DUMMYFUNCTION("GOOGLETRANSLATE(A1905, ""en"", ""mt"")"),"pretendenti")</f>
        <v>pretendenti</v>
      </c>
    </row>
    <row r="1906" ht="15.75" customHeight="1">
      <c r="A1906" s="2" t="s">
        <v>1906</v>
      </c>
      <c r="B1906" s="2" t="str">
        <f>IFERROR(__xludf.DUMMYFUNCTION("GOOGLETRANSLATE(A1906, ""en"", ""mt"")"),"L-Ispettur tal-Bini Muniċipali")</f>
        <v>L-Ispettur tal-Bini Muniċipali</v>
      </c>
    </row>
    <row r="1907" ht="15.75" customHeight="1">
      <c r="A1907" s="2" t="s">
        <v>1907</v>
      </c>
      <c r="B1907" s="2" t="str">
        <f>IFERROR(__xludf.DUMMYFUNCTION("GOOGLETRANSLATE(A1907, ""en"", ""mt"")"),"Biex tkun żgurata s-sigurtà tal-missjonijiet spazjali futuri l-ossiġnu ntuża fi _____ tal-pressjoni normali.")</f>
        <v>Biex tkun żgurata s-sigurtà tal-missjonijiet spazjali futuri l-ossiġnu ntuża fi _____ tal-pressjoni normali.</v>
      </c>
    </row>
    <row r="1908" ht="15.75" customHeight="1">
      <c r="A1908" s="2" t="s">
        <v>1908</v>
      </c>
      <c r="B1908" s="2" t="str">
        <f>IFERROR(__xludf.DUMMYFUNCTION("GOOGLETRANSLATE(A1908, ""en"", ""mt"")"),"meħtieġa għas-sopravivenza ta 'stat")</f>
        <v>meħtieġa għas-sopravivenza ta 'stat</v>
      </c>
    </row>
    <row r="1909" ht="15.75" customHeight="1">
      <c r="A1909" s="2" t="s">
        <v>1909</v>
      </c>
      <c r="B1909" s="2" t="str">
        <f>IFERROR(__xludf.DUMMYFUNCTION("GOOGLETRANSLATE(A1909, ""en"", ""mt"")"),"X'inhu mrażżan bil-lieva fil-quċċata ta 'sewwieq?")</f>
        <v>X'inhu mrażżan bil-lieva fil-quċċata ta 'sewwieq?</v>
      </c>
    </row>
    <row r="1910" ht="15.75" customHeight="1">
      <c r="A1910" s="2" t="s">
        <v>1910</v>
      </c>
      <c r="B1910" s="2" t="str">
        <f>IFERROR(__xludf.DUMMYFUNCTION("GOOGLETRANSLATE(A1910, ""en"", ""mt"")"),"ifejjaq spiritwali")</f>
        <v>ifejjaq spiritwali</v>
      </c>
    </row>
    <row r="1911" ht="15.75" customHeight="1">
      <c r="A1911" s="2" t="s">
        <v>1911</v>
      </c>
      <c r="B1911" s="2" t="str">
        <f>IFERROR(__xludf.DUMMYFUNCTION("GOOGLETRANSLATE(A1911, ""en"", ""mt"")"),"It-twaqqif ta ’knejjes Protestanti ġodda f’reġjuni kkontrollati mill-Kattoliċi")</f>
        <v>It-twaqqif ta ’knejjes Protestanti ġodda f’reġjuni kkontrollati mill-Kattoliċi</v>
      </c>
    </row>
    <row r="1912" ht="15.75" customHeight="1">
      <c r="A1912" s="2" t="s">
        <v>1912</v>
      </c>
      <c r="B1912" s="2" t="str">
        <f>IFERROR(__xludf.DUMMYFUNCTION("GOOGLETRANSLATE(A1912, ""en"", ""mt"")"),"Meta huwa l-eqdem siġill armat ta 'Varsavja?")</f>
        <v>Meta huwa l-eqdem siġill armat ta 'Varsavja?</v>
      </c>
    </row>
    <row r="1913" ht="15.75" customHeight="1">
      <c r="A1913" s="2" t="s">
        <v>1913</v>
      </c>
      <c r="B1913" s="2" t="str">
        <f>IFERROR(__xludf.DUMMYFUNCTION("GOOGLETRANSLATE(A1913, ""en"", ""mt"")"),"Peress li l-istudenti ma jħallsux tagħlim, x'għandhom iħallsu għall-iskola fir-Rabat?")</f>
        <v>Peress li l-istudenti ma jħallsux tagħlim, x'għandhom iħallsu għall-iskola fir-Rabat?</v>
      </c>
    </row>
    <row r="1914" ht="15.75" customHeight="1">
      <c r="A1914" s="2" t="s">
        <v>1914</v>
      </c>
      <c r="B1914" s="2" t="str">
        <f>IFERROR(__xludf.DUMMYFUNCTION("GOOGLETRANSLATE(A1914, ""en"", ""mt"")"),"Kemm iċ-ċelloli B kif ukoll iċ-ċelloli T iġorru molekuli tar-riċetturi li jirrikonoxxu miri speċifiċi. Iċ-ċelloli T jirrikonoxxu mira ""mhux self"", bħal patoġen, biss wara li l-antiġeni (frammenti żgħar tal-patoġen) ġew ipproċessati u ppreżentati flimkie"&amp;"n ma 'riċettur ""awto"" msejjaħ molekula ta' kumpless ta 'istokompatibilità maġġuri (MHC). Hemm żewġ sottotipi ewlenin ta 'ċelloli T: iċ-ċellula T qattiel u ċ-ċellula T helper. Barra minn hekk hemm ċelloli T regolatorji li għandhom rwol fil-modulazzjoni t"&amp;"ar-rispons immuni. Iċ-ċelloli T qattiel jirrikonoxxu biss antiġeni akkoppjati mal-molekuli MHC tal-klassi I, filwaqt li ċelloli T helper u ċelloli T regolatorji jirrikonoxxu biss antiġeni akkoppjati mal-molekuli tal-klassi II MHC. Dawn iż-żewġ mekkaniżmi "&amp;"ta 'preżentazzjoni ta' l-antiġen jirriflettu r-rwoli differenti taż-żewġ tipi ta 'ċelluli T. Terz, sottotip minuri huma ċ-ċelloli T γδ li jirrikonoxxu antiġeni intatti li mhumiex marbuta mar-riċetturi MHC.")</f>
        <v>Kemm iċ-ċelloli B kif ukoll iċ-ċelloli T iġorru molekuli tar-riċetturi li jirrikonoxxu miri speċifiċi. Iċ-ċelloli T jirrikonoxxu mira "mhux self", bħal patoġen, biss wara li l-antiġeni (frammenti żgħar tal-patoġen) ġew ipproċessati u ppreżentati flimkien ma 'riċettur "awto" msejjaħ molekula ta' kumpless ta 'istokompatibilità maġġuri (MHC). Hemm żewġ sottotipi ewlenin ta 'ċelloli T: iċ-ċellula T qattiel u ċ-ċellula T helper. Barra minn hekk hemm ċelloli T regolatorji li għandhom rwol fil-modulazzjoni tar-rispons immuni. Iċ-ċelloli T qattiel jirrikonoxxu biss antiġeni akkoppjati mal-molekuli MHC tal-klassi I, filwaqt li ċelloli T helper u ċelloli T regolatorji jirrikonoxxu biss antiġeni akkoppjati mal-molekuli tal-klassi II MHC. Dawn iż-żewġ mekkaniżmi ta 'preżentazzjoni ta' l-antiġen jirriflettu r-rwoli differenti taż-żewġ tipi ta 'ċelluli T. Terz, sottotip minuri huma ċ-ċelloli T γδ li jirrikonoxxu antiġeni intatti li mhumiex marbuta mar-riċetturi MHC.</v>
      </c>
    </row>
    <row r="1915" ht="15.75" customHeight="1">
      <c r="A1915" s="2" t="s">
        <v>1915</v>
      </c>
      <c r="B1915" s="2" t="str">
        <f>IFERROR(__xludf.DUMMYFUNCTION("GOOGLETRANSLATE(A1915, ""en"", ""mt"")"),"Min kien il-gvernatur tal-Old France?")</f>
        <v>Min kien il-gvernatur tal-Old France?</v>
      </c>
    </row>
    <row r="1916" ht="15.75" customHeight="1">
      <c r="A1916" s="2" t="s">
        <v>1916</v>
      </c>
      <c r="B1916" s="2" t="str">
        <f>IFERROR(__xludf.DUMMYFUNCTION("GOOGLETRANSLATE(A1916, ""en"", ""mt"")"),"Min jiddeċiedi jekk liġi hijiex morali?")</f>
        <v>Min jiddeċiedi jekk liġi hijiex morali?</v>
      </c>
    </row>
    <row r="1917" ht="15.75" customHeight="1">
      <c r="A1917" s="2" t="s">
        <v>1917</v>
      </c>
      <c r="B1917" s="2" t="str">
        <f>IFERROR(__xludf.DUMMYFUNCTION("GOOGLETRANSLATE(A1917, ""en"", ""mt"")"),"Liema nazzjonalità huma r-riċerkaturi Richard G. Wilkinson u Kate Pickett?")</f>
        <v>Liema nazzjonalità huma r-riċerkaturi Richard G. Wilkinson u Kate Pickett?</v>
      </c>
    </row>
    <row r="1918" ht="15.75" customHeight="1">
      <c r="A1918" s="2" t="s">
        <v>1918</v>
      </c>
      <c r="B1918" s="2" t="str">
        <f>IFERROR(__xludf.DUMMYFUNCTION("GOOGLETRANSLATE(A1918, ""en"", ""mt"")"),"Fil-laboratorju, il-bijostratigrafiċi janalizzaw kampjuni tal-blat mill-qlub u t-tħaffir għall-fossili misjuba fihom. Dawn il-fossili jgħinu lix-xjenzati biex jagħmlu l-qalba u jifhmu l-ambjent ta 'depożitu li fih iffurmaw l-unitajiet tal-blat. Il-ġeokron"&amp;"ologi jmorru b'mod preċiż il-blat fit-taqsima stratigrafika sabiex jipprovdu limiti assoluti aħjar fuq iż-żmien u r-rati ta 'deposizzjoni. Stratigraphers manjetiċi jfittxu sinjali ta 'treġġigħ lura manjetiku f'unitajiet ta' blat igneous fil-qlub tat-tħaff"&amp;"ir. Xjentisti oħra jwettqu studji ta ’iżotopi stabbli fuq il-blat biex jiksbu informazzjoni dwar il-klima tal-passat.")</f>
        <v>Fil-laboratorju, il-bijostratigrafiċi janalizzaw kampjuni tal-blat mill-qlub u t-tħaffir għall-fossili misjuba fihom. Dawn il-fossili jgħinu lix-xjenzati biex jagħmlu l-qalba u jifhmu l-ambjent ta 'depożitu li fih iffurmaw l-unitajiet tal-blat. Il-ġeokronologi jmorru b'mod preċiż il-blat fit-taqsima stratigrafika sabiex jipprovdu limiti assoluti aħjar fuq iż-żmien u r-rati ta 'deposizzjoni. Stratigraphers manjetiċi jfittxu sinjali ta 'treġġigħ lura manjetiku f'unitajiet ta' blat igneous fil-qlub tat-tħaffir. Xjentisti oħra jwettqu studji ta ’iżotopi stabbli fuq il-blat biex jiksbu informazzjoni dwar il-klima tal-passat.</v>
      </c>
    </row>
    <row r="1919" ht="15.75" customHeight="1">
      <c r="A1919" s="2" t="s">
        <v>1919</v>
      </c>
      <c r="B1919" s="2" t="str">
        <f>IFERROR(__xludf.DUMMYFUNCTION("GOOGLETRANSLATE(A1919, ""en"", ""mt"")"),"Mudelli ta 'unifikazzjoni")</f>
        <v>Mudelli ta 'unifikazzjoni</v>
      </c>
    </row>
    <row r="1920" ht="15.75" customHeight="1">
      <c r="A1920" s="2" t="s">
        <v>1920</v>
      </c>
      <c r="B1920" s="2" t="str">
        <f>IFERROR(__xludf.DUMMYFUNCTION("GOOGLETRANSLATE(A1920, ""en"", ""mt"")"),"Kunflitt ferm akbar bejn Franza u l-Gran Brittanja")</f>
        <v>Kunflitt ferm akbar bejn Franza u l-Gran Brittanja</v>
      </c>
    </row>
    <row r="1921" ht="15.75" customHeight="1">
      <c r="A1921" s="2" t="s">
        <v>1921</v>
      </c>
      <c r="B1921" s="2" t="str">
        <f>IFERROR(__xludf.DUMMYFUNCTION("GOOGLETRANSLATE(A1921, ""en"", ""mt"")"),"2008-2009")</f>
        <v>2008-2009</v>
      </c>
    </row>
    <row r="1922" ht="15.75" customHeight="1">
      <c r="A1922" s="2" t="s">
        <v>1922</v>
      </c>
      <c r="B1922" s="2" t="str">
        <f>IFERROR(__xludf.DUMMYFUNCTION("GOOGLETRANSLATE(A1922, ""en"", ""mt"")"),"għalliema")</f>
        <v>għalliema</v>
      </c>
    </row>
    <row r="1923" ht="15.75" customHeight="1">
      <c r="A1923" s="2" t="s">
        <v>1923</v>
      </c>
      <c r="B1923" s="2" t="str">
        <f>IFERROR(__xludf.DUMMYFUNCTION("GOOGLETRANSLATE(A1923, ""en"", ""mt"")"),"Meta sostnew it-Tliet Avukati Ġenerali li d-direttivi għandhom joħolqu drittijiet u dmirijiet għaċ-ċittadini kollha?")</f>
        <v>Meta sostnew it-Tliet Avukati Ġenerali li d-direttivi għandhom joħolqu drittijiet u dmirijiet għaċ-ċittadini kollha?</v>
      </c>
    </row>
    <row r="1924" ht="15.75" customHeight="1">
      <c r="A1924" s="2" t="s">
        <v>1924</v>
      </c>
      <c r="B1924" s="2" t="str">
        <f>IFERROR(__xludf.DUMMYFUNCTION("GOOGLETRANSLATE(A1924, ""en"", ""mt"")"),"Han Ċiniż, Khitans, Jurchens, Mongoli, u Buddisti Tibetani.")</f>
        <v>Han Ċiniż, Khitans, Jurchens, Mongoli, u Buddisti Tibetani.</v>
      </c>
    </row>
    <row r="1925" ht="15.75" customHeight="1">
      <c r="A1925" s="2" t="s">
        <v>1925</v>
      </c>
      <c r="B1925" s="2" t="str">
        <f>IFERROR(__xludf.DUMMYFUNCTION("GOOGLETRANSLATE(A1925, ""en"", ""mt"")"),"il-korpi tal-ilma tad-dinja")</f>
        <v>il-korpi tal-ilma tad-dinja</v>
      </c>
    </row>
    <row r="1926" ht="15.75" customHeight="1">
      <c r="A1926" s="2" t="s">
        <v>1926</v>
      </c>
      <c r="B1926" s="2" t="str">
        <f>IFERROR(__xludf.DUMMYFUNCTION("GOOGLETRANSLATE(A1926, ""en"", ""mt"")"),"Liema magni, flimkien ma 'magni tad-diżil, qabżu magni tal-fwar għall-propulsjoni tal-gass?")</f>
        <v>Liema magni, flimkien ma 'magni tad-diżil, qabżu magni tal-fwar għall-propulsjoni tal-gass?</v>
      </c>
    </row>
    <row r="1927" ht="15.75" customHeight="1">
      <c r="A1927" s="2" t="s">
        <v>1927</v>
      </c>
      <c r="B1927" s="2" t="str">
        <f>IFERROR(__xludf.DUMMYFUNCTION("GOOGLETRANSLATE(A1927, ""en"", ""mt"")"),"Il-wan kienet l-ewwel darba li ċ-Ċina kollha ġiet maħkuma minn min?")</f>
        <v>Il-wan kienet l-ewwel darba li ċ-Ċina kollha ġiet maħkuma minn min?</v>
      </c>
    </row>
    <row r="1928" ht="15.75" customHeight="1">
      <c r="A1928" s="2" t="s">
        <v>1928</v>
      </c>
      <c r="B1928" s="2" t="str">
        <f>IFERROR(__xludf.DUMMYFUNCTION("GOOGLETRANSLATE(A1928, ""en"", ""mt"")"),"Sky meta nediet kampanja ta 'reklamar tat-TV lejn il-mira lejn in-nisa?")</f>
        <v>Sky meta nediet kampanja ta 'reklamar tat-TV lejn il-mira lejn in-nisa?</v>
      </c>
    </row>
    <row r="1929" ht="15.75" customHeight="1">
      <c r="A1929" s="2" t="s">
        <v>1929</v>
      </c>
      <c r="B1929" s="2" t="str">
        <f>IFERROR(__xludf.DUMMYFUNCTION("GOOGLETRANSLATE(A1929, ""en"", ""mt"")"),"Stadju 4 Huwa l-aħħar stadju ta 'xiex?")</f>
        <v>Stadju 4 Huwa l-aħħar stadju ta 'xiex?</v>
      </c>
    </row>
    <row r="1930" ht="15.75" customHeight="1">
      <c r="A1930" s="2" t="s">
        <v>1930</v>
      </c>
      <c r="B1930" s="2" t="str">
        <f>IFERROR(__xludf.DUMMYFUNCTION("GOOGLETRANSLATE(A1930, ""en"", ""mt"")"),"X'tikseb meta tidher is-somma tal-forzi b'żieda fil-vettur?")</f>
        <v>X'tikseb meta tidher is-somma tal-forzi b'żieda fil-vettur?</v>
      </c>
    </row>
    <row r="1931" ht="15.75" customHeight="1">
      <c r="A1931" s="2" t="s">
        <v>1931</v>
      </c>
      <c r="B1931" s="2" t="str">
        <f>IFERROR(__xludf.DUMMYFUNCTION("GOOGLETRANSLATE(A1931, ""en"", ""mt"")"),"F'liema sena twieled Francois Villion?")</f>
        <v>F'liema sena twieled Francois Villion?</v>
      </c>
    </row>
    <row r="1932" ht="15.75" customHeight="1">
      <c r="A1932" s="2" t="s">
        <v>1932</v>
      </c>
      <c r="B1932" s="2" t="str">
        <f>IFERROR(__xludf.DUMMYFUNCTION("GOOGLETRANSLATE(A1932, ""en"", ""mt"")"),"Kemm hemm problemi teoretiċi kombinatorji u graff, li qabel kienu maħsuba li huma affetwati mill-intrattabilità, il-karta ta 'Karp indirizzat?")</f>
        <v>Kemm hemm problemi teoretiċi kombinatorji u graff, li qabel kienu maħsuba li huma affetwati mill-intrattabilità, il-karta ta 'Karp indirizzat?</v>
      </c>
    </row>
    <row r="1933" ht="15.75" customHeight="1">
      <c r="A1933" s="2" t="s">
        <v>1933</v>
      </c>
      <c r="B1933" s="2" t="str">
        <f>IFERROR(__xludf.DUMMYFUNCTION("GOOGLETRANSLATE(A1933, ""en"", ""mt"")"),"Liema kwistjonijiet jistgħu jipprevjenu lin-nisa milli jaħdmu barra d-dar jew jirċievu edukazzjoni?")</f>
        <v>Liema kwistjonijiet jistgħu jipprevjenu lin-nisa milli jaħdmu barra d-dar jew jirċievu edukazzjoni?</v>
      </c>
    </row>
    <row r="1934" ht="15.75" customHeight="1">
      <c r="A1934" s="2" t="s">
        <v>1934</v>
      </c>
      <c r="B1934" s="2" t="str">
        <f>IFERROR(__xludf.DUMMYFUNCTION("GOOGLETRANSLATE(A1934, ""en"", ""mt"")"),"Upper Rhine Graben")</f>
        <v>Upper Rhine Graben</v>
      </c>
    </row>
    <row r="1935" ht="15.75" customHeight="1">
      <c r="A1935" s="2" t="s">
        <v>1935</v>
      </c>
      <c r="B1935" s="2" t="str">
        <f>IFERROR(__xludf.DUMMYFUNCTION("GOOGLETRANSLATE(A1935, ""en"", ""mt"")"),"X'kienet Virgin Media rebranded bħala?")</f>
        <v>X'kienet Virgin Media rebranded bħala?</v>
      </c>
    </row>
    <row r="1936" ht="15.75" customHeight="1">
      <c r="A1936" s="2" t="s">
        <v>1936</v>
      </c>
      <c r="B1936" s="2" t="str">
        <f>IFERROR(__xludf.DUMMYFUNCTION("GOOGLETRANSLATE(A1936, ""en"", ""mt"")"),"Meta ntlew l-iktar ntl mill-ġdid mill-ġdid minn Virgin Media?")</f>
        <v>Meta ntlew l-iktar ntl mill-ġdid mill-ġdid minn Virgin Media?</v>
      </c>
    </row>
    <row r="1937" ht="15.75" customHeight="1">
      <c r="A1937" s="2" t="s">
        <v>1937</v>
      </c>
      <c r="B1937" s="2" t="str">
        <f>IFERROR(__xludf.DUMMYFUNCTION("GOOGLETRANSLATE(A1937, ""en"", ""mt"")"),"Liema konsulent tal-Prim Ministru Brittaniku huwa wkoll membru tal-alumni tal-università?")</f>
        <v>Liema konsulent tal-Prim Ministru Brittaniku huwa wkoll membru tal-alumni tal-università?</v>
      </c>
    </row>
    <row r="1938" ht="15.75" customHeight="1">
      <c r="A1938" s="2" t="s">
        <v>1938</v>
      </c>
      <c r="B1938" s="2" t="str">
        <f>IFERROR(__xludf.DUMMYFUNCTION("GOOGLETRANSLATE(A1938, ""en"", ""mt"")"),"元 朝")</f>
        <v>元 朝</v>
      </c>
    </row>
    <row r="1939" ht="15.75" customHeight="1">
      <c r="A1939" s="2" t="s">
        <v>1939</v>
      </c>
      <c r="B1939" s="2" t="str">
        <f>IFERROR(__xludf.DUMMYFUNCTION("GOOGLETRANSLATE(A1939, ""en"", ""mt"")"),"1697")</f>
        <v>1697</v>
      </c>
    </row>
    <row r="1940" ht="15.75" customHeight="1">
      <c r="A1940" s="2" t="s">
        <v>1940</v>
      </c>
      <c r="B1940" s="2" t="str">
        <f>IFERROR(__xludf.DUMMYFUNCTION("GOOGLETRANSLATE(A1940, ""en"", ""mt"")"),"huma mfixkla")</f>
        <v>huma mfixkla</v>
      </c>
    </row>
    <row r="1941" ht="15.75" customHeight="1">
      <c r="A1941" s="2" t="s">
        <v>1941</v>
      </c>
      <c r="B1941" s="2" t="str">
        <f>IFERROR(__xludf.DUMMYFUNCTION("GOOGLETRANSLATE(A1941, ""en"", ""mt"")"),"Kemm ġew irreġistrati kumpaniji f'Varsavja fl-2006?")</f>
        <v>Kemm ġew irreġistrati kumpaniji f'Varsavja fl-2006?</v>
      </c>
    </row>
    <row r="1942" ht="15.75" customHeight="1">
      <c r="A1942" s="2" t="s">
        <v>1942</v>
      </c>
      <c r="B1942" s="2" t="str">
        <f>IFERROR(__xludf.DUMMYFUNCTION("GOOGLETRANSLATE(A1942, ""en"", ""mt"")"),"Sitta")</f>
        <v>Sitta</v>
      </c>
    </row>
    <row r="1943" ht="15.75" customHeight="1">
      <c r="A1943" s="2" t="s">
        <v>1943</v>
      </c>
      <c r="B1943" s="2" t="str">
        <f>IFERROR(__xludf.DUMMYFUNCTION("GOOGLETRANSLATE(A1943, ""en"", ""mt"")"),"X'inhi t-temperatura tad-dħul tat-turbina ta 'turbina tal-fwar, fi gradi Celsius?")</f>
        <v>X'inhi t-temperatura tad-dħul tat-turbina ta 'turbina tal-fwar, fi gradi Celsius?</v>
      </c>
    </row>
    <row r="1944" ht="15.75" customHeight="1">
      <c r="A1944" s="2" t="s">
        <v>1944</v>
      </c>
      <c r="B1944" s="2" t="str">
        <f>IFERROR(__xludf.DUMMYFUNCTION("GOOGLETRANSLATE(A1944, ""en"", ""mt"")")," Min kien essenzjali għall-Iżlam li ma jimitax?")</f>
        <v> Min kien essenzjali għall-Iżlam li ma jimitax?</v>
      </c>
    </row>
    <row r="1945" ht="15.75" customHeight="1">
      <c r="A1945" s="2" t="s">
        <v>1945</v>
      </c>
      <c r="B1945" s="2" t="str">
        <f>IFERROR(__xludf.DUMMYFUNCTION("GOOGLETRANSLATE(A1945, ""en"", ""mt"")"),"X'tagħmel it-trattament biss?")</f>
        <v>X'tagħmel it-trattament biss?</v>
      </c>
    </row>
    <row r="1946" ht="15.75" customHeight="1">
      <c r="A1946" s="2" t="s">
        <v>1946</v>
      </c>
      <c r="B1946" s="2" t="str">
        <f>IFERROR(__xludf.DUMMYFUNCTION("GOOGLETRANSLATE(A1946, ""en"", ""mt"")"),"Kemm użaw pajjiżi żviluppati riċerkaturi Ingliżi biex jiġbru statistika?")</f>
        <v>Kemm użaw pajjiżi żviluppati riċerkaturi Ingliżi biex jiġbru statistika?</v>
      </c>
    </row>
    <row r="1947" ht="15.75" customHeight="1">
      <c r="A1947" s="2" t="s">
        <v>1947</v>
      </c>
      <c r="B1947" s="2" t="str">
        <f>IFERROR(__xludf.DUMMYFUNCTION("GOOGLETRANSLATE(A1947, ""en"", ""mt"")"),"il-problema diskreta tal-logaritmu")</f>
        <v>il-problema diskreta tal-logaritmu</v>
      </c>
    </row>
    <row r="1948" ht="15.75" customHeight="1">
      <c r="A1948" s="2" t="s">
        <v>1948</v>
      </c>
      <c r="B1948" s="2" t="str">
        <f>IFERROR(__xludf.DUMMYFUNCTION("GOOGLETRANSLATE(A1948, ""en"", ""mt"")"),"Triq Fresno u Thorne Ave")</f>
        <v>Triq Fresno u Thorne Ave</v>
      </c>
    </row>
    <row r="1949" ht="15.75" customHeight="1">
      <c r="A1949" s="2" t="s">
        <v>1949</v>
      </c>
      <c r="B1949" s="2" t="str">
        <f>IFERROR(__xludf.DUMMYFUNCTION("GOOGLETRANSLATE(A1949, ""en"", ""mt"")"),"Għal min ma ħadmitx is-Sinjura Kucukdeveci?")</f>
        <v>Għal min ma ħadmitx is-Sinjura Kucukdeveci?</v>
      </c>
    </row>
    <row r="1950" ht="15.75" customHeight="1">
      <c r="A1950" s="2" t="s">
        <v>1950</v>
      </c>
      <c r="B1950" s="2" t="str">
        <f>IFERROR(__xludf.DUMMYFUNCTION("GOOGLETRANSLATE(A1950, ""en"", ""mt"")"),"L-analiżi ta 'sezzjonijiet stratigrafiċi bħal qlub tat-tħaffir issir minn min?")</f>
        <v>L-analiżi ta 'sezzjonijiet stratigrafiċi bħal qlub tat-tħaffir issir minn min?</v>
      </c>
    </row>
    <row r="1951" ht="15.75" customHeight="1">
      <c r="A1951" s="2" t="s">
        <v>1951</v>
      </c>
      <c r="B1951" s="2" t="str">
        <f>IFERROR(__xludf.DUMMYFUNCTION("GOOGLETRANSLATE(A1951, ""en"", ""mt"")"),"Madwar 15-il kilometru")</f>
        <v>Madwar 15-il kilometru</v>
      </c>
    </row>
    <row r="1952" ht="15.75" customHeight="1">
      <c r="A1952" s="2" t="s">
        <v>1952</v>
      </c>
      <c r="B1952" s="2" t="str">
        <f>IFERROR(__xludf.DUMMYFUNCTION("GOOGLETRANSLATE(A1952, ""en"", ""mt"")"),"Imperu Ruman")</f>
        <v>Imperu Ruman</v>
      </c>
    </row>
    <row r="1953" ht="15.75" customHeight="1">
      <c r="A1953" s="2" t="s">
        <v>1953</v>
      </c>
      <c r="B1953" s="2" t="str">
        <f>IFERROR(__xludf.DUMMYFUNCTION("GOOGLETRANSLATE(A1953, ""en"", ""mt"")")," Liema reliġjonijiet irrifjutaw Tugh Temur?")</f>
        <v> Liema reliġjonijiet irrifjutaw Tugh Temur?</v>
      </c>
    </row>
    <row r="1954" ht="15.75" customHeight="1">
      <c r="A1954" s="2" t="s">
        <v>1954</v>
      </c>
      <c r="B1954" s="2" t="str">
        <f>IFERROR(__xludf.DUMMYFUNCTION("GOOGLETRANSLATE(A1954, ""en"", ""mt"")"),"X'inhu l-isem tal-president li impona l-limitu tal-veloċità?")</f>
        <v>X'inhu l-isem tal-president li impona l-limitu tal-veloċità?</v>
      </c>
    </row>
    <row r="1955" ht="15.75" customHeight="1">
      <c r="A1955" s="2" t="s">
        <v>1955</v>
      </c>
      <c r="B1955" s="2" t="str">
        <f>IFERROR(__xludf.DUMMYFUNCTION("GOOGLETRANSLATE(A1955, ""en"", ""mt"")"),"Il-gvernaturi kolonjali meta ltaqgħu mal-Ġeneral Edward Braddock dwar il-paċi mal-Franċiżi?")</f>
        <v>Il-gvernaturi kolonjali meta ltaqgħu mal-Ġeneral Edward Braddock dwar il-paċi mal-Franċiżi?</v>
      </c>
    </row>
    <row r="1956" ht="15.75" customHeight="1">
      <c r="A1956" s="2" t="s">
        <v>1956</v>
      </c>
      <c r="B1956" s="2" t="str">
        <f>IFERROR(__xludf.DUMMYFUNCTION("GOOGLETRANSLATE(A1956, ""en"", ""mt"")"),"Spejjeż żejda")</f>
        <v>Spejjeż żejda</v>
      </c>
    </row>
    <row r="1957" ht="15.75" customHeight="1">
      <c r="A1957" s="2" t="s">
        <v>1957</v>
      </c>
      <c r="B1957" s="2" t="str">
        <f>IFERROR(__xludf.DUMMYFUNCTION("GOOGLETRANSLATE(A1957, ""en"", ""mt"")"),"Nies li jitilgħu l-muntanji jew itiru f'ajruplani tal-ġwienaħ fissi mhux pressurizzati xi kultant ikollhom O supplimentari
2 provvisti. [H] Il-passiġġieri li jivvjaġġaw f'ajruplani kummerċjali (taħt pressjoni) għandhom provvista ta 'emerġenza ta' o
2 forn"&amp;"iti awtomatikament lilhom f'każ ta 'depressurizzazzjoni tal-kabina. Telf ta 'pressjoni tal-kabina f'daqqa jattiva ġeneraturi ta' ossiġnu kimiku 'l fuq minn kull sedil, u jikkawża li l-maskri tal-ossiġnu jonqsu. Tiġbed fuq il-maskri ""biex tibda l-fluss ta"&amp;" 'ossiġnu"" kif jiddettaw l-istruzzjonijiet tas-sigurtà tal-kabina, iġġiegħel il-preżentazzjonijiet tal-ħadid fil-klorat tas-sodju ġewwa l-kanister. Nixxiegħa kostanti ta 'gass ta' ossiġnu hija mbagħad prodotta mir-reazzjoni eżotermika.")</f>
        <v>Nies li jitilgħu l-muntanji jew itiru f'ajruplani tal-ġwienaħ fissi mhux pressurizzati xi kultant ikollhom O supplimentari
2 provvisti. [H] Il-passiġġieri li jivvjaġġaw f'ajruplani kummerċjali (taħt pressjoni) għandhom provvista ta 'emerġenza ta' o
2 forniti awtomatikament lilhom f'każ ta 'depressurizzazzjoni tal-kabina. Telf ta 'pressjoni tal-kabina f'daqqa jattiva ġeneraturi ta' ossiġnu kimiku 'l fuq minn kull sedil, u jikkawża li l-maskri tal-ossiġnu jonqsu. Tiġbed fuq il-maskri "biex tibda l-fluss ta 'ossiġnu" kif jiddettaw l-istruzzjonijiet tas-sigurtà tal-kabina, iġġiegħel il-preżentazzjonijiet tal-ħadid fil-klorat tas-sodju ġewwa l-kanister. Nixxiegħa kostanti ta 'gass ta' ossiġnu hija mbagħad prodotta mir-reazzjoni eżotermika.</v>
      </c>
    </row>
    <row r="1958" ht="15.75" customHeight="1">
      <c r="A1958" s="2" t="s">
        <v>1958</v>
      </c>
      <c r="B1958" s="2" t="str">
        <f>IFERROR(__xludf.DUMMYFUNCTION("GOOGLETRANSLATE(A1958, ""en"", ""mt"")"),"Liema liġi tgħaqqad veloċitajiet relattivi ma 'inerzja?")</f>
        <v>Liema liġi tgħaqqad veloċitajiet relattivi ma 'inerzja?</v>
      </c>
    </row>
    <row r="1959" ht="15.75" customHeight="1">
      <c r="A1959" s="2" t="s">
        <v>1959</v>
      </c>
      <c r="B1959" s="2" t="str">
        <f>IFERROR(__xludf.DUMMYFUNCTION("GOOGLETRANSLATE(A1959, ""en"", ""mt"")"),"Min kien il-fundatur tal-Oracle Corporation?")</f>
        <v>Min kien il-fundatur tal-Oracle Corporation?</v>
      </c>
    </row>
    <row r="1960" ht="15.75" customHeight="1">
      <c r="A1960" s="2" t="s">
        <v>1960</v>
      </c>
      <c r="B1960" s="2" t="str">
        <f>IFERROR(__xludf.DUMMYFUNCTION("GOOGLETRANSLATE(A1960, ""en"", ""mt"")"),"Taħt liema każijiet l-individwi jistgħu jiddependu fuq il-liġi primarja fil-Qorti tal-Ġustizzja tal-Unjoni Ewropea?")</f>
        <v>Taħt liema każijiet l-individwi jistgħu jiddependu fuq il-liġi primarja fil-Qorti tal-Ġustizzja tal-Unjoni Ewropea?</v>
      </c>
    </row>
    <row r="1961" ht="15.75" customHeight="1">
      <c r="A1961" s="2" t="s">
        <v>1961</v>
      </c>
      <c r="B1961" s="2" t="str">
        <f>IFERROR(__xludf.DUMMYFUNCTION("GOOGLETRANSLATE(A1961, ""en"", ""mt"")"),"1991")</f>
        <v>1991</v>
      </c>
    </row>
    <row r="1962" ht="15.75" customHeight="1">
      <c r="A1962" s="2" t="s">
        <v>1962</v>
      </c>
      <c r="B1962" s="2" t="str">
        <f>IFERROR(__xludf.DUMMYFUNCTION("GOOGLETRANSLATE(A1962, ""en"", ""mt"")"),"Videoguard UK")</f>
        <v>Videoguard UK</v>
      </c>
    </row>
    <row r="1963" ht="15.75" customHeight="1">
      <c r="A1963" s="2" t="s">
        <v>1963</v>
      </c>
      <c r="B1963" s="2" t="str">
        <f>IFERROR(__xludf.DUMMYFUNCTION("GOOGLETRANSLATE(A1963, ""en"", ""mt"")"),"X’ma stabbilixxietx id-dispożizzjoni ewlenija fuq trattament ugwali tal-ħaddiema?")</f>
        <v>X’ma stabbilixxietx id-dispożizzjoni ewlenija fuq trattament ugwali tal-ħaddiema?</v>
      </c>
    </row>
    <row r="1964" ht="15.75" customHeight="1">
      <c r="A1964" s="2" t="s">
        <v>1964</v>
      </c>
      <c r="B1964" s="2" t="str">
        <f>IFERROR(__xludf.DUMMYFUNCTION("GOOGLETRANSLATE(A1964, ""en"", ""mt"")"),"Xeriff għoli u wieħed mill-fundaturi tal-Bank of Ireland")</f>
        <v>Xeriff għoli u wieħed mill-fundaturi tal-Bank of Ireland</v>
      </c>
    </row>
    <row r="1965" ht="15.75" customHeight="1">
      <c r="A1965" s="2" t="s">
        <v>1965</v>
      </c>
      <c r="B1965" s="2" t="str">
        <f>IFERROR(__xludf.DUMMYFUNCTION("GOOGLETRANSLATE(A1965, ""en"", ""mt"")"),"ġew miktuba algoritmi")</f>
        <v>ġew miktuba algoritmi</v>
      </c>
    </row>
    <row r="1966" ht="15.75" customHeight="1">
      <c r="A1966" s="2" t="s">
        <v>1966</v>
      </c>
      <c r="B1966" s="2" t="str">
        <f>IFERROR(__xludf.DUMMYFUNCTION("GOOGLETRANSLATE(A1966, ""en"", ""mt"")"),"Liema molekula għandha x-xemx fi proporzjon ogħla mid-Dinja?")</f>
        <v>Liema molekula għandha x-xemx fi proporzjon ogħla mid-Dinja?</v>
      </c>
    </row>
    <row r="1967" ht="15.75" customHeight="1">
      <c r="A1967" s="2" t="s">
        <v>1967</v>
      </c>
      <c r="B1967" s="2" t="str">
        <f>IFERROR(__xludf.DUMMYFUNCTION("GOOGLETRANSLATE(A1967, ""en"", ""mt"")"),"X'ġara fl-1973-1974?")</f>
        <v>X'ġara fl-1973-1974?</v>
      </c>
    </row>
    <row r="1968" ht="15.75" customHeight="1">
      <c r="A1968" s="2" t="s">
        <v>1968</v>
      </c>
      <c r="B1968" s="2" t="str">
        <f>IFERROR(__xludf.DUMMYFUNCTION("GOOGLETRANSLATE(A1968, ""en"", ""mt"")"),"Meta kienet kompluta l-porzjon Ewropew tal-gwerra ta 'sitt snin?")</f>
        <v>Meta kienet kompluta l-porzjon Ewropew tal-gwerra ta 'sitt snin?</v>
      </c>
    </row>
    <row r="1969" ht="15.75" customHeight="1">
      <c r="A1969" s="2" t="s">
        <v>1969</v>
      </c>
      <c r="B1969" s="2" t="str">
        <f>IFERROR(__xludf.DUMMYFUNCTION("GOOGLETRANSLATE(A1969, ""en"", ""mt"")"),"L-ekwilibriju dinamiku ġie deskritt għall-ewwel darba minn Galileo li ndunat li ċerti suppożizzjonijiet tal-fiżika aristoteljana kienu kontradetti minn osservazzjonijiet u loġika. Galileo induna li żieda sempliċi ta 'veloċità titlob li l-kunċett ta' ""qaf"&amp;"as ta 'mistrieħ assolut"" ma jeżistix. Galileo kkonkluda li l-mozzjoni f'veloċità kostanti kienet kompletament ekwivalenti għall-mistrieħ. Dan kien kuntrarju għall-kunċett ta 'Aristotile ta' ""stat naturali"" ta 'mistrieħ li joġġezzjona bil-massa avviċina"&amp;"ti b'mod naturali. Esperimenti sempliċi wrew li l-fehim ta 'Galileo dwar l-ekwivalenza tal-veloċità kostanti u l-mistrieħ kienu korretti. Pereżempju, jekk baħħara waqqa 'kanun mill-bejta taċ-ċawla ta' vapur li jiċċaqlaq b'veloċità kostanti, il-fiżika Aris"&amp;"toteljana jkollha l-kanun tal-kanun jaqa 'dritt' l isfel waqt li l-vapur mexa taħtha. Għalhekk, f'univers aristoteljan, il-kanun tal-waqgħa jinżel wara l-qiegħ tal-arblu ta 'vapur li jiċċaqlaq. Madankollu, meta dan l-esperiment jitmexxa fil-fatt, il-kanun"&amp;" tal-kanun dejjem jaqa 'f'riġlejn l-arblu, bħallikieku l-kanun tal-kanun jaf jivvjaġġa mal-vapur minkejja li jkun separat minnu. Peress li m'hemm l-ebda forza orizzontali 'l quddiem li qed tiġi applikata fuq il-kanun tal-kanun hekk kif taqa', l-unika konk"&amp;"lużjoni li fadal hija li l-cannonball ikompli jimxi bl-istess veloċità bħad-dgħajsa kif taqa '. Għalhekk, l-ebda forza mhija meħtieġa biex iżżomm il-kanun jiċċaqlaq bil-veloċità kostanti.")</f>
        <v>L-ekwilibriju dinamiku ġie deskritt għall-ewwel darba minn Galileo li ndunat li ċerti suppożizzjonijiet tal-fiżika aristoteljana kienu kontradetti minn osservazzjonijiet u loġika. Galileo induna li żieda sempliċi ta 'veloċità titlob li l-kunċett ta' "qafas ta 'mistrieħ assolut" ma jeżistix. Galileo kkonkluda li l-mozzjoni f'veloċità kostanti kienet kompletament ekwivalenti għall-mistrieħ. Dan kien kuntrarju għall-kunċett ta 'Aristotile ta' "stat naturali" ta 'mistrieħ li joġġezzjona bil-massa avviċinati b'mod naturali. Esperimenti sempliċi wrew li l-fehim ta 'Galileo dwar l-ekwivalenza tal-veloċità kostanti u l-mistrieħ kienu korretti. Pereżempju, jekk baħħara waqqa 'kanun mill-bejta taċ-ċawla ta' vapur li jiċċaqlaq b'veloċità kostanti, il-fiżika Aristoteljana jkollha l-kanun tal-kanun jaqa 'dritt' l isfel waqt li l-vapur mexa taħtha. Għalhekk, f'univers aristoteljan, il-kanun tal-waqgħa jinżel wara l-qiegħ tal-arblu ta 'vapur li jiċċaqlaq. Madankollu, meta dan l-esperiment jitmexxa fil-fatt, il-kanun tal-kanun dejjem jaqa 'f'riġlejn l-arblu, bħallikieku l-kanun tal-kanun jaf jivvjaġġa mal-vapur minkejja li jkun separat minnu. Peress li m'hemm l-ebda forza orizzontali 'l quddiem li qed tiġi applikata fuq il-kanun tal-kanun hekk kif taqa', l-unika konklużjoni li fadal hija li l-cannonball ikompli jimxi bl-istess veloċità bħad-dgħajsa kif taqa '. Għalhekk, l-ebda forza mhija meħtieġa biex iżżomm il-kanun jiċċaqlaq bil-veloċità kostanti.</v>
      </c>
    </row>
    <row r="1970" ht="15.75" customHeight="1">
      <c r="A1970" s="2" t="s">
        <v>1970</v>
      </c>
      <c r="B1970" s="2" t="str">
        <f>IFERROR(__xludf.DUMMYFUNCTION("GOOGLETRANSLATE(A1970, ""en"", ""mt"")"),"kolonizzazzjoni, użu ta 'forza militari, jew mezzi oħra")</f>
        <v>kolonizzazzjoni, użu ta 'forza militari, jew mezzi oħra</v>
      </c>
    </row>
    <row r="1971" ht="15.75" customHeight="1">
      <c r="A1971" s="2" t="s">
        <v>1971</v>
      </c>
      <c r="B1971" s="2" t="str">
        <f>IFERROR(__xludf.DUMMYFUNCTION("GOOGLETRANSLATE(A1971, ""en"", ""mt"")"),"New York u l-Ohio")</f>
        <v>New York u l-Ohio</v>
      </c>
    </row>
    <row r="1972" ht="15.75" customHeight="1">
      <c r="A1972" s="2" t="s">
        <v>1972</v>
      </c>
      <c r="B1972" s="2" t="str">
        <f>IFERROR(__xludf.DUMMYFUNCTION("GOOGLETRANSLATE(A1972, ""en"", ""mt"")"),"Konsorzju ta 'Netwerking tal-Kompjuter ta' l-Istati Uniti mhux għall-profitt immexxi minn membri mill-komunitajiet ta 'riċerka u edukazzjoni, industrija u gvern")</f>
        <v>Konsorzju ta 'Netwerking tal-Kompjuter ta' l-Istati Uniti mhux għall-profitt immexxi minn membri mill-komunitajiet ta 'riċerka u edukazzjoni, industrija u gvern</v>
      </c>
    </row>
    <row r="1973" ht="15.75" customHeight="1">
      <c r="A1973" s="2" t="s">
        <v>1973</v>
      </c>
      <c r="B1973" s="2" t="str">
        <f>IFERROR(__xludf.DUMMYFUNCTION("GOOGLETRANSLATE(A1973, ""en"", ""mt"")"),"10,006,721")</f>
        <v>10,006,721</v>
      </c>
    </row>
    <row r="1974" ht="15.75" customHeight="1">
      <c r="A1974" s="2" t="s">
        <v>1974</v>
      </c>
      <c r="B1974" s="2" t="str">
        <f>IFERROR(__xludf.DUMMYFUNCTION("GOOGLETRANSLATE(A1974, ""en"", ""mt"")"),"Seklu 19 tard")</f>
        <v>Seklu 19 tard</v>
      </c>
    </row>
    <row r="1975" ht="15.75" customHeight="1">
      <c r="A1975" s="2" t="s">
        <v>1975</v>
      </c>
      <c r="B1975" s="2" t="str">
        <f>IFERROR(__xludf.DUMMYFUNCTION("GOOGLETRANSLATE(A1975, ""en"", ""mt"")"),"Konsegwenza proċedurali tat-twaqqif tal-Parlament Skoċċiż hija li l-membri parlamentari Skoċċiżi li joqogħdu fil-House of Commons tar-Renju Unit huma kapaċi jivvutaw fuq leġislazzjoni domestika li tapplika biss għall-Ingilterra, Wales u l-Irlanda ta 'Fuq "&amp;"- waqt li l-MPs tal-Westminster Ingliżi, Skoċċiżi u Welsh u tat-Tramuntana Irlandiżi ma jistgħux jivvutaw fuq il-leġislazzjoni domestika tal-Parlament Skoċċiż. Dan il-fenomenu huwa magħruf bħala l-Mistoqsija Lothian tal-Punent u wassal għal kritika. Wara "&amp;"r-rebħa konservattiva fl-elezzjoni tar-Renju Unit tal-2015, ordnijiet permanenti tal-House of Commons inbidlu biex jagħtu lill-membri parlamentari li jirrappreżentaw lill-kostitwenzi Ingliżi ""veto"" ġdid fuq liġijiet li jaffettwaw biss l-Ingilterra.")</f>
        <v>Konsegwenza proċedurali tat-twaqqif tal-Parlament Skoċċiż hija li l-membri parlamentari Skoċċiżi li joqogħdu fil-House of Commons tar-Renju Unit huma kapaċi jivvutaw fuq leġislazzjoni domestika li tapplika biss għall-Ingilterra, Wales u l-Irlanda ta 'Fuq - waqt li l-MPs tal-Westminster Ingliżi, Skoċċiżi u Welsh u tat-Tramuntana Irlandiżi ma jistgħux jivvutaw fuq il-leġislazzjoni domestika tal-Parlament Skoċċiż. Dan il-fenomenu huwa magħruf bħala l-Mistoqsija Lothian tal-Punent u wassal għal kritika. Wara r-rebħa konservattiva fl-elezzjoni tar-Renju Unit tal-2015, ordnijiet permanenti tal-House of Commons inbidlu biex jagħtu lill-membri parlamentari li jirrappreżentaw lill-kostitwenzi Ingliżi "veto" ġdid fuq liġijiet li jaffettwaw biss l-Ingilterra.</v>
      </c>
    </row>
    <row r="1976" ht="15.75" customHeight="1">
      <c r="A1976" s="2" t="s">
        <v>1976</v>
      </c>
      <c r="B1976" s="2" t="str">
        <f>IFERROR(__xludf.DUMMYFUNCTION("GOOGLETRANSLATE(A1976, ""en"", ""mt"")"),"F'liema sena żviluppa l-Commons Athletic Gerald Palevsky?")</f>
        <v>F'liema sena żviluppa l-Commons Athletic Gerald Palevsky?</v>
      </c>
    </row>
    <row r="1977" ht="15.75" customHeight="1">
      <c r="A1977" s="2" t="s">
        <v>1977</v>
      </c>
      <c r="B1977" s="2" t="str">
        <f>IFERROR(__xludf.DUMMYFUNCTION("GOOGLETRANSLATE(A1977, ""en"", ""mt"")"),"likwidu")</f>
        <v>likwidu</v>
      </c>
    </row>
    <row r="1978" ht="15.75" customHeight="1">
      <c r="A1978" s="2" t="s">
        <v>1978</v>
      </c>
      <c r="B1978" s="2" t="str">
        <f>IFERROR(__xludf.DUMMYFUNCTION("GOOGLETRANSLATE(A1978, ""en"", ""mt"")"),"X'inhi l-Medjevali Esteve Pharmacy li m'għadhiex tintuża bħal fil-preżent?")</f>
        <v>X'inhi l-Medjevali Esteve Pharmacy li m'għadhiex tintuża bħal fil-preżent?</v>
      </c>
    </row>
    <row r="1979" ht="15.75" customHeight="1">
      <c r="A1979" s="2" t="s">
        <v>1979</v>
      </c>
      <c r="B1979" s="2" t="str">
        <f>IFERROR(__xludf.DUMMYFUNCTION("GOOGLETRANSLATE(A1979, ""en"", ""mt"")"),"Is-Semen fih dak li joqtol il-patoġeni?")</f>
        <v>Is-Semen fih dak li joqtol il-patoġeni?</v>
      </c>
    </row>
    <row r="1980" ht="15.75" customHeight="1">
      <c r="A1980" s="2" t="s">
        <v>1980</v>
      </c>
      <c r="B1980" s="2" t="str">
        <f>IFERROR(__xludf.DUMMYFUNCTION("GOOGLETRANSLATE(A1980, ""en"", ""mt"")"),"Liema proċess ta 'wweldjar intwera fl-1901?")</f>
        <v>Liema proċess ta 'wweldjar intwera fl-1901?</v>
      </c>
    </row>
    <row r="1981" ht="15.75" customHeight="1">
      <c r="A1981" s="2" t="s">
        <v>1981</v>
      </c>
      <c r="B1981" s="2" t="str">
        <f>IFERROR(__xludf.DUMMYFUNCTION("GOOGLETRANSLATE(A1981, ""en"", ""mt"")"),"1562 sal-1598")</f>
        <v>1562 sal-1598</v>
      </c>
    </row>
    <row r="1982" ht="15.75" customHeight="1">
      <c r="A1982" s="2" t="s">
        <v>1982</v>
      </c>
      <c r="B1982" s="2" t="str">
        <f>IFERROR(__xludf.DUMMYFUNCTION("GOOGLETRANSLATE(A1982, ""en"", ""mt"")"),"Meta ġie aċċettat Al-Nimeiry?")</f>
        <v>Meta ġie aċċettat Al-Nimeiry?</v>
      </c>
    </row>
    <row r="1983" ht="15.75" customHeight="1">
      <c r="A1983" s="2" t="s">
        <v>1983</v>
      </c>
      <c r="B1983" s="2" t="str">
        <f>IFERROR(__xludf.DUMMYFUNCTION("GOOGLETRANSLATE(A1983, ""en"", ""mt"")"),"Liema grupp ibbenefika mill-fondi mqassma mill-karità reliġjuża, Fondazzjoni Al-Haramain?")</f>
        <v>Liema grupp ibbenefika mill-fondi mqassma mill-karità reliġjuża, Fondazzjoni Al-Haramain?</v>
      </c>
    </row>
    <row r="1984" ht="15.75" customHeight="1">
      <c r="A1984" s="2" t="s">
        <v>1984</v>
      </c>
      <c r="B1984" s="2" t="str">
        <f>IFERROR(__xludf.DUMMYFUNCTION("GOOGLETRANSLATE(A1984, ""en"", ""mt"")"),"Liema belt aktar tard saret l-Alaska?")</f>
        <v>Liema belt aktar tard saret l-Alaska?</v>
      </c>
    </row>
    <row r="1985" ht="15.75" customHeight="1">
      <c r="A1985" s="2" t="s">
        <v>1985</v>
      </c>
      <c r="B1985" s="2" t="str">
        <f>IFERROR(__xludf.DUMMYFUNCTION("GOOGLETRANSLATE(A1985, ""en"", ""mt"")"),"Semmi mod wieħed kif l-organizzazzjoni Plowshares tagħlaq temporanjament GCSB Waihopai?")</f>
        <v>Semmi mod wieħed kif l-organizzazzjoni Plowshares tagħlaq temporanjament GCSB Waihopai?</v>
      </c>
    </row>
    <row r="1986" ht="15.75" customHeight="1">
      <c r="A1986" s="2" t="s">
        <v>1986</v>
      </c>
      <c r="B1986" s="2" t="str">
        <f>IFERROR(__xludf.DUMMYFUNCTION("GOOGLETRANSLATE(A1986, ""en"", ""mt"")"),"Il-Baħar tat-Tramuntana fl-Olanda")</f>
        <v>Il-Baħar tat-Tramuntana fl-Olanda</v>
      </c>
    </row>
    <row r="1987" ht="15.75" customHeight="1">
      <c r="A1987" s="2" t="s">
        <v>1987</v>
      </c>
      <c r="B1987" s="2" t="str">
        <f>IFERROR(__xludf.DUMMYFUNCTION("GOOGLETRANSLATE(A1987, ""en"", ""mt"")"),"F'każijiet fejn l-imġieba kriminalizzata hija diskors pur, id-diżubbidjenza ċivili tista 'tikkonsisti sempliċement f'involvi fid-diskors projbit. Eżempju jkun li l-WBAI qed ixandar il-korsa ""Kliem filthy"" minn album tal-kummiedja ta 'George Carlin, li e"&amp;"ventwalment wassal għall-każ tal-Qorti Suprema tal-1978 tal-Fondazzjoni FCC v. Pacifica. L-uffiċjali tal-gvern li jheddu huwa mod klassiku ieħor kif jesprimi sfida lejn il-gvern u n-nuqqas ta 'rieda li joqgħod għall-politiki tiegħu. Pereżempju, Joseph Haa"&amp;"s ġie arrestat talli allegatament bagħat imejl lill-Libanu, il-kunsilliera tal-belt ta 'New Hampshire li jiddikjaraw, ""Wise Up jew Die.""")</f>
        <v>F'każijiet fejn l-imġieba kriminalizzata hija diskors pur, id-diżubbidjenza ċivili tista 'tikkonsisti sempliċement f'involvi fid-diskors projbit. Eżempju jkun li l-WBAI qed ixandar il-korsa "Kliem filthy" minn album tal-kummiedja ta 'George Carlin, li eventwalment wassal għall-każ tal-Qorti Suprema tal-1978 tal-Fondazzjoni FCC v. Pacifica. L-uffiċjali tal-gvern li jheddu huwa mod klassiku ieħor kif jesprimi sfida lejn il-gvern u n-nuqqas ta 'rieda li joqgħod għall-politiki tiegħu. Pereżempju, Joseph Haas ġie arrestat talli allegatament bagħat imejl lill-Libanu, il-kunsilliera tal-belt ta 'New Hampshire li jiddikjaraw, "Wise Up jew Die."</v>
      </c>
    </row>
    <row r="1988" ht="15.75" customHeight="1">
      <c r="A1988" s="2" t="s">
        <v>1988</v>
      </c>
      <c r="B1988" s="2" t="str">
        <f>IFERROR(__xludf.DUMMYFUNCTION("GOOGLETRANSLATE(A1988, ""en"", ""mt"")"),"anke numri")</f>
        <v>anke numri</v>
      </c>
    </row>
    <row r="1989" ht="15.75" customHeight="1">
      <c r="A1989" s="2" t="s">
        <v>1989</v>
      </c>
      <c r="B1989" s="2" t="str">
        <f>IFERROR(__xludf.DUMMYFUNCTION("GOOGLETRANSLATE(A1989, ""en"", ""mt"")"),"Pressjonijiet parzjali elevati")</f>
        <v>Pressjonijiet parzjali elevati</v>
      </c>
    </row>
    <row r="1990" ht="15.75" customHeight="1">
      <c r="A1990" s="2" t="s">
        <v>1990</v>
      </c>
      <c r="B1990" s="2" t="str">
        <f>IFERROR(__xludf.DUMMYFUNCTION("GOOGLETRANSLATE(A1990, ""en"", ""mt"")"),"Settembru 1939")</f>
        <v>Settembru 1939</v>
      </c>
    </row>
    <row r="1991" ht="15.75" customHeight="1">
      <c r="A1991" s="2" t="s">
        <v>1991</v>
      </c>
      <c r="B1991" s="2" t="str">
        <f>IFERROR(__xludf.DUMMYFUNCTION("GOOGLETRANSLATE(A1991, ""en"", ""mt"")"),"Sorsi mhux riveduti mill-peer")</f>
        <v>Sorsi mhux riveduti mill-peer</v>
      </c>
    </row>
    <row r="1992" ht="15.75" customHeight="1">
      <c r="A1992" s="2" t="s">
        <v>1992</v>
      </c>
      <c r="B1992" s="2" t="str">
        <f>IFERROR(__xludf.DUMMYFUNCTION("GOOGLETRANSLATE(A1992, ""en"", ""mt"")"),"tankers iżolati")</f>
        <v>tankers iżolati</v>
      </c>
    </row>
    <row r="1993" ht="15.75" customHeight="1">
      <c r="A1993" s="2" t="s">
        <v>1993</v>
      </c>
      <c r="B1993" s="2" t="str">
        <f>IFERROR(__xludf.DUMMYFUNCTION("GOOGLETRANSLATE(A1993, ""en"", ""mt"")"),"Fejn huma l-inqas ammont tal-fabbriki?")</f>
        <v>Fejn huma l-inqas ammont tal-fabbriki?</v>
      </c>
    </row>
    <row r="1994" ht="15.75" customHeight="1">
      <c r="A1994" s="2" t="s">
        <v>1994</v>
      </c>
      <c r="B1994" s="2" t="str">
        <f>IFERROR(__xludf.DUMMYFUNCTION("GOOGLETRANSLATE(A1994, ""en"", ""mt"")"),"intrattabbli")</f>
        <v>intrattabbli</v>
      </c>
    </row>
    <row r="1995" ht="15.75" customHeight="1">
      <c r="A1995" s="2" t="s">
        <v>1995</v>
      </c>
      <c r="B1995" s="2" t="str">
        <f>IFERROR(__xludf.DUMMYFUNCTION("GOOGLETRANSLATE(A1995, ""en"", ""mt"")"),"Kif tissejjaħ interpretazzjoni fundamentalista tal-al-Haramain?")</f>
        <v>Kif tissejjaħ interpretazzjoni fundamentalista tal-al-Haramain?</v>
      </c>
    </row>
    <row r="1996" ht="15.75" customHeight="1">
      <c r="A1996" s="2" t="s">
        <v>1996</v>
      </c>
      <c r="B1996" s="2" t="str">
        <f>IFERROR(__xludf.DUMMYFUNCTION("GOOGLETRANSLATE(A1996, ""en"", ""mt"")"),"X'inhuma l-kolloblasti?")</f>
        <v>X'inhuma l-kolloblasti?</v>
      </c>
    </row>
    <row r="1997" ht="15.75" customHeight="1">
      <c r="A1997" s="2" t="s">
        <v>1997</v>
      </c>
      <c r="B1997" s="2" t="str">
        <f>IFERROR(__xludf.DUMMYFUNCTION("GOOGLETRANSLATE(A1997, ""en"", ""mt"")"),"Liema gvernatur inkarigat minn Franza l-ġdida miet fl-1725?")</f>
        <v>Liema gvernatur inkarigat minn Franza l-ġdida miet fl-1725?</v>
      </c>
    </row>
    <row r="1998" ht="15.75" customHeight="1">
      <c r="A1998" s="2" t="s">
        <v>1998</v>
      </c>
      <c r="B1998" s="2" t="str">
        <f>IFERROR(__xludf.DUMMYFUNCTION("GOOGLETRANSLATE(A1998, ""en"", ""mt"")"),"xi forma tal-pesta ordinarja tal-Lvant jew Buboniku")</f>
        <v>xi forma tal-pesta ordinarja tal-Lvant jew Buboniku</v>
      </c>
    </row>
    <row r="1999" ht="15.75" customHeight="1">
      <c r="A1999" s="2" t="s">
        <v>1999</v>
      </c>
      <c r="B1999" s="2" t="str">
        <f>IFERROR(__xludf.DUMMYFUNCTION("GOOGLETRANSLATE(A1999, ""en"", ""mt"")"),"Ġeneral Maġġur Louis-Joseph de Montcalm")</f>
        <v>Ġeneral Maġġur Louis-Joseph de Montcalm</v>
      </c>
    </row>
    <row r="2000" ht="15.75" customHeight="1">
      <c r="A2000" s="2" t="s">
        <v>2000</v>
      </c>
      <c r="B2000" s="2" t="str">
        <f>IFERROR(__xludf.DUMMYFUNCTION("GOOGLETRANSLATE(A2000, ""en"", ""mt"")"),"Skirmish tal-knisja tal-briks")</f>
        <v>Skirmish tal-knisja tal-briks</v>
      </c>
    </row>
    <row r="2001" ht="15.75" customHeight="1">
      <c r="A2001" s="2" t="s">
        <v>2001</v>
      </c>
      <c r="B2001" s="2" t="str">
        <f>IFERROR(__xludf.DUMMYFUNCTION("GOOGLETRANSLATE(A2001, ""en"", ""mt"")"),"X'inhuma xi eżempji ta 'territorji fejn stat membru huwa responsabbli għar-relazzjonijiet esterni?")</f>
        <v>X'inhuma xi eżempji ta 'territorji fejn stat membru huwa responsabbli għar-relazzjonijiet esterni?</v>
      </c>
    </row>
    <row r="2002" ht="15.75" customHeight="1">
      <c r="A2002" s="2" t="s">
        <v>2002</v>
      </c>
      <c r="B2002" s="2" t="str">
        <f>IFERROR(__xludf.DUMMYFUNCTION("GOOGLETRANSLATE(A2002, ""en"", ""mt"")"),"L-ekonomista Joseph Stiglitz ippreżenta evidenza fl-2009 li kemm l-inugwaljanza globali kif ukoll l-inugwaljanza fil-pajjiżi jipprevjenu t-tkabbir billi jillimitaw id-domanda aggregata. L-ekonomista Branko Milanovic, kiteb fl-2001 li, ""il-fehma li l-inug"&amp;"waljanza tad-dħul tagħmel ħsara lit-tkabbir - jew li l-ugwaljanza mtejba tista 'tgħin biex issostni t-tkabbir - saret aktar wiesgħa f'dawn l-aħħar snin. ... Ir-raġuni ewlenija għal din il-bidla hija l-importanza dejjem tiżdied ta' Kapitali umana fl-iżvilu"&amp;"pp. Meta l-kapital fiżiku kien il-biċċa l-kbira, it-tfaddil u l-investimenti kienu ewlenin. Imbagħad kien importanti li jkollok kontinġent kbir ta 'nies sinjuri li jistgħu jiffrankaw proporzjon akbar tad-dħul tagħhom milli l-foqra u jinvestuh fil-kapital "&amp;"fiżiku. Imma issa Li l-kapital uman huwa aktar skars mill-magni, l-edukazzjoni mifruxa saret is-sigriet għat-tkabbir. """)</f>
        <v>L-ekonomista Joseph Stiglitz ippreżenta evidenza fl-2009 li kemm l-inugwaljanza globali kif ukoll l-inugwaljanza fil-pajjiżi jipprevjenu t-tkabbir billi jillimitaw id-domanda aggregata. L-ekonomista Branko Milanovic, kiteb fl-2001 li, "il-fehma li l-inugwaljanza tad-dħul tagħmel ħsara lit-tkabbir - jew li l-ugwaljanza mtejba tista 'tgħin biex issostni t-tkabbir - saret aktar wiesgħa f'dawn l-aħħar snin. ... Ir-raġuni ewlenija għal din il-bidla hija l-importanza dejjem tiżdied ta' Kapitali umana fl-iżvilupp. Meta l-kapital fiżiku kien il-biċċa l-kbira, it-tfaddil u l-investimenti kienu ewlenin. Imbagħad kien importanti li jkollok kontinġent kbir ta 'nies sinjuri li jistgħu jiffrankaw proporzjon akbar tad-dħul tagħhom milli l-foqra u jinvestuh fil-kapital fiżiku. Imma issa Li l-kapital uman huwa aktar skars mill-magni, l-edukazzjoni mifruxa saret is-sigriet għat-tkabbir. "</v>
      </c>
    </row>
    <row r="2003" ht="15.75" customHeight="1">
      <c r="A2003" s="2" t="s">
        <v>2003</v>
      </c>
      <c r="B2003" s="2" t="str">
        <f>IFERROR(__xludf.DUMMYFUNCTION("GOOGLETRANSLATE(A2003, ""en"", ""mt"")"),"Dtime (n2)")</f>
        <v>Dtime (n2)</v>
      </c>
    </row>
    <row r="2004" ht="15.75" customHeight="1">
      <c r="A2004" s="2" t="s">
        <v>2004</v>
      </c>
      <c r="B2004" s="2" t="str">
        <f>IFERROR(__xludf.DUMMYFUNCTION("GOOGLETRANSLATE(A2004, ""en"", ""mt"")"),"Kuba")</f>
        <v>Kuba</v>
      </c>
    </row>
    <row r="2005" ht="15.75" customHeight="1">
      <c r="A2005" s="2" t="s">
        <v>2005</v>
      </c>
      <c r="B2005" s="2" t="str">
        <f>IFERROR(__xludf.DUMMYFUNCTION("GOOGLETRANSLATE(A2005, ""en"", ""mt"")"),"Vjolazzjoni tal-liġi kriminali li ma tikserx id-drittijiet ta 'ħaddieħor")</f>
        <v>Vjolazzjoni tal-liġi kriminali li ma tikserx id-drittijiet ta 'ħaddieħor</v>
      </c>
    </row>
    <row r="2006" ht="15.75" customHeight="1">
      <c r="A2006" s="2" t="s">
        <v>2006</v>
      </c>
      <c r="B2006" s="2" t="str">
        <f>IFERROR(__xludf.DUMMYFUNCTION("GOOGLETRANSLATE(A2006, ""en"", ""mt"")"),"il-Koran")</f>
        <v>il-Koran</v>
      </c>
    </row>
    <row r="2007" ht="15.75" customHeight="1">
      <c r="A2007" s="2" t="s">
        <v>2007</v>
      </c>
      <c r="B2007" s="2" t="str">
        <f>IFERROR(__xludf.DUMMYFUNCTION("GOOGLETRANSLATE(A2007, ""en"", ""mt"")"),"Minbarra li jiżdiedu, il-forzi jistgħu wkoll jiġu solvuti f'komponenti indipendenti f'angoli retti ma 'xulxin. Forza orizzontali li tipponta lejn il-grigal tista 'għalhekk tinqasam f'żewġ forzi, waħda li tipponta lejn it-tramuntana, u waħda li tipponta le"&amp;"jn il-lvant. Jingħaddu dawn il-forzi tal-komponenti bl-użu ta 'żieda fil-vettur jagħti l-forza oriġinali. Ir-riżoluzzjoni ta 'vettori tal-forza f'komponenti ta' sett ta 'vettori bażi ħafna drabi hija mod aktar nadif matematikament biex tiddeskrivi l-forzi"&amp;" milli tuża kobor u direzzjonijiet. Dan għaliex, għal komponenti ortogonali, il-komponenti tas-somma tal-vettur huma determinati b'mod uniku miż-żieda skalari tal-komponenti tal-vettori individwali. Komponenti ortogonali huma indipendenti minn xulxin minħ"&amp;"abba li l-forzi li jaġixxu f'disgħin grad ma 'xulxin m'għandhom l-ebda effett fuq il-kobor jew id-direzzjoni ta' l-oħra. L-għażla ta 'sett ta' vettori ta 'bażi ​​ortogonali ħafna drabi ssir billi jitqies liema sett ta' vettori bażi jagħmlu l-matematika l-"&amp;"iktar konvenjenti. L-għażla ta 'vettur bażi li hija fl-istess direzzjoni bħal waħda mill-forzi hija mixtieqa, peress li dik il-forza mbagħad ikollha komponent wieħed mhux żero. Vetturi tal-forza ortogonali jistgħu jkunu tridimensjonali bit-tielet komponen"&amp;"t li jkun fuq il-lemin tat-tnejn l-oħra.")</f>
        <v>Minbarra li jiżdiedu, il-forzi jistgħu wkoll jiġu solvuti f'komponenti indipendenti f'angoli retti ma 'xulxin. Forza orizzontali li tipponta lejn il-grigal tista 'għalhekk tinqasam f'żewġ forzi, waħda li tipponta lejn it-tramuntana, u waħda li tipponta lejn il-lvant. Jingħaddu dawn il-forzi tal-komponenti bl-użu ta 'żieda fil-vettur jagħti l-forza oriġinali. Ir-riżoluzzjoni ta 'vettori tal-forza f'komponenti ta' sett ta 'vettori bażi ħafna drabi hija mod aktar nadif matematikament biex tiddeskrivi l-forzi milli tuża kobor u direzzjonijiet. Dan għaliex, għal komponenti ortogonali, il-komponenti tas-somma tal-vettur huma determinati b'mod uniku miż-żieda skalari tal-komponenti tal-vettori individwali. Komponenti ortogonali huma indipendenti minn xulxin minħabba li l-forzi li jaġixxu f'disgħin grad ma 'xulxin m'għandhom l-ebda effett fuq il-kobor jew id-direzzjoni ta' l-oħra. L-għażla ta 'sett ta' vettori ta 'bażi ​​ortogonali ħafna drabi ssir billi jitqies liema sett ta' vettori bażi jagħmlu l-matematika l-iktar konvenjenti. L-għażla ta 'vettur bażi li hija fl-istess direzzjoni bħal waħda mill-forzi hija mixtieqa, peress li dik il-forza mbagħad ikollha komponent wieħed mhux żero. Vetturi tal-forza ortogonali jistgħu jkunu tridimensjonali bit-tielet komponent li jkun fuq il-lemin tat-tnejn l-oħra.</v>
      </c>
    </row>
    <row r="2008" ht="15.75" customHeight="1">
      <c r="A2008" s="2" t="s">
        <v>2008</v>
      </c>
      <c r="B2008" s="2" t="str">
        <f>IFERROR(__xludf.DUMMYFUNCTION("GOOGLETRANSLATE(A2008, ""en"", ""mt"")"),"X'inhu ġġenerat bejn wiċċ u oġġett li qed jiġi mbuttat?")</f>
        <v>X'inhu ġġenerat bejn wiċċ u oġġett li qed jiġi mbuttat?</v>
      </c>
    </row>
    <row r="2009" ht="15.75" customHeight="1">
      <c r="A2009" s="2" t="s">
        <v>2009</v>
      </c>
      <c r="B2009" s="2" t="str">
        <f>IFERROR(__xludf.DUMMYFUNCTION("GOOGLETRANSLATE(A2009, ""en"", ""mt"")"),"X'kienet it-tħabbira magħmula immedjatament mill-Kuwajt?")</f>
        <v>X'kienet it-tħabbira magħmula immedjatament mill-Kuwajt?</v>
      </c>
    </row>
    <row r="2010" ht="15.75" customHeight="1">
      <c r="A2010" s="2" t="s">
        <v>2010</v>
      </c>
      <c r="B2010" s="2" t="str">
        <f>IFERROR(__xludf.DUMMYFUNCTION("GOOGLETRANSLATE(A2010, ""en"", ""mt"")"),"F'liema kontinent minbarra l-Asja kien hemm kisbiet kbar magħmula mill-Imperu Brittaniku fl-aħħar tas-seklu 19?")</f>
        <v>F'liema kontinent minbarra l-Asja kien hemm kisbiet kbar magħmula mill-Imperu Brittaniku fl-aħħar tas-seklu 19?</v>
      </c>
    </row>
    <row r="2011" ht="15.75" customHeight="1">
      <c r="A2011" s="2" t="s">
        <v>2011</v>
      </c>
      <c r="B2011" s="2" t="str">
        <f>IFERROR(__xludf.DUMMYFUNCTION("GOOGLETRANSLATE(A2011, ""en"", ""mt"")")," Liema pajjiż illum mhuwiex fdal tal-imperu Ottoman?")</f>
        <v> Liema pajjiż illum mhuwiex fdal tal-imperu Ottoman?</v>
      </c>
    </row>
    <row r="2012" ht="15.75" customHeight="1">
      <c r="A2012" s="2" t="s">
        <v>2012</v>
      </c>
      <c r="B2012" s="2" t="str">
        <f>IFERROR(__xludf.DUMMYFUNCTION("GOOGLETRANSLATE(A2012, ""en"", ""mt"")"),"Alsace")</f>
        <v>Alsace</v>
      </c>
    </row>
    <row r="2013" ht="15.75" customHeight="1">
      <c r="A2013" s="2" t="s">
        <v>2013</v>
      </c>
      <c r="B2013" s="2" t="str">
        <f>IFERROR(__xludf.DUMMYFUNCTION("GOOGLETRANSLATE(A2013, ""en"", ""mt"")"),"Il-foresta tropikali tal-Amazon saret l-aktar foresta interna madwar liema avveniment globali?")</f>
        <v>Il-foresta tropikali tal-Amazon saret l-aktar foresta interna madwar liema avveniment globali?</v>
      </c>
    </row>
    <row r="2014" ht="15.75" customHeight="1">
      <c r="A2014" s="2" t="s">
        <v>2014</v>
      </c>
      <c r="B2014" s="2" t="str">
        <f>IFERROR(__xludf.DUMMYFUNCTION("GOOGLETRANSLATE(A2014, ""en"", ""mt"")"),"1914")</f>
        <v>1914</v>
      </c>
    </row>
    <row r="2015" ht="15.75" customHeight="1">
      <c r="A2015" s="2" t="s">
        <v>2015</v>
      </c>
      <c r="B2015" s="2" t="str">
        <f>IFERROR(__xludf.DUMMYFUNCTION("GOOGLETRANSLATE(A2015, ""en"", ""mt"")"),"Liema nazzjonalità kienet Arthur Smith?")</f>
        <v>Liema nazzjonalità kienet Arthur Smith?</v>
      </c>
    </row>
    <row r="2016" ht="15.75" customHeight="1">
      <c r="A2016" s="2" t="s">
        <v>2016</v>
      </c>
      <c r="B2016" s="2" t="str">
        <f>IFERROR(__xludf.DUMMYFUNCTION("GOOGLETRANSLATE(A2016, ""en"", ""mt"")"),"Antiklinja maqluba")</f>
        <v>Antiklinja maqluba</v>
      </c>
    </row>
    <row r="2017" ht="15.75" customHeight="1">
      <c r="A2017" s="2" t="s">
        <v>2017</v>
      </c>
      <c r="B2017" s="2" t="str">
        <f>IFERROR(__xludf.DUMMYFUNCTION("GOOGLETRANSLATE(A2017, ""en"", ""mt"")"),"Liema difiża ntużat minn Steven Barkan?")</f>
        <v>Liema difiża ntużat minn Steven Barkan?</v>
      </c>
    </row>
    <row r="2018" ht="15.75" customHeight="1">
      <c r="A2018" s="2" t="s">
        <v>2018</v>
      </c>
      <c r="B2018" s="2" t="str">
        <f>IFERROR(__xludf.DUMMYFUNCTION("GOOGLETRANSLATE(A2018, ""en"", ""mt"")"),"L-Imperatur Gegeen Khan, it-tifel u s-suċċessur ta 'Ayurbarwada, iddeċieda għal sentejn biss, mill-1321 sal-1323. Huwa kompla l-politiki ta' missieru biex jirriforma l-gvern ibbażat fuq il-prinċipji Confucian, bl-għajnuna tal-Gran Kanċillier Baiju. Matul "&amp;"ir-renju tiegħu, id-da Yuan Tong Zhi (Ċiniż: 大元 大元, ""L-Istituzzjonijiet Komprensivi tal-Yuan il-Kbir""), ġabra enormi ta 'kodiċi u regolamenti tad-dinastija Yuan li bdiet minn missieru, ġiet promulgata formalment. Gegeen ġie maqtul fi kolp ta ’stat li ji"&amp;"nvolvi ħames prinċpijiet minn fazzjoni rivali, forsi Steppe Elite opposta għar-riformi Confucian. Huma poġġew lil Yesün Temür (jew Taidingdi) fuq it-tron, u, wara tentattiv li ma rnexxiex biex jikkalma l-prinċpijiet, huwa wkoll ċedew għar-regiċida.")</f>
        <v>L-Imperatur Gegeen Khan, it-tifel u s-suċċessur ta 'Ayurbarwada, iddeċieda għal sentejn biss, mill-1321 sal-1323. Huwa kompla l-politiki ta' missieru biex jirriforma l-gvern ibbażat fuq il-prinċipji Confucian, bl-għajnuna tal-Gran Kanċillier Baiju. Matul ir-renju tiegħu, id-da Yuan Tong Zhi (Ċiniż: 大元 大元, "L-Istituzzjonijiet Komprensivi tal-Yuan il-Kbir"), ġabra enormi ta 'kodiċi u regolamenti tad-dinastija Yuan li bdiet minn missieru, ġiet promulgata formalment. Gegeen ġie maqtul fi kolp ta ’stat li jinvolvi ħames prinċpijiet minn fazzjoni rivali, forsi Steppe Elite opposta għar-riformi Confucian. Huma poġġew lil Yesün Temür (jew Taidingdi) fuq it-tron, u, wara tentattiv li ma rnexxiex biex jikkalma l-prinċpijiet, huwa wkoll ċedew għar-regiċida.</v>
      </c>
    </row>
    <row r="2019" ht="15.75" customHeight="1">
      <c r="A2019" s="2" t="s">
        <v>2019</v>
      </c>
      <c r="B2019" s="2" t="str">
        <f>IFERROR(__xludf.DUMMYFUNCTION("GOOGLETRANSLATE(A2019, ""en"", ""mt"")"),"inklużjonijiet")</f>
        <v>inklużjonijiet</v>
      </c>
    </row>
    <row r="2020" ht="15.75" customHeight="1">
      <c r="A2020" s="2" t="s">
        <v>2020</v>
      </c>
      <c r="B2020" s="2" t="str">
        <f>IFERROR(__xludf.DUMMYFUNCTION("GOOGLETRANSLATE(A2020, ""en"", ""mt"")"),"120 m")</f>
        <v>120 m</v>
      </c>
    </row>
    <row r="2021" ht="15.75" customHeight="1">
      <c r="A2021" s="2" t="s">
        <v>2021</v>
      </c>
      <c r="B2021" s="2" t="str">
        <f>IFERROR(__xludf.DUMMYFUNCTION("GOOGLETRANSLATE(A2021, ""en"", ""mt"")"),"X'inhuma wħud mill-prinċipji ġenerali aċċettati tal-liġi tal-Unjoni Ewropea?")</f>
        <v>X'inhuma wħud mill-prinċipji ġenerali aċċettati tal-liġi tal-Unjoni Ewropea?</v>
      </c>
    </row>
    <row r="2022" ht="15.75" customHeight="1">
      <c r="A2022" s="2" t="s">
        <v>2022</v>
      </c>
      <c r="B2022" s="2" t="str">
        <f>IFERROR(__xludf.DUMMYFUNCTION("GOOGLETRANSLATE(A2022, ""en"", ""mt"")"),"X'inhuma l-oqsma dominanti ta 'Los Angeles?")</f>
        <v>X'inhuma l-oqsma dominanti ta 'Los Angeles?</v>
      </c>
    </row>
    <row r="2023" ht="15.75" customHeight="1">
      <c r="A2023" s="2" t="s">
        <v>2023</v>
      </c>
      <c r="B2023" s="2" t="str">
        <f>IFERROR(__xludf.DUMMYFUNCTION("GOOGLETRANSLATE(A2023, ""en"", ""mt"")"),"ħtiġijiet bażiċi")</f>
        <v>ħtiġijiet bażiċi</v>
      </c>
    </row>
    <row r="2024" ht="15.75" customHeight="1">
      <c r="A2024" s="2" t="s">
        <v>2024</v>
      </c>
      <c r="B2024" s="2" t="str">
        <f>IFERROR(__xludf.DUMMYFUNCTION("GOOGLETRANSLATE(A2024, ""en"", ""mt"")"),"X'kien l-ewwel approċċ tar-re għall-Huguenots?")</f>
        <v>X'kien l-ewwel approċċ tar-re għall-Huguenots?</v>
      </c>
    </row>
    <row r="2025" ht="15.75" customHeight="1">
      <c r="A2025" s="2" t="s">
        <v>2025</v>
      </c>
      <c r="B2025" s="2" t="str">
        <f>IFERROR(__xludf.DUMMYFUNCTION("GOOGLETRANSLATE(A2025, ""en"", ""mt"")"),"Fuq liema kien il-qgħad persistenti għandu effett pożittiv?")</f>
        <v>Fuq liema kien il-qgħad persistenti għandu effett pożittiv?</v>
      </c>
    </row>
    <row r="2026" ht="15.75" customHeight="1">
      <c r="A2026" s="2" t="s">
        <v>2026</v>
      </c>
      <c r="B2026" s="2" t="str">
        <f>IFERROR(__xludf.DUMMYFUNCTION("GOOGLETRANSLATE(A2026, ""en"", ""mt"")"),"1377")</f>
        <v>1377</v>
      </c>
    </row>
    <row r="2027" ht="15.75" customHeight="1">
      <c r="A2027" s="2" t="s">
        <v>2027</v>
      </c>
      <c r="B2027" s="2" t="str">
        <f>IFERROR(__xludf.DUMMYFUNCTION("GOOGLETRANSLATE(A2027, ""en"", ""mt"")"),"William Ellery Channing u Ralph Waldo Emerson")</f>
        <v>William Ellery Channing u Ralph Waldo Emerson</v>
      </c>
    </row>
    <row r="2028" ht="15.75" customHeight="1">
      <c r="A2028" s="2" t="s">
        <v>2028</v>
      </c>
      <c r="B2028" s="2" t="str">
        <f>IFERROR(__xludf.DUMMYFUNCTION("GOOGLETRANSLATE(A2028, ""en"", ""mt"")"),"aktar ugwaljanza")</f>
        <v>aktar ugwaljanza</v>
      </c>
    </row>
    <row r="2029" ht="15.75" customHeight="1">
      <c r="A2029" s="2" t="s">
        <v>2029</v>
      </c>
      <c r="B2029" s="2" t="str">
        <f>IFERROR(__xludf.DUMMYFUNCTION("GOOGLETRANSLATE(A2029, ""en"", ""mt"")"),"Kemm nies jappartjenu għall-bord ta 'trustees tal-università?")</f>
        <v>Kemm nies jappartjenu għall-bord ta 'trustees tal-università?</v>
      </c>
    </row>
    <row r="2030" ht="15.75" customHeight="1">
      <c r="A2030" s="2" t="s">
        <v>2030</v>
      </c>
      <c r="B2030" s="2" t="str">
        <f>IFERROR(__xludf.DUMMYFUNCTION("GOOGLETRANSLATE(A2030, ""en"", ""mt"")"),"X'kien l-alleat Persjan tal-Yuan?")</f>
        <v>X'kien l-alleat Persjan tal-Yuan?</v>
      </c>
    </row>
    <row r="2031" ht="15.75" customHeight="1">
      <c r="A2031" s="2" t="s">
        <v>2031</v>
      </c>
      <c r="B2031" s="2" t="str">
        <f>IFERROR(__xludf.DUMMYFUNCTION("GOOGLETRANSLATE(A2031, ""en"", ""mt"")"),"Immunodefiċjenza")</f>
        <v>Immunodefiċjenza</v>
      </c>
    </row>
    <row r="2032" ht="15.75" customHeight="1">
      <c r="A2032" s="2" t="s">
        <v>2032</v>
      </c>
      <c r="B2032" s="2" t="str">
        <f>IFERROR(__xludf.DUMMYFUNCTION("GOOGLETRANSLATE(A2032, ""en"", ""mt"")"),"Bijodiversità")</f>
        <v>Bijodiversità</v>
      </c>
    </row>
    <row r="2033" ht="15.75" customHeight="1">
      <c r="A2033" s="2" t="s">
        <v>2033</v>
      </c>
      <c r="B2033" s="2" t="str">
        <f>IFERROR(__xludf.DUMMYFUNCTION("GOOGLETRANSLATE(A2033, ""en"", ""mt"")"),"Gwerra u okkupazzjoni twila")</f>
        <v>Gwerra u okkupazzjoni twila</v>
      </c>
    </row>
    <row r="2034" ht="15.75" customHeight="1">
      <c r="A2034" s="2" t="s">
        <v>2034</v>
      </c>
      <c r="B2034" s="2" t="str">
        <f>IFERROR(__xludf.DUMMYFUNCTION("GOOGLETRANSLATE(A2034, ""en"", ""mt"")"),"£ 1")</f>
        <v>£ 1</v>
      </c>
    </row>
    <row r="2035" ht="15.75" customHeight="1">
      <c r="A2035" s="2" t="s">
        <v>2035</v>
      </c>
      <c r="B2035" s="2" t="str">
        <f>IFERROR(__xludf.DUMMYFUNCTION("GOOGLETRANSLATE(A2035, ""en"", ""mt"")"),"Il-korpi akkademiċi tal-Università ta ’Chicago jikkonsistu fil-kulleġġ, erba’ diviżjonijiet ta ’riċerka gradwata u seba’ skejjel professjonali. L-università fiha wkoll sistema tal-librerija, l-Università ta ’Chicago Press, l-Iskejjel tal-Laboratorju tal-U"&amp;"niversità ta’ Chicago, u ċ-Ċentru Mediku tal-Università ta ’Chicago, u għandha rabtiet ma’ numru ta ’istituzzjonijiet akkademiċi indipendenti, inkluż Fermilab, Laboratorju Nazzjonali ta’ Argonne, u l-Marine Laboratorju Bijoloġiku. L-università hija akkred"&amp;"itata mill-Kummissjoni tat-Tagħlim Ogħla.")</f>
        <v>Il-korpi akkademiċi tal-Università ta ’Chicago jikkonsistu fil-kulleġġ, erba’ diviżjonijiet ta ’riċerka gradwata u seba’ skejjel professjonali. L-università fiha wkoll sistema tal-librerija, l-Università ta ’Chicago Press, l-Iskejjel tal-Laboratorju tal-Università ta’ Chicago, u ċ-Ċentru Mediku tal-Università ta ’Chicago, u għandha rabtiet ma’ numru ta ’istituzzjonijiet akkademiċi indipendenti, inkluż Fermilab, Laboratorju Nazzjonali ta’ Argonne, u l-Marine Laboratorju Bijoloġiku. L-università hija akkreditata mill-Kummissjoni tat-Tagħlim Ogħla.</v>
      </c>
    </row>
    <row r="2036" ht="15.75" customHeight="1">
      <c r="A2036" s="2" t="s">
        <v>2036</v>
      </c>
      <c r="B2036" s="2" t="str">
        <f>IFERROR(__xludf.DUMMYFUNCTION("GOOGLETRANSLATE(A2036, ""en"", ""mt"")"),"Liao, Jin, u kanzunetta")</f>
        <v>Liao, Jin, u kanzunetta</v>
      </c>
    </row>
    <row r="2037" ht="15.75" customHeight="1">
      <c r="A2037" s="2" t="s">
        <v>2037</v>
      </c>
      <c r="B2037" s="2" t="str">
        <f>IFERROR(__xludf.DUMMYFUNCTION("GOOGLETRANSLATE(A2037, ""en"", ""mt"")"),"Min beda l-fond fiduċjarju tal-IPCC?")</f>
        <v>Min beda l-fond fiduċjarju tal-IPCC?</v>
      </c>
    </row>
    <row r="2038" ht="15.75" customHeight="1">
      <c r="A2038" s="2" t="s">
        <v>2038</v>
      </c>
      <c r="B2038" s="2" t="str">
        <f>IFERROR(__xludf.DUMMYFUNCTION("GOOGLETRANSLATE(A2038, ""en"", ""mt"")"),"Min ta konnotazzjoni negattiva għad-diżubbidjenza ċivili fl-istorja riċenti?")</f>
        <v>Min ta konnotazzjoni negattiva għad-diżubbidjenza ċivili fl-istorja riċenti?</v>
      </c>
    </row>
    <row r="2039" ht="15.75" customHeight="1">
      <c r="A2039" s="2" t="s">
        <v>2039</v>
      </c>
      <c r="B2039" s="2" t="str">
        <f>IFERROR(__xludf.DUMMYFUNCTION("GOOGLETRANSLATE(A2039, ""en"", ""mt"")"),"Flimkien mas-sorsi tal-fjuwil, liema tħassib ikkontribwixxa għall-iżvilupp tal-moviment tal-fwar avvanzat?")</f>
        <v>Flimkien mas-sorsi tal-fjuwil, liema tħassib ikkontribwixxa għall-iżvilupp tal-moviment tal-fwar avvanzat?</v>
      </c>
    </row>
    <row r="2040" ht="15.75" customHeight="1">
      <c r="A2040" s="2" t="s">
        <v>2040</v>
      </c>
      <c r="B2040" s="2" t="str">
        <f>IFERROR(__xludf.DUMMYFUNCTION("GOOGLETRANSLATE(A2040, ""en"", ""mt"")"),"Kemm hemm universitajiet pubbliċi f'Melbourne?")</f>
        <v>Kemm hemm universitajiet pubbliċi f'Melbourne?</v>
      </c>
    </row>
    <row r="2041" ht="15.75" customHeight="1">
      <c r="A2041" s="2" t="s">
        <v>2041</v>
      </c>
      <c r="B2041" s="2" t="str">
        <f>IFERROR(__xludf.DUMMYFUNCTION("GOOGLETRANSLATE(A2041, ""en"", ""mt"")"),"Kemm xita fis-sena Fresno tikseb bħala medja?")</f>
        <v>Kemm xita fis-sena Fresno tikseb bħala medja?</v>
      </c>
    </row>
    <row r="2042" ht="15.75" customHeight="1">
      <c r="A2042" s="2" t="s">
        <v>2042</v>
      </c>
      <c r="B2042" s="2" t="str">
        <f>IFERROR(__xludf.DUMMYFUNCTION("GOOGLETRANSLATE(A2042, ""en"", ""mt"")"),"10 snin")</f>
        <v>10 snin</v>
      </c>
    </row>
    <row r="2043" ht="15.75" customHeight="1">
      <c r="A2043" s="2" t="s">
        <v>2043</v>
      </c>
      <c r="B2043" s="2" t="str">
        <f>IFERROR(__xludf.DUMMYFUNCTION("GOOGLETRANSLATE(A2043, ""en"", ""mt"")"),"Liema dnub kienu l-mexxejja li l-estremisti attakkaw ħatja?")</f>
        <v>Liema dnub kienu l-mexxejja li l-estremisti attakkaw ħatja?</v>
      </c>
    </row>
    <row r="2044" ht="15.75" customHeight="1">
      <c r="A2044" s="2" t="s">
        <v>2044</v>
      </c>
      <c r="B2044" s="2" t="str">
        <f>IFERROR(__xludf.DUMMYFUNCTION("GOOGLETRANSLATE(A2044, ""en"", ""mt"")"),"Risposta politika importanti bikrija għall-ftuħ ta 'ostilitajiet kienet it-tlaqqigħ tal-Kungress ta' Albany f'Ġunju u Lulju, 1754. L-għan tal-Kungress kien li jifformalizza front unifikat fil-kummerċ u n-negozjati ma 'diversi Indjani, peress li lealtà tad"&amp;"-diversi tribujiet u In-nazzjonijiet kienu meqjusa li huma fundamentali fis-suċċess fil-gwerra li kienet qed tiżvolġi. Il-pjan li d-delegati qablu li qatt ma ġie rratifikat mil-leġiżlaturi kolonjali u lanqas approvat mill-kuruna. Madankollu, il-format tal"&amp;"-Kungress u ħafna speċifiċitajiet tal-pjan saru l-prototip għall-Konfederazzjoni matul il-Gwerra tal-Indipendenza.")</f>
        <v>Risposta politika importanti bikrija għall-ftuħ ta 'ostilitajiet kienet it-tlaqqigħ tal-Kungress ta' Albany f'Ġunju u Lulju, 1754. L-għan tal-Kungress kien li jifformalizza front unifikat fil-kummerċ u n-negozjati ma 'diversi Indjani, peress li lealtà tad-diversi tribujiet u In-nazzjonijiet kienu meqjusa li huma fundamentali fis-suċċess fil-gwerra li kienet qed tiżvolġi. Il-pjan li d-delegati qablu li qatt ma ġie rratifikat mil-leġiżlaturi kolonjali u lanqas approvat mill-kuruna. Madankollu, il-format tal-Kungress u ħafna speċifiċitajiet tal-pjan saru l-prototip għall-Konfederazzjoni matul il-Gwerra tal-Indipendenza.</v>
      </c>
    </row>
    <row r="2045" ht="15.75" customHeight="1">
      <c r="A2045" s="2" t="s">
        <v>2045</v>
      </c>
      <c r="B2045" s="2" t="str">
        <f>IFERROR(__xludf.DUMMYFUNCTION("GOOGLETRANSLATE(A2045, ""en"", ""mt"")"),"X'inhu eżempju ta 'barriera mekkanika fuq il-weraq?")</f>
        <v>X'inhu eżempju ta 'barriera mekkanika fuq il-weraq?</v>
      </c>
    </row>
    <row r="2046" ht="15.75" customHeight="1">
      <c r="A2046" s="2" t="s">
        <v>2046</v>
      </c>
      <c r="B2046" s="2" t="str">
        <f>IFERROR(__xludf.DUMMYFUNCTION("GOOGLETRANSLATE(A2046, ""en"", ""mt"")"),"Il-komunikazzjoni tal-modalità tal-pakketti tista 'tiġi implimentata bi jew mingħajr nodi ta' trasferiment intermedju (swiċċijiet tal-pakketti jew routers). Il-pakketti normalment jintbagħtu minn nodi intermedji tan-netwerk b'mod sinkroniku bl-użu ta 'l-e"&amp;"wwel, l-ewwel buffering, iżda jistgħu jintbagħtu skond xi dixxiplina ta' skedar għal kju ġust, iffurmar tat-traffiku, jew għal kwalità ta 'servizz differenzjata jew garantita, bħalma huma l-kju ġust barmil li jnixxi. F'każ ta 'mezz fiżiku maqsum (bħal rad"&amp;"ju jew 10Base5), il-pakketti jistgħu jitwasslu skond skema ta' aċċess multipli.")</f>
        <v>Il-komunikazzjoni tal-modalità tal-pakketti tista 'tiġi implimentata bi jew mingħajr nodi ta' trasferiment intermedju (swiċċijiet tal-pakketti jew routers). Il-pakketti normalment jintbagħtu minn nodi intermedji tan-netwerk b'mod sinkroniku bl-użu ta 'l-ewwel, l-ewwel buffering, iżda jistgħu jintbagħtu skond xi dixxiplina ta' skedar għal kju ġust, iffurmar tat-traffiku, jew għal kwalità ta 'servizz differenzjata jew garantita, bħalma huma l-kju ġust barmil li jnixxi. F'każ ta 'mezz fiżiku maqsum (bħal radju jew 10Base5), il-pakketti jistgħu jitwasslu skond skema ta' aċċess multipli.</v>
      </c>
    </row>
    <row r="2047" ht="15.75" customHeight="1">
      <c r="A2047" s="2" t="s">
        <v>2047</v>
      </c>
      <c r="B2047" s="2" t="str">
        <f>IFERROR(__xludf.DUMMYFUNCTION("GOOGLETRANSLATE(A2047, ""en"", ""mt"")"),"Stalin kien ostili għall-idea ta 'Polonja indipendenti")</f>
        <v>Stalin kien ostili għall-idea ta 'Polonja indipendenti</v>
      </c>
    </row>
    <row r="2048" ht="15.75" customHeight="1">
      <c r="A2048" s="2" t="s">
        <v>2048</v>
      </c>
      <c r="B2048" s="2" t="str">
        <f>IFERROR(__xludf.DUMMYFUNCTION("GOOGLETRANSLATE(A2048, ""en"", ""mt"")"),"Samuel Reshevsky")</f>
        <v>Samuel Reshevsky</v>
      </c>
    </row>
    <row r="2049" ht="15.75" customHeight="1">
      <c r="A2049" s="2" t="s">
        <v>2049</v>
      </c>
      <c r="B2049" s="2" t="str">
        <f>IFERROR(__xludf.DUMMYFUNCTION("GOOGLETRANSLATE(A2049, ""en"", ""mt"")"),"""Formali""")</f>
        <v>"Formali"</v>
      </c>
    </row>
    <row r="2050" ht="15.75" customHeight="1">
      <c r="A2050" s="2" t="s">
        <v>2050</v>
      </c>
      <c r="B2050" s="2" t="str">
        <f>IFERROR(__xludf.DUMMYFUNCTION("GOOGLETRANSLATE(A2050, ""en"", ""mt"")"),"Fertilizzazzjoni interna u żomm il-bajd fil-kmamar tan-nixxiegħa sakemm ifaqqsu.")</f>
        <v>Fertilizzazzjoni interna u żomm il-bajd fil-kmamar tan-nixxiegħa sakemm ifaqqsu.</v>
      </c>
    </row>
    <row r="2051" ht="15.75" customHeight="1">
      <c r="A2051" s="2" t="s">
        <v>2051</v>
      </c>
      <c r="B2051" s="2" t="str">
        <f>IFERROR(__xludf.DUMMYFUNCTION("GOOGLETRANSLATE(A2051, ""en"", ""mt"")"),"Wara studenti li għadhom ma ggradwawx 2008 huma meħtieġa jlestu kemm klassijiet ta 'edukazzjoni ġenerali lejn il-grad?")</f>
        <v>Wara studenti li għadhom ma ggradwawx 2008 huma meħtieġa jlestu kemm klassijiet ta 'edukazzjoni ġenerali lejn il-grad?</v>
      </c>
    </row>
    <row r="2052" ht="15.75" customHeight="1">
      <c r="A2052" s="2" t="s">
        <v>2052</v>
      </c>
      <c r="B2052" s="2" t="str">
        <f>IFERROR(__xludf.DUMMYFUNCTION("GOOGLETRANSLATE(A2052, ""en"", ""mt"")"),"Meta għaddew l-aħħar proposti leġiżlattivi għal assemblea Skoċċiża?")</f>
        <v>Meta għaddew l-aħħar proposti leġiżlattivi għal assemblea Skoċċiża?</v>
      </c>
    </row>
    <row r="2053" ht="15.75" customHeight="1">
      <c r="A2053" s="2" t="s">
        <v>2053</v>
      </c>
      <c r="B2053" s="2" t="str">
        <f>IFERROR(__xludf.DUMMYFUNCTION("GOOGLETRANSLATE(A2053, ""en"", ""mt"")"),"Kosmoloġija")</f>
        <v>Kosmoloġija</v>
      </c>
    </row>
    <row r="2054" ht="15.75" customHeight="1">
      <c r="A2054" s="2" t="s">
        <v>2054</v>
      </c>
      <c r="B2054" s="2" t="str">
        <f>IFERROR(__xludf.DUMMYFUNCTION("GOOGLETRANSLATE(A2054, ""en"", ""mt"")"),"Liema żewġ kontej addizzjonali jagħmlu għaxar kontej fid-definizzjoni tradizzjonali ta 'SoCal jinkludu?")</f>
        <v>Liema żewġ kontej addizzjonali jagħmlu għaxar kontej fid-definizzjoni tradizzjonali ta 'SoCal jinkludu?</v>
      </c>
    </row>
    <row r="2055" ht="15.75" customHeight="1">
      <c r="A2055" s="2" t="s">
        <v>2055</v>
      </c>
      <c r="B2055" s="2" t="str">
        <f>IFERROR(__xludf.DUMMYFUNCTION("GOOGLETRANSLATE(A2055, ""en"", ""mt"")"),"Samuel K. Cohn, Jr.")</f>
        <v>Samuel K. Cohn, Jr.</v>
      </c>
    </row>
    <row r="2056" ht="15.75" customHeight="1">
      <c r="A2056" s="2" t="s">
        <v>2056</v>
      </c>
      <c r="B2056" s="2" t="str">
        <f>IFERROR(__xludf.DUMMYFUNCTION("GOOGLETRANSLATE(A2056, ""en"", ""mt"")"),"Il-President tal-Kummissjoni")</f>
        <v>Il-President tal-Kummissjoni</v>
      </c>
    </row>
    <row r="2057" ht="15.75" customHeight="1">
      <c r="A2057" s="2" t="s">
        <v>2057</v>
      </c>
      <c r="B2057" s="2" t="str">
        <f>IFERROR(__xludf.DUMMYFUNCTION("GOOGLETRANSLATE(A2057, ""en"", ""mt"")"),"Kif jissejħu r-raffineriji?")</f>
        <v>Kif jissejħu r-raffineriji?</v>
      </c>
    </row>
    <row r="2058" ht="15.75" customHeight="1">
      <c r="A2058" s="2" t="s">
        <v>2058</v>
      </c>
      <c r="B2058" s="2" t="str">
        <f>IFERROR(__xludf.DUMMYFUNCTION("GOOGLETRANSLATE(A2058, ""en"", ""mt"")"),"X'tip ta 'matematika kien avvanzat matul il-wan?")</f>
        <v>X'tip ta 'matematika kien avvanzat matul il-wan?</v>
      </c>
    </row>
    <row r="2059" ht="15.75" customHeight="1">
      <c r="A2059" s="2" t="s">
        <v>2059</v>
      </c>
      <c r="B2059" s="2" t="str">
        <f>IFERROR(__xludf.DUMMYFUNCTION("GOOGLETRANSLATE(A2059, ""en"", ""mt"")"),"Meta kienet il-Battalja ta 'Hastings?")</f>
        <v>Meta kienet il-Battalja ta 'Hastings?</v>
      </c>
    </row>
    <row r="2060" ht="15.75" customHeight="1">
      <c r="A2060" s="2" t="s">
        <v>2060</v>
      </c>
      <c r="B2060" s="2" t="str">
        <f>IFERROR(__xludf.DUMMYFUNCTION("GOOGLETRANSLATE(A2060, ""en"", ""mt"")"),"jaqbeż kwalunkwe numru partikolari")</f>
        <v>jaqbeż kwalunkwe numru partikolari</v>
      </c>
    </row>
    <row r="2061" ht="15.75" customHeight="1">
      <c r="A2061" s="2" t="s">
        <v>2061</v>
      </c>
      <c r="B2061" s="2" t="str">
        <f>IFERROR(__xludf.DUMMYFUNCTION("GOOGLETRANSLATE(A2061, ""en"", ""mt"")"),"Il-prospett ta 'liema avveniment ġiegħel il-protezzjoni ta' skejjel privati ​​Ġermaniżi?")</f>
        <v>Il-prospett ta 'liema avveniment ġiegħel il-protezzjoni ta' skejjel privati ​​Ġermaniżi?</v>
      </c>
    </row>
    <row r="2062" ht="15.75" customHeight="1">
      <c r="A2062" s="2" t="s">
        <v>2062</v>
      </c>
      <c r="B2062" s="2" t="str">
        <f>IFERROR(__xludf.DUMMYFUNCTION("GOOGLETRANSLATE(A2062, ""en"", ""mt"")"),"65.5 miljun sena ilu")</f>
        <v>65.5 miljun sena ilu</v>
      </c>
    </row>
    <row r="2063" ht="15.75" customHeight="1">
      <c r="A2063" s="2" t="s">
        <v>2063</v>
      </c>
      <c r="B2063" s="2" t="str">
        <f>IFERROR(__xludf.DUMMYFUNCTION("GOOGLETRANSLATE(A2063, ""en"", ""mt"")"),"X’jagħmlu erba ’mill-fraternitajiet?")</f>
        <v>X’jagħmlu erba ’mill-fraternitajiet?</v>
      </c>
    </row>
    <row r="2064" ht="15.75" customHeight="1">
      <c r="A2064" s="2" t="s">
        <v>2064</v>
      </c>
      <c r="B2064" s="2" t="str">
        <f>IFERROR(__xludf.DUMMYFUNCTION("GOOGLETRANSLATE(A2064, ""en"", ""mt"")"),"termini ta 'pressjoni")</f>
        <v>termini ta 'pressjoni</v>
      </c>
    </row>
    <row r="2065" ht="15.75" customHeight="1">
      <c r="A2065" s="2" t="s">
        <v>2065</v>
      </c>
      <c r="B2065" s="2" t="str">
        <f>IFERROR(__xludf.DUMMYFUNCTION("GOOGLETRANSLATE(A2065, ""en"", ""mt"")"),"Ir-Rumani żammew tmien leġjuni f’ħames bażijiet tul ir-Renu. In-numru attwali ta 'leġjuni preżenti fi kwalunkwe bażi jew b'kollox, kien jiddependi fuq jekk hemmx stat jew theddida ta' gwerra. Bejn madwar l-14 u l-180, l-assenjazzjoni ta 'leġjuni kienet ki"&amp;"f ġej: Għall-Armata ta' Germania inferjuri, żewġ leġjuni fil-Vetera (Xanten), I Germanica u XX Valeria (truppi Pannonian); Żewġ leġjuni f'Oppidum Ubiorum (""Belt ta 'l-Ubii""), li ġiet imsejħa mill-ġdid lil Colonia Agrippina, li tinżel għal Cologne, v Ala"&amp;"udae, leġjun Ċeltiku reklutat minn Gallia narbonensis u XXI, possibilment leġjun Galatian min-naħa l-oħra tal-imperu.")</f>
        <v>Ir-Rumani żammew tmien leġjuni f’ħames bażijiet tul ir-Renu. In-numru attwali ta 'leġjuni preżenti fi kwalunkwe bażi jew b'kollox, kien jiddependi fuq jekk hemmx stat jew theddida ta' gwerra. Bejn madwar l-14 u l-180, l-assenjazzjoni ta 'leġjuni kienet kif ġej: Għall-Armata ta' Germania inferjuri, żewġ leġjuni fil-Vetera (Xanten), I Germanica u XX Valeria (truppi Pannonian); Żewġ leġjuni f'Oppidum Ubiorum ("Belt ta 'l-Ubii"), li ġiet imsejħa mill-ġdid lil Colonia Agrippina, li tinżel għal Cologne, v Alaudae, leġjun Ċeltiku reklutat minn Gallia narbonensis u XXI, possibilment leġjun Galatian min-naħa l-oħra tal-imperu.</v>
      </c>
    </row>
    <row r="2066" ht="15.75" customHeight="1">
      <c r="A2066" s="2" t="s">
        <v>2066</v>
      </c>
      <c r="B2066" s="2" t="str">
        <f>IFERROR(__xludf.DUMMYFUNCTION("GOOGLETRANSLATE(A2066, ""en"", ""mt"")"),"il-partijiet tan-netwerk tal-kanali interni taħt ir-ringieli tal-moxt")</f>
        <v>il-partijiet tan-netwerk tal-kanali interni taħt ir-ringieli tal-moxt</v>
      </c>
    </row>
    <row r="2067" ht="15.75" customHeight="1">
      <c r="A2067" s="2" t="s">
        <v>2067</v>
      </c>
      <c r="B2067" s="2" t="str">
        <f>IFERROR(__xludf.DUMMYFUNCTION("GOOGLETRANSLATE(A2067, ""en"", ""mt"")"),"kompetizzjoni")</f>
        <v>kompetizzjoni</v>
      </c>
    </row>
    <row r="2068" ht="15.75" customHeight="1">
      <c r="A2068" s="2" t="s">
        <v>2068</v>
      </c>
      <c r="B2068" s="2" t="str">
        <f>IFERROR(__xludf.DUMMYFUNCTION("GOOGLETRANSLATE(A2068, ""en"", ""mt"")"),"Liema alumni kien ukoll avukat ġenerali u imħallef federali?")</f>
        <v>Liema alumni kien ukoll avukat ġenerali u imħallef federali?</v>
      </c>
    </row>
    <row r="2069" ht="15.75" customHeight="1">
      <c r="A2069" s="2" t="s">
        <v>2069</v>
      </c>
      <c r="B2069" s="2" t="str">
        <f>IFERROR(__xludf.DUMMYFUNCTION("GOOGLETRANSLATE(A2069, ""en"", ""mt"")"),"ħalq li normalment jista 'jingħalaq mill-muskoli; farinġi (""gerżuma""); żona usa 'fiċ-ċentru li taġixxi bħala stonku; u sistema ta 'kanali interni.")</f>
        <v>ħalq li normalment jista 'jingħalaq mill-muskoli; farinġi ("gerżuma"); żona usa 'fiċ-ċentru li taġixxi bħala stonku; u sistema ta 'kanali interni.</v>
      </c>
    </row>
    <row r="2070" ht="15.75" customHeight="1">
      <c r="A2070" s="2" t="s">
        <v>2070</v>
      </c>
      <c r="B2070" s="2" t="str">
        <f>IFERROR(__xludf.DUMMYFUNCTION("GOOGLETRANSLATE(A2070, ""en"", ""mt"")"),"Min ma setax jaqra l-Liber Servitoris?")</f>
        <v>Min ma setax jaqra l-Liber Servitoris?</v>
      </c>
    </row>
    <row r="2071" ht="15.75" customHeight="1">
      <c r="A2071" s="2" t="s">
        <v>2071</v>
      </c>
      <c r="B2071" s="2" t="str">
        <f>IFERROR(__xludf.DUMMYFUNCTION("GOOGLETRANSLATE(A2071, ""en"", ""mt"")"),"Biex tgħin biex jitnaqqas il-konsum, fl-1974 ġie impost limitu massimu ta 'veloċità massima ta' 55 mph (madwar 88 km / h) permezz tal-Att dwar il-Konservazzjoni tal-Enerġija ta 'l-Awtostrada ta' Emerġenza. L-iżvilupp tar-riżerva strateġika tal-pitrolju be"&amp;"da fl-1975, u fl-1977 inħoloq id-Dipartiment tal-Enerġija fil-livell tal-Kabinett, segwit mill-Att Nazzjonali dwar l-Enerġija tal-1978. [Ċitazzjoni meħtieġa] fit-28 ta 'Novembru, 1995, Bill Clinton iffirma l-Att Nazzjonali tad-Deżin tal-Highway , li jtemm"&amp;" il-limitu federali ta 'veloċità ta' 55 mph (89 km / h), li jippermetti lill-istati jerġgħu jġibu l-limitu massimu ta 'veloċità massima tagħhom.")</f>
        <v>Biex tgħin biex jitnaqqas il-konsum, fl-1974 ġie impost limitu massimu ta 'veloċità massima ta' 55 mph (madwar 88 km / h) permezz tal-Att dwar il-Konservazzjoni tal-Enerġija ta 'l-Awtostrada ta' Emerġenza. L-iżvilupp tar-riżerva strateġika tal-pitrolju beda fl-1975, u fl-1977 inħoloq id-Dipartiment tal-Enerġija fil-livell tal-Kabinett, segwit mill-Att Nazzjonali dwar l-Enerġija tal-1978. [Ċitazzjoni meħtieġa] fit-28 ta 'Novembru, 1995, Bill Clinton iffirma l-Att Nazzjonali tad-Deżin tal-Highway , li jtemm il-limitu federali ta 'veloċità ta' 55 mph (89 km / h), li jippermetti lill-istati jerġgħu jġibu l-limitu massimu ta 'veloċità massima tagħhom.</v>
      </c>
    </row>
    <row r="2072" ht="15.75" customHeight="1">
      <c r="A2072" s="2" t="s">
        <v>2072</v>
      </c>
      <c r="B2072" s="2" t="str">
        <f>IFERROR(__xludf.DUMMYFUNCTION("GOOGLETRANSLATE(A2072, ""en"", ""mt"")"),"Meta seħħet l-estinzjoni tal-paleogen Kretaċeju?")</f>
        <v>Meta seħħet l-estinzjoni tal-paleogen Kretaċeju?</v>
      </c>
    </row>
    <row r="2073" ht="15.75" customHeight="1">
      <c r="A2073" s="2" t="s">
        <v>2073</v>
      </c>
      <c r="B2073" s="2" t="str">
        <f>IFERROR(__xludf.DUMMYFUNCTION("GOOGLETRANSLATE(A2073, ""en"", ""mt"")"),"Storm Tropikali Beryl")</f>
        <v>Storm Tropikali Beryl</v>
      </c>
    </row>
    <row r="2074" ht="15.75" customHeight="1">
      <c r="A2074" s="2" t="s">
        <v>2074</v>
      </c>
      <c r="B2074" s="2" t="str">
        <f>IFERROR(__xludf.DUMMYFUNCTION("GOOGLETRANSLATE(A2074, ""en"", ""mt"")"),"żid")</f>
        <v>żid</v>
      </c>
    </row>
    <row r="2075" ht="15.75" customHeight="1">
      <c r="A2075" s="2" t="s">
        <v>2075</v>
      </c>
      <c r="B2075" s="2" t="str">
        <f>IFERROR(__xludf.DUMMYFUNCTION("GOOGLETRANSLATE(A2075, ""en"", ""mt"")"),"X'inhu wieħed mit-trattati minuri dwar it-tibdil fil-klima?")</f>
        <v>X'inhu wieħed mit-trattati minuri dwar it-tibdil fil-klima?</v>
      </c>
    </row>
    <row r="2076" ht="15.75" customHeight="1">
      <c r="A2076" s="2" t="s">
        <v>2076</v>
      </c>
      <c r="B2076" s="2" t="str">
        <f>IFERROR(__xludf.DUMMYFUNCTION("GOOGLETRANSLATE(A2076, ""en"", ""mt"")"),"April 1991")</f>
        <v>April 1991</v>
      </c>
    </row>
    <row r="2077" ht="15.75" customHeight="1">
      <c r="A2077" s="2" t="s">
        <v>2077</v>
      </c>
      <c r="B2077" s="2" t="str">
        <f>IFERROR(__xludf.DUMMYFUNCTION("GOOGLETRANSLATE(A2077, ""en"", ""mt"")"),"Komponenti li jinħallu")</f>
        <v>Komponenti li jinħallu</v>
      </c>
    </row>
    <row r="2078" ht="15.75" customHeight="1">
      <c r="A2078" s="2" t="s">
        <v>2078</v>
      </c>
      <c r="B2078" s="2" t="str">
        <f>IFERROR(__xludf.DUMMYFUNCTION("GOOGLETRANSLATE(A2078, ""en"", ""mt"")"),"X'kien il-proporzjon ta 'rġiel għal nisa f'Harvard / Radcliffe?")</f>
        <v>X'kien il-proporzjon ta 'rġiel għal nisa f'Harvard / Radcliffe?</v>
      </c>
    </row>
    <row r="2079" ht="15.75" customHeight="1">
      <c r="A2079" s="2" t="s">
        <v>2079</v>
      </c>
      <c r="B2079" s="2" t="str">
        <f>IFERROR(__xludf.DUMMYFUNCTION("GOOGLETRANSLATE(A2079, ""en"", ""mt"")"),"Billi tassumi l-kompitu li jiġu interpretati t-trattati, u taċċellera l-integrazzjoni ekonomika u politika")</f>
        <v>Billi tassumi l-kompitu li jiġu interpretati t-trattati, u taċċellera l-integrazzjoni ekonomika u politika</v>
      </c>
    </row>
    <row r="2080" ht="15.75" customHeight="1">
      <c r="A2080" s="2" t="s">
        <v>2080</v>
      </c>
      <c r="B2080" s="2" t="str">
        <f>IFERROR(__xludf.DUMMYFUNCTION("GOOGLETRANSLATE(A2080, ""en"", ""mt"")"),"Vjaġġi ta 'Marco Polo")</f>
        <v>Vjaġġi ta 'Marco Polo</v>
      </c>
    </row>
    <row r="2081" ht="15.75" customHeight="1">
      <c r="A2081" s="2" t="s">
        <v>2081</v>
      </c>
      <c r="B2081" s="2" t="str">
        <f>IFERROR(__xludf.DUMMYFUNCTION("GOOGLETRANSLATE(A2081, ""en"", ""mt"")"),"Liema manifattur tal-karozzi tal-Korea t'Isfel xtara l-fattur fl-1995?")</f>
        <v>Liema manifattur tal-karozzi tal-Korea t'Isfel xtara l-fattur fl-1995?</v>
      </c>
    </row>
    <row r="2082" ht="15.75" customHeight="1">
      <c r="A2082" s="2" t="s">
        <v>2082</v>
      </c>
      <c r="B2082" s="2" t="str">
        <f>IFERROR(__xludf.DUMMYFUNCTION("GOOGLETRANSLATE(A2082, ""en"", ""mt"")"),"1883")</f>
        <v>1883</v>
      </c>
    </row>
    <row r="2083" ht="15.75" customHeight="1">
      <c r="A2083" s="2" t="s">
        <v>2083</v>
      </c>
      <c r="B2083" s="2" t="str">
        <f>IFERROR(__xludf.DUMMYFUNCTION("GOOGLETRANSLATE(A2083, ""en"", ""mt"")"),"Biex tfixkel lil Montcalm")</f>
        <v>Biex tfixkel lil Montcalm</v>
      </c>
    </row>
    <row r="2084" ht="15.75" customHeight="1">
      <c r="A2084" s="2" t="s">
        <v>2084</v>
      </c>
      <c r="B2084" s="2" t="str">
        <f>IFERROR(__xludf.DUMMYFUNCTION("GOOGLETRANSLATE(A2084, ""en"", ""mt"")"),"Id-diżubbidjenti ċivili għażlu varjetà ta 'atti illegali differenti. Bedau jikteb, ""Hemm klassi sħiħa ta 'atti, imwettqa f'isem id-diżubbidjenza ċivili, li, anke jekk kienu pprattikati b'mod wiesa', fihom infushom jikkostitwixxu ftit iktar minn inkonvenj"&amp;"ent (e.g. qbiż f'installazzjoni ta 'missili nukleari). . L-atti ta 'spiss huma biss fastidju u, għall-inqas għall-bystander, kemmxejn inane ... il-bogħod tal-konnessjoni bejn l-att diżubbidjenti u l-liġi oġġezzjonabbli jistabbilixxi tali atti miftuħa għal"&amp;"l-akkuża ta' ineffettività u assurdità. "" Bedau jinnota wkoll, madankollu, li l-ħsara stess ta 'protesti illegali kompletament simboliċi lejn għanijiet ta' politika pubblika jistgħu jservu skop ta 'propaganda. Xi diżubbidjenti ċivili, bħall-proprjetarji "&amp;"ta 'dispensarji ta' kannabis mediċi illegali u vuċi fid-deżert, li ġabu mediċina fl-Iraq mingħajr il-permess tal-gvern ta 'l-Istati Uniti, jiksbu direttament għan soċjali mixtieq (bħalma huma l-provvista ta' medikazzjoni għall-morda) waqt li Kisser bil-mi"&amp;"ftuħ il-liġi. Julia Butterfly Hill kienet toqgħod f'Luna, ta '180 pied (55 m) -tall, siġra ta' California Redwood ta '600 sena għal 738 ġurnata, u ma ħallietx b'suċċess milli tinqata'.")</f>
        <v>Id-diżubbidjenti ċivili għażlu varjetà ta 'atti illegali differenti. Bedau jikteb, "Hemm klassi sħiħa ta 'atti, imwettqa f'isem id-diżubbidjenza ċivili, li, anke jekk kienu pprattikati b'mod wiesa', fihom infushom jikkostitwixxu ftit iktar minn inkonvenjent (e.g. qbiż f'installazzjoni ta 'missili nukleari). . L-atti ta 'spiss huma biss fastidju u, għall-inqas għall-bystander, kemmxejn inane ... il-bogħod tal-konnessjoni bejn l-att diżubbidjenti u l-liġi oġġezzjonabbli jistabbilixxi tali atti miftuħa għall-akkuża ta' ineffettività u assurdità. " Bedau jinnota wkoll, madankollu, li l-ħsara stess ta 'protesti illegali kompletament simboliċi lejn għanijiet ta' politika pubblika jistgħu jservu skop ta 'propaganda. Xi diżubbidjenti ċivili, bħall-proprjetarji ta 'dispensarji ta' kannabis mediċi illegali u vuċi fid-deżert, li ġabu mediċina fl-Iraq mingħajr il-permess tal-gvern ta 'l-Istati Uniti, jiksbu direttament għan soċjali mixtieq (bħalma huma l-provvista ta' medikazzjoni għall-morda) waqt li Kisser bil-miftuħ il-liġi. Julia Butterfly Hill kienet toqgħod f'Luna, ta '180 pied (55 m) -tall, siġra ta' California Redwood ta '600 sena għal 738 ġurnata, u ma ħallietx b'suċċess milli tinqata'.</v>
      </c>
    </row>
    <row r="2085" ht="15.75" customHeight="1">
      <c r="A2085" s="2" t="s">
        <v>2085</v>
      </c>
      <c r="B2085" s="2" t="str">
        <f>IFERROR(__xludf.DUMMYFUNCTION("GOOGLETRANSLATE(A2085, ""en"", ""mt"")"),"Min hu magħruf bħala l-ifqar raġel fl-istorja kollha?")</f>
        <v>Min hu magħruf bħala l-ifqar raġel fl-istorja kollha?</v>
      </c>
    </row>
    <row r="2086" ht="15.75" customHeight="1">
      <c r="A2086" s="2" t="s">
        <v>2086</v>
      </c>
      <c r="B2086" s="2" t="str">
        <f>IFERROR(__xludf.DUMMYFUNCTION("GOOGLETRANSLATE(A2086, ""en"", ""mt"")"),"Il-kampanja għall-konvenzjoni kostituzzjonali nbdiet bħala liema tip ta 'grupp?")</f>
        <v>Il-kampanja għall-konvenzjoni kostituzzjonali nbdiet bħala liema tip ta 'grupp?</v>
      </c>
    </row>
    <row r="2087" ht="15.75" customHeight="1">
      <c r="A2087" s="2" t="s">
        <v>2087</v>
      </c>
      <c r="B2087" s="2" t="str">
        <f>IFERROR(__xludf.DUMMYFUNCTION("GOOGLETRANSLATE(A2087, ""en"", ""mt"")"),"Min kien il-mexxej tar-Russja fis-snin 1960?")</f>
        <v>Min kien il-mexxej tar-Russja fis-snin 1960?</v>
      </c>
    </row>
    <row r="2088" ht="15.75" customHeight="1">
      <c r="A2088" s="2" t="s">
        <v>2088</v>
      </c>
      <c r="B2088" s="2" t="str">
        <f>IFERROR(__xludf.DUMMYFUNCTION("GOOGLETRANSLATE(A2088, ""en"", ""mt"")"),"Kemm maġġuri akkademiċi l-università tagħti b’kollox?")</f>
        <v>Kemm maġġuri akkademiċi l-università tagħti b’kollox?</v>
      </c>
    </row>
    <row r="2089" ht="15.75" customHeight="1">
      <c r="A2089" s="2" t="s">
        <v>2089</v>
      </c>
      <c r="B2089" s="2" t="str">
        <f>IFERROR(__xludf.DUMMYFUNCTION("GOOGLETRANSLATE(A2089, ""en"", ""mt"")"),"fil-palazz tal-kultura u x-xjenza")</f>
        <v>fil-palazz tal-kultura u x-xjenza</v>
      </c>
    </row>
    <row r="2090" ht="15.75" customHeight="1">
      <c r="A2090" s="2" t="s">
        <v>2090</v>
      </c>
      <c r="B2090" s="2" t="str">
        <f>IFERROR(__xludf.DUMMYFUNCTION("GOOGLETRANSLATE(A2090, ""en"", ""mt"")"),"Xi tfisser l-għajnuna finanzjarja tal-istudenti tal-edukazzjoni privata tgħin lill-istudenti attwali tal-iskola sekondarja li huma mwarrba?")</f>
        <v>Xi tfisser l-għajnuna finanzjarja tal-istudenti tal-edukazzjoni privata tgħin lill-istudenti attwali tal-iskola sekondarja li huma mwarrba?</v>
      </c>
    </row>
    <row r="2091" ht="15.75" customHeight="1">
      <c r="A2091" s="2" t="s">
        <v>2091</v>
      </c>
      <c r="B2091" s="2" t="str">
        <f>IFERROR(__xludf.DUMMYFUNCTION("GOOGLETRANSLATE(A2091, ""en"", ""mt"")"),"bitħa")</f>
        <v>bitħa</v>
      </c>
    </row>
    <row r="2092" ht="15.75" customHeight="1">
      <c r="A2092" s="2" t="s">
        <v>2092</v>
      </c>
      <c r="B2092" s="2" t="str">
        <f>IFERROR(__xludf.DUMMYFUNCTION("GOOGLETRANSLATE(A2092, ""en"", ""mt"")"),"tagħmilha iktar diffiċli għal sistema biex tiffunzjona")</f>
        <v>tagħmilha iktar diffiċli għal sistema biex tiffunzjona</v>
      </c>
    </row>
    <row r="2093" ht="15.75" customHeight="1">
      <c r="A2093" s="2" t="s">
        <v>2093</v>
      </c>
      <c r="B2093" s="2" t="str">
        <f>IFERROR(__xludf.DUMMYFUNCTION("GOOGLETRANSLATE(A2093, ""en"", ""mt"")"),"L-Att dwar il-Kostituzzjoni tar-Rabat 1855")</f>
        <v>L-Att dwar il-Kostituzzjoni tar-Rabat 1855</v>
      </c>
    </row>
    <row r="2094" ht="15.75" customHeight="1">
      <c r="A2094" s="2" t="s">
        <v>2094</v>
      </c>
      <c r="B2094" s="2" t="str">
        <f>IFERROR(__xludf.DUMMYFUNCTION("GOOGLETRANSLATE(A2094, ""en"", ""mt"")"),"xi pitturi")</f>
        <v>xi pitturi</v>
      </c>
    </row>
    <row r="2095" ht="15.75" customHeight="1">
      <c r="A2095" s="2" t="s">
        <v>2095</v>
      </c>
      <c r="B2095" s="2" t="str">
        <f>IFERROR(__xludf.DUMMYFUNCTION("GOOGLETRANSLATE(A2095, ""en"", ""mt"")"),"X'inhu fattur wieħed fiż-żieda tal-istima personali?")</f>
        <v>X'inhu fattur wieħed fiż-żieda tal-istima personali?</v>
      </c>
    </row>
    <row r="2096" ht="15.75" customHeight="1">
      <c r="A2096" s="2" t="s">
        <v>2096</v>
      </c>
      <c r="B2096" s="2" t="str">
        <f>IFERROR(__xludf.DUMMYFUNCTION("GOOGLETRANSLATE(A2096, ""en"", ""mt"")"),"Ungeriżi")</f>
        <v>Ungeriżi</v>
      </c>
    </row>
    <row r="2097" ht="15.75" customHeight="1">
      <c r="A2097" s="2" t="s">
        <v>2097</v>
      </c>
      <c r="B2097" s="2" t="str">
        <f>IFERROR(__xludf.DUMMYFUNCTION("GOOGLETRANSLATE(A2097, ""en"", ""mt"")"),"elju")</f>
        <v>elju</v>
      </c>
    </row>
    <row r="2098" ht="15.75" customHeight="1">
      <c r="A2098" s="2" t="s">
        <v>2098</v>
      </c>
      <c r="B2098" s="2" t="str">
        <f>IFERROR(__xludf.DUMMYFUNCTION("GOOGLETRANSLATE(A2098, ""en"", ""mt"")"),"Min kiteb il-ktieb American Times Bestselling intitolat ""The Closing of the American Mind""?")</f>
        <v>Min kiteb il-ktieb American Times Bestselling intitolat "The Closing of the American Mind"?</v>
      </c>
    </row>
    <row r="2099" ht="15.75" customHeight="1">
      <c r="A2099" s="2" t="s">
        <v>2099</v>
      </c>
      <c r="B2099" s="2" t="str">
        <f>IFERROR(__xludf.DUMMYFUNCTION("GOOGLETRANSLATE(A2099, ""en"", ""mt"")"),"104 ° F.")</f>
        <v>104 ° F.</v>
      </c>
    </row>
    <row r="2100" ht="15.75" customHeight="1">
      <c r="A2100" s="2" t="s">
        <v>2100</v>
      </c>
      <c r="B2100" s="2" t="str">
        <f>IFERROR(__xludf.DUMMYFUNCTION("GOOGLETRANSLATE(A2100, ""en"", ""mt"")"),"2 miljun")</f>
        <v>2 miljun</v>
      </c>
    </row>
    <row r="2101" ht="15.75" customHeight="1">
      <c r="A2101" s="2" t="s">
        <v>2101</v>
      </c>
      <c r="B2101" s="2" t="str">
        <f>IFERROR(__xludf.DUMMYFUNCTION("GOOGLETRANSLATE(A2101, ""en"", ""mt"")"),"X'inhi l-liġi msemmija li tiddefinixxi ħlas li jiċċaqlaq minn kamp manjetiku?")</f>
        <v>X'inhi l-liġi msemmija li tiddefinixxi ħlas li jiċċaqlaq minn kamp manjetiku?</v>
      </c>
    </row>
    <row r="2102" ht="15.75" customHeight="1">
      <c r="A2102" s="2" t="s">
        <v>2102</v>
      </c>
      <c r="B2102" s="2" t="str">
        <f>IFERROR(__xludf.DUMMYFUNCTION("GOOGLETRANSLATE(A2102, ""en"", ""mt"")"),"Minn fejn jispiċċaw seba 'linji ta' Metrolink?")</f>
        <v>Minn fejn jispiċċaw seba 'linji ta' Metrolink?</v>
      </c>
    </row>
    <row r="2103" ht="15.75" customHeight="1">
      <c r="A2103" s="2" t="s">
        <v>2103</v>
      </c>
      <c r="B2103" s="2" t="str">
        <f>IFERROR(__xludf.DUMMYFUNCTION("GOOGLETRANSLATE(A2103, ""en"", ""mt"")"),"Liema filosofija tal-ħsieb tindirizza l-inugwaljanza tal-ġid?")</f>
        <v>Liema filosofija tal-ħsieb tindirizza l-inugwaljanza tal-ġid?</v>
      </c>
    </row>
    <row r="2104" ht="15.75" customHeight="1">
      <c r="A2104" s="2" t="s">
        <v>2104</v>
      </c>
      <c r="B2104" s="2" t="str">
        <f>IFERROR(__xludf.DUMMYFUNCTION("GOOGLETRANSLATE(A2104, ""en"", ""mt"")"),"Kemm Sports Intercollegiate Harvard jikkompeti fid-Diviżjoni I tal-NCAA")</f>
        <v>Kemm Sports Intercollegiate Harvard jikkompeti fid-Diviżjoni I tal-NCAA</v>
      </c>
    </row>
    <row r="2105" ht="15.75" customHeight="1">
      <c r="A2105" s="2" t="s">
        <v>2105</v>
      </c>
      <c r="B2105" s="2" t="str">
        <f>IFERROR(__xludf.DUMMYFUNCTION("GOOGLETRANSLATE(A2105, ""en"", ""mt"")"),"Liema pubblikazzjoni stampat li l-1% sinjur għandhom aktar flus minn dawk fil-qiegħ 99%?")</f>
        <v>Liema pubblikazzjoni stampat li l-1% sinjur għandhom aktar flus minn dawk fil-qiegħ 99%?</v>
      </c>
    </row>
    <row r="2106" ht="15.75" customHeight="1">
      <c r="A2106" s="2" t="s">
        <v>2106</v>
      </c>
      <c r="B2106" s="2" t="str">
        <f>IFERROR(__xludf.DUMMYFUNCTION("GOOGLETRANSLATE(A2106, ""en"", ""mt"")"),"Artikolu 30 TFEU")</f>
        <v>Artikolu 30 TFEU</v>
      </c>
    </row>
    <row r="2107" ht="15.75" customHeight="1">
      <c r="A2107" s="2" t="s">
        <v>2107</v>
      </c>
      <c r="B2107" s="2" t="str">
        <f>IFERROR(__xludf.DUMMYFUNCTION("GOOGLETRANSLATE(A2107, ""en"", ""mt"")"),"X'inhu mod ieħor kif tiddikjara l-kundizzjoni li infinitament ħafna ringieli jistgħu jeżistu biss jekk A u Q huma koprime?")</f>
        <v>X'inhu mod ieħor kif tiddikjara l-kundizzjoni li infinitament ħafna ringieli jistgħu jeżistu biss jekk A u Q huma koprime?</v>
      </c>
    </row>
    <row r="2108" ht="15.75" customHeight="1">
      <c r="A2108" s="2" t="s">
        <v>2108</v>
      </c>
      <c r="B2108" s="2" t="str">
        <f>IFERROR(__xludf.DUMMYFUNCTION("GOOGLETRANSLATE(A2108, ""en"", ""mt"")"),"Dak li hu maħsub li ġara lill-y. Pestis li kkawża l-mewt sewda?")</f>
        <v>Dak li hu maħsub li ġara lill-y. Pestis li kkawża l-mewt sewda?</v>
      </c>
    </row>
    <row r="2109" ht="15.75" customHeight="1">
      <c r="A2109" s="2" t="s">
        <v>2109</v>
      </c>
      <c r="B2109" s="2" t="str">
        <f>IFERROR(__xludf.DUMMYFUNCTION("GOOGLETRANSLATE(A2109, ""en"", ""mt"")"),"il-partitarji tagħha")</f>
        <v>il-partitarji tagħha</v>
      </c>
    </row>
    <row r="2110" ht="15.75" customHeight="1">
      <c r="A2110" s="2" t="s">
        <v>2110</v>
      </c>
      <c r="B2110" s="2" t="str">
        <f>IFERROR(__xludf.DUMMYFUNCTION("GOOGLETRANSLATE(A2110, ""en"", ""mt"")"),"xaft tas-sewqan")</f>
        <v>xaft tas-sewqan</v>
      </c>
    </row>
    <row r="2111" ht="15.75" customHeight="1">
      <c r="A2111" s="2" t="s">
        <v>2111</v>
      </c>
      <c r="B2111" s="2" t="str">
        <f>IFERROR(__xludf.DUMMYFUNCTION("GOOGLETRANSLATE(A2111, ""en"", ""mt"")"),"Liema korp fl-Indja jipprovdi direzzjonijiet ta 'politika lill-iskejjel?")</f>
        <v>Liema korp fl-Indja jipprovdi direzzjonijiet ta 'politika lill-iskejjel?</v>
      </c>
    </row>
    <row r="2112" ht="15.75" customHeight="1">
      <c r="A2112" s="2" t="s">
        <v>2112</v>
      </c>
      <c r="B2112" s="2" t="str">
        <f>IFERROR(__xludf.DUMMYFUNCTION("GOOGLETRANSLATE(A2112, ""en"", ""mt"")"),"Trinity-st. Knisja Episkopali ta ’Pawlu")</f>
        <v>Trinity-st. Knisja Episkopali ta ’Pawlu</v>
      </c>
    </row>
    <row r="2113" ht="15.75" customHeight="1">
      <c r="A2113" s="2" t="s">
        <v>2113</v>
      </c>
      <c r="B2113" s="2" t="str">
        <f>IFERROR(__xludf.DUMMYFUNCTION("GOOGLETRANSLATE(A2113, ""en"", ""mt"")"),"l-ekwipaġġ ta 'Apollo 1")</f>
        <v>l-ekwipaġġ ta 'Apollo 1</v>
      </c>
    </row>
    <row r="2114" ht="15.75" customHeight="1">
      <c r="A2114" s="2" t="s">
        <v>2114</v>
      </c>
      <c r="B2114" s="2" t="str">
        <f>IFERROR(__xludf.DUMMYFUNCTION("GOOGLETRANSLATE(A2114, ""en"", ""mt"")"),"Dak li jagħmilha aktar faċli għall-gvern li jimmira lejn territorji tribali?")</f>
        <v>Dak li jagħmilha aktar faċli għall-gvern li jimmira lejn territorji tribali?</v>
      </c>
    </row>
    <row r="2115" ht="15.75" customHeight="1">
      <c r="A2115" s="2" t="s">
        <v>2115</v>
      </c>
      <c r="B2115" s="2" t="str">
        <f>IFERROR(__xludf.DUMMYFUNCTION("GOOGLETRANSLATE(A2115, ""en"", ""mt"")"),"Fin-Nofsinhar tal-Ewropa, l-istadju kien stabbilit fil-perjodu Triassiku tal-era Mesozoic, bil-ftuħ tal-Oċean Tethys, bejn il-pjanċi tettoniċi Ewro-Asjatiċi u Afrikani, bejn madwar 240 Mbp u 220 MBP (miljun sena qabel il-preżent). Il-baħar preżenti tal-Me"&amp;"diterran jinżel minn dan il-baħar Tethys kemmxejn ikbar. F'madwar 180 Mbp, fil-perjodu Jurassic, iż-żewġ pjanċi nqalbu d-direzzjoni u bdew jikkompressaw l-art tat-Tethys, u kkawżawha tiġi sottodutata taħt l-Eurasja u timbotta t-tarf ta 'l-aħħar pjanċa fl-"&amp;"orogenija alpina ta' l-oligocene u l-perjodi ta 'Miocene. Bosta microplates inqabdu fil-kompressjoni u mdawra jew ġew imbuttati lateralment, li jiġġeneraw il-karatteristiċi individwali tal-ġeografija Mediterranja: l-Iberia mbuttat il-Pirinej; L-Italja, l-"&amp;"Alpi, u l-Anatolja, li jimxu lejn il-punent, il-muntanji tal-Greċja u l-gżejjer. Il-kompressjoni u l-orogenija jkomplu llum, kif muri mit-trobbija kontinwa tal-muntanji ammont żgħir kull sena u l-vulkani attivi.")</f>
        <v>Fin-Nofsinhar tal-Ewropa, l-istadju kien stabbilit fil-perjodu Triassiku tal-era Mesozoic, bil-ftuħ tal-Oċean Tethys, bejn il-pjanċi tettoniċi Ewro-Asjatiċi u Afrikani, bejn madwar 240 Mbp u 220 MBP (miljun sena qabel il-preżent). Il-baħar preżenti tal-Mediterran jinżel minn dan il-baħar Tethys kemmxejn ikbar. F'madwar 180 Mbp, fil-perjodu Jurassic, iż-żewġ pjanċi nqalbu d-direzzjoni u bdew jikkompressaw l-art tat-Tethys, u kkawżawha tiġi sottodutata taħt l-Eurasja u timbotta t-tarf ta 'l-aħħar pjanċa fl-orogenija alpina ta' l-oligocene u l-perjodi ta 'Miocene. Bosta microplates inqabdu fil-kompressjoni u mdawra jew ġew imbuttati lateralment, li jiġġeneraw il-karatteristiċi individwali tal-ġeografija Mediterranja: l-Iberia mbuttat il-Pirinej; L-Italja, l-Alpi, u l-Anatolja, li jimxu lejn il-punent, il-muntanji tal-Greċja u l-gżejjer. Il-kompressjoni u l-orogenija jkomplu llum, kif muri mit-trobbija kontinwa tal-muntanji ammont żgħir kull sena u l-vulkani attivi.</v>
      </c>
    </row>
    <row r="2116" ht="15.75" customHeight="1">
      <c r="A2116" s="2" t="s">
        <v>2116</v>
      </c>
      <c r="B2116" s="2" t="str">
        <f>IFERROR(__xludf.DUMMYFUNCTION("GOOGLETRANSLATE(A2116, ""en"", ""mt"")"),"Għaliex Berlin Huguenots qalbu għall-Ġermaniż mill-Franċiż fis-servizzi tagħhom?")</f>
        <v>Għaliex Berlin Huguenots qalbu għall-Ġermaniż mill-Franċiż fis-servizzi tagħhom?</v>
      </c>
    </row>
    <row r="2117" ht="15.75" customHeight="1">
      <c r="A2117" s="2" t="s">
        <v>2117</v>
      </c>
      <c r="B2117" s="2" t="str">
        <f>IFERROR(__xludf.DUMMYFUNCTION("GOOGLETRANSLATE(A2117, ""en"", ""mt"")"),"Talbiet territorjali konfliġġenti bejn kolonji Ingliżi u Franċiżi fl-Amerika ta 'Fuq")</f>
        <v>Talbiet territorjali konfliġġenti bejn kolonji Ingliżi u Franċiżi fl-Amerika ta 'Fuq</v>
      </c>
    </row>
    <row r="2118" ht="15.75" customHeight="1">
      <c r="A2118" s="2" t="s">
        <v>2118</v>
      </c>
      <c r="B2118" s="2" t="str">
        <f>IFERROR(__xludf.DUMMYFUNCTION("GOOGLETRANSLATE(A2118, ""en"", ""mt"")"),"aktar attiv u għex itwal")</f>
        <v>aktar attiv u għex itwal</v>
      </c>
    </row>
    <row r="2119" ht="15.75" customHeight="1">
      <c r="A2119" s="2" t="s">
        <v>2119</v>
      </c>
      <c r="B2119" s="2" t="str">
        <f>IFERROR(__xludf.DUMMYFUNCTION("GOOGLETRANSLATE(A2119, ""en"", ""mt"")"),"Vistula")</f>
        <v>Vistula</v>
      </c>
    </row>
    <row r="2120" ht="15.75" customHeight="1">
      <c r="A2120" s="2" t="s">
        <v>2120</v>
      </c>
      <c r="B2120" s="2" t="str">
        <f>IFERROR(__xludf.DUMMYFUNCTION("GOOGLETRANSLATE(A2120, ""en"", ""mt"")"),"Kemm-il darba Polonia rebħet it-tazza?")</f>
        <v>Kemm-il darba Polonia rebħet it-tazza?</v>
      </c>
    </row>
    <row r="2121" ht="15.75" customHeight="1">
      <c r="A2121" s="2" t="s">
        <v>2121</v>
      </c>
      <c r="B2121" s="2" t="str">
        <f>IFERROR(__xludf.DUMMYFUNCTION("GOOGLETRANSLATE(A2121, ""en"", ""mt"")"),"Fil-ħamsinijiet")</f>
        <v>Fil-ħamsinijiet</v>
      </c>
    </row>
    <row r="2122" ht="15.75" customHeight="1">
      <c r="A2122" s="2" t="s">
        <v>2122</v>
      </c>
      <c r="B2122" s="2" t="str">
        <f>IFERROR(__xludf.DUMMYFUNCTION("GOOGLETRANSLATE(A2122, ""en"", ""mt"")"),"Maududi x’kien jemmen li s-soċjetà Musulmana ma setgħetx tkun Iżlamika fin-nuqqas ta ’?")</f>
        <v>Maududi x’kien jemmen li s-soċjetà Musulmana ma setgħetx tkun Iżlamika fin-nuqqas ta ’?</v>
      </c>
    </row>
    <row r="2123" ht="15.75" customHeight="1">
      <c r="A2123" s="2" t="s">
        <v>2123</v>
      </c>
      <c r="B2123" s="2" t="str">
        <f>IFERROR(__xludf.DUMMYFUNCTION("GOOGLETRANSLATE(A2123, ""en"", ""mt"")"),"Rhind Papyrus")</f>
        <v>Rhind Papyrus</v>
      </c>
    </row>
    <row r="2124" ht="15.75" customHeight="1">
      <c r="A2124" s="2" t="s">
        <v>2124</v>
      </c>
      <c r="B2124" s="2" t="str">
        <f>IFERROR(__xludf.DUMMYFUNCTION("GOOGLETRANSLATE(A2124, ""en"", ""mt"")"),"Liema jillimita t-temperaturi taċ-ċiklu ta 'Rankine?")</f>
        <v>Liema jillimita t-temperaturi taċ-ċiklu ta 'Rankine?</v>
      </c>
    </row>
    <row r="2125" ht="15.75" customHeight="1">
      <c r="A2125" s="2" t="s">
        <v>2125</v>
      </c>
      <c r="B2125" s="2" t="str">
        <f>IFERROR(__xludf.DUMMYFUNCTION("GOOGLETRANSLATE(A2125, ""en"", ""mt"")"),"Min rinnova d-Depot tal-Ferrovija ta 'Santa Fe?")</f>
        <v>Min rinnova d-Depot tal-Ferrovija ta 'Santa Fe?</v>
      </c>
    </row>
    <row r="2126" ht="15.75" customHeight="1">
      <c r="A2126" s="2" t="s">
        <v>2126</v>
      </c>
      <c r="B2126" s="2" t="str">
        <f>IFERROR(__xludf.DUMMYFUNCTION("GOOGLETRANSLATE(A2126, ""en"", ""mt"")"),"X'tip ta 'mudelli awto-konsistenti qed jippruvaw jagħmlu li joħolqu teorija ta' kollox?")</f>
        <v>X'tip ta 'mudelli awto-konsistenti qed jippruvaw jagħmlu li joħolqu teorija ta' kollox?</v>
      </c>
    </row>
    <row r="2127" ht="15.75" customHeight="1">
      <c r="A2127" s="2" t="s">
        <v>2127</v>
      </c>
      <c r="B2127" s="2" t="str">
        <f>IFERROR(__xludf.DUMMYFUNCTION("GOOGLETRANSLATE(A2127, ""en"", ""mt"")")," Xi jfisser il-kolonjaliżmu u l-imperjalizmu?")</f>
        <v> Xi jfisser il-kolonjaliżmu u l-imperjalizmu?</v>
      </c>
    </row>
    <row r="2128" ht="15.75" customHeight="1">
      <c r="A2128" s="2" t="s">
        <v>2128</v>
      </c>
      <c r="B2128" s="2" t="str">
        <f>IFERROR(__xludf.DUMMYFUNCTION("GOOGLETRANSLATE(A2128, ""en"", ""mt"")"),"L-istampar tal-bini qed jagħmilha possibbli li jinbnew b'mod flessibbli bini kummerċjali żgħar u abitazzjonijiet privati ​​f'liema ammont ta 'żmien?")</f>
        <v>L-istampar tal-bini qed jagħmilha possibbli li jinbnew b'mod flessibbli bini kummerċjali żgħar u abitazzjonijiet privati ​​f'liema ammont ta 'żmien?</v>
      </c>
    </row>
    <row r="2129" ht="15.75" customHeight="1">
      <c r="A2129" s="2" t="s">
        <v>2129</v>
      </c>
      <c r="B2129" s="2" t="str">
        <f>IFERROR(__xludf.DUMMYFUNCTION("GOOGLETRANSLATE(A2129, ""en"", ""mt"")"),"Nitroġenu")</f>
        <v>Nitroġenu</v>
      </c>
    </row>
    <row r="2130" ht="15.75" customHeight="1">
      <c r="A2130" s="2" t="s">
        <v>2130</v>
      </c>
      <c r="B2130" s="2" t="str">
        <f>IFERROR(__xludf.DUMMYFUNCTION("GOOGLETRANSLATE(A2130, ""en"", ""mt"")"),"Problemi kapaċi għal soluzzjonijiet teoretiċi iżda li jikkunsmaw ħin mhux raġonevoli fl-applikazzjoni prattika huma magħrufa bħala?")</f>
        <v>Problemi kapaċi għal soluzzjonijiet teoretiċi iżda li jikkunsmaw ħin mhux raġonevoli fl-applikazzjoni prattika huma magħrufa bħala?</v>
      </c>
    </row>
    <row r="2131" ht="15.75" customHeight="1">
      <c r="A2131" s="2" t="s">
        <v>2131</v>
      </c>
      <c r="B2131" s="2" t="str">
        <f>IFERROR(__xludf.DUMMYFUNCTION("GOOGLETRANSLATE(A2131, ""en"", ""mt"")"),"Meta l-Ħamas issuq il-PLO barra minn Gaża?")</f>
        <v>Meta l-Ħamas issuq il-PLO barra minn Gaża?</v>
      </c>
    </row>
    <row r="2132" ht="15.75" customHeight="1">
      <c r="A2132" s="2" t="s">
        <v>2132</v>
      </c>
      <c r="B2132" s="2" t="str">
        <f>IFERROR(__xludf.DUMMYFUNCTION("GOOGLETRANSLATE(A2132, ""en"", ""mt"")"),"X'azzjoni ħadet Brownlee kontra GCSB Waihopai li kkawżahom jagħlqu temporanjament?")</f>
        <v>X'azzjoni ħadet Brownlee kontra GCSB Waihopai li kkawżahom jagħlqu temporanjament?</v>
      </c>
    </row>
    <row r="2133" ht="15.75" customHeight="1">
      <c r="A2133" s="2" t="s">
        <v>2133</v>
      </c>
      <c r="B2133" s="2" t="str">
        <f>IFERROR(__xludf.DUMMYFUNCTION("GOOGLETRANSLATE(A2133, ""en"", ""mt"")"),"Kantant Isaac Bashevis")</f>
        <v>Kantant Isaac Bashevis</v>
      </c>
    </row>
    <row r="2134" ht="15.75" customHeight="1">
      <c r="A2134" s="2" t="s">
        <v>2134</v>
      </c>
      <c r="B2134" s="2" t="str">
        <f>IFERROR(__xludf.DUMMYFUNCTION("GOOGLETRANSLATE(A2134, ""en"", ""mt"")"),"Ma 'min għamel Alexander niżżewweġ?")</f>
        <v>Ma 'min għamel Alexander niżżewweġ?</v>
      </c>
    </row>
    <row r="2135" ht="15.75" customHeight="1">
      <c r="A2135" s="2" t="s">
        <v>2135</v>
      </c>
      <c r="B2135" s="2" t="str">
        <f>IFERROR(__xludf.DUMMYFUNCTION("GOOGLETRANSLATE(A2135, ""en"", ""mt"")"),"Fejn tgħallem dan il-mexxej favur ir-riforma?")</f>
        <v>Fejn tgħallem dan il-mexxej favur ir-riforma?</v>
      </c>
    </row>
    <row r="2136" ht="15.75" customHeight="1">
      <c r="A2136" s="2" t="s">
        <v>2136</v>
      </c>
      <c r="B2136" s="2" t="str">
        <f>IFERROR(__xludf.DUMMYFUNCTION("GOOGLETRANSLATE(A2136, ""en"", ""mt"")"),"Kemm djar kellhom is-servizz tas-satellita dirett għad-dar tal-BSKYB mhux disponibbli għalihom fl-2010?")</f>
        <v>Kemm djar kellhom is-servizz tas-satellita dirett għad-dar tal-BSKYB mhux disponibbli għalihom fl-2010?</v>
      </c>
    </row>
    <row r="2137" ht="15.75" customHeight="1">
      <c r="A2137" s="2" t="s">
        <v>2137</v>
      </c>
      <c r="B2137" s="2" t="str">
        <f>IFERROR(__xludf.DUMMYFUNCTION("GOOGLETRANSLATE(A2137, ""en"", ""mt"")"),"Engineering News-Record (ENR) hija rivista kummerċjali għall-industrija tal-kostruzzjoni. Kull sena, ENR tikkompila u tirrapporta dwar dejta dwar id-daqs tal-kumpaniji tad-disinn u tal-kostruzzjoni. Huma jippubblikaw lista tal-ikbar kumpaniji fl-Istati Un"&amp;"iti (top-40) u wkoll lista tal-akbar ditti globali (l-aqwa 250, skont l-ammont ta ’xogħol li qed jagħmlu barra minn pajjiżhom). Fl-2014, ENR ġabret id-dejta f'disa 'segmenti tas-suq. Kien maqsum bħala trasport, pitrolju, bini, enerġija, industrijali, ilma"&amp;", manifattura, drenaġġ / skart, telekomunikazzjoni, skart perikoluż flimkien ma 'għaxar kategorija għal proġetti oħra. Fir-rappurtar tagħhom fuq l-aqwa 400, huma użaw dejta dwar it-trasport, id-drenaġġ, l-iskart perikoluż u l-ilma biex jikklassifikaw ditt"&amp;"i bħala kuntratturi tqal.")</f>
        <v>Engineering News-Record (ENR) hija rivista kummerċjali għall-industrija tal-kostruzzjoni. Kull sena, ENR tikkompila u tirrapporta dwar dejta dwar id-daqs tal-kumpaniji tad-disinn u tal-kostruzzjoni. Huma jippubblikaw lista tal-ikbar kumpaniji fl-Istati Uniti (top-40) u wkoll lista tal-akbar ditti globali (l-aqwa 250, skont l-ammont ta ’xogħol li qed jagħmlu barra minn pajjiżhom). Fl-2014, ENR ġabret id-dejta f'disa 'segmenti tas-suq. Kien maqsum bħala trasport, pitrolju, bini, enerġija, industrijali, ilma, manifattura, drenaġġ / skart, telekomunikazzjoni, skart perikoluż flimkien ma 'għaxar kategorija għal proġetti oħra. Fir-rappurtar tagħhom fuq l-aqwa 400, huma użaw dejta dwar it-trasport, id-drenaġġ, l-iskart perikoluż u l-ilma biex jikklassifikaw ditti bħala kuntratturi tqal.</v>
      </c>
    </row>
    <row r="2138" ht="15.75" customHeight="1">
      <c r="A2138" s="2" t="s">
        <v>2138</v>
      </c>
      <c r="B2138" s="2" t="str">
        <f>IFERROR(__xludf.DUMMYFUNCTION("GOOGLETRANSLATE(A2138, ""en"", ""mt"")"),"Fil-bidu tal-gwerra, l-ebda truppi tal-Armata Regolari Franċiżi ma kienu stazzjonati fl-Amerika ta ’Fuq, u ftit truppi Ingliżi. Ġdid Franza ġie difiż minn madwar 3,000 truppa de la Marine, kumpaniji ta 'regolari kolonjali (li wħud minnhom kellhom esperjen"&amp;"za ta' ġlieda kontra l-imsaġar sinifikanti). Il-gvern kolonjali rrekluta l-appoġġ tal-milizja meta jkun meħtieġ. Il-biċċa l-kbira tal-kolonji Ingliżi ġabru kumpaniji tal-milizja lokali, ġeneralment imħarrġa morda u disponibbli biss għal perjodi qosra, bie"&amp;"x jittrattaw theddid indiġenu, iżda ma kellhom l-ebda forzi permanenti.")</f>
        <v>Fil-bidu tal-gwerra, l-ebda truppi tal-Armata Regolari Franċiżi ma kienu stazzjonati fl-Amerika ta ’Fuq, u ftit truppi Ingliżi. Ġdid Franza ġie difiż minn madwar 3,000 truppa de la Marine, kumpaniji ta 'regolari kolonjali (li wħud minnhom kellhom esperjenza ta' ġlieda kontra l-imsaġar sinifikanti). Il-gvern kolonjali rrekluta l-appoġġ tal-milizja meta jkun meħtieġ. Il-biċċa l-kbira tal-kolonji Ingliżi ġabru kumpaniji tal-milizja lokali, ġeneralment imħarrġa morda u disponibbli biss għal perjodi qosra, biex jittrattaw theddid indiġenu, iżda ma kellhom l-ebda forzi permanenti.</v>
      </c>
    </row>
    <row r="2139" ht="15.75" customHeight="1">
      <c r="A2139" s="2" t="s">
        <v>2139</v>
      </c>
      <c r="B2139" s="2" t="str">
        <f>IFERROR(__xludf.DUMMYFUNCTION("GOOGLETRANSLATE(A2139, ""en"", ""mt"")"),"lura lejn New York")</f>
        <v>lura lejn New York</v>
      </c>
    </row>
    <row r="2140" ht="15.75" customHeight="1">
      <c r="A2140" s="2" t="s">
        <v>2140</v>
      </c>
      <c r="B2140" s="2" t="str">
        <f>IFERROR(__xludf.DUMMYFUNCTION("GOOGLETRANSLATE(A2140, ""en"", ""mt"")"),"New York Times")</f>
        <v>New York Times</v>
      </c>
    </row>
    <row r="2141" ht="15.75" customHeight="1">
      <c r="A2141" s="2" t="s">
        <v>2141</v>
      </c>
      <c r="B2141" s="2" t="str">
        <f>IFERROR(__xludf.DUMMYFUNCTION("GOOGLETRANSLATE(A2141, ""en"", ""mt"")"),"Kemm ikunu akbar popolazzjonijiet ta 'predaturi ta' cicada jekk tifqigħat ta 'cicada seħħew f'intervalli ta' 14 u 15-il sena?")</f>
        <v>Kemm ikunu akbar popolazzjonijiet ta 'predaturi ta' cicada jekk tifqigħat ta 'cicada seħħew f'intervalli ta' 14 u 15-il sena?</v>
      </c>
    </row>
    <row r="2142" ht="15.75" customHeight="1">
      <c r="A2142" s="2" t="s">
        <v>2142</v>
      </c>
      <c r="B2142" s="2" t="str">
        <f>IFERROR(__xludf.DUMMYFUNCTION("GOOGLETRANSLATE(A2142, ""en"", ""mt"")"),"Il-kolonjaliżmu bħala politika qatt ma huwa kkawżat minn finanzjarju u liema raġunijiet oħra?")</f>
        <v>Il-kolonjaliżmu bħala politika qatt ma huwa kkawżat minn finanzjarju u liema raġunijiet oħra?</v>
      </c>
    </row>
    <row r="2143" ht="15.75" customHeight="1">
      <c r="A2143" s="2" t="s">
        <v>2143</v>
      </c>
      <c r="B2143" s="2" t="str">
        <f>IFERROR(__xludf.DUMMYFUNCTION("GOOGLETRANSLATE(A2143, ""en"", ""mt"")"),"Kemm hemm fraternitajiet apparti mill-università?")</f>
        <v>Kemm hemm fraternitajiet apparti mill-università?</v>
      </c>
    </row>
    <row r="2144" ht="15.75" customHeight="1">
      <c r="A2144" s="2" t="s">
        <v>2144</v>
      </c>
      <c r="B2144" s="2" t="str">
        <f>IFERROR(__xludf.DUMMYFUNCTION("GOOGLETRANSLATE(A2144, ""en"", ""mt"")"),"X'każ tal-qorti desegregated skejjel fl-1970?")</f>
        <v>X'każ tal-qorti desegregated skejjel fl-1970?</v>
      </c>
    </row>
    <row r="2145" ht="15.75" customHeight="1">
      <c r="A2145" s="2" t="s">
        <v>2145</v>
      </c>
      <c r="B2145" s="2" t="str">
        <f>IFERROR(__xludf.DUMMYFUNCTION("GOOGLETRANSLATE(A2145, ""en"", ""mt"")")," Fil-Kummissjoni tal-2009 v l-Italja, il-każ, il-Qorti tal-Ġustizzja ddeċidiet li baxx Taljan li jipprojbixxi dak li kiser l-Artikolu 34?")</f>
        <v> Fil-Kummissjoni tal-2009 v l-Italja, il-każ, il-Qorti tal-Ġustizzja ddeċidiet li baxx Taljan li jipprojbixxi dak li kiser l-Artikolu 34?</v>
      </c>
    </row>
    <row r="2146" ht="15.75" customHeight="1">
      <c r="A2146" s="2" t="s">
        <v>2146</v>
      </c>
      <c r="B2146" s="2" t="str">
        <f>IFERROR(__xludf.DUMMYFUNCTION("GOOGLETRANSLATE(A2146, ""en"", ""mt"")"),"149,025")</f>
        <v>149,025</v>
      </c>
    </row>
    <row r="2147" ht="15.75" customHeight="1">
      <c r="A2147" s="2" t="s">
        <v>2147</v>
      </c>
      <c r="B2147" s="2" t="str">
        <f>IFERROR(__xludf.DUMMYFUNCTION("GOOGLETRANSLATE(A2147, ""en"", ""mt"")"),"Ilmijiet tal-baħar")</f>
        <v>Ilmijiet tal-baħar</v>
      </c>
    </row>
    <row r="2148" ht="15.75" customHeight="1">
      <c r="A2148" s="2" t="s">
        <v>2148</v>
      </c>
      <c r="B2148" s="2" t="str">
        <f>IFERROR(__xludf.DUMMYFUNCTION("GOOGLETRANSLATE(A2148, ""en"", ""mt"")"),"Indirizzi assenjati awtomatikament, aġġornaw l-ispazju ta 'l-ismijiet distribwiti, u kkonfiguraw kwalunkwe rotta ta' netwerk meħtieġ")</f>
        <v>Indirizzi assenjati awtomatikament, aġġornaw l-ispazju ta 'l-ismijiet distribwiti, u kkonfiguraw kwalunkwe rotta ta' netwerk meħtieġ</v>
      </c>
    </row>
    <row r="2149" ht="15.75" customHeight="1">
      <c r="A2149" s="2" t="s">
        <v>2149</v>
      </c>
      <c r="B2149" s="2" t="str">
        <f>IFERROR(__xludf.DUMMYFUNCTION("GOOGLETRANSLATE(A2149, ""en"", ""mt"")"),"Ċelloli tal-qattiel naturali ċitotossiċi u CTLs (limfoċiti T ċitotossiċi)")</f>
        <v>Ċelloli tal-qattiel naturali ċitotossiċi u CTLs (limfoċiti T ċitotossiċi)</v>
      </c>
    </row>
    <row r="2150" ht="15.75" customHeight="1">
      <c r="A2150" s="2" t="s">
        <v>2150</v>
      </c>
      <c r="B2150" s="2" t="str">
        <f>IFERROR(__xludf.DUMMYFUNCTION("GOOGLETRANSLATE(A2150, ""en"", ""mt"")"),"Meta ġie aċċettat ir-reġim fil-Pakistan mill-Ġeneral Zia-ul-Haq?")</f>
        <v>Meta ġie aċċettat ir-reġim fil-Pakistan mill-Ġeneral Zia-ul-Haq?</v>
      </c>
    </row>
    <row r="2151" ht="15.75" customHeight="1">
      <c r="A2151" s="2" t="s">
        <v>2151</v>
      </c>
      <c r="B2151" s="2" t="str">
        <f>IFERROR(__xludf.DUMMYFUNCTION("GOOGLETRANSLATE(A2151, ""en"", ""mt"")"),"Fejn tinsab is-Sala tal-Ħarifa?")</f>
        <v>Fejn tinsab is-Sala tal-Ħarifa?</v>
      </c>
    </row>
    <row r="2152" ht="15.75" customHeight="1">
      <c r="A2152" s="2" t="s">
        <v>2152</v>
      </c>
      <c r="B2152" s="2" t="str">
        <f>IFERROR(__xludf.DUMMYFUNCTION("GOOGLETRANSLATE(A2152, ""en"", ""mt"")"),"6 ta 'Jannar, 1913")</f>
        <v>6 ta 'Jannar, 1913</v>
      </c>
    </row>
    <row r="2153" ht="15.75" customHeight="1">
      <c r="A2153" s="2" t="s">
        <v>2153</v>
      </c>
      <c r="B2153" s="2" t="str">
        <f>IFERROR(__xludf.DUMMYFUNCTION("GOOGLETRANSLATE(A2153, ""en"", ""mt"")"),"Kemm nies qatlu l-Ħamas bejn l-2010 sal-2017?")</f>
        <v>Kemm nies qatlu l-Ħamas bejn l-2010 sal-2017?</v>
      </c>
    </row>
    <row r="2154" ht="15.75" customHeight="1">
      <c r="A2154" s="2" t="s">
        <v>2154</v>
      </c>
      <c r="B2154" s="2" t="str">
        <f>IFERROR(__xludf.DUMMYFUNCTION("GOOGLETRANSLATE(A2154, ""en"", ""mt"")"),"kartelli")</f>
        <v>kartelli</v>
      </c>
    </row>
    <row r="2155" ht="15.75" customHeight="1">
      <c r="A2155" s="2" t="s">
        <v>2155</v>
      </c>
      <c r="B2155" s="2" t="str">
        <f>IFERROR(__xludf.DUMMYFUNCTION("GOOGLETRANSLATE(A2155, ""en"", ""mt"")"),"Min ingħaqad mal-forzi Norman fil-qerda tal-Armeni?")</f>
        <v>Min ingħaqad mal-forzi Norman fil-qerda tal-Armeni?</v>
      </c>
    </row>
    <row r="2156" ht="15.75" customHeight="1">
      <c r="A2156" s="2" t="s">
        <v>2156</v>
      </c>
      <c r="B2156" s="2" t="str">
        <f>IFERROR(__xludf.DUMMYFUNCTION("GOOGLETRANSLATE(A2156, ""en"", ""mt"")"),"għamel grad ta 'A għall-erba' snin kollha")</f>
        <v>għamel grad ta 'A għall-erba' snin kollha</v>
      </c>
    </row>
    <row r="2157" ht="15.75" customHeight="1">
      <c r="A2157" s="2" t="s">
        <v>2157</v>
      </c>
      <c r="B2157" s="2" t="str">
        <f>IFERROR(__xludf.DUMMYFUNCTION("GOOGLETRANSLATE(A2157, ""en"", ""mt"")"),"L-Ewwel Gwerra Dinjija.")</f>
        <v>L-Ewwel Gwerra Dinjija.</v>
      </c>
    </row>
    <row r="2158" ht="15.75" customHeight="1">
      <c r="A2158" s="2" t="s">
        <v>2158</v>
      </c>
      <c r="B2158" s="2" t="str">
        <f>IFERROR(__xludf.DUMMYFUNCTION("GOOGLETRANSLATE(A2158, ""en"", ""mt"")"),"X'tip ta 'rivalità għandhom Oxford u Cambridge?")</f>
        <v>X'tip ta 'rivalità għandhom Oxford u Cambridge?</v>
      </c>
    </row>
    <row r="2159" ht="15.75" customHeight="1">
      <c r="A2159" s="2" t="s">
        <v>2159</v>
      </c>
      <c r="B2159" s="2" t="str">
        <f>IFERROR(__xludf.DUMMYFUNCTION("GOOGLETRANSLATE(A2159, ""en"", ""mt"")"),"X'se jkollha soċjetà b'aktar ugwaljanza?")</f>
        <v>X'se jkollha soċjetà b'aktar ugwaljanza?</v>
      </c>
    </row>
    <row r="2160" ht="15.75" customHeight="1">
      <c r="A2160" s="2" t="s">
        <v>2160</v>
      </c>
      <c r="B2160" s="2" t="str">
        <f>IFERROR(__xludf.DUMMYFUNCTION("GOOGLETRANSLATE(A2160, ""en"", ""mt"")"),"X'inhu ġeneralment ikkunsidrat bħala l-aktar iterazzjoni bażika ta 'magna tat-Turing?")</f>
        <v>X'inhu ġeneralment ikkunsidrat bħala l-aktar iterazzjoni bażika ta 'magna tat-Turing?</v>
      </c>
    </row>
    <row r="2161" ht="15.75" customHeight="1">
      <c r="A2161" s="2" t="s">
        <v>2161</v>
      </c>
      <c r="B2161" s="2" t="str">
        <f>IFERROR(__xludf.DUMMYFUNCTION("GOOGLETRANSLATE(A2161, ""en"", ""mt"")"),"Liema klassi ta 'kumplessità jeżistu problemi inkompatibbli ta' problemi ta 'NP?")</f>
        <v>Liema klassi ta 'kumplessità jeżistu problemi inkompatibbli ta' problemi ta 'NP?</v>
      </c>
    </row>
    <row r="2162" ht="15.75" customHeight="1">
      <c r="A2162" s="2" t="s">
        <v>2162</v>
      </c>
      <c r="B2162" s="2" t="str">
        <f>IFERROR(__xludf.DUMMYFUNCTION("GOOGLETRANSLATE(A2162, ""en"", ""mt"")"),"Kemm sakemm il-gvern Kanadiż kien involut b'mod attiv fl-isforzi biex jiġu miġġielda l-Iżlamiżmu?")</f>
        <v>Kemm sakemm il-gvern Kanadiż kien involut b'mod attiv fl-isforzi biex jiġu miġġielda l-Iżlamiżmu?</v>
      </c>
    </row>
    <row r="2163" ht="15.75" customHeight="1">
      <c r="A2163" s="2" t="s">
        <v>2163</v>
      </c>
      <c r="B2163" s="2" t="str">
        <f>IFERROR(__xludf.DUMMYFUNCTION("GOOGLETRANSLATE(A2163, ""en"", ""mt"")"),"Il-kuntatti estensivi tal-Asja u Ewropej tal-Mongoli tal-Mongoli")</f>
        <v>Il-kuntatti estensivi tal-Asja u Ewropej tal-Mongoli tal-Mongoli</v>
      </c>
    </row>
    <row r="2164" ht="15.75" customHeight="1">
      <c r="A2164" s="2" t="s">
        <v>2164</v>
      </c>
      <c r="B2164" s="2" t="str">
        <f>IFERROR(__xludf.DUMMYFUNCTION("GOOGLETRANSLATE(A2164, ""en"", ""mt"")"),"Liema strument jintuża biex teżamina l-prestazzjoni tad-dijagramma?")</f>
        <v>Liema strument jintuża biex teżamina l-prestazzjoni tad-dijagramma?</v>
      </c>
    </row>
    <row r="2165" ht="15.75" customHeight="1">
      <c r="A2165" s="2" t="s">
        <v>2165</v>
      </c>
      <c r="B2165" s="2" t="str">
        <f>IFERROR(__xludf.DUMMYFUNCTION("GOOGLETRANSLATE(A2165, ""en"", ""mt"")"),"weraq tar-rmied")</f>
        <v>weraq tar-rmied</v>
      </c>
    </row>
    <row r="2166" ht="15.75" customHeight="1">
      <c r="A2166" s="2" t="s">
        <v>2166</v>
      </c>
      <c r="B2166" s="2" t="str">
        <f>IFERROR(__xludf.DUMMYFUNCTION("GOOGLETRANSLATE(A2166, ""en"", ""mt"")"),"Min iżur Palm Springs għall-bajjiet?")</f>
        <v>Min iżur Palm Springs għall-bajjiet?</v>
      </c>
    </row>
    <row r="2167" ht="15.75" customHeight="1">
      <c r="A2167" s="2" t="s">
        <v>2167</v>
      </c>
      <c r="B2167" s="2" t="str">
        <f>IFERROR(__xludf.DUMMYFUNCTION("GOOGLETRANSLATE(A2167, ""en"", ""mt"")"),"X'inhu l-mod li jintuża biex tbassar l-immunogeniċità tal-peptidi u l-proteini?")</f>
        <v>X'inhu l-mod li jintuża biex tbassar l-immunogeniċità tal-peptidi u l-proteini?</v>
      </c>
    </row>
    <row r="2168" ht="15.75" customHeight="1">
      <c r="A2168" s="2" t="s">
        <v>2168</v>
      </c>
      <c r="B2168" s="2" t="str">
        <f>IFERROR(__xludf.DUMMYFUNCTION("GOOGLETRANSLATE(A2168, ""en"", ""mt"")"),"Il-ħtija timplika tagħmel ħażin")</f>
        <v>Il-ħtija timplika tagħmel ħażin</v>
      </c>
    </row>
    <row r="2169" ht="15.75" customHeight="1">
      <c r="A2169" s="2" t="s">
        <v>2169</v>
      </c>
      <c r="B2169" s="2" t="str">
        <f>IFERROR(__xludf.DUMMYFUNCTION("GOOGLETRANSLATE(A2169, ""en"", ""mt"")"),"Is-Seminarju Teoloġiku ta ’Chicago")</f>
        <v>Is-Seminarju Teoloġiku ta ’Chicago</v>
      </c>
    </row>
    <row r="2170" ht="15.75" customHeight="1">
      <c r="A2170" s="2" t="s">
        <v>2170</v>
      </c>
      <c r="B2170" s="2" t="str">
        <f>IFERROR(__xludf.DUMMYFUNCTION("GOOGLETRANSLATE(A2170, ""en"", ""mt"")"),"Meta Greenland iffirmat trattat li jagħtihom status speċjali?")</f>
        <v>Meta Greenland iffirmat trattat li jagħtihom status speċjali?</v>
      </c>
    </row>
    <row r="2171" ht="15.75" customHeight="1">
      <c r="A2171" s="2" t="s">
        <v>2171</v>
      </c>
      <c r="B2171" s="2" t="str">
        <f>IFERROR(__xludf.DUMMYFUNCTION("GOOGLETRANSLATE(A2171, ""en"", ""mt"")"),"Neħħi s-sorveljanza tal-gvern mill-proċessi tagħha")</f>
        <v>Neħħi s-sorveljanza tal-gvern mill-proċessi tagħha</v>
      </c>
    </row>
    <row r="2172" ht="15.75" customHeight="1">
      <c r="A2172" s="2" t="s">
        <v>2172</v>
      </c>
      <c r="B2172" s="2" t="str">
        <f>IFERROR(__xludf.DUMMYFUNCTION("GOOGLETRANSLATE(A2172, ""en"", ""mt"")"),"Fejn f 'South Carolina n-nobilità Huguenot stabbilixxiet?")</f>
        <v>Fejn f 'South Carolina n-nobilità Huguenot stabbilixxiet?</v>
      </c>
    </row>
    <row r="2173" ht="15.75" customHeight="1">
      <c r="A2173" s="2" t="s">
        <v>2173</v>
      </c>
      <c r="B2173" s="2" t="str">
        <f>IFERROR(__xludf.DUMMYFUNCTION("GOOGLETRANSLATE(A2173, ""en"", ""mt"")"),"B'akkwist komuni ta 'kostruzzjoni, kif jaġixxi l-kuntrattur ewlieni?")</f>
        <v>B'akkwist komuni ta 'kostruzzjoni, kif jaġixxi l-kuntrattur ewlieni?</v>
      </c>
    </row>
    <row r="2174" ht="15.75" customHeight="1">
      <c r="A2174" s="2" t="s">
        <v>2174</v>
      </c>
      <c r="B2174" s="2" t="str">
        <f>IFERROR(__xludf.DUMMYFUNCTION("GOOGLETRANSLATE(A2174, ""en"", ""mt"")"),"F'liema sena miet il-President ta 'Harvard Joseph Willard?")</f>
        <v>F'liema sena miet il-President ta 'Harvard Joseph Willard?</v>
      </c>
    </row>
    <row r="2175" ht="15.75" customHeight="1">
      <c r="A2175" s="2" t="s">
        <v>2175</v>
      </c>
      <c r="B2175" s="2" t="str">
        <f>IFERROR(__xludf.DUMMYFUNCTION("GOOGLETRANSLATE(A2175, ""en"", ""mt"")"),"X'inhu l-uniku divisor minbarra 1 li prodott jista 'jkollu?")</f>
        <v>X'inhu l-uniku divisor minbarra 1 li prodott jista 'jkollu?</v>
      </c>
    </row>
    <row r="2176" ht="15.75" customHeight="1">
      <c r="A2176" s="2" t="s">
        <v>2176</v>
      </c>
      <c r="B2176" s="2" t="str">
        <f>IFERROR(__xludf.DUMMYFUNCTION("GOOGLETRANSLATE(A2176, ""en"", ""mt"")"),"Is-Segretarjat Ċentrali")</f>
        <v>Is-Segretarjat Ċentrali</v>
      </c>
    </row>
    <row r="2177" ht="15.75" customHeight="1">
      <c r="A2177" s="2" t="s">
        <v>2177</v>
      </c>
      <c r="B2177" s="2" t="str">
        <f>IFERROR(__xludf.DUMMYFUNCTION("GOOGLETRANSLATE(A2177, ""en"", ""mt"")"),"L-Att tal-Iskozja 1998, li ġie mgħoddi mill-Parlament tar-Renju Unit u mogħti l-kunsens irjali mir-Reġina Eliżabetta II fid-19 ta ’Novembru 1998, jirregola l-funzjonijiet u r-rwol tal-Parlament Skoċċiż u jiddelimita l-kompetenza leġiżlattiva tiegħu. L-Att"&amp;" tal-Iskozja 2012 jestendi l-kompetenzi devoluti. Għall-finijiet tas-sovranità parlamentari, il-Parlament tar-Renju Unit f'Westminster ikompli jikkostitwixxi l-Leġislatura Suprema tal-Iskozja. Madankollu, skont it-termini tal-Att dwar l-Iskozja, Westminst"&amp;"er aċċetta li jiddevolvi wħud mir-responsabbiltajiet tiegħu fuq il-politika domestika Skoċċiża lill-Parlament Skoċċiż. Tali ""kwistjonijiet devoluti"" jinkludu edukazzjoni, saħħa, agrikoltura u ġustizzja. L-Att dwar l-Iskozja ppermetta lill-Parlament Skoċ"&amp;"ċiż jgħaddi leġislazzjoni primarja dwar dawn il-kwistjonijiet. Grad ta 'awtorità domestika, u l-politika barranija kollha, jibqgħu mal-Parlament tar-Renju Unit f'Westminster. Il-Parlament Skoċċiż għandu s-setgħa li jgħaddi liġijiet u għandu kapaċità limit"&amp;"ata li tvarja mit-taxxa. Ieħor mir-rwoli tal-Parlament huwa li jżomm il-gvern Skoċċiż.")</f>
        <v>L-Att tal-Iskozja 1998, li ġie mgħoddi mill-Parlament tar-Renju Unit u mogħti l-kunsens irjali mir-Reġina Eliżabetta II fid-19 ta ’Novembru 1998, jirregola l-funzjonijiet u r-rwol tal-Parlament Skoċċiż u jiddelimita l-kompetenza leġiżlattiva tiegħu. L-Att tal-Iskozja 2012 jestendi l-kompetenzi devoluti. Għall-finijiet tas-sovranità parlamentari, il-Parlament tar-Renju Unit f'Westminster ikompli jikkostitwixxi l-Leġislatura Suprema tal-Iskozja. Madankollu, skont it-termini tal-Att dwar l-Iskozja, Westminster aċċetta li jiddevolvi wħud mir-responsabbiltajiet tiegħu fuq il-politika domestika Skoċċiża lill-Parlament Skoċċiż. Tali "kwistjonijiet devoluti" jinkludu edukazzjoni, saħħa, agrikoltura u ġustizzja. L-Att dwar l-Iskozja ppermetta lill-Parlament Skoċċiż jgħaddi leġislazzjoni primarja dwar dawn il-kwistjonijiet. Grad ta 'awtorità domestika, u l-politika barranija kollha, jibqgħu mal-Parlament tar-Renju Unit f'Westminster. Il-Parlament Skoċċiż għandu s-setgħa li jgħaddi liġijiet u għandu kapaċità limitata li tvarja mit-taxxa. Ieħor mir-rwoli tal-Parlament huwa li jżomm il-gvern Skoċċiż.</v>
      </c>
    </row>
    <row r="2178" ht="15.75" customHeight="1">
      <c r="A2178" s="2" t="s">
        <v>2178</v>
      </c>
      <c r="B2178" s="2" t="str">
        <f>IFERROR(__xludf.DUMMYFUNCTION("GOOGLETRANSLATE(A2178, ""en"", ""mt"")"),"kodifikazzjoni")</f>
        <v>kodifikazzjoni</v>
      </c>
    </row>
    <row r="2179" ht="15.75" customHeight="1">
      <c r="A2179" s="2" t="s">
        <v>2179</v>
      </c>
      <c r="B2179" s="2" t="str">
        <f>IFERROR(__xludf.DUMMYFUNCTION("GOOGLETRANSLATE(A2179, ""en"", ""mt"")"),"espansjonijiet")</f>
        <v>espansjonijiet</v>
      </c>
    </row>
    <row r="2180" ht="15.75" customHeight="1">
      <c r="A2180" s="2" t="s">
        <v>2180</v>
      </c>
      <c r="B2180" s="2" t="str">
        <f>IFERROR(__xludf.DUMMYFUNCTION("GOOGLETRANSLATE(A2180, ""en"", ""mt"")"),"X'kienet l-akbar reliġjon fl-Iżvezja?")</f>
        <v>X'kienet l-akbar reliġjon fl-Iżvezja?</v>
      </c>
    </row>
    <row r="2181" ht="15.75" customHeight="1">
      <c r="A2181" s="2" t="s">
        <v>2181</v>
      </c>
      <c r="B2181" s="2" t="str">
        <f>IFERROR(__xludf.DUMMYFUNCTION("GOOGLETRANSLATE(A2181, ""en"", ""mt"")"),"1413")</f>
        <v>1413</v>
      </c>
    </row>
    <row r="2182" ht="15.75" customHeight="1">
      <c r="A2182" s="2" t="s">
        <v>2182</v>
      </c>
      <c r="B2182" s="2" t="str">
        <f>IFERROR(__xludf.DUMMYFUNCTION("GOOGLETRANSLATE(A2182, ""en"", ""mt"")"),"Jekk żewġ terzi tar-Rhine jgħaddu mill-maas, fejn tgħaddi t-terz l-ieħor?")</f>
        <v>Jekk żewġ terzi tar-Rhine jgħaddu mill-maas, fejn tgħaddi t-terz l-ieħor?</v>
      </c>
    </row>
    <row r="2183" ht="15.75" customHeight="1">
      <c r="A2183" s="2" t="s">
        <v>2183</v>
      </c>
      <c r="B2183" s="2" t="str">
        <f>IFERROR(__xludf.DUMMYFUNCTION("GOOGLETRANSLATE(A2183, ""en"", ""mt"")"),"X'jista 'jispjega għaliex xi Amerikani li saru sinjuri setgħu kellhom bidu?")</f>
        <v>X'jista 'jispjega għaliex xi Amerikani li saru sinjuri setgħu kellhom bidu?</v>
      </c>
    </row>
    <row r="2184" ht="15.75" customHeight="1">
      <c r="A2184" s="2" t="s">
        <v>2184</v>
      </c>
      <c r="B2184" s="2" t="str">
        <f>IFERROR(__xludf.DUMMYFUNCTION("GOOGLETRANSLATE(A2184, ""en"", ""mt"")"),"Oriġinarjament mibnija b'erba 'saffi, kemm saffi devolvi d-DEC?")</f>
        <v>Oriġinarjament mibnija b'erba 'saffi, kemm saffi devolvi d-DEC?</v>
      </c>
    </row>
    <row r="2185" ht="15.75" customHeight="1">
      <c r="A2185" s="2" t="s">
        <v>2185</v>
      </c>
      <c r="B2185" s="2" t="str">
        <f>IFERROR(__xludf.DUMMYFUNCTION("GOOGLETRANSLATE(A2185, ""en"", ""mt"")"),"qerda tal-foresta")</f>
        <v>qerda tal-foresta</v>
      </c>
    </row>
    <row r="2186" ht="15.75" customHeight="1">
      <c r="A2186" s="2" t="s">
        <v>2186</v>
      </c>
      <c r="B2186" s="2" t="str">
        <f>IFERROR(__xludf.DUMMYFUNCTION("GOOGLETRANSLATE(A2186, ""en"", ""mt"")"),"2,290 m3 / s (81,000 cu ft / s")</f>
        <v>2,290 m3 / s (81,000 cu ft / s</v>
      </c>
    </row>
    <row r="2187" ht="15.75" customHeight="1">
      <c r="A2187" s="2" t="s">
        <v>2187</v>
      </c>
      <c r="B2187" s="2" t="str">
        <f>IFERROR(__xludf.DUMMYFUNCTION("GOOGLETRANSLATE(A2187, ""en"", ""mt"")"),"220 mil (350 km)")</f>
        <v>220 mil (350 km)</v>
      </c>
    </row>
    <row r="2188" ht="15.75" customHeight="1">
      <c r="A2188" s="2" t="s">
        <v>2188</v>
      </c>
      <c r="B2188" s="2" t="str">
        <f>IFERROR(__xludf.DUMMYFUNCTION("GOOGLETRANSLATE(A2188, ""en"", ""mt"")"),"riċettur tal-vitamina D")</f>
        <v>riċettur tal-vitamina D</v>
      </c>
    </row>
    <row r="2189" ht="15.75" customHeight="1">
      <c r="A2189" s="2" t="s">
        <v>2189</v>
      </c>
      <c r="B2189" s="2" t="str">
        <f>IFERROR(__xludf.DUMMYFUNCTION("GOOGLETRANSLATE(A2189, ""en"", ""mt"")"),"7000 sena")</f>
        <v>7000 sena</v>
      </c>
    </row>
    <row r="2190" ht="15.75" customHeight="1">
      <c r="A2190" s="2" t="s">
        <v>2190</v>
      </c>
      <c r="B2190" s="2" t="str">
        <f>IFERROR(__xludf.DUMMYFUNCTION("GOOGLETRANSLATE(A2190, ""en"", ""mt"")"),"Uffiċċju taċ-Ċensiment tal-Istati Uniti")</f>
        <v>Uffiċċju taċ-Ċensiment tal-Istati Uniti</v>
      </c>
    </row>
    <row r="2191" ht="15.75" customHeight="1">
      <c r="A2191" s="2" t="s">
        <v>2191</v>
      </c>
      <c r="B2191" s="2" t="str">
        <f>IFERROR(__xludf.DUMMYFUNCTION("GOOGLETRANSLATE(A2191, ""en"", ""mt"")"),"Kemm mili se timxi persuna meta taqsam il-pont John W. Weeks?")</f>
        <v>Kemm mili se timxi persuna meta taqsam il-pont John W. Weeks?</v>
      </c>
    </row>
    <row r="2192" ht="15.75" customHeight="1">
      <c r="A2192" s="2" t="s">
        <v>2192</v>
      </c>
      <c r="B2192" s="2" t="str">
        <f>IFERROR(__xludf.DUMMYFUNCTION("GOOGLETRANSLATE(A2192, ""en"", ""mt"")"),"Rati aktar baxxi ta 'problemi tas-saħħa u soċjali huma biss tnejn minn eżempji ta' effetti minn xiex?")</f>
        <v>Rati aktar baxxi ta 'problemi tas-saħħa u soċjali huma biss tnejn minn eżempji ta' effetti minn xiex?</v>
      </c>
    </row>
    <row r="2193" ht="15.75" customHeight="1">
      <c r="A2193" s="2" t="s">
        <v>2193</v>
      </c>
      <c r="B2193" s="2" t="str">
        <f>IFERROR(__xludf.DUMMYFUNCTION("GOOGLETRANSLATE(A2193, ""en"", ""mt"")"),"Liema belt, raided minn gruppi u duki, ippreċediet il-fondazzjoni ta 'Boleslaw?")</f>
        <v>Liema belt, raided minn gruppi u duki, ippreċediet il-fondazzjoni ta 'Boleslaw?</v>
      </c>
    </row>
    <row r="2194" ht="15.75" customHeight="1">
      <c r="A2194" s="2" t="s">
        <v>2194</v>
      </c>
      <c r="B2194" s="2" t="str">
        <f>IFERROR(__xludf.DUMMYFUNCTION("GOOGLETRANSLATE(A2194, ""en"", ""mt"")"),"Liema antikorp huwa trasmess mill-missier lit-tarbija?")</f>
        <v>Liema antikorp huwa trasmess mill-missier lit-tarbija?</v>
      </c>
    </row>
    <row r="2195" ht="15.75" customHeight="1">
      <c r="A2195" s="2" t="s">
        <v>2195</v>
      </c>
      <c r="B2195" s="2" t="str">
        <f>IFERROR(__xludf.DUMMYFUNCTION("GOOGLETRANSLATE(A2195, ""en"", ""mt"")"),"Chinatown")</f>
        <v>Chinatown</v>
      </c>
    </row>
    <row r="2196" ht="15.75" customHeight="1">
      <c r="A2196" s="2" t="s">
        <v>2196</v>
      </c>
      <c r="B2196" s="2" t="str">
        <f>IFERROR(__xludf.DUMMYFUNCTION("GOOGLETRANSLATE(A2196, ""en"", ""mt"")"),"mhux magħruf")</f>
        <v>mhux magħruf</v>
      </c>
    </row>
    <row r="2197" ht="15.75" customHeight="1">
      <c r="A2197" s="2" t="s">
        <v>2197</v>
      </c>
      <c r="B2197" s="2" t="str">
        <f>IFERROR(__xludf.DUMMYFUNCTION("GOOGLETRANSLATE(A2197, ""en"", ""mt"")"),"Kemm oġġetti l-Librerija tal-Università hija d-dar?")</f>
        <v>Kemm oġġetti l-Librerija tal-Università hija d-dar?</v>
      </c>
    </row>
    <row r="2198" ht="15.75" customHeight="1">
      <c r="A2198" s="2" t="s">
        <v>2198</v>
      </c>
      <c r="B2198" s="2" t="str">
        <f>IFERROR(__xludf.DUMMYFUNCTION("GOOGLETRANSLATE(A2198, ""en"", ""mt"")"),"X'inhuma żewġ klassijiet ta 'kumplessità bejn L u P?")</f>
        <v>X'inhuma żewġ klassijiet ta 'kumplessità bejn L u P?</v>
      </c>
    </row>
    <row r="2199" ht="15.75" customHeight="1">
      <c r="A2199" s="2" t="s">
        <v>2199</v>
      </c>
      <c r="B2199" s="2" t="str">
        <f>IFERROR(__xludf.DUMMYFUNCTION("GOOGLETRANSLATE(A2199, ""en"", ""mt"")"),"Min jiddeċiedi li jagħmel donazzjoni kbira ħafna lill-Iskola tan-Negozju tal-Kabina tal-Università?")</f>
        <v>Min jiddeċiedi li jagħmel donazzjoni kbira ħafna lill-Iskola tan-Negozju tal-Kabina tal-Università?</v>
      </c>
    </row>
    <row r="2200" ht="15.75" customHeight="1">
      <c r="A2200" s="2" t="s">
        <v>2200</v>
      </c>
      <c r="B2200" s="2" t="str">
        <f>IFERROR(__xludf.DUMMYFUNCTION("GOOGLETRANSLATE(A2200, ""en"", ""mt"")"),"Kemm-il ġurnata ddum ir-rewwixta ta 'Varsavja?")</f>
        <v>Kemm-il ġurnata ddum ir-rewwixta ta 'Varsavja?</v>
      </c>
    </row>
    <row r="2201" ht="15.75" customHeight="1">
      <c r="A2201" s="2" t="s">
        <v>2201</v>
      </c>
      <c r="B2201" s="2" t="str">
        <f>IFERROR(__xludf.DUMMYFUNCTION("GOOGLETRANSLATE(A2201, ""en"", ""mt"")"),"Liema wasla tal-kultura fl-Iskozja hija taf bħala r- ""rivoluzzjoni Davidian""?")</f>
        <v>Liema wasla tal-kultura fl-Iskozja hija taf bħala r- "rivoluzzjoni Davidian"?</v>
      </c>
    </row>
    <row r="2202" ht="15.75" customHeight="1">
      <c r="A2202" s="2" t="s">
        <v>2202</v>
      </c>
      <c r="B2202" s="2" t="str">
        <f>IFERROR(__xludf.DUMMYFUNCTION("GOOGLETRANSLATE(A2202, ""en"", ""mt"")"),"Arpanet kellu rwol sinifikanti f'liema?")</f>
        <v>Arpanet kellu rwol sinifikanti f'liema?</v>
      </c>
    </row>
    <row r="2203" ht="15.75" customHeight="1">
      <c r="A2203" s="2" t="s">
        <v>2203</v>
      </c>
      <c r="B2203" s="2" t="str">
        <f>IFERROR(__xludf.DUMMYFUNCTION("GOOGLETRANSLATE(A2203, ""en"", ""mt"")"),"X'tip ta 'vot għandu jkollu l-Parlament biex jimblokka jew jissuġġerixxi bidliet fil-proposti tal-Kummissjoni?")</f>
        <v>X'tip ta 'vot għandu jkollu l-Parlament biex jimblokka jew jissuġġerixxi bidliet fil-proposti tal-Kummissjoni?</v>
      </c>
    </row>
    <row r="2204" ht="15.75" customHeight="1">
      <c r="A2204" s="2" t="s">
        <v>2204</v>
      </c>
      <c r="B2204" s="2" t="str">
        <f>IFERROR(__xludf.DUMMYFUNCTION("GOOGLETRANSLATE(A2204, ""en"", ""mt"")"),"Il-kolonna ta 'King Sigimund hija eżempju ta' x'tip ta 'attrazzjoni fl-UNESCO?")</f>
        <v>Il-kolonna ta 'King Sigimund hija eżempju ta' x'tip ta 'attrazzjoni fl-UNESCO?</v>
      </c>
    </row>
    <row r="2205" ht="15.75" customHeight="1">
      <c r="A2205" s="2" t="s">
        <v>2205</v>
      </c>
      <c r="B2205" s="2" t="str">
        <f>IFERROR(__xludf.DUMMYFUNCTION("GOOGLETRANSLATE(A2205, ""en"", ""mt"")"),"Kemm nies ma kinux fil-kolonji Ingliżi tal-Amerika ta 'Fuq?")</f>
        <v>Kemm nies ma kinux fil-kolonji Ingliżi tal-Amerika ta 'Fuq?</v>
      </c>
    </row>
    <row r="2206" ht="15.75" customHeight="1">
      <c r="A2206" s="2" t="s">
        <v>2206</v>
      </c>
      <c r="B2206" s="2" t="str">
        <f>IFERROR(__xludf.DUMMYFUNCTION("GOOGLETRANSLATE(A2206, ""en"", ""mt"")"),"Liema metodu juża l-gvern biex jinstema 'l-ħruġ tagħhom?")</f>
        <v>Liema metodu juża l-gvern biex jinstema 'l-ħruġ tagħhom?</v>
      </c>
    </row>
    <row r="2207" ht="15.75" customHeight="1">
      <c r="A2207" s="2" t="s">
        <v>2207</v>
      </c>
      <c r="B2207" s="2" t="str">
        <f>IFERROR(__xludf.DUMMYFUNCTION("GOOGLETRANSLATE(A2207, ""en"", ""mt"")"),"tagħti lil ħuha Polynices difna xierqa")</f>
        <v>tagħti lil ħuha Polynices difna xierqa</v>
      </c>
    </row>
    <row r="2208" ht="15.75" customHeight="1">
      <c r="A2208" s="2" t="s">
        <v>2208</v>
      </c>
      <c r="B2208" s="2" t="str">
        <f>IFERROR(__xludf.DUMMYFUNCTION("GOOGLETRANSLATE(A2208, ""en"", ""mt"")"),"Il-Ġnien Sassonu")</f>
        <v>Il-Ġnien Sassonu</v>
      </c>
    </row>
    <row r="2209" ht="15.75" customHeight="1">
      <c r="A2209" s="2" t="s">
        <v>2209</v>
      </c>
      <c r="B2209" s="2" t="str">
        <f>IFERROR(__xludf.DUMMYFUNCTION("GOOGLETRANSLATE(A2209, ""en"", ""mt"")"),"X'kienu l-Palazz Sassonu u l-Palazz Brühl fi Prewar Varsavja?")</f>
        <v>X'kienu l-Palazz Sassonu u l-Palazz Brühl fi Prewar Varsavja?</v>
      </c>
    </row>
    <row r="2210" ht="15.75" customHeight="1">
      <c r="A2210" s="2" t="s">
        <v>2210</v>
      </c>
      <c r="B2210" s="2" t="str">
        <f>IFERROR(__xludf.DUMMYFUNCTION("GOOGLETRANSLATE(A2210, ""en"", ""mt"")"),"il-11")</f>
        <v>il-11</v>
      </c>
    </row>
    <row r="2211" ht="15.75" customHeight="1">
      <c r="A2211" s="2" t="s">
        <v>2211</v>
      </c>
      <c r="B2211" s="2" t="str">
        <f>IFERROR(__xludf.DUMMYFUNCTION("GOOGLETRANSLATE(A2211, ""en"", ""mt"")"),"Baran x'sejjaħ is-sistema tiegħu?")</f>
        <v>Baran x'sejjaħ is-sistema tiegħu?</v>
      </c>
    </row>
    <row r="2212" ht="15.75" customHeight="1">
      <c r="A2212" s="2" t="s">
        <v>2212</v>
      </c>
      <c r="B2212" s="2" t="str">
        <f>IFERROR(__xludf.DUMMYFUNCTION("GOOGLETRANSLATE(A2212, ""en"", ""mt"")"),"Xi tfisser Obersee?")</f>
        <v>Xi tfisser Obersee?</v>
      </c>
    </row>
    <row r="2213" ht="15.75" customHeight="1">
      <c r="A2213" s="2" t="s">
        <v>2213</v>
      </c>
      <c r="B2213" s="2" t="str">
        <f>IFERROR(__xludf.DUMMYFUNCTION("GOOGLETRANSLATE(A2213, ""en"", ""mt"")"),"Ħalli l-awtrija ta 'l-Istati Uniti ta' 'New World' li kellha tkun ikkaratterizzata minn ordni ġeografika")</f>
        <v>Ħalli l-awtrija ta 'l-Istati Uniti ta' 'New World' li kellha tkun ikkaratterizzata minn ordni ġeografika</v>
      </c>
    </row>
    <row r="2214" ht="15.75" customHeight="1">
      <c r="A2214" s="2" t="s">
        <v>2214</v>
      </c>
      <c r="B2214" s="2" t="str">
        <f>IFERROR(__xludf.DUMMYFUNCTION("GOOGLETRANSLATE(A2214, ""en"", ""mt"")"),"Liema professjoni għandha Zbigniew Badowski?")</f>
        <v>Liema professjoni għandha Zbigniew Badowski?</v>
      </c>
    </row>
    <row r="2215" ht="15.75" customHeight="1">
      <c r="A2215" s="2" t="s">
        <v>2215</v>
      </c>
      <c r="B2215" s="2" t="str">
        <f>IFERROR(__xludf.DUMMYFUNCTION("GOOGLETRANSLATE(A2215, ""en"", ""mt"")"),"Matul liema snin ma ttieħed l-ebda ċensiment?")</f>
        <v>Matul liema snin ma ttieħed l-ebda ċensiment?</v>
      </c>
    </row>
    <row r="2216" ht="15.75" customHeight="1">
      <c r="A2216" s="2" t="s">
        <v>2216</v>
      </c>
      <c r="B2216" s="2" t="str">
        <f>IFERROR(__xludf.DUMMYFUNCTION("GOOGLETRANSLATE(A2216, ""en"", ""mt"")"),"F'liema stil inbena l-edifiċju tal-Filarmonija ta 'Varsavja?")</f>
        <v>F'liema stil inbena l-edifiċju tal-Filarmonija ta 'Varsavja?</v>
      </c>
    </row>
    <row r="2217" ht="15.75" customHeight="1">
      <c r="A2217" s="2" t="s">
        <v>2217</v>
      </c>
      <c r="B2217" s="2" t="str">
        <f>IFERROR(__xludf.DUMMYFUNCTION("GOOGLETRANSLATE(A2217, ""en"", ""mt"")"),"It-tieni l-iktar popolat")</f>
        <v>It-tieni l-iktar popolat</v>
      </c>
    </row>
    <row r="2218" ht="15.75" customHeight="1">
      <c r="A2218" s="2" t="s">
        <v>2218</v>
      </c>
      <c r="B2218" s="2" t="str">
        <f>IFERROR(__xludf.DUMMYFUNCTION("GOOGLETRANSLATE(A2218, ""en"", ""mt"")"),"X'inhi t-traduzzjoni ta 'Siebengebirge?")</f>
        <v>X'inhi t-traduzzjoni ta 'Siebengebirge?</v>
      </c>
    </row>
    <row r="2219" ht="15.75" customHeight="1">
      <c r="A2219" s="2" t="s">
        <v>2219</v>
      </c>
      <c r="B2219" s="2" t="str">
        <f>IFERROR(__xludf.DUMMYFUNCTION("GOOGLETRANSLATE(A2219, ""en"", ""mt"")"),"Ipotesi ta 'Hugues")</f>
        <v>Ipotesi ta 'Hugues</v>
      </c>
    </row>
    <row r="2220" ht="15.75" customHeight="1">
      <c r="A2220" s="2" t="s">
        <v>2220</v>
      </c>
      <c r="B2220" s="2" t="str">
        <f>IFERROR(__xludf.DUMMYFUNCTION("GOOGLETRANSLATE(A2220, ""en"", ""mt"")"),"Kemm kolonizzaturi oriġinali stabbilixxew f'Manakintown?")</f>
        <v>Kemm kolonizzaturi oriġinali stabbilixxew f'Manakintown?</v>
      </c>
    </row>
    <row r="2221" ht="15.75" customHeight="1">
      <c r="A2221" s="2" t="s">
        <v>2221</v>
      </c>
      <c r="B2221" s="2" t="str">
        <f>IFERROR(__xludf.DUMMYFUNCTION("GOOGLETRANSLATE(A2221, ""en"", ""mt"")"),"L-ispjegazzjoni dominanti għall-mewt sewda hija t-teorija tal-pesta, li tattribwixxi t-tifqigħa lil Yersinia pestis, responsabbli wkoll għal epidemija li bdiet fin-Nofsinhar taċ-Ċina fl-1865, li eventwalment tinfirex lejn l-Indja. L-investigazzjoni tal-pa"&amp;"toġen li kkawżat il-pesta tas-seklu 19 kienet bdiet minn timijiet ta 'xjenzati li żaru Ħong Kong fl-1894, li fosthom kien il-batterjologu Franċiż-Żvizzeru Alexandre Yersin, li wara li l-patoġen kien imsemmi Yersinia Pestis. Il-mekkaniżmu li bih Y. pestis "&amp;"kien ġeneralment trasmess ġie stabbilit fl-1898 minn Paul-Louis Simond u nstab li jinvolvi l-gdim tal-briegħed li l-midguts tagħhom kienu ostakolati billi rreplikaw lil Y. pestis diversi jiem wara t-tmigħ fuq ospitanti infettati. Dan l-imblukkar jirriżult"&amp;"a fil-ġuħ u l-imġieba aggressiva tal-għalf mill-briegħed, li ripetutament jippruvaw jikklerjaw l-imblukkar tagħhom permezz ta 'regurgitation, li jirriżulta f'eluf ta' batterji tal-pesta li qed jiġu mlaħalħa fis-sit tat-tmigħ, li jinfettaw lill-ospitanti. "&amp;"Il-mekkaniżmu tal-pesta bubonika kien jiddependi wkoll fuq żewġ popolazzjonijiet ta 'annimali gerriema: waħda reżistenti għall-marda, li jaġixxu bħala ospiti, iżommu l-marda endemika, u t-tieni li m'għandhomx reżistenza. Meta t-tieni popolazzjoni tmut, il"&amp;"-briegħed jimxu fuq ospiti oħra, inklużi nies, u b'hekk joħolqu epidemija umana.")</f>
        <v>L-ispjegazzjoni dominanti għall-mewt sewda hija t-teorija tal-pesta, li tattribwixxi t-tifqigħa lil Yersinia pestis, responsabbli wkoll għal epidemija li bdiet fin-Nofsinhar taċ-Ċina fl-1865, li eventwalment tinfirex lejn l-Indja. L-investigazzjoni tal-patoġen li kkawżat il-pesta tas-seklu 19 kienet bdiet minn timijiet ta 'xjenzati li żaru Ħong Kong fl-1894, li fosthom kien il-batterjologu Franċiż-Żvizzeru Alexandre Yersin, li wara li l-patoġen kien imsemmi Yersinia Pestis. Il-mekkaniżmu li bih Y. pestis kien ġeneralment trasmess ġie stabbilit fl-1898 minn Paul-Louis Simond u nstab li jinvolvi l-gdim tal-briegħed li l-midguts tagħhom kienu ostakolati billi rreplikaw lil Y. pestis diversi jiem wara t-tmigħ fuq ospitanti infettati. Dan l-imblukkar jirriżulta fil-ġuħ u l-imġieba aggressiva tal-għalf mill-briegħed, li ripetutament jippruvaw jikklerjaw l-imblukkar tagħhom permezz ta 'regurgitation, li jirriżulta f'eluf ta' batterji tal-pesta li qed jiġu mlaħalħa fis-sit tat-tmigħ, li jinfettaw lill-ospitanti. Il-mekkaniżmu tal-pesta bubonika kien jiddependi wkoll fuq żewġ popolazzjonijiet ta 'annimali gerriema: waħda reżistenti għall-marda, li jaġixxu bħala ospiti, iżommu l-marda endemika, u t-tieni li m'għandhomx reżistenza. Meta t-tieni popolazzjoni tmut, il-briegħed jimxu fuq ospiti oħra, inklużi nies, u b'hekk joħolqu epidemija umana.</v>
      </c>
    </row>
    <row r="2222" ht="15.75" customHeight="1">
      <c r="A2222" s="2" t="s">
        <v>2222</v>
      </c>
      <c r="B2222" s="2" t="str">
        <f>IFERROR(__xludf.DUMMYFUNCTION("GOOGLETRANSLATE(A2222, ""en"", ""mt"")"),"Sieur de la Salle kien esplora l-pajjiż ta 'Ohio kważi seklu qabel")</f>
        <v>Sieur de la Salle kien esplora l-pajjiż ta 'Ohio kważi seklu qabel</v>
      </c>
    </row>
    <row r="2223" ht="15.75" customHeight="1">
      <c r="A2223" s="2" t="s">
        <v>2223</v>
      </c>
      <c r="B2223" s="2" t="str">
        <f>IFERROR(__xludf.DUMMYFUNCTION("GOOGLETRANSLATE(A2223, ""en"", ""mt"")"),"Min uża l-kunċett ta 'antikità fl-istudju ta' oġġetti wieqfa u li jiċċaqilqu?")</f>
        <v>Min uża l-kunċett ta 'antikità fl-istudju ta' oġġetti wieqfa u li jiċċaqilqu?</v>
      </c>
    </row>
    <row r="2224" ht="15.75" customHeight="1">
      <c r="A2224" s="2" t="s">
        <v>2224</v>
      </c>
      <c r="B2224" s="2" t="str">
        <f>IFERROR(__xludf.DUMMYFUNCTION("GOOGLETRANSLATE(A2224, ""en"", ""mt"")"),"huwa inferjuri")</f>
        <v>huwa inferjuri</v>
      </c>
    </row>
    <row r="2225" ht="15.75" customHeight="1">
      <c r="A2225" s="2" t="s">
        <v>2225</v>
      </c>
      <c r="B2225" s="2" t="str">
        <f>IFERROR(__xludf.DUMMYFUNCTION("GOOGLETRANSLATE(A2225, ""en"", ""mt"")"),"Kreditu aktar faċli lil dawk li jaqilgħu bi dħul aktar baxx u medju")</f>
        <v>Kreditu aktar faċli lil dawk li jaqilgħu bi dħul aktar baxx u medju</v>
      </c>
    </row>
    <row r="2226" ht="15.75" customHeight="1">
      <c r="A2226" s="2" t="s">
        <v>2226</v>
      </c>
      <c r="B2226" s="2" t="str">
        <f>IFERROR(__xludf.DUMMYFUNCTION("GOOGLETRANSLATE(A2226, ""en"", ""mt"")"),"Tweġibiet immuni adattivi u innati")</f>
        <v>Tweġibiet immuni adattivi u innati</v>
      </c>
    </row>
    <row r="2227" ht="15.75" customHeight="1">
      <c r="A2227" s="2" t="s">
        <v>2227</v>
      </c>
      <c r="B2227" s="2" t="str">
        <f>IFERROR(__xludf.DUMMYFUNCTION("GOOGLETRANSLATE(A2227, ""en"", ""mt"")"),"Il-viċinat jinkludi Kearney Boulevard, imsemmi wara intraprenditur kmieni tas-seklu 20 u miljunarju M. Theo Kearney, li jestendi minn Triq Fresno fil-Lbiċ ta 'Fresno madwar 20 mi (32 km) fil-punent għal Kerman għal Kerman, Kerman, California. Triq rurali "&amp;"żgħira b'żewġ karreġġjati għall-biċċa l-kbira tat-tul tagħha, Kearney Boulevard hija miksija bis-siġar tal-palm tall. Il-medda ta 'bejn wieħed u ieħor nofs mili ta' Kearney Boulevard bejn Triq Fresno u Thorne Ave kienet f'ħin minnhom il-viċinat preferut g"&amp;"ħall-familji Afrikani Elite-Amerikani ta 'Fresno. Sezzjoni oħra, Brookhaven, fit-tarf tan-nofsinhar tan-naħa tal-punent fin-nofsinhar ta 'Jensen u fil-punent ta' Elm, ingħatat l-isem mill-Kunsill tal-Belt ta 'Fresno fi sforz biex terġa' tqajjem l-immaġni "&amp;"tal-viċinat. Is-suddiviżjoni iżolata kienet għal snin magħrufa bħala l- ""Dogg Lira"" b'referenza għal gang lokali, u mill-aħħar tal-2008 kienet għadha magħrufa għal livelli għoljin ta 'kriminalità vjolenti.")</f>
        <v>Il-viċinat jinkludi Kearney Boulevard, imsemmi wara intraprenditur kmieni tas-seklu 20 u miljunarju M. Theo Kearney, li jestendi minn Triq Fresno fil-Lbiċ ta 'Fresno madwar 20 mi (32 km) fil-punent għal Kerman għal Kerman, Kerman, California. Triq rurali żgħira b'żewġ karreġġjati għall-biċċa l-kbira tat-tul tagħha, Kearney Boulevard hija miksija bis-siġar tal-palm tall. Il-medda ta 'bejn wieħed u ieħor nofs mili ta' Kearney Boulevard bejn Triq Fresno u Thorne Ave kienet f'ħin minnhom il-viċinat preferut għall-familji Afrikani Elite-Amerikani ta 'Fresno. Sezzjoni oħra, Brookhaven, fit-tarf tan-nofsinhar tan-naħa tal-punent fin-nofsinhar ta 'Jensen u fil-punent ta' Elm, ingħatat l-isem mill-Kunsill tal-Belt ta 'Fresno fi sforz biex terġa' tqajjem l-immaġni tal-viċinat. Is-suddiviżjoni iżolata kienet għal snin magħrufa bħala l- "Dogg Lira" b'referenza għal gang lokali, u mill-aħħar tal-2008 kienet għadha magħrufa għal livelli għoljin ta 'kriminalità vjolenti.</v>
      </c>
    </row>
    <row r="2228" ht="15.75" customHeight="1">
      <c r="A2228" s="2" t="s">
        <v>2228</v>
      </c>
      <c r="B2228" s="2" t="str">
        <f>IFERROR(__xludf.DUMMYFUNCTION("GOOGLETRANSLATE(A2228, ""en"", ""mt"")"),"X'tip ta 'enerġija, flimkien ma' sħana ta 'skart nukleari, ġeotermali u ta' kombustjoni interna, jistgħu jfornu s-sħana għal firebox?")</f>
        <v>X'tip ta 'enerġija, flimkien ma' sħana ta 'skart nukleari, ġeotermali u ta' kombustjoni interna, jistgħu jfornu s-sħana għal firebox?</v>
      </c>
    </row>
    <row r="2229" ht="15.75" customHeight="1">
      <c r="A2229" s="2" t="s">
        <v>2229</v>
      </c>
      <c r="B2229" s="2" t="str">
        <f>IFERROR(__xludf.DUMMYFUNCTION("GOOGLETRANSLATE(A2229, ""en"", ""mt"")"),"X'inhu l-isem tal-itwal soċjetà tal-films tal-istudenti li qed tmexxi kontinwament tal-pajjiż?")</f>
        <v>X'inhu l-isem tal-itwal soċjetà tal-films tal-istudenti li qed tmexxi kontinwament tal-pajjiż?</v>
      </c>
    </row>
    <row r="2230" ht="15.75" customHeight="1">
      <c r="A2230" s="2" t="s">
        <v>2230</v>
      </c>
      <c r="B2230" s="2" t="str">
        <f>IFERROR(__xludf.DUMMYFUNCTION("GOOGLETRANSLATE(A2230, ""en"", ""mt"")"),"Jacques Legarder de Saint-Pierre")</f>
        <v>Jacques Legarder de Saint-Pierre</v>
      </c>
    </row>
    <row r="2231" ht="15.75" customHeight="1">
      <c r="A2231" s="2" t="s">
        <v>2231</v>
      </c>
      <c r="B2231" s="2" t="str">
        <f>IFERROR(__xludf.DUMMYFUNCTION("GOOGLETRANSLATE(A2231, ""en"", ""mt"")"),"X'inhu jidher fuq il-bandiera tal-belt ta 'Fresno?")</f>
        <v>X'inhu jidher fuq il-bandiera tal-belt ta 'Fresno?</v>
      </c>
    </row>
    <row r="2232" ht="15.75" customHeight="1">
      <c r="A2232" s="2" t="s">
        <v>2232</v>
      </c>
      <c r="B2232" s="2" t="str">
        <f>IFERROR(__xludf.DUMMYFUNCTION("GOOGLETRANSLATE(A2232, ""en"", ""mt"")"),"X'inhuma żewġ tipi ta 'fagoċiti li jivvjaġġaw minn ġol-ġisem biex isibu patoġeni li jinvadu?")</f>
        <v>X'inhuma żewġ tipi ta 'fagoċiti li jivvjaġġaw minn ġol-ġisem biex isibu patoġeni li jinvadu?</v>
      </c>
    </row>
    <row r="2233" ht="15.75" customHeight="1">
      <c r="A2233" s="2" t="s">
        <v>2233</v>
      </c>
      <c r="B2233" s="2" t="str">
        <f>IFERROR(__xludf.DUMMYFUNCTION("GOOGLETRANSLATE(A2233, ""en"", ""mt"")"),"F'liema sena organizzaw il-camisards bħala grupp reġjonali fin-Nofsinhar ta 'Franza?")</f>
        <v>F'liema sena organizzaw il-camisards bħala grupp reġjonali fin-Nofsinhar ta 'Franza?</v>
      </c>
    </row>
    <row r="2234" ht="15.75" customHeight="1">
      <c r="A2234" s="2" t="s">
        <v>2234</v>
      </c>
      <c r="B2234" s="2" t="str">
        <f>IFERROR(__xludf.DUMMYFUNCTION("GOOGLETRANSLATE(A2234, ""en"", ""mt"")"),"Min kien l-ewwel Ewropew li jivvjaġġa x-Xmara Amazon?")</f>
        <v>Min kien l-ewwel Ewropew li jivvjaġġa x-Xmara Amazon?</v>
      </c>
    </row>
    <row r="2235" ht="15.75" customHeight="1">
      <c r="A2235" s="2" t="s">
        <v>2235</v>
      </c>
      <c r="B2235" s="2" t="str">
        <f>IFERROR(__xludf.DUMMYFUNCTION("GOOGLETRANSLATE(A2235, ""en"", ""mt"")"),"Liema sena kienet il-Case Commission v Italja li ttrattat il-prodotti tal-kawkaw?")</f>
        <v>Liema sena kienet il-Case Commission v Italja li ttrattat il-prodotti tal-kawkaw?</v>
      </c>
    </row>
    <row r="2236" ht="15.75" customHeight="1">
      <c r="A2236" s="2" t="s">
        <v>2236</v>
      </c>
      <c r="B2236" s="2" t="str">
        <f>IFERROR(__xludf.DUMMYFUNCTION("GOOGLETRANSLATE(A2236, ""en"", ""mt"")"),"X'inhu l-isem ta 'Varsavja fil-lingwa Vrisovci?")</f>
        <v>X'inhu l-isem ta 'Varsavja fil-lingwa Vrisovci?</v>
      </c>
    </row>
    <row r="2237" ht="15.75" customHeight="1">
      <c r="A2237" s="2" t="s">
        <v>2237</v>
      </c>
      <c r="B2237" s="2" t="str">
        <f>IFERROR(__xludf.DUMMYFUNCTION("GOOGLETRANSLATE(A2237, ""en"", ""mt"")"),"Sema")</f>
        <v>Sema</v>
      </c>
    </row>
    <row r="2238" ht="15.75" customHeight="1">
      <c r="A2238" s="2" t="s">
        <v>2238</v>
      </c>
      <c r="B2238" s="2" t="str">
        <f>IFERROR(__xludf.DUMMYFUNCTION("GOOGLETRANSLATE(A2238, ""en"", ""mt"")"),"Għaliex il-klijenti jistgħu jordnaw mill-ispiżeriji tal-internet?")</f>
        <v>Għaliex il-klijenti jistgħu jordnaw mill-ispiżeriji tal-internet?</v>
      </c>
    </row>
    <row r="2239" ht="15.75" customHeight="1">
      <c r="A2239" s="2" t="s">
        <v>2239</v>
      </c>
      <c r="B2239" s="2" t="str">
        <f>IFERROR(__xludf.DUMMYFUNCTION("GOOGLETRANSLATE(A2239, ""en"", ""mt"")"),"Minbarra 12-il ċentru ta 'riċerka, kemm istituti ta' riċerka joperaw l-U ta 'C?")</f>
        <v>Minbarra 12-il ċentru ta 'riċerka, kemm istituti ta' riċerka joperaw l-U ta 'C?</v>
      </c>
    </row>
    <row r="2240" ht="15.75" customHeight="1">
      <c r="A2240" s="2" t="s">
        <v>2240</v>
      </c>
      <c r="B2240" s="2" t="str">
        <f>IFERROR(__xludf.DUMMYFUNCTION("GOOGLETRANSLATE(A2240, ""en"", ""mt"")"),"X’kellu n-numru ta ’nies li jgħixu fil-Polonja sal-1945?")</f>
        <v>X’kellu n-numru ta ’nies li jgħixu fil-Polonja sal-1945?</v>
      </c>
    </row>
    <row r="2241" ht="15.75" customHeight="1">
      <c r="A2241" s="2" t="s">
        <v>2241</v>
      </c>
      <c r="B2241" s="2" t="str">
        <f>IFERROR(__xludf.DUMMYFUNCTION("GOOGLETRANSLATE(A2241, ""en"", ""mt"")"),"X'jista 'jitqies bħala lingwa informali fejn l-istanzi tal-lingwa li l-kontribut tagħhom huwa iva?")</f>
        <v>X'jista 'jitqies bħala lingwa informali fejn l-istanzi tal-lingwa li l-kontribut tagħhom huwa iva?</v>
      </c>
    </row>
    <row r="2242" ht="15.75" customHeight="1">
      <c r="A2242" s="2" t="s">
        <v>2242</v>
      </c>
      <c r="B2242" s="2" t="str">
        <f>IFERROR(__xludf.DUMMYFUNCTION("GOOGLETRANSLATE(A2242, ""en"", ""mt"")"),"Min xtara d-drittijiet?")</f>
        <v>Min xtara d-drittijiet?</v>
      </c>
    </row>
    <row r="2243" ht="15.75" customHeight="1">
      <c r="A2243" s="2" t="s">
        <v>2243</v>
      </c>
      <c r="B2243" s="2" t="str">
        <f>IFERROR(__xludf.DUMMYFUNCTION("GOOGLETRANSLATE(A2243, ""en"", ""mt"")"),"Kif jintbagħtu l-pakketti normalment")</f>
        <v>Kif jintbagħtu l-pakketti normalment</v>
      </c>
    </row>
    <row r="2244" ht="15.75" customHeight="1">
      <c r="A2244" s="2" t="s">
        <v>2244</v>
      </c>
      <c r="B2244" s="2" t="str">
        <f>IFERROR(__xludf.DUMMYFUNCTION("GOOGLETRANSLATE(A2244, ""en"", ""mt"")"),"X'inhu jiddistingwi l-isponoż mill-annimali l-oħra kollha?")</f>
        <v>X'inhu jiddistingwi l-isponoż mill-annimali l-oħra kollha?</v>
      </c>
    </row>
    <row r="2245" ht="15.75" customHeight="1">
      <c r="A2245" s="2" t="s">
        <v>2245</v>
      </c>
      <c r="B2245" s="2" t="str">
        <f>IFERROR(__xludf.DUMMYFUNCTION("GOOGLETRANSLATE(A2245, ""en"", ""mt"")"),"James O. McKinsey")</f>
        <v>James O. McKinsey</v>
      </c>
    </row>
    <row r="2246" ht="15.75" customHeight="1">
      <c r="A2246" s="2" t="s">
        <v>2246</v>
      </c>
      <c r="B2246" s="2" t="str">
        <f>IFERROR(__xludf.DUMMYFUNCTION("GOOGLETRANSLATE(A2246, ""en"", ""mt"")"),"P ⊆ NP ⊆ PP ⊆ PSPACE")</f>
        <v>P ⊆ NP ⊆ PP ⊆ PSPACE</v>
      </c>
    </row>
    <row r="2247" ht="15.75" customHeight="1">
      <c r="A2247" s="2" t="s">
        <v>2247</v>
      </c>
      <c r="B2247" s="2" t="str">
        <f>IFERROR(__xludf.DUMMYFUNCTION("GOOGLETRANSLATE(A2247, ""en"", ""mt"")"),"Kemm terremoti jesperjenzaw in-Nofsinhar ta 'California f'sena?")</f>
        <v>Kemm terremoti jesperjenzaw in-Nofsinhar ta 'California f'sena?</v>
      </c>
    </row>
    <row r="2248" ht="15.75" customHeight="1">
      <c r="A2248" s="2" t="s">
        <v>2248</v>
      </c>
      <c r="B2248" s="2" t="str">
        <f>IFERROR(__xludf.DUMMYFUNCTION("GOOGLETRANSLATE(A2248, ""en"", ""mt"")"),"Meta ġiet skoperta r-Rhine għall-ewwel darba?")</f>
        <v>Meta ġiet skoperta r-Rhine għall-ewwel darba?</v>
      </c>
    </row>
    <row r="2249" ht="15.75" customHeight="1">
      <c r="A2249" s="2" t="s">
        <v>2249</v>
      </c>
      <c r="B2249" s="2" t="str">
        <f>IFERROR(__xludf.DUMMYFUNCTION("GOOGLETRANSLATE(A2249, ""en"", ""mt"")"),"Feynman")</f>
        <v>Feynman</v>
      </c>
    </row>
    <row r="2250" ht="15.75" customHeight="1">
      <c r="A2250" s="2" t="s">
        <v>2250</v>
      </c>
      <c r="B2250" s="2" t="str">
        <f>IFERROR(__xludf.DUMMYFUNCTION("GOOGLETRANSLATE(A2250, ""en"", ""mt"")"),"Fost l-MSPs eletti")</f>
        <v>Fost l-MSPs eletti</v>
      </c>
    </row>
    <row r="2251" ht="15.75" customHeight="1">
      <c r="A2251" s="2" t="s">
        <v>2251</v>
      </c>
      <c r="B2251" s="2" t="str">
        <f>IFERROR(__xludf.DUMMYFUNCTION("GOOGLETRANSLATE(A2251, ""en"", ""mt"")"),"Kemm hemm żoni ta 'l-art fil-Ġermanja Ċentrali?")</f>
        <v>Kemm hemm żoni ta 'l-art fil-Ġermanja Ċentrali?</v>
      </c>
    </row>
    <row r="2252" ht="15.75" customHeight="1">
      <c r="A2252" s="2" t="s">
        <v>2252</v>
      </c>
      <c r="B2252" s="2" t="str">
        <f>IFERROR(__xludf.DUMMYFUNCTION("GOOGLETRANSLATE(A2252, ""en"", ""mt"")"),"L-ogħla terrazzin")</f>
        <v>L-ogħla terrazzin</v>
      </c>
    </row>
    <row r="2253" ht="15.75" customHeight="1">
      <c r="A2253" s="2" t="s">
        <v>2253</v>
      </c>
      <c r="B2253" s="2" t="str">
        <f>IFERROR(__xludf.DUMMYFUNCTION("GOOGLETRANSLATE(A2253, ""en"", ""mt"")"),"Liema Indjan famuż ipprattika d-diżubbidjenza ċivili?")</f>
        <v>Liema Indjan famuż ipprattika d-diżubbidjenza ċivili?</v>
      </c>
    </row>
    <row r="2254" ht="15.75" customHeight="1">
      <c r="A2254" s="2" t="s">
        <v>2254</v>
      </c>
      <c r="B2254" s="2" t="str">
        <f>IFERROR(__xludf.DUMMYFUNCTION("GOOGLETRANSLATE(A2254, ""en"", ""mt"")"),"Iċ-ċelloli tal-pjanti jirrispondu għall-molekuli assoċjati ma 'patoġeni magħrufa bħala?")</f>
        <v>Iċ-ċelloli tal-pjanti jirrispondu għall-molekuli assoċjati ma 'patoġeni magħrufa bħala?</v>
      </c>
    </row>
    <row r="2255" ht="15.75" customHeight="1">
      <c r="A2255" s="2" t="s">
        <v>2255</v>
      </c>
      <c r="B2255" s="2" t="str">
        <f>IFERROR(__xludf.DUMMYFUNCTION("GOOGLETRANSLATE(A2255, ""en"", ""mt"")"),"F'liema belt jew l-Għarab l-akbar tnax-il grupp etniku?")</f>
        <v>F'liema belt jew l-Għarab l-akbar tnax-il grupp etniku?</v>
      </c>
    </row>
    <row r="2256" ht="15.75" customHeight="1">
      <c r="A2256" s="2" t="s">
        <v>2256</v>
      </c>
      <c r="B2256" s="2" t="str">
        <f>IFERROR(__xludf.DUMMYFUNCTION("GOOGLETRANSLATE(A2256, ""en"", ""mt"")"),"182 miljun tunnellata")</f>
        <v>182 miljun tunnellata</v>
      </c>
    </row>
    <row r="2257" ht="15.75" customHeight="1">
      <c r="A2257" s="2" t="s">
        <v>2257</v>
      </c>
      <c r="B2257" s="2" t="str">
        <f>IFERROR(__xludf.DUMMYFUNCTION("GOOGLETRANSLATE(A2257, ""en"", ""mt"")"),"William Shirley")</f>
        <v>William Shirley</v>
      </c>
    </row>
    <row r="2258" ht="15.75" customHeight="1">
      <c r="A2258" s="2" t="s">
        <v>2258</v>
      </c>
      <c r="B2258" s="2" t="str">
        <f>IFERROR(__xludf.DUMMYFUNCTION("GOOGLETRANSLATE(A2258, ""en"", ""mt"")"),"X'inhuma t-tliet sorsi tal-liġi tal-Unjoni Ewropea?")</f>
        <v>X'inhuma t-tliet sorsi tal-liġi tal-Unjoni Ewropea?</v>
      </c>
    </row>
    <row r="2259" ht="15.75" customHeight="1">
      <c r="A2259" s="2" t="s">
        <v>2259</v>
      </c>
      <c r="B2259" s="2" t="str">
        <f>IFERROR(__xludf.DUMMYFUNCTION("GOOGLETRANSLATE(A2259, ""en"", ""mt"")"),"jikkawżaw il-ħażniet tal-ħut jiġġarrfu")</f>
        <v>jikkawżaw il-ħażniet tal-ħut jiġġarrfu</v>
      </c>
    </row>
    <row r="2260" ht="15.75" customHeight="1">
      <c r="A2260" s="2" t="s">
        <v>2260</v>
      </c>
      <c r="B2260" s="2" t="str">
        <f>IFERROR(__xludf.DUMMYFUNCTION("GOOGLETRANSLATE(A2260, ""en"", ""mt"")"),"X'kienet it-triad?")</f>
        <v>X'kienet it-triad?</v>
      </c>
    </row>
    <row r="2261" ht="15.75" customHeight="1">
      <c r="A2261" s="2" t="s">
        <v>2261</v>
      </c>
      <c r="B2261" s="2" t="str">
        <f>IFERROR(__xludf.DUMMYFUNCTION("GOOGLETRANSLATE(A2261, ""en"", ""mt"")"),"Spiżeriji tal-komunità tal-briks u l-mehrież li jservu lill-konsumaturi online u dawk li jimxu fil-bieb tagħhom")</f>
        <v>Spiżeriji tal-komunità tal-briks u l-mehrież li jservu lill-konsumaturi online u dawk li jimxu fil-bieb tagħhom</v>
      </c>
    </row>
    <row r="2262" ht="15.75" customHeight="1">
      <c r="A2262" s="2" t="s">
        <v>2262</v>
      </c>
      <c r="B2262" s="2" t="str">
        <f>IFERROR(__xludf.DUMMYFUNCTION("GOOGLETRANSLATE(A2262, ""en"", ""mt"")"),"Avvenimenti deformazzjonali")</f>
        <v>Avvenimenti deformazzjonali</v>
      </c>
    </row>
    <row r="2263" ht="15.75" customHeight="1">
      <c r="A2263" s="2" t="s">
        <v>2263</v>
      </c>
      <c r="B2263" s="2" t="str">
        <f>IFERROR(__xludf.DUMMYFUNCTION("GOOGLETRANSLATE(A2263, ""en"", ""mt"")"),"Kunsinna ta 'dawn il-messaġġi bil-maħżen u l-iswiċċjar' il quddiem")</f>
        <v>Kunsinna ta 'dawn il-messaġġi bil-maħżen u l-iswiċċjar' il quddiem</v>
      </c>
    </row>
    <row r="2264" ht="15.75" customHeight="1">
      <c r="A2264" s="2" t="s">
        <v>2264</v>
      </c>
      <c r="B2264" s="2" t="str">
        <f>IFERROR(__xludf.DUMMYFUNCTION("GOOGLETRANSLATE(A2264, ""en"", ""mt"")"),"potenzjali")</f>
        <v>potenzjali</v>
      </c>
    </row>
    <row r="2265" ht="15.75" customHeight="1">
      <c r="A2265" s="2" t="s">
        <v>2265</v>
      </c>
      <c r="B2265" s="2" t="str">
        <f>IFERROR(__xludf.DUMMYFUNCTION("GOOGLETRANSLATE(A2265, ""en"", ""mt"")"),"Jekk kull problema f'C tista 'titnaqqas għal x")</f>
        <v>Jekk kull problema f'C tista 'titnaqqas għal x</v>
      </c>
    </row>
    <row r="2266" ht="15.75" customHeight="1">
      <c r="A2266" s="2" t="s">
        <v>2266</v>
      </c>
      <c r="B2266" s="2" t="str">
        <f>IFERROR(__xludf.DUMMYFUNCTION("GOOGLETRANSLATE(A2266, ""en"", ""mt"")"),"Xi tagħmel ħsara lill-inugwaljanza dejjem tiżdied?")</f>
        <v>Xi tagħmel ħsara lill-inugwaljanza dejjem tiżdied?</v>
      </c>
    </row>
    <row r="2267" ht="15.75" customHeight="1">
      <c r="A2267" s="2" t="s">
        <v>2267</v>
      </c>
      <c r="B2267" s="2" t="str">
        <f>IFERROR(__xludf.DUMMYFUNCTION("GOOGLETRANSLATE(A2267, ""en"", ""mt"")"),"B'Istanbul bħala l-kapital u l-kontroll tiegħu ta 'artijiet madwar il-baċin tal-Mediterran, l-Imperu Ottoman kien fiċ-ċentru ta' interazzjonijiet bejn id-dinjiet tal-Lvant u tal-Punent għal sitt sekli. Wara perjodu twil ta 'żvantaġġi militari kontra l-pot"&amp;"eri Ewropej, l-Imperu Ottoman naqas gradwalment fl-aħħar tas-seklu dsatax. L-Imperu alleat mal-Ġermanja fil-bidu tas-seklu 20, bl-ambizzjoni imperjali li tirkupra t-territorji mitlufa tagħha, iżda dan inħall wara l-Ewwel Gwerra Dinjija, li wassal għall-ħo"&amp;"lqien tal-istat il-ġdid tat-Turkija fil-qalba Anatoljana Ottomana, ukoll bħala l-ħolqien ta 'stati moderni tal-Balkani u tal-Lvant Nofsani, u b'hekk jintemmu l-ambizzjonijiet kolonjali Torok.")</f>
        <v>B'Istanbul bħala l-kapital u l-kontroll tiegħu ta 'artijiet madwar il-baċin tal-Mediterran, l-Imperu Ottoman kien fiċ-ċentru ta' interazzjonijiet bejn id-dinjiet tal-Lvant u tal-Punent għal sitt sekli. Wara perjodu twil ta 'żvantaġġi militari kontra l-poteri Ewropej, l-Imperu Ottoman naqas gradwalment fl-aħħar tas-seklu dsatax. L-Imperu alleat mal-Ġermanja fil-bidu tas-seklu 20, bl-ambizzjoni imperjali li tirkupra t-territorji mitlufa tagħha, iżda dan inħall wara l-Ewwel Gwerra Dinjija, li wassal għall-ħolqien tal-istat il-ġdid tat-Turkija fil-qalba Anatoljana Ottomana, ukoll bħala l-ħolqien ta 'stati moderni tal-Balkani u tal-Lvant Nofsani, u b'hekk jintemmu l-ambizzjonijiet kolonjali Torok.</v>
      </c>
    </row>
    <row r="2268" ht="15.75" customHeight="1">
      <c r="A2268" s="2" t="s">
        <v>2268</v>
      </c>
      <c r="B2268" s="2" t="str">
        <f>IFERROR(__xludf.DUMMYFUNCTION("GOOGLETRANSLATE(A2268, ""en"", ""mt"")"),"Liema persentaġġ ta 'Pinedale huwa iswed?")</f>
        <v>Liema persentaġġ ta 'Pinedale huwa iswed?</v>
      </c>
    </row>
    <row r="2269" ht="15.75" customHeight="1">
      <c r="A2269" s="2" t="s">
        <v>2269</v>
      </c>
      <c r="B2269" s="2" t="str">
        <f>IFERROR(__xludf.DUMMYFUNCTION("GOOGLETRANSLATE(A2269, ""en"", ""mt"")"),"Kif huwa blat blat?")</f>
        <v>Kif huwa blat blat?</v>
      </c>
    </row>
    <row r="2270" ht="15.75" customHeight="1">
      <c r="A2270" s="2" t="s">
        <v>2270</v>
      </c>
      <c r="B2270" s="2" t="str">
        <f>IFERROR(__xludf.DUMMYFUNCTION("GOOGLETRANSLATE(A2270, ""en"", ""mt"")"),"Is-servizzi ma ġewx konsolidati taħt il-gvern il-ġdid?")</f>
        <v>Is-servizzi ma ġewx konsolidati taħt il-gvern il-ġdid?</v>
      </c>
    </row>
    <row r="2271" ht="15.75" customHeight="1">
      <c r="A2271" s="2" t="s">
        <v>2271</v>
      </c>
      <c r="B2271" s="2" t="str">
        <f>IFERROR(__xludf.DUMMYFUNCTION("GOOGLETRANSLATE(A2271, ""en"", ""mt"")"),"Min jista 'legalment jgħallem l-Ingliż fl-Indja?")</f>
        <v>Min jista 'legalment jgħallem l-Ingliż fl-Indja?</v>
      </c>
    </row>
    <row r="2272" ht="15.75" customHeight="1">
      <c r="A2272" s="2" t="s">
        <v>2272</v>
      </c>
      <c r="B2272" s="2" t="str">
        <f>IFERROR(__xludf.DUMMYFUNCTION("GOOGLETRANSLATE(A2272, ""en"", ""mt"")"),"Università ta ’California, Irvine")</f>
        <v>Università ta ’California, Irvine</v>
      </c>
    </row>
    <row r="2273" ht="15.75" customHeight="1">
      <c r="A2273" s="2" t="s">
        <v>2273</v>
      </c>
      <c r="B2273" s="2" t="str">
        <f>IFERROR(__xludf.DUMMYFUNCTION("GOOGLETRANSLATE(A2273, ""en"", ""mt"")"),"1885")</f>
        <v>1885</v>
      </c>
    </row>
    <row r="2274" ht="15.75" customHeight="1">
      <c r="A2274" s="2" t="s">
        <v>2274</v>
      </c>
      <c r="B2274" s="2" t="str">
        <f>IFERROR(__xludf.DUMMYFUNCTION("GOOGLETRANSLATE(A2274, ""en"", ""mt"")")," Fejn Franza rebħet gwerra fis-snin sebgħin")</f>
        <v> Fejn Franza rebħet gwerra fis-snin sebgħin</v>
      </c>
    </row>
    <row r="2275" ht="15.75" customHeight="1">
      <c r="A2275" s="2" t="s">
        <v>2275</v>
      </c>
      <c r="B2275" s="2" t="str">
        <f>IFERROR(__xludf.DUMMYFUNCTION("GOOGLETRANSLATE(A2275, ""en"", ""mt"")"),"X'wassal għal inugwaljanza ta 'dħul ogħla?")</f>
        <v>X'wassal għal inugwaljanza ta 'dħul ogħla?</v>
      </c>
    </row>
    <row r="2276" ht="15.75" customHeight="1">
      <c r="A2276" s="2" t="s">
        <v>2276</v>
      </c>
      <c r="B2276" s="2" t="str">
        <f>IFERROR(__xludf.DUMMYFUNCTION("GOOGLETRANSLATE(A2276, ""en"", ""mt"")"),"Liema direzzjoni jinfirxu l-kurrenti tal-baħar u l-baħar tal-baħar dejjem jimxu?")</f>
        <v>Liema direzzjoni jinfirxu l-kurrenti tal-baħar u l-baħar tal-baħar dejjem jimxu?</v>
      </c>
    </row>
    <row r="2277" ht="15.75" customHeight="1">
      <c r="A2277" s="2" t="s">
        <v>2277</v>
      </c>
      <c r="B2277" s="2" t="str">
        <f>IFERROR(__xludf.DUMMYFUNCTION("GOOGLETRANSLATE(A2277, ""en"", ""mt"")"),"pittura, matematika, kaligrafija, poeżija, u teatru")</f>
        <v>pittura, matematika, kaligrafija, poeżija, u teatru</v>
      </c>
    </row>
    <row r="2278" ht="15.75" customHeight="1">
      <c r="A2278" s="2" t="s">
        <v>2278</v>
      </c>
      <c r="B2278" s="2" t="str">
        <f>IFERROR(__xludf.DUMMYFUNCTION("GOOGLETRANSLATE(A2278, ""en"", ""mt"")"),"Kemm kien suċċess l-isforz inizjali minn Braddock?")</f>
        <v>Kemm kien suċċess l-isforz inizjali minn Braddock?</v>
      </c>
    </row>
    <row r="2279" ht="15.75" customHeight="1">
      <c r="A2279" s="2" t="s">
        <v>2279</v>
      </c>
      <c r="B2279" s="2" t="str">
        <f>IFERROR(__xludf.DUMMYFUNCTION("GOOGLETRANSLATE(A2279, ""en"", ""mt"")"),"April")</f>
        <v>April</v>
      </c>
    </row>
    <row r="2280" ht="15.75" customHeight="1">
      <c r="A2280" s="2" t="s">
        <v>2280</v>
      </c>
      <c r="B2280" s="2" t="str">
        <f>IFERROR(__xludf.DUMMYFUNCTION("GOOGLETRANSLATE(A2280, ""en"", ""mt"")"),"Il-familja medja tal-garnizon tal-Mongolja tad-dinastija Yuan tidher li għexet ħajja ta 'divertiment rurali li qed titmermer, bi dħul mill-ħsad tal-kerrejja Ċiniżi tagħhom li jittieklu mill-ispejjeż tat-tagħmir u l-ispedizzjoni tal-irġiel għat-tours tad-d"&amp;"mir tagħhom. Il-Mongoli pprattikaw l-iskjavitù tad-dejn, u sal-1290 fil-partijiet kollha tal-Imperu Mongolja li kienu jbigħu lil uliedhom fl-iskjavitù. Meta jara dan bħala li jagħmel ħsara għan-nazzjon Mongol, Kublai fl-1291 ipprojbixxa l-bejgħ barra mill"&amp;"-pajjiż tal-Mongoli. Kublai xtaq jipperswadi liċ-Ċiniżi li kien qed isir dejjem aktar siniċizzat waqt li żamm il-kredenzjali Mongoljani tiegħu man-nies tiegħu stess. Huwa waqqaf amministrazzjoni ċivili biex tiddeċiedi, bena kapital fiċ-Ċina, appoġġa reliġ"&amp;"jonijiet u kultura Ċiniżi, u fassal istituzzjonijiet ekonomiċi u politiċi xierqa għall-qorti. Iżda fl-istess ħin huwa qatt ma abbanduna l-wirt Mongoljan tiegħu.")</f>
        <v>Il-familja medja tal-garnizon tal-Mongolja tad-dinastija Yuan tidher li għexet ħajja ta 'divertiment rurali li qed titmermer, bi dħul mill-ħsad tal-kerrejja Ċiniżi tagħhom li jittieklu mill-ispejjeż tat-tagħmir u l-ispedizzjoni tal-irġiel għat-tours tad-dmir tagħhom. Il-Mongoli pprattikaw l-iskjavitù tad-dejn, u sal-1290 fil-partijiet kollha tal-Imperu Mongolja li kienu jbigħu lil uliedhom fl-iskjavitù. Meta jara dan bħala li jagħmel ħsara għan-nazzjon Mongol, Kublai fl-1291 ipprojbixxa l-bejgħ barra mill-pajjiż tal-Mongoli. Kublai xtaq jipperswadi liċ-Ċiniżi li kien qed isir dejjem aktar siniċizzat waqt li żamm il-kredenzjali Mongoljani tiegħu man-nies tiegħu stess. Huwa waqqaf amministrazzjoni ċivili biex tiddeċiedi, bena kapital fiċ-Ċina, appoġġa reliġjonijiet u kultura Ċiniżi, u fassal istituzzjonijiet ekonomiċi u politiċi xierqa għall-qorti. Iżda fl-istess ħin huwa qatt ma abbanduna l-wirt Mongoljan tiegħu.</v>
      </c>
    </row>
    <row r="2281" ht="15.75" customHeight="1">
      <c r="A2281" s="2" t="s">
        <v>2281</v>
      </c>
      <c r="B2281" s="2" t="str">
        <f>IFERROR(__xludf.DUMMYFUNCTION("GOOGLETRANSLATE(A2281, ""en"", ""mt"")"),"X’kien identifikat bħala forza universali wara x-xogħol ta ’Galileo?")</f>
        <v>X’kien identifikat bħala forza universali wara x-xogħol ta ’Galileo?</v>
      </c>
    </row>
    <row r="2282" ht="15.75" customHeight="1">
      <c r="A2282" s="2" t="s">
        <v>2282</v>
      </c>
      <c r="B2282" s="2" t="str">
        <f>IFERROR(__xludf.DUMMYFUNCTION("GOOGLETRANSLATE(A2282, ""en"", ""mt"")"),"X'kien l-attakk fuq is-saħħa Ingliża?")</f>
        <v>X'kien l-attakk fuq is-saħħa Ingliża?</v>
      </c>
    </row>
    <row r="2283" ht="15.75" customHeight="1">
      <c r="A2283" s="2" t="s">
        <v>2283</v>
      </c>
      <c r="B2283" s="2" t="str">
        <f>IFERROR(__xludf.DUMMYFUNCTION("GOOGLETRANSLATE(A2283, ""en"", ""mt"")"),"Annam (Dai Viet)")</f>
        <v>Annam (Dai Viet)</v>
      </c>
    </row>
    <row r="2284" ht="15.75" customHeight="1">
      <c r="A2284" s="2" t="s">
        <v>2284</v>
      </c>
      <c r="B2284" s="2" t="str">
        <f>IFERROR(__xludf.DUMMYFUNCTION("GOOGLETRANSLATE(A2284, ""en"", ""mt"")"),"X'effett għandu l-kummerċ ma 'pajjiżi l-aktar fqar fuq il-ħaddiema f'pajjiżi aktar sinjuri?")</f>
        <v>X'effett għandu l-kummerċ ma 'pajjiżi l-aktar fqar fuq il-ħaddiema f'pajjiżi aktar sinjuri?</v>
      </c>
    </row>
    <row r="2285" ht="15.75" customHeight="1">
      <c r="A2285" s="2" t="s">
        <v>2285</v>
      </c>
      <c r="B2285" s="2" t="str">
        <f>IFERROR(__xludf.DUMMYFUNCTION("GOOGLETRANSLATE(A2285, ""en"", ""mt"")"),"X'inhuma wieħed mit-tipi ta 'ċelloli ewlenin tas-sistema immuni adatta?")</f>
        <v>X'inhuma wieħed mit-tipi ta 'ċelloli ewlenin tas-sistema immuni adatta?</v>
      </c>
    </row>
    <row r="2286" ht="15.75" customHeight="1">
      <c r="A2286" s="2" t="s">
        <v>2286</v>
      </c>
      <c r="B2286" s="2" t="str">
        <f>IFERROR(__xludf.DUMMYFUNCTION("GOOGLETRANSLATE(A2286, ""en"", ""mt"")"),"wieħed jista 'jinkludi b'mod arbitrarju ħafna każijiet ta' 1 fi kwalunkwe fatturizzazzjoni")</f>
        <v>wieħed jista 'jinkludi b'mod arbitrarju ħafna każijiet ta' 1 fi kwalunkwe fatturizzazzjoni</v>
      </c>
    </row>
    <row r="2287" ht="15.75" customHeight="1">
      <c r="A2287" s="2" t="s">
        <v>2287</v>
      </c>
      <c r="B2287" s="2" t="str">
        <f>IFERROR(__xludf.DUMMYFUNCTION("GOOGLETRANSLATE(A2287, ""en"", ""mt"")"),"Soċjetajiet Ġeografiċi fl-Ewropa")</f>
        <v>Soċjetajiet Ġeografiċi fl-Ewropa</v>
      </c>
    </row>
    <row r="2288" ht="15.75" customHeight="1">
      <c r="A2288" s="2" t="s">
        <v>2288</v>
      </c>
      <c r="B2288" s="2" t="str">
        <f>IFERROR(__xludf.DUMMYFUNCTION("GOOGLETRANSLATE(A2288, ""en"", ""mt"")"),"Fuq liema tip ta 'mediċina ffokat fuq Otachi?")</f>
        <v>Fuq liema tip ta 'mediċina ffokat fuq Otachi?</v>
      </c>
    </row>
    <row r="2289" ht="15.75" customHeight="1">
      <c r="A2289" s="2" t="s">
        <v>2289</v>
      </c>
      <c r="B2289" s="2" t="str">
        <f>IFERROR(__xludf.DUMMYFUNCTION("GOOGLETRANSLATE(A2289, ""en"", ""mt"")"),"kriminali")</f>
        <v>kriminali</v>
      </c>
    </row>
    <row r="2290" ht="15.75" customHeight="1">
      <c r="A2290" s="2" t="s">
        <v>2290</v>
      </c>
      <c r="B2290" s="2" t="str">
        <f>IFERROR(__xludf.DUMMYFUNCTION("GOOGLETRANSLATE(A2290, ""en"", ""mt"")"),"Liema fergħa ta 'klassi tal-kompjuter teoretika tittratta l-klassifikazzjoni ġeneralment ta' problemi ta 'komputazzjoni permezz ta' diffikultà u klassi ta 'relazzjoni?")</f>
        <v>Liema fergħa ta 'klassi tal-kompjuter teoretika tittratta l-klassifikazzjoni ġeneralment ta' problemi ta 'komputazzjoni permezz ta' diffikultà u klassi ta 'relazzjoni?</v>
      </c>
    </row>
    <row r="2291" ht="15.75" customHeight="1">
      <c r="A2291" s="2" t="s">
        <v>2291</v>
      </c>
      <c r="B2291" s="2" t="str">
        <f>IFERROR(__xludf.DUMMYFUNCTION("GOOGLETRANSLATE(A2291, ""en"", ""mt"")"),"X'inhu l-effett fuq il-bnedmin ta 'l-ossiġnu?")</f>
        <v>X'inhu l-effett fuq il-bnedmin ta 'l-ossiġnu?</v>
      </c>
    </row>
    <row r="2292" ht="15.75" customHeight="1">
      <c r="A2292" s="2" t="s">
        <v>2292</v>
      </c>
      <c r="B2292" s="2" t="str">
        <f>IFERROR(__xludf.DUMMYFUNCTION("GOOGLETRANSLATE(A2292, ""en"", ""mt"")"),"folla barra")</f>
        <v>folla barra</v>
      </c>
    </row>
    <row r="2293" ht="15.75" customHeight="1">
      <c r="A2293" s="2" t="s">
        <v>2293</v>
      </c>
      <c r="B2293" s="2" t="str">
        <f>IFERROR(__xludf.DUMMYFUNCTION("GOOGLETRANSLATE(A2293, ""en"", ""mt"")"),"fis-seklu dsatax")</f>
        <v>fis-seklu dsatax</v>
      </c>
    </row>
    <row r="2294" ht="15.75" customHeight="1">
      <c r="A2294" s="2" t="s">
        <v>2294</v>
      </c>
      <c r="B2294" s="2" t="str">
        <f>IFERROR(__xludf.DUMMYFUNCTION("GOOGLETRANSLATE(A2294, ""en"", ""mt"")"),"X'kienet il-porzjon ta 'l-Amerika ta' Fuq tal-Gwerra ta 'Suċċessjoni Awstraljana?")</f>
        <v>X'kienet il-porzjon ta 'l-Amerika ta' Fuq tal-Gwerra ta 'Suċċessjoni Awstraljana?</v>
      </c>
    </row>
    <row r="2295" ht="15.75" customHeight="1">
      <c r="A2295" s="2" t="s">
        <v>2295</v>
      </c>
      <c r="B2295" s="2" t="str">
        <f>IFERROR(__xludf.DUMMYFUNCTION("GOOGLETRANSLATE(A2295, ""en"", ""mt"")"),"Kif tiddetermina l-aċċellerazzjoni ta 'ħabel meta żewġ persuni qed jiġbduha?")</f>
        <v>Kif tiddetermina l-aċċellerazzjoni ta 'ħabel meta żewġ persuni qed jiġbduha?</v>
      </c>
    </row>
    <row r="2296" ht="15.75" customHeight="1">
      <c r="A2296" s="2" t="s">
        <v>2296</v>
      </c>
      <c r="B2296" s="2" t="str">
        <f>IFERROR(__xludf.DUMMYFUNCTION("GOOGLETRANSLATE(A2296, ""en"", ""mt"")"),"Konsorzju ta ’diversi kuntratturi")</f>
        <v>Konsorzju ta ’diversi kuntratturi</v>
      </c>
    </row>
    <row r="2297" ht="15.75" customHeight="1">
      <c r="A2297" s="2" t="s">
        <v>2297</v>
      </c>
      <c r="B2297" s="2" t="str">
        <f>IFERROR(__xludf.DUMMYFUNCTION("GOOGLETRANSLATE(A2297, ""en"", ""mt"")"),"X'tip ta 'proporzjonijiet jintużaw fi studji ġeokronoloġiċi u termokronoloġiċi?")</f>
        <v>X'tip ta 'proporzjonijiet jintużaw fi studji ġeokronoloġiċi u termokronoloġiċi?</v>
      </c>
    </row>
    <row r="2298" ht="15.75" customHeight="1">
      <c r="A2298" s="2" t="s">
        <v>2298</v>
      </c>
      <c r="B2298" s="2" t="str">
        <f>IFERROR(__xludf.DUMMYFUNCTION("GOOGLETRANSLATE(A2298, ""en"", ""mt"")"),"X’Volviet fil-vertebrati aktar tard?")</f>
        <v>X’Volviet fil-vertebrati aktar tard?</v>
      </c>
    </row>
    <row r="2299" ht="15.75" customHeight="1">
      <c r="A2299" s="2" t="s">
        <v>2299</v>
      </c>
      <c r="B2299" s="2" t="str">
        <f>IFERROR(__xludf.DUMMYFUNCTION("GOOGLETRANSLATE(A2299, ""en"", ""mt"")"),"Kif huwa mod wieħed li wieħed m'għandux jara n-non-determiniżmu?")</f>
        <v>Kif huwa mod wieħed li wieħed m'għandux jara n-non-determiniżmu?</v>
      </c>
    </row>
    <row r="2300" ht="15.75" customHeight="1">
      <c r="A2300" s="2" t="s">
        <v>2300</v>
      </c>
      <c r="B2300" s="2" t="str">
        <f>IFERROR(__xludf.DUMMYFUNCTION("GOOGLETRANSLATE(A2300, ""en"", ""mt"")"),"Sfida akbar għas-sistema legali")</f>
        <v>Sfida akbar għas-sistema legali</v>
      </c>
    </row>
    <row r="2301" ht="15.75" customHeight="1">
      <c r="A2301" s="2" t="s">
        <v>2301</v>
      </c>
      <c r="B2301" s="2" t="str">
        <f>IFERROR(__xludf.DUMMYFUNCTION("GOOGLETRANSLATE(A2301, ""en"", ""mt"")"),"X'tip ta 'riżultati aċedemiċi jagħmlu skejjel li jaċċettaw biss it-tfal suwed?")</f>
        <v>X'tip ta 'riżultati aċedemiċi jagħmlu skejjel li jaċċettaw biss it-tfal suwed?</v>
      </c>
    </row>
    <row r="2302" ht="15.75" customHeight="1">
      <c r="A2302" s="2" t="s">
        <v>2302</v>
      </c>
      <c r="B2302" s="2" t="str">
        <f>IFERROR(__xludf.DUMMYFUNCTION("GOOGLETRANSLATE(A2302, ""en"", ""mt"")"),"Doża tal-unità")</f>
        <v>Doża tal-unità</v>
      </c>
    </row>
    <row r="2303" ht="15.75" customHeight="1">
      <c r="A2303" s="2" t="s">
        <v>2303</v>
      </c>
      <c r="B2303" s="2" t="str">
        <f>IFERROR(__xludf.DUMMYFUNCTION("GOOGLETRANSLATE(A2303, ""en"", ""mt"")"),"Sea Gooseberry")</f>
        <v>Sea Gooseberry</v>
      </c>
    </row>
    <row r="2304" ht="15.75" customHeight="1">
      <c r="A2304" s="2" t="s">
        <v>2304</v>
      </c>
      <c r="B2304" s="2" t="str">
        <f>IFERROR(__xludf.DUMMYFUNCTION("GOOGLETRANSLATE(A2304, ""en"", ""mt"")"),"Kemm ċentri ta 'riċerka tmexxi l-università fuq il-kampus?")</f>
        <v>Kemm ċentri ta 'riċerka tmexxi l-università fuq il-kampus?</v>
      </c>
    </row>
    <row r="2305" ht="15.75" customHeight="1">
      <c r="A2305" s="2" t="s">
        <v>2305</v>
      </c>
      <c r="B2305" s="2" t="str">
        <f>IFERROR(__xludf.DUMMYFUNCTION("GOOGLETRANSLATE(A2305, ""en"", ""mt"")"),"Marki ewlenin tal-karozzi")</f>
        <v>Marki ewlenin tal-karozzi</v>
      </c>
    </row>
    <row r="2306" ht="15.75" customHeight="1">
      <c r="A2306" s="2" t="s">
        <v>2306</v>
      </c>
      <c r="B2306" s="2" t="str">
        <f>IFERROR(__xludf.DUMMYFUNCTION("GOOGLETRANSLATE(A2306, ""en"", ""mt"")"),"rispettat ħafna")</f>
        <v>rispettat ħafna</v>
      </c>
    </row>
    <row r="2307" ht="15.75" customHeight="1">
      <c r="A2307" s="2" t="s">
        <v>2307</v>
      </c>
      <c r="B2307" s="2" t="str">
        <f>IFERROR(__xludf.DUMMYFUNCTION("GOOGLETRANSLATE(A2307, ""en"", ""mt"")"),"X'jiġri t-tieni jekk l-iskadenza ta 'direttiva ma tintlaħaqx?")</f>
        <v>X'jiġri t-tieni jekk l-iskadenza ta 'direttiva ma tintlaħaqx?</v>
      </c>
    </row>
    <row r="2308" ht="15.75" customHeight="1">
      <c r="A2308" s="2" t="s">
        <v>2308</v>
      </c>
      <c r="B2308" s="2" t="str">
        <f>IFERROR(__xludf.DUMMYFUNCTION("GOOGLETRANSLATE(A2308, ""en"", ""mt"")"),"Liema flora probijotika tinstab fil-jogurt mhux pasturizzat?")</f>
        <v>Liema flora probijotika tinstab fil-jogurt mhux pasturizzat?</v>
      </c>
    </row>
    <row r="2309" ht="15.75" customHeight="1">
      <c r="A2309" s="2" t="s">
        <v>2309</v>
      </c>
      <c r="B2309" s="2" t="str">
        <f>IFERROR(__xludf.DUMMYFUNCTION("GOOGLETRANSLATE(A2309, ""en"", ""mt"")"),"1936")</f>
        <v>1936</v>
      </c>
    </row>
    <row r="2310" ht="15.75" customHeight="1">
      <c r="A2310" s="2" t="s">
        <v>2310</v>
      </c>
      <c r="B2310" s="2" t="str">
        <f>IFERROR(__xludf.DUMMYFUNCTION("GOOGLETRANSLATE(A2310, ""en"", ""mt"")"),"Fejn kienet l-ewwel darba Victoria li kienet tinsab fl-Awstralja?")</f>
        <v>Fejn kienet l-ewwel darba Victoria li kienet tinsab fl-Awstralja?</v>
      </c>
    </row>
    <row r="2311" ht="15.75" customHeight="1">
      <c r="A2311" s="2" t="s">
        <v>2311</v>
      </c>
      <c r="B2311" s="2" t="str">
        <f>IFERROR(__xludf.DUMMYFUNCTION("GOOGLETRANSLATE(A2311, ""en"", ""mt"")"),"Solvabilità ta 'ekwazzjonijiet kwadratiċi")</f>
        <v>Solvabilità ta 'ekwazzjonijiet kwadratiċi</v>
      </c>
    </row>
    <row r="2312" ht="15.75" customHeight="1">
      <c r="A2312" s="2" t="s">
        <v>2312</v>
      </c>
      <c r="B2312" s="2" t="str">
        <f>IFERROR(__xludf.DUMMYFUNCTION("GOOGLETRANSLATE(A2312, ""en"", ""mt"")"),"Fi ħdan in-Nofsinhar ta ’California hemm żewġ bliet ewlenin, Los Angeles u San Diego, kif ukoll tlieta mill-akbar żoni metropolitani tal-pajjiż. B'popolazzjoni ta '3,792,621, Los Angeles hija l-iktar belt popolata f'Kalifornja u t-tieni l-iktar popolata f"&amp;"l-Istati Uniti. Fin-nofsinhar u b'popolazzjoni ta '1,307,402 hija San Diego, it-tieni l-iktar belt popolata fl-istat u t-tmien l-iktar popolata fin-nazzjon.")</f>
        <v>Fi ħdan in-Nofsinhar ta ’California hemm żewġ bliet ewlenin, Los Angeles u San Diego, kif ukoll tlieta mill-akbar żoni metropolitani tal-pajjiż. B'popolazzjoni ta '3,792,621, Los Angeles hija l-iktar belt popolata f'Kalifornja u t-tieni l-iktar popolata fl-Istati Uniti. Fin-nofsinhar u b'popolazzjoni ta '1,307,402 hija San Diego, it-tieni l-iktar belt popolata fl-istat u t-tmien l-iktar popolata fin-nazzjon.</v>
      </c>
    </row>
    <row r="2313" ht="15.75" customHeight="1">
      <c r="A2313" s="2" t="s">
        <v>2313</v>
      </c>
      <c r="B2313" s="2" t="str">
        <f>IFERROR(__xludf.DUMMYFUNCTION("GOOGLETRANSLATE(A2313, ""en"", ""mt"")"),"Il-kontijiet pubbliċi normalment jirreferu għal skala kbira xiex?")</f>
        <v>Il-kontijiet pubbliċi normalment jirreferu għal skala kbira xiex?</v>
      </c>
    </row>
    <row r="2314" ht="15.75" customHeight="1">
      <c r="A2314" s="2" t="s">
        <v>2314</v>
      </c>
      <c r="B2314" s="2" t="str">
        <f>IFERROR(__xludf.DUMMYFUNCTION("GOOGLETRANSLATE(A2314, ""en"", ""mt"")"),"qatt ma ġie rratifikat")</f>
        <v>qatt ma ġie rratifikat</v>
      </c>
    </row>
    <row r="2315" ht="15.75" customHeight="1">
      <c r="A2315" s="2" t="s">
        <v>2315</v>
      </c>
      <c r="B2315" s="2" t="str">
        <f>IFERROR(__xludf.DUMMYFUNCTION("GOOGLETRANSLATE(A2315, ""en"", ""mt"")"),"Tabib tal-ispiżerija")</f>
        <v>Tabib tal-ispiżerija</v>
      </c>
    </row>
    <row r="2316" ht="15.75" customHeight="1">
      <c r="A2316" s="2" t="s">
        <v>2316</v>
      </c>
      <c r="B2316" s="2" t="str">
        <f>IFERROR(__xludf.DUMMYFUNCTION("GOOGLETRANSLATE(A2316, ""en"", ""mt"")"),"HIV / AIDS")</f>
        <v>HIV / AIDS</v>
      </c>
    </row>
    <row r="2317" ht="15.75" customHeight="1">
      <c r="A2317" s="2" t="s">
        <v>2317</v>
      </c>
      <c r="B2317" s="2" t="str">
        <f>IFERROR(__xludf.DUMMYFUNCTION("GOOGLETRANSLATE(A2317, ""en"", ""mt"")"),"X'jifhem l-ebda spiżeriji onlajn?")</f>
        <v>X'jifhem l-ebda spiżeriji onlajn?</v>
      </c>
    </row>
    <row r="2318" ht="15.75" customHeight="1">
      <c r="A2318" s="2" t="s">
        <v>2318</v>
      </c>
      <c r="B2318" s="2" t="str">
        <f>IFERROR(__xludf.DUMMYFUNCTION("GOOGLETRANSLATE(A2318, ""en"", ""mt"")"),"Fejn jinstab l-ossiġnu ħieles?")</f>
        <v>Fejn jinstab l-ossiġnu ħieles?</v>
      </c>
    </row>
    <row r="2319" ht="15.75" customHeight="1">
      <c r="A2319" s="2" t="s">
        <v>2319</v>
      </c>
      <c r="B2319" s="2" t="str">
        <f>IFERROR(__xludf.DUMMYFUNCTION("GOOGLETRANSLATE(A2319, ""en"", ""mt"")"),"378")</f>
        <v>378</v>
      </c>
    </row>
    <row r="2320" ht="15.75" customHeight="1">
      <c r="A2320" s="2" t="s">
        <v>2320</v>
      </c>
      <c r="B2320" s="2" t="str">
        <f>IFERROR(__xludf.DUMMYFUNCTION("GOOGLETRANSLATE(A2320, ""en"", ""mt"")"),"Żviluppi li fihom ix-xjenzati influwenzaw il-ħolqien tal-farmakoloġija fl-Islam medjevali?")</f>
        <v>Żviluppi li fihom ix-xjenzati influwenzaw il-ħolqien tal-farmakoloġija fl-Islam medjevali?</v>
      </c>
    </row>
    <row r="2321" ht="15.75" customHeight="1">
      <c r="A2321" s="2" t="s">
        <v>2321</v>
      </c>
      <c r="B2321" s="2" t="str">
        <f>IFERROR(__xludf.DUMMYFUNCTION("GOOGLETRANSLATE(A2321, ""en"", ""mt"")"),"Meta ġiet iddikjarata l-Iskola Normali Fresno?")</f>
        <v>Meta ġiet iddikjarata l-Iskola Normali Fresno?</v>
      </c>
    </row>
    <row r="2322" ht="15.75" customHeight="1">
      <c r="A2322" s="2" t="s">
        <v>2322</v>
      </c>
      <c r="B2322" s="2" t="str">
        <f>IFERROR(__xludf.DUMMYFUNCTION("GOOGLETRANSLATE(A2322, ""en"", ""mt"")"),"Jay Berwanger")</f>
        <v>Jay Berwanger</v>
      </c>
    </row>
    <row r="2323" ht="15.75" customHeight="1">
      <c r="A2323" s="2" t="s">
        <v>2323</v>
      </c>
      <c r="B2323" s="2" t="str">
        <f>IFERROR(__xludf.DUMMYFUNCTION("GOOGLETRANSLATE(A2323, ""en"", ""mt"")"),"Fi żmien 30 jum kemm ġew mormija DigiBoxes?")</f>
        <v>Fi żmien 30 jum kemm ġew mormija DigiBoxes?</v>
      </c>
    </row>
    <row r="2324" ht="15.75" customHeight="1">
      <c r="A2324" s="2" t="s">
        <v>2324</v>
      </c>
      <c r="B2324" s="2" t="str">
        <f>IFERROR(__xludf.DUMMYFUNCTION("GOOGLETRANSLATE(A2324, ""en"", ""mt"")"),"sfruttament")</f>
        <v>sfruttament</v>
      </c>
    </row>
    <row r="2325" ht="15.75" customHeight="1">
      <c r="A2325" s="2" t="s">
        <v>2325</v>
      </c>
      <c r="B2325" s="2" t="str">
        <f>IFERROR(__xludf.DUMMYFUNCTION("GOOGLETRANSLATE(A2325, ""en"", ""mt"")"),"X'għandhom numru ta 'riċerkaturi jaħsbu li n-nuqqas ta' l-inugwaljanza tad-dħul huwa kkawżat parzjalment?")</f>
        <v>X'għandhom numru ta 'riċerkaturi jaħsbu li n-nuqqas ta' l-inugwaljanza tad-dħul huwa kkawżat parzjalment?</v>
      </c>
    </row>
    <row r="2326" ht="15.75" customHeight="1">
      <c r="A2326" s="2" t="s">
        <v>2326</v>
      </c>
      <c r="B2326" s="2" t="str">
        <f>IFERROR(__xludf.DUMMYFUNCTION("GOOGLETRANSLATE(A2326, ""en"", ""mt"")"),"l-ewwel ministru")</f>
        <v>l-ewwel ministru</v>
      </c>
    </row>
    <row r="2327" ht="15.75" customHeight="1">
      <c r="A2327" s="2" t="s">
        <v>2327</v>
      </c>
      <c r="B2327" s="2" t="str">
        <f>IFERROR(__xludf.DUMMYFUNCTION("GOOGLETRANSLATE(A2327, ""en"", ""mt"")"),"forma ta 'weraq")</f>
        <v>forma ta 'weraq</v>
      </c>
    </row>
    <row r="2328" ht="15.75" customHeight="1">
      <c r="A2328" s="2" t="s">
        <v>2328</v>
      </c>
      <c r="B2328" s="2" t="str">
        <f>IFERROR(__xludf.DUMMYFUNCTION("GOOGLETRANSLATE(A2328, ""en"", ""mt"")"),"Min jimpurta l-inqas għat-tkabbir ekonomiku?")</f>
        <v>Min jimpurta l-inqas għat-tkabbir ekonomiku?</v>
      </c>
    </row>
    <row r="2329" ht="15.75" customHeight="1">
      <c r="A2329" s="2" t="s">
        <v>2329</v>
      </c>
      <c r="B2329" s="2" t="str">
        <f>IFERROR(__xludf.DUMMYFUNCTION("GOOGLETRANSLATE(A2329, ""en"", ""mt"")"),"X’inhu l-forzi ta ’Norman Frank?")</f>
        <v>X’inhu l-forzi ta ’Norman Frank?</v>
      </c>
    </row>
    <row r="2330" ht="15.75" customHeight="1">
      <c r="A2330" s="2" t="s">
        <v>2330</v>
      </c>
      <c r="B2330" s="2" t="str">
        <f>IFERROR(__xludf.DUMMYFUNCTION("GOOGLETRANSLATE(A2330, ""en"", ""mt"")"),"X'inhuma xi kawżi ta 'funzjoni immuni mnaqqsa f'pajjiżi żviluppati?")</f>
        <v>X'inhuma xi kawżi ta 'funzjoni immuni mnaqqsa f'pajjiżi żviluppati?</v>
      </c>
    </row>
    <row r="2331" ht="15.75" customHeight="1">
      <c r="A2331" s="2" t="s">
        <v>2331</v>
      </c>
      <c r="B2331" s="2" t="str">
        <f>IFERROR(__xludf.DUMMYFUNCTION("GOOGLETRANSLATE(A2331, ""en"", ""mt"")"),"X'tip ta 'mikroskopju jintuża mill-petrologi?")</f>
        <v>X'tip ta 'mikroskopju jintuża mill-petrologi?</v>
      </c>
    </row>
    <row r="2332" ht="15.75" customHeight="1">
      <c r="A2332" s="2" t="s">
        <v>2332</v>
      </c>
      <c r="B2332" s="2" t="str">
        <f>IFERROR(__xludf.DUMMYFUNCTION("GOOGLETRANSLATE(A2332, ""en"", ""mt"")"),"X'inhu eżempju ta 'mekkaniżmu ta' difiża inqas sofistikat li għandhom il-vertebrati tax-xedaq?")</f>
        <v>X'inhu eżempju ta 'mekkaniżmu ta' difiża inqas sofistikat li għandhom il-vertebrati tax-xedaq?</v>
      </c>
    </row>
    <row r="2333" ht="15.75" customHeight="1">
      <c r="A2333" s="2" t="s">
        <v>2333</v>
      </c>
      <c r="B2333" s="2" t="str">
        <f>IFERROR(__xludf.DUMMYFUNCTION("GOOGLETRANSLATE(A2333, ""en"", ""mt"")"),"Ħsarat Ingliżi fl-Amerika ta ’Fuq, flimkien ma’ fallimenti oħra fl-Ewropa")</f>
        <v>Ħsarat Ingliżi fl-Amerika ta ’Fuq, flimkien ma’ fallimenti oħra fl-Ewropa</v>
      </c>
    </row>
    <row r="2334" ht="15.75" customHeight="1">
      <c r="A2334" s="2" t="s">
        <v>2334</v>
      </c>
      <c r="B2334" s="2" t="str">
        <f>IFERROR(__xludf.DUMMYFUNCTION("GOOGLETRANSLATE(A2334, ""en"", ""mt"")"),"L-ossiġenu jippreżenta żewġ faxex ta 'assorbiment spettrofotometriċi li jilħqu l-quċċata fit-tul ta' mewġ 687 u 760 nm. Xi xjenzati ta 'telerilevament ipproponew li jużaw il-kejl tar-radjazzjoni li ġejja mill-kanupew tal-veġetazzjoni f'dawk il-faxex biex "&amp;"jikkaratterizzaw l-istat tas-saħħa tal-pjanti minn pjattaforma bis-satellita. Dan l-approċċ jisfrutta l-fatt li f'dawk il-faxex huwa possibbli li tiddiskrimina r-riflessjoni tal-veġetazzjoni mill-fluworexxenza tagħha, li hija ħafna iktar dgħajfa. Il-kejl "&amp;"huwa teknikament diffiċli minħabba l-proporzjon baxx sinjal-ħoss u l-istruttura fiżika tal-veġetazzjoni; Iżda ġie propost bħala metodu possibbli ta 'monitoraġġ taċ-ċiklu tal-karbonju minn satelliti fuq skala globali.")</f>
        <v>L-ossiġenu jippreżenta żewġ faxex ta 'assorbiment spettrofotometriċi li jilħqu l-quċċata fit-tul ta' mewġ 687 u 760 nm. Xi xjenzati ta 'telerilevament ipproponew li jużaw il-kejl tar-radjazzjoni li ġejja mill-kanupew tal-veġetazzjoni f'dawk il-faxex biex jikkaratterizzaw l-istat tas-saħħa tal-pjanti minn pjattaforma bis-satellita. Dan l-approċċ jisfrutta l-fatt li f'dawk il-faxex huwa possibbli li tiddiskrimina r-riflessjoni tal-veġetazzjoni mill-fluworexxenza tagħha, li hija ħafna iktar dgħajfa. Il-kejl huwa teknikament diffiċli minħabba l-proporzjon baxx sinjal-ħoss u l-istruttura fiżika tal-veġetazzjoni; Iżda ġie propost bħala metodu possibbli ta 'monitoraġġ taċ-ċiklu tal-karbonju minn satelliti fuq skala globali.</v>
      </c>
    </row>
    <row r="2335" ht="15.75" customHeight="1">
      <c r="A2335" s="2" t="s">
        <v>2335</v>
      </c>
      <c r="B2335" s="2" t="str">
        <f>IFERROR(__xludf.DUMMYFUNCTION("GOOGLETRANSLATE(A2335, ""en"", ""mt"")"),"xandir")</f>
        <v>xandir</v>
      </c>
    </row>
    <row r="2336" ht="15.75" customHeight="1">
      <c r="A2336" s="2" t="s">
        <v>2336</v>
      </c>
      <c r="B2336" s="2" t="str">
        <f>IFERROR(__xludf.DUMMYFUNCTION("GOOGLETRANSLATE(A2336, ""en"", ""mt"")"),"Il-kundizzjonijiet tas-sit, ir-regolamenti lokali, l-ekonomiji ta 'skala u d-disponibbiltà ta' negozjanti tas-sengħa kollha jaffettwaw x'inhuma?")</f>
        <v>Il-kundizzjonijiet tas-sit, ir-regolamenti lokali, l-ekonomiji ta 'skala u d-disponibbiltà ta' negozjanti tas-sengħa kollha jaffettwaw x'inhuma?</v>
      </c>
    </row>
    <row r="2337" ht="15.75" customHeight="1">
      <c r="A2337" s="2" t="s">
        <v>2337</v>
      </c>
      <c r="B2337" s="2" t="str">
        <f>IFERROR(__xludf.DUMMYFUNCTION("GOOGLETRANSLATE(A2337, ""en"", ""mt"")"),"Biex teqred il-mikrobi li jinvadu")</f>
        <v>Biex teqred il-mikrobi li jinvadu</v>
      </c>
    </row>
    <row r="2338" ht="15.75" customHeight="1">
      <c r="A2338" s="2" t="s">
        <v>2338</v>
      </c>
      <c r="B2338" s="2" t="str">
        <f>IFERROR(__xludf.DUMMYFUNCTION("GOOGLETRANSLATE(A2338, ""en"", ""mt"")"),"Primalità")</f>
        <v>Primalità</v>
      </c>
    </row>
    <row r="2339" ht="15.75" customHeight="1">
      <c r="A2339" s="2" t="s">
        <v>2339</v>
      </c>
      <c r="B2339" s="2" t="str">
        <f>IFERROR(__xludf.DUMMYFUNCTION("GOOGLETRANSLATE(A2339, ""en"", ""mt"")"),"X'tip ta 'oġġetti huma murija fil-Mużew ta' Esteve Pharmacy?")</f>
        <v>X'tip ta 'oġġetti huma murija fil-Mużew ta' Esteve Pharmacy?</v>
      </c>
    </row>
    <row r="2340" ht="15.75" customHeight="1">
      <c r="A2340" s="2" t="s">
        <v>2340</v>
      </c>
      <c r="B2340" s="2" t="str">
        <f>IFERROR(__xludf.DUMMYFUNCTION("GOOGLETRANSLATE(A2340, ""en"", ""mt"")"),"X'kien il-verdett fuq allegati żbalji oħra?")</f>
        <v>X'kien il-verdett fuq allegati żbalji oħra?</v>
      </c>
    </row>
    <row r="2341" ht="15.75" customHeight="1">
      <c r="A2341" s="2" t="s">
        <v>2341</v>
      </c>
      <c r="B2341" s="2" t="str">
        <f>IFERROR(__xludf.DUMMYFUNCTION("GOOGLETRANSLATE(A2341, ""en"", ""mt"")"),"X'inhu l-isem tat-traduzzjoni bil-Latin tal-ktieb ta 'Dioscorides?")</f>
        <v>X'inhu l-isem tat-traduzzjoni bil-Latin tal-ktieb ta 'Dioscorides?</v>
      </c>
    </row>
    <row r="2342" ht="15.75" customHeight="1">
      <c r="A2342" s="2" t="s">
        <v>2342</v>
      </c>
      <c r="B2342" s="2" t="str">
        <f>IFERROR(__xludf.DUMMYFUNCTION("GOOGLETRANSLATE(A2342, ""en"", ""mt"")"),"Inerzja")</f>
        <v>Inerzja</v>
      </c>
    </row>
    <row r="2343" ht="15.75" customHeight="1">
      <c r="A2343" s="2" t="s">
        <v>2343</v>
      </c>
      <c r="B2343" s="2" t="str">
        <f>IFERROR(__xludf.DUMMYFUNCTION("GOOGLETRANSLATE(A2343, ""en"", ""mt"")"),"X'inhi t-tarf baxx tal-firxa tat-temperatura fis-sajf?")</f>
        <v>X'inhi t-tarf baxx tal-firxa tat-temperatura fis-sajf?</v>
      </c>
    </row>
    <row r="2344" ht="15.75" customHeight="1">
      <c r="A2344" s="2" t="s">
        <v>2344</v>
      </c>
      <c r="B2344" s="2" t="str">
        <f>IFERROR(__xludf.DUMMYFUNCTION("GOOGLETRANSLATE(A2344, ""en"", ""mt"")"),"Liema lista kienet il-belt il-qadima tal-Unjoni Sovjetika miktuba fl-1980?")</f>
        <v>Liema lista kienet il-belt il-qadima tal-Unjoni Sovjetika miktuba fl-1980?</v>
      </c>
    </row>
    <row r="2345" ht="15.75" customHeight="1">
      <c r="A2345" s="2" t="s">
        <v>2345</v>
      </c>
      <c r="B2345" s="2" t="str">
        <f>IFERROR(__xludf.DUMMYFUNCTION("GOOGLETRANSLATE(A2345, ""en"", ""mt"")"),"Liema timijiet tal-MBL huma min-Nofsinhar ta 'California?")</f>
        <v>Liema timijiet tal-MBL huma min-Nofsinhar ta 'California?</v>
      </c>
    </row>
    <row r="2346" ht="15.75" customHeight="1">
      <c r="A2346" s="2" t="s">
        <v>2346</v>
      </c>
      <c r="B2346" s="2" t="str">
        <f>IFERROR(__xludf.DUMMYFUNCTION("GOOGLETRANSLATE(A2346, ""en"", ""mt"")"),"X'inhi l-ogħla qorti fil-liġi tal-Unjoni Ewropea?")</f>
        <v>X'inhi l-ogħla qorti fil-liġi tal-Unjoni Ewropea?</v>
      </c>
    </row>
    <row r="2347" ht="15.75" customHeight="1">
      <c r="A2347" s="2" t="s">
        <v>2347</v>
      </c>
      <c r="B2347" s="2" t="str">
        <f>IFERROR(__xludf.DUMMYFUNCTION("GOOGLETRANSLATE(A2347, ""en"", ""mt"")"),"Liema dinastiji ispiraw l-elementi bħal Ċiniżi tal-gvern ta 'Kublai?")</f>
        <v>Liema dinastiji ispiraw l-elementi bħal Ċiniżi tal-gvern ta 'Kublai?</v>
      </c>
    </row>
    <row r="2348" ht="15.75" customHeight="1">
      <c r="A2348" s="2" t="s">
        <v>2348</v>
      </c>
      <c r="B2348" s="2" t="str">
        <f>IFERROR(__xludf.DUMMYFUNCTION("GOOGLETRANSLATE(A2348, ""en"", ""mt"")"),"Fermilab")</f>
        <v>Fermilab</v>
      </c>
    </row>
    <row r="2349" ht="15.75" customHeight="1">
      <c r="A2349" s="2" t="s">
        <v>2349</v>
      </c>
      <c r="B2349" s="2" t="str">
        <f>IFERROR(__xludf.DUMMYFUNCTION("GOOGLETRANSLATE(A2349, ""en"", ""mt"")"),"pestilenza kbira fl-arja")</f>
        <v>pestilenza kbira fl-arja</v>
      </c>
    </row>
    <row r="2350" ht="15.75" customHeight="1">
      <c r="A2350" s="2" t="s">
        <v>2350</v>
      </c>
      <c r="B2350" s="2" t="str">
        <f>IFERROR(__xludf.DUMMYFUNCTION("GOOGLETRANSLATE(A2350, ""en"", ""mt"")"),"47")</f>
        <v>47</v>
      </c>
    </row>
    <row r="2351" ht="15.75" customHeight="1">
      <c r="A2351" s="2" t="s">
        <v>2351</v>
      </c>
      <c r="B2351" s="2" t="str">
        <f>IFERROR(__xludf.DUMMYFUNCTION("GOOGLETRANSLATE(A2351, ""en"", ""mt"")"),"L-intenzjoni oriġinali tal-finanzjament tal-NFS kienet li twettaq liema kompitu?")</f>
        <v>L-intenzjoni oriġinali tal-finanzjament tal-NFS kienet li twettaq liema kompitu?</v>
      </c>
    </row>
    <row r="2352" ht="15.75" customHeight="1">
      <c r="A2352" s="2" t="s">
        <v>2352</v>
      </c>
      <c r="B2352" s="2" t="str">
        <f>IFERROR(__xludf.DUMMYFUNCTION("GOOGLETRANSLATE(A2352, ""en"", ""mt"")"),"Liema każ tal-qorti kien eventwalment ir-riżultat ta 'Joseph Haas li jibgħat u jibgħat e-mail lill-Kunsill tal-Belt ta' New Hampshire?")</f>
        <v>Liema każ tal-qorti kien eventwalment ir-riżultat ta 'Joseph Haas li jibgħat u jibgħat e-mail lill-Kunsill tal-Belt ta' New Hampshire?</v>
      </c>
    </row>
    <row r="2353" ht="15.75" customHeight="1">
      <c r="A2353" s="2" t="s">
        <v>2353</v>
      </c>
      <c r="B2353" s="2" t="str">
        <f>IFERROR(__xludf.DUMMYFUNCTION("GOOGLETRANSLATE(A2353, ""en"", ""mt"")"),"Meta t-terminu imperjalizmu l-ewwel ġie użat mid-definizzjoni attwali tiegħu?")</f>
        <v>Meta t-terminu imperjalizmu l-ewwel ġie użat mid-definizzjoni attwali tiegħu?</v>
      </c>
    </row>
    <row r="2354" ht="15.75" customHeight="1">
      <c r="A2354" s="2" t="s">
        <v>2354</v>
      </c>
      <c r="B2354" s="2" t="str">
        <f>IFERROR(__xludf.DUMMYFUNCTION("GOOGLETRANSLATE(A2354, ""en"", ""mt"")")," Ma 'liema sistema Ċiniża ma għamlitx kompromess il-gvern ta' Kublai?")</f>
        <v> Ma 'liema sistema Ċiniża ma għamlitx kompromess il-gvern ta' Kublai?</v>
      </c>
    </row>
    <row r="2355" ht="15.75" customHeight="1">
      <c r="A2355" s="2" t="s">
        <v>2355</v>
      </c>
      <c r="B2355" s="2" t="str">
        <f>IFERROR(__xludf.DUMMYFUNCTION("GOOGLETRANSLATE(A2355, ""en"", ""mt"")"),"Ta 'liema forma huwa l-ammont infinit ta' primes li jinkludu l-każijiet speċjali ta 'l-ipoteżi ta' Schinzel?")</f>
        <v>Ta 'liema forma huwa l-ammont infinit ta' primes li jinkludu l-każijiet speċjali ta 'l-ipoteżi ta' Schinzel?</v>
      </c>
    </row>
    <row r="2356" ht="15.75" customHeight="1">
      <c r="A2356" s="2" t="s">
        <v>2356</v>
      </c>
      <c r="B2356" s="2" t="str">
        <f>IFERROR(__xludf.DUMMYFUNCTION("GOOGLETRANSLATE(A2356, ""en"", ""mt"")"),"Kif jissejħu saffi orizzontali tar-ramel?")</f>
        <v>Kif jissejħu saffi orizzontali tar-ramel?</v>
      </c>
    </row>
    <row r="2357" ht="15.75" customHeight="1">
      <c r="A2357" s="2" t="s">
        <v>2357</v>
      </c>
      <c r="B2357" s="2" t="str">
        <f>IFERROR(__xludf.DUMMYFUNCTION("GOOGLETRANSLATE(A2357, ""en"", ""mt"")"),"Kif ġiet immaniġġjata l-iskarsezza f'ħafna pajjiżi?")</f>
        <v>Kif ġiet immaniġġjata l-iskarsezza f'ħafna pajjiżi?</v>
      </c>
    </row>
    <row r="2358" ht="15.75" customHeight="1">
      <c r="A2358" s="2" t="s">
        <v>2358</v>
      </c>
      <c r="B2358" s="2" t="str">
        <f>IFERROR(__xludf.DUMMYFUNCTION("GOOGLETRANSLATE(A2358, ""en"", ""mt"")"),"Matul is-seklu 20, l-istoriċi John Gallagher (1919–1980) u Ronald Robinson (1920–1999) bnew qafas biex jifhmu l-imperjalizmu Ewropew. Huma jsostnu li l-imperjalizmu Ewropew kien influwenti, u l-Ewropej irrifjutaw il-kunċett li l- ""imperjalizmu"" kien jeħ"&amp;"tieġ kontroll formali u legali minn gvern wieħed fuq pajjiż ieħor. ""Fil-fehma tagħhom, l-istoriċi ġew imxerrda mill-imperu formali u l-mapep tad-dinja b'reġjuni kkuluriti ħomor. Il-biċċa l-kbira tal-emigrazzjoni, il-kummerċ u l-kapital Ingliżi marru f'żo"&amp;"ni barra l-imperu Brittaniku formali. Il-muftieħ għall-ħsieb tagħhom huwa l-idea tal-imperu ""Informalment jekk possibbli u formalment jekk meħtieġ."" ""[Attribuzzjoni meħtieġa] Minħabba r-riżorsi magħmula disponibbli mill-imperjalizmu, l-ekonomija tad-di"&amp;"nja kibret b'mod sinifikanti u saret ħafna iktar interkonnessa fid-deċennji ta 'qabel l-Ewwel Gwerra Dinjija, u għamlet il-ħafna poteri imperjali sinjuri u sinjuri Jonqos")</f>
        <v>Matul is-seklu 20, l-istoriċi John Gallagher (1919–1980) u Ronald Robinson (1920–1999) bnew qafas biex jifhmu l-imperjalizmu Ewropew. Huma jsostnu li l-imperjalizmu Ewropew kien influwenti, u l-Ewropej irrifjutaw il-kunċett li l- "imperjalizmu" kien jeħtieġ kontroll formali u legali minn gvern wieħed fuq pajjiż ieħor. "Fil-fehma tagħhom, l-istoriċi ġew imxerrda mill-imperu formali u l-mapep tad-dinja b'reġjuni kkuluriti ħomor. Il-biċċa l-kbira tal-emigrazzjoni, il-kummerċ u l-kapital Ingliżi marru f'żoni barra l-imperu Brittaniku formali. Il-muftieħ għall-ħsieb tagħhom huwa l-idea tal-imperu "Informalment jekk possibbli u formalment jekk meħtieġ." "[Attribuzzjoni meħtieġa] Minħabba r-riżorsi magħmula disponibbli mill-imperjalizmu, l-ekonomija tad-dinja kibret b'mod sinifikanti u saret ħafna iktar interkonnessa fid-deċennji ta 'qabel l-Ewwel Gwerra Dinjija, u għamlet il-ħafna poteri imperjali sinjuri u sinjuri Jonqos</v>
      </c>
    </row>
    <row r="2359" ht="15.75" customHeight="1">
      <c r="A2359" s="2" t="s">
        <v>2359</v>
      </c>
      <c r="B2359" s="2" t="str">
        <f>IFERROR(__xludf.DUMMYFUNCTION("GOOGLETRANSLATE(A2359, ""en"", ""mt"")"),"L-iswiċċjar taċ-ċirkwit huwa kkaratterizzat minn tariffa għal kull unità ta 'ħin ta' konnessjoni")</f>
        <v>L-iswiċċjar taċ-ċirkwit huwa kkaratterizzat minn tariffa għal kull unità ta 'ħin ta' konnessjoni</v>
      </c>
    </row>
    <row r="2360" ht="15.75" customHeight="1">
      <c r="A2360" s="2" t="s">
        <v>2360</v>
      </c>
      <c r="B2360" s="2" t="str">
        <f>IFERROR(__xludf.DUMMYFUNCTION("GOOGLETRANSLATE(A2360, ""en"", ""mt"")"),"Il-qgħad persistenti għandu x’effett fuq it-tkabbir ekonomiku għal żmien qasir?")</f>
        <v>Il-qgħad persistenti għandu x’effett fuq it-tkabbir ekonomiku għal żmien qasir?</v>
      </c>
    </row>
    <row r="2361" ht="15.75" customHeight="1">
      <c r="A2361" s="2" t="s">
        <v>2361</v>
      </c>
      <c r="B2361" s="2" t="str">
        <f>IFERROR(__xludf.DUMMYFUNCTION("GOOGLETRANSLATE(A2361, ""en"", ""mt"")"),"Liema pajjiżi kienu l-Ftehim Ewropew tal-Komunità tal-Faħam u l-Azzar?")</f>
        <v>Liema pajjiżi kienu l-Ftehim Ewropew tal-Komunità tal-Faħam u l-Azzar?</v>
      </c>
    </row>
    <row r="2362" ht="15.75" customHeight="1">
      <c r="A2362" s="2" t="s">
        <v>2362</v>
      </c>
      <c r="B2362" s="2" t="str">
        <f>IFERROR(__xludf.DUMMYFUNCTION("GOOGLETRANSLATE(A2362, ""en"", ""mt"")"),"biex tnaddafhom minn pjanti u sedimenti")</f>
        <v>biex tnaddafhom minn pjanti u sedimenti</v>
      </c>
    </row>
    <row r="2363" ht="15.75" customHeight="1">
      <c r="A2363" s="2" t="s">
        <v>2363</v>
      </c>
      <c r="B2363" s="2" t="str">
        <f>IFERROR(__xludf.DUMMYFUNCTION("GOOGLETRANSLATE(A2363, ""en"", ""mt"")"),"Liema dinastija leġittima waslet quddiem il-wan?")</f>
        <v>Liema dinastija leġittima waslet quddiem il-wan?</v>
      </c>
    </row>
    <row r="2364" ht="15.75" customHeight="1">
      <c r="A2364" s="2" t="s">
        <v>2364</v>
      </c>
      <c r="B2364" s="2" t="str">
        <f>IFERROR(__xludf.DUMMYFUNCTION("GOOGLETRANSLATE(A2364, ""en"", ""mt"")"),"Liema lingwa tkellmet primarjament William III?")</f>
        <v>Liema lingwa tkellmet primarjament William III?</v>
      </c>
    </row>
    <row r="2365" ht="15.75" customHeight="1">
      <c r="A2365" s="2" t="s">
        <v>2365</v>
      </c>
      <c r="B2365" s="2" t="str">
        <f>IFERROR(__xludf.DUMMYFUNCTION("GOOGLETRANSLATE(A2365, ""en"", ""mt"")"),"Fl-2014, l-ekonomisti bl-aġenzija ta 'klassifikazzjoni Standard &amp; Poor ikkonkludew li d-disparità li twessa' bejn iċ-ċittadini l-aktar sinjuri ta 'l-Istati Uniti u l-bqija tan-nazzjon naqqsu l-irkupru tagħha mir-riċessjoni 2008-2009 u għamluha aktar suxxe"&amp;"ttibbli għal boom-and-bust ċikli. Biex tirrimedja parzjalment id-distakk tal-ġid u t-tkabbir bil-mod li jirriżulta, S&amp;P irrakkomanda li jiżdied l-aċċess għall-edukazzjoni. Huwa stma li jekk il-ħaddiem medju tal-Istati Uniti jkun temm sena oħra ta 'skola, "&amp;"iżid tkabbir ta' $ 105 biljun addizzjonali għall-ekonomija tal-pajjiż fuq ħames snin.")</f>
        <v>Fl-2014, l-ekonomisti bl-aġenzija ta 'klassifikazzjoni Standard &amp; Poor ikkonkludew li d-disparità li twessa' bejn iċ-ċittadini l-aktar sinjuri ta 'l-Istati Uniti u l-bqija tan-nazzjon naqqsu l-irkupru tagħha mir-riċessjoni 2008-2009 u għamluha aktar suxxettibbli għal boom-and-bust ċikli. Biex tirrimedja parzjalment id-distakk tal-ġid u t-tkabbir bil-mod li jirriżulta, S&amp;P irrakkomanda li jiżdied l-aċċess għall-edukazzjoni. Huwa stma li jekk il-ħaddiem medju tal-Istati Uniti jkun temm sena oħra ta 'skola, iżid tkabbir ta' $ 105 biljun addizzjonali għall-ekonomija tal-pajjiż fuq ħames snin.</v>
      </c>
    </row>
    <row r="2366" ht="15.75" customHeight="1">
      <c r="A2366" s="2" t="s">
        <v>2366</v>
      </c>
      <c r="B2366" s="2" t="str">
        <f>IFERROR(__xludf.DUMMYFUNCTION("GOOGLETRANSLATE(A2366, ""en"", ""mt"")"),"Matul liema ħin il-foresta tropikali mifruxa faxxa dejqa?")</f>
        <v>Matul liema ħin il-foresta tropikali mifruxa faxxa dejqa?</v>
      </c>
    </row>
    <row r="2367" ht="15.75" customHeight="1">
      <c r="A2367" s="2" t="s">
        <v>2367</v>
      </c>
      <c r="B2367" s="2" t="str">
        <f>IFERROR(__xludf.DUMMYFUNCTION("GOOGLETRANSLATE(A2367, ""en"", ""mt"")"),"Meta l-informazzjoni dwar l-indirizz mhix trasferita għal kull nodu?")</f>
        <v>Meta l-informazzjoni dwar l-indirizz mhix trasferita għal kull nodu?</v>
      </c>
    </row>
    <row r="2368" ht="15.75" customHeight="1">
      <c r="A2368" s="2" t="s">
        <v>2368</v>
      </c>
      <c r="B2368" s="2" t="str">
        <f>IFERROR(__xludf.DUMMYFUNCTION("GOOGLETRANSLATE(A2368, ""en"", ""mt"")")," Meta l-ftehim ta 'l-hekk imsejħa rġulija bejn Sadat u l-Iżlamisti ma nkissrux?")</f>
        <v> Meta l-ftehim ta 'l-hekk imsejħa rġulija bejn Sadat u l-Iżlamisti ma nkissrux?</v>
      </c>
    </row>
    <row r="2369" ht="15.75" customHeight="1">
      <c r="A2369" s="2" t="s">
        <v>2369</v>
      </c>
      <c r="B2369" s="2" t="str">
        <f>IFERROR(__xludf.DUMMYFUNCTION("GOOGLETRANSLATE(A2369, ""en"", ""mt"")"),"Meta bdiet il-Gwerra Ċivili Sirjana?")</f>
        <v>Meta bdiet il-Gwerra Ċivili Sirjana?</v>
      </c>
    </row>
    <row r="2370" ht="15.75" customHeight="1">
      <c r="A2370" s="2" t="s">
        <v>2370</v>
      </c>
      <c r="B2370" s="2" t="str">
        <f>IFERROR(__xludf.DUMMYFUNCTION("GOOGLETRANSLATE(A2370, ""en"", ""mt"")"),"1540s")</f>
        <v>1540s</v>
      </c>
    </row>
    <row r="2371" ht="15.75" customHeight="1">
      <c r="A2371" s="2" t="s">
        <v>2371</v>
      </c>
      <c r="B2371" s="2" t="str">
        <f>IFERROR(__xludf.DUMMYFUNCTION("GOOGLETRANSLATE(A2371, ""en"", ""mt"")"),"Jekk elezzjoni straordinarja tinżamm fi żmien inqas minn sitt xhur qabel id-data ta 'elezzjoni ordinarja, x'tagħmel għall-elezzjoni ordinarja?")</f>
        <v>Jekk elezzjoni straordinarja tinżamm fi żmien inqas minn sitt xhur qabel id-data ta 'elezzjoni ordinarja, x'tagħmel għall-elezzjoni ordinarja?</v>
      </c>
    </row>
    <row r="2372" ht="15.75" customHeight="1">
      <c r="A2372" s="2" t="s">
        <v>2372</v>
      </c>
      <c r="B2372" s="2" t="str">
        <f>IFERROR(__xludf.DUMMYFUNCTION("GOOGLETRANSLATE(A2372, ""en"", ""mt"")"),"ħamrija, xmajjar, pajsaġġi, u glaċieri")</f>
        <v>ħamrija, xmajjar, pajsaġġi, u glaċieri</v>
      </c>
    </row>
    <row r="2373" ht="15.75" customHeight="1">
      <c r="A2373" s="2" t="s">
        <v>2373</v>
      </c>
      <c r="B2373" s="2" t="str">
        <f>IFERROR(__xludf.DUMMYFUNCTION("GOOGLETRANSLATE(A2373, ""en"", ""mt"")"),"Fejn Shirley ma kienx qed jippjana spedizzjoni?")</f>
        <v>Fejn Shirley ma kienx qed jippjana spedizzjoni?</v>
      </c>
    </row>
    <row r="2374" ht="15.75" customHeight="1">
      <c r="A2374" s="2" t="s">
        <v>2374</v>
      </c>
      <c r="B2374" s="2" t="str">
        <f>IFERROR(__xludf.DUMMYFUNCTION("GOOGLETRANSLATE(A2374, ""en"", ""mt"")"),"xemx")</f>
        <v>xemx</v>
      </c>
    </row>
    <row r="2375" ht="15.75" customHeight="1">
      <c r="A2375" s="2" t="s">
        <v>2375</v>
      </c>
      <c r="B2375" s="2" t="str">
        <f>IFERROR(__xludf.DUMMYFUNCTION("GOOGLETRANSLATE(A2375, ""en"", ""mt"")"),"X'inhu terminu ieħor għar-rotors?")</f>
        <v>X'inhu terminu ieħor għar-rotors?</v>
      </c>
    </row>
    <row r="2376" ht="15.75" customHeight="1">
      <c r="A2376" s="2" t="s">
        <v>2376</v>
      </c>
      <c r="B2376" s="2" t="str">
        <f>IFERROR(__xludf.DUMMYFUNCTION("GOOGLETRANSLATE(A2376, ""en"", ""mt"")"),"Kemm irġiel kienu fl-infanterija altpreusbische Nru 15?")</f>
        <v>Kemm irġiel kienu fl-infanterija altpreusbische Nru 15?</v>
      </c>
    </row>
    <row r="2377" ht="15.75" customHeight="1">
      <c r="A2377" s="2" t="s">
        <v>2377</v>
      </c>
      <c r="B2377" s="2" t="str">
        <f>IFERROR(__xludf.DUMMYFUNCTION("GOOGLETRANSLATE(A2377, ""en"", ""mt"")"),"Meta bdiet l-età tal-imperjalizmu?")</f>
        <v>Meta bdiet l-età tal-imperjalizmu?</v>
      </c>
    </row>
    <row r="2378" ht="15.75" customHeight="1">
      <c r="A2378" s="2" t="s">
        <v>2378</v>
      </c>
      <c r="B2378" s="2" t="str">
        <f>IFERROR(__xludf.DUMMYFUNCTION("GOOGLETRANSLATE(A2378, ""en"", ""mt"")"),"Min ħa t-triq tal-vjolenza?")</f>
        <v>Min ħa t-triq tal-vjolenza?</v>
      </c>
    </row>
    <row r="2379" ht="15.75" customHeight="1">
      <c r="A2379" s="2" t="s">
        <v>2379</v>
      </c>
      <c r="B2379" s="2" t="str">
        <f>IFERROR(__xludf.DUMMYFUNCTION("GOOGLETRANSLATE(A2379, ""en"", ""mt"")")," X'inhi l-antiteżi tal-kolonjaliżmu?")</f>
        <v> X'inhi l-antiteżi tal-kolonjaliżmu?</v>
      </c>
    </row>
    <row r="2380" ht="15.75" customHeight="1">
      <c r="A2380" s="2" t="s">
        <v>2380</v>
      </c>
      <c r="B2380" s="2" t="str">
        <f>IFERROR(__xludf.DUMMYFUNCTION("GOOGLETRANSLATE(A2380, ""en"", ""mt"")"),"Ċirku ta 'numru sħiħ ta' oqsma ta 'numri kwadratiċi")</f>
        <v>Ċirku ta 'numru sħiħ ta' oqsma ta 'numri kwadratiċi</v>
      </c>
    </row>
    <row r="2381" ht="15.75" customHeight="1">
      <c r="A2381" s="2" t="s">
        <v>2381</v>
      </c>
      <c r="B2381" s="2" t="str">
        <f>IFERROR(__xludf.DUMMYFUNCTION("GOOGLETRANSLATE(A2381, ""en"", ""mt"")"),"Amazonia jew il-ġungla tal-Amazon")</f>
        <v>Amazonia jew il-ġungla tal-Amazon</v>
      </c>
    </row>
    <row r="2382" ht="15.75" customHeight="1">
      <c r="A2382" s="2" t="s">
        <v>2382</v>
      </c>
      <c r="B2382" s="2" t="str">
        <f>IFERROR(__xludf.DUMMYFUNCTION("GOOGLETRANSLATE(A2382, ""en"", ""mt"")"),"L-Università ta 'Chicago College Bowl Team")</f>
        <v>L-Università ta 'Chicago College Bowl Team</v>
      </c>
    </row>
    <row r="2383" ht="15.75" customHeight="1">
      <c r="A2383" s="2" t="s">
        <v>2383</v>
      </c>
      <c r="B2383" s="2" t="str">
        <f>IFERROR(__xludf.DUMMYFUNCTION("GOOGLETRANSLATE(A2383, ""en"", ""mt"")"),"Gvern Skoċċiż")</f>
        <v>Gvern Skoċċiż</v>
      </c>
    </row>
    <row r="2384" ht="15.75" customHeight="1">
      <c r="A2384" s="2" t="s">
        <v>2384</v>
      </c>
      <c r="B2384" s="2" t="str">
        <f>IFERROR(__xludf.DUMMYFUNCTION("GOOGLETRANSLATE(A2384, ""en"", ""mt"")"),"Liema belt, attakkata minn gruppi u duki, ippreċediet il-fondazzjoni ta 'Warszowa?")</f>
        <v>Liema belt, attakkata minn gruppi u duki, ippreċediet il-fondazzjoni ta 'Warszowa?</v>
      </c>
    </row>
    <row r="2385" ht="15.75" customHeight="1">
      <c r="A2385" s="2" t="s">
        <v>2385</v>
      </c>
      <c r="B2385" s="2" t="str">
        <f>IFERROR(__xludf.DUMMYFUNCTION("GOOGLETRANSLATE(A2385, ""en"", ""mt"")"),"X'inhu l-isem tal-iskola privata għall-istudenti tal-K-12 li l-università tmexxi?")</f>
        <v>X'inhu l-isem tal-iskola privata għall-istudenti tal-K-12 li l-università tmexxi?</v>
      </c>
    </row>
    <row r="2386" ht="15.75" customHeight="1">
      <c r="A2386" s="2" t="s">
        <v>2386</v>
      </c>
      <c r="B2386" s="2" t="str">
        <f>IFERROR(__xludf.DUMMYFUNCTION("GOOGLETRANSLATE(A2386, ""en"", ""mt"")"),"ħafna poteri imperjali")</f>
        <v>ħafna poteri imperjali</v>
      </c>
    </row>
    <row r="2387" ht="15.75" customHeight="1">
      <c r="A2387" s="2" t="s">
        <v>2387</v>
      </c>
      <c r="B2387" s="2" t="str">
        <f>IFERROR(__xludf.DUMMYFUNCTION("GOOGLETRANSLATE(A2387, ""en"", ""mt"")"),"Min hu responsabbli biex jopera t-tagħmir tal-vot elettroniku u l-arloġġi tal-kamra?")</f>
        <v>Min hu responsabbli biex jopera t-tagħmir tal-vot elettroniku u l-arloġġi tal-kamra?</v>
      </c>
    </row>
    <row r="2388" ht="15.75" customHeight="1">
      <c r="A2388" s="2" t="s">
        <v>2388</v>
      </c>
      <c r="B2388" s="2" t="str">
        <f>IFERROR(__xludf.DUMMYFUNCTION("GOOGLETRANSLATE(A2388, ""en"", ""mt"")"),"Iġġustifikat biss kontra entitajiet governattivi")</f>
        <v>Iġġustifikat biss kontra entitajiet governattivi</v>
      </c>
    </row>
    <row r="2389" ht="15.75" customHeight="1">
      <c r="A2389" s="2" t="s">
        <v>2389</v>
      </c>
      <c r="B2389" s="2" t="str">
        <f>IFERROR(__xludf.DUMMYFUNCTION("GOOGLETRANSLATE(A2389, ""en"", ""mt"")"),"Petrolju")</f>
        <v>Petrolju</v>
      </c>
    </row>
    <row r="2390" ht="15.75" customHeight="1">
      <c r="A2390" s="2" t="s">
        <v>2390</v>
      </c>
      <c r="B2390" s="2" t="str">
        <f>IFERROR(__xludf.DUMMYFUNCTION("GOOGLETRANSLATE(A2390, ""en"", ""mt"")"),"X'kienet Maria Curie l-ewwel mara li tirċievi?")</f>
        <v>X'kienet Maria Curie l-ewwel mara li tirċievi?</v>
      </c>
    </row>
    <row r="2391" ht="15.75" customHeight="1">
      <c r="A2391" s="2" t="s">
        <v>2391</v>
      </c>
      <c r="B2391" s="2" t="str">
        <f>IFERROR(__xludf.DUMMYFUNCTION("GOOGLETRANSLATE(A2391, ""en"", ""mt"")"),"Jekk m'hemm l-ebda mezz fiżiku maqsum, kif jiġu kkonsenjati l-pakketti?")</f>
        <v>Jekk m'hemm l-ebda mezz fiżiku maqsum, kif jiġu kkonsenjati l-pakketti?</v>
      </c>
    </row>
    <row r="2392" ht="15.75" customHeight="1">
      <c r="A2392" s="2" t="s">
        <v>2392</v>
      </c>
      <c r="B2392" s="2" t="str">
        <f>IFERROR(__xludf.DUMMYFUNCTION("GOOGLETRANSLATE(A2392, ""en"", ""mt"")"),"X'inhu fattur wieħed li jnaqqas l-importanza tal-ispiżerija li twettaq f'livell għoli?")</f>
        <v>X'inhu fattur wieħed li jnaqqas l-importanza tal-ispiżerija li twettaq f'livell għoli?</v>
      </c>
    </row>
    <row r="2393" ht="15.75" customHeight="1">
      <c r="A2393" s="2" t="s">
        <v>2393</v>
      </c>
      <c r="B2393" s="2" t="str">
        <f>IFERROR(__xludf.DUMMYFUNCTION("GOOGLETRANSLATE(A2393, ""en"", ""mt"")"),"Taħt l-Att dwar l-Iskozja 1998, l-elezzjonijiet ġenerali ordinarji għall-Parlament Skoċċiż isiru fl-ewwel Ħamis f'Mejju kull erba 'snin (1999, 2003, 2007 u l-bqija). Id-data tal-votazzjoni tista 'tkun varjata sa xahar bl-ebda mod mill-monarka fuq il-propo"&amp;"sta tal-uffiċjal li jippresiedi. Jekk il-Parlament innifsu jsolvi li għandu jinħall (b'mill-inqas żewġ terzi tal-membri jivvutaw favur), jew jekk il-Parlament jonqos milli jinnomina lil wieħed mill-membri tiegħu biex ikun l-ewwel ministru fi żmien 28 jum "&amp;"minn elezzjoni ġenerali jew ta ' Pożizzjoni li ssir battala, l-uffiċjal li jippresiedi jipproponi data għal elezzjoni ġenerali straordinarja u l-Parlament jinħall mir-Reġina permezz ta 'Proklamazzjoni Rjali. L-elezzjonijiet ġenerali straordinarji huma fli"&amp;"mkien ma 'elezzjonijiet ġenerali ordinarji, sakemm ma jinżammux inqas minn sitt xhur qabel id-data ta' elezzjoni ġenerali ordinarja, f'liema każ huma jissuppillawha. L-elezzjoni ordinarja li ġejja terġa 'lura għall-ewwel Ħamis ta' Mejju, multiplu ta 'erba"&amp;"' snin wara l-1999 (i.e., 5 ta 'Mejju 2011, 7 ta' Mejju 2015, eċċ.).")</f>
        <v>Taħt l-Att dwar l-Iskozja 1998, l-elezzjonijiet ġenerali ordinarji għall-Parlament Skoċċiż isiru fl-ewwel Ħamis f'Mejju kull erba 'snin (1999, 2003, 2007 u l-bqija). Id-data tal-votazzjoni tista 'tkun varjata sa xahar bl-ebda mod mill-monarka fuq il-proposta tal-uffiċjal li jippresiedi. Jekk il-Parlament innifsu jsolvi li għandu jinħall (b'mill-inqas żewġ terzi tal-membri jivvutaw favur), jew jekk il-Parlament jonqos milli jinnomina lil wieħed mill-membri tiegħu biex ikun l-ewwel ministru fi żmien 28 jum minn elezzjoni ġenerali jew ta ' Pożizzjoni li ssir battala, l-uffiċjal li jippresiedi jipproponi data għal elezzjoni ġenerali straordinarja u l-Parlament jinħall mir-Reġina permezz ta 'Proklamazzjoni Rjali. L-elezzjonijiet ġenerali straordinarji huma flimkien ma 'elezzjonijiet ġenerali ordinarji, sakemm ma jinżammux inqas minn sitt xhur qabel id-data ta' elezzjoni ġenerali ordinarja, f'liema każ huma jissuppillawha. L-elezzjoni ordinarja li ġejja terġa 'lura għall-ewwel Ħamis ta' Mejju, multiplu ta 'erba' snin wara l-1999 (i.e., 5 ta 'Mejju 2011, 7 ta' Mejju 2015, eċċ.).</v>
      </c>
    </row>
    <row r="2394" ht="15.75" customHeight="1">
      <c r="A2394" s="2" t="s">
        <v>2394</v>
      </c>
      <c r="B2394" s="2" t="str">
        <f>IFERROR(__xludf.DUMMYFUNCTION("GOOGLETRANSLATE(A2394, ""en"", ""mt"")"),"X’ma jikkawżax razza fl-istrutturi?")</f>
        <v>X’ma jikkawżax razza fl-istrutturi?</v>
      </c>
    </row>
    <row r="2395" ht="15.75" customHeight="1">
      <c r="A2395" s="2" t="s">
        <v>2395</v>
      </c>
      <c r="B2395" s="2" t="str">
        <f>IFERROR(__xludf.DUMMYFUNCTION("GOOGLETRANSLATE(A2395, ""en"", ""mt"")"),"Somma tal-funzjoni tad-diviżuri")</f>
        <v>Somma tal-funzjoni tad-diviżuri</v>
      </c>
    </row>
    <row r="2396" ht="15.75" customHeight="1">
      <c r="A2396" s="2" t="s">
        <v>2396</v>
      </c>
      <c r="B2396" s="2" t="str">
        <f>IFERROR(__xludf.DUMMYFUNCTION("GOOGLETRANSLATE(A2396, ""en"", ""mt"")"),"Stanley Steamer")</f>
        <v>Stanley Steamer</v>
      </c>
    </row>
    <row r="2397" ht="15.75" customHeight="1">
      <c r="A2397" s="2" t="s">
        <v>2397</v>
      </c>
      <c r="B2397" s="2" t="str">
        <f>IFERROR(__xludf.DUMMYFUNCTION("GOOGLETRANSLATE(A2397, ""en"", ""mt"")"),"Minħabba li l-kelliema huma meħuda minn madwar l-Iskozja, xiex jirrappreżentaw il-bilanċ?")</f>
        <v>Minħabba li l-kelliema huma meħuda minn madwar l-Iskozja, xiex jirrappreżentaw il-bilanċ?</v>
      </c>
    </row>
    <row r="2398" ht="15.75" customHeight="1">
      <c r="A2398" s="2" t="s">
        <v>2398</v>
      </c>
      <c r="B2398" s="2" t="str">
        <f>IFERROR(__xludf.DUMMYFUNCTION("GOOGLETRANSLATE(A2398, ""en"", ""mt"")"),"Il-konġettura ta 'Brocard")</f>
        <v>Il-konġettura ta 'Brocard</v>
      </c>
    </row>
    <row r="2399" ht="15.75" customHeight="1">
      <c r="A2399" s="2" t="s">
        <v>2399</v>
      </c>
      <c r="B2399" s="2" t="str">
        <f>IFERROR(__xludf.DUMMYFUNCTION("GOOGLETRANSLATE(A2399, ""en"", ""mt"")"),"Min hu kkreditat li jsib evidenza ta 'insedjamenti kbar fil-foresta tal-Amażonja?")</f>
        <v>Min hu kkreditat li jsib evidenza ta 'insedjamenti kbar fil-foresta tal-Amażonja?</v>
      </c>
    </row>
    <row r="2400" ht="15.75" customHeight="1">
      <c r="A2400" s="2" t="s">
        <v>2400</v>
      </c>
      <c r="B2400" s="2" t="str">
        <f>IFERROR(__xludf.DUMMYFUNCTION("GOOGLETRANSLATE(A2400, ""en"", ""mt"")"),"X'iktar intuża mill-Pharmas?")</f>
        <v>X'iktar intuża mill-Pharmas?</v>
      </c>
    </row>
    <row r="2401" ht="15.75" customHeight="1">
      <c r="A2401" s="2" t="s">
        <v>2401</v>
      </c>
      <c r="B2401" s="2" t="str">
        <f>IFERROR(__xludf.DUMMYFUNCTION("GOOGLETRANSLATE(A2401, ""en"", ""mt"")"),"X'direzzjoni jgħumu Cilia?")</f>
        <v>X'direzzjoni jgħumu Cilia?</v>
      </c>
    </row>
    <row r="2402" ht="15.75" customHeight="1">
      <c r="A2402" s="2" t="s">
        <v>2402</v>
      </c>
      <c r="B2402" s="2" t="str">
        <f>IFERROR(__xludf.DUMMYFUNCTION("GOOGLETRANSLATE(A2402, ""en"", ""mt"")"),"Minħabba l-post ċentrali tiegħu")</f>
        <v>Minħabba l-post ċentrali tiegħu</v>
      </c>
    </row>
    <row r="2403" ht="15.75" customHeight="1">
      <c r="A2403" s="2" t="s">
        <v>2403</v>
      </c>
      <c r="B2403" s="2" t="str">
        <f>IFERROR(__xludf.DUMMYFUNCTION("GOOGLETRANSLATE(A2403, ""en"", ""mt"")"),"Dwar mistoqsijiet kostituzzjonali fundamentali li jaffettwaw id-demokrazija u d-drittijiet tal-bniedem")</f>
        <v>Dwar mistoqsijiet kostituzzjonali fundamentali li jaffettwaw id-demokrazija u d-drittijiet tal-bniedem</v>
      </c>
    </row>
    <row r="2404" ht="15.75" customHeight="1">
      <c r="A2404" s="2" t="s">
        <v>2404</v>
      </c>
      <c r="B2404" s="2" t="str">
        <f>IFERROR(__xludf.DUMMYFUNCTION("GOOGLETRANSLATE(A2404, ""en"", ""mt"")"),"X'jiġri man-nematokisti tal-bram meta jittieklu mill-Haeckelia?")</f>
        <v>X'jiġri man-nematokisti tal-bram meta jittieklu mill-Haeckelia?</v>
      </c>
    </row>
    <row r="2405" ht="15.75" customHeight="1">
      <c r="A2405" s="2" t="s">
        <v>2405</v>
      </c>
      <c r="B2405" s="2" t="str">
        <f>IFERROR(__xludf.DUMMYFUNCTION("GOOGLETRANSLATE(A2405, ""en"", ""mt"")"),"Puente Hills")</f>
        <v>Puente Hills</v>
      </c>
    </row>
    <row r="2406" ht="15.75" customHeight="1">
      <c r="A2406" s="2" t="s">
        <v>2406</v>
      </c>
      <c r="B2406" s="2" t="str">
        <f>IFERROR(__xludf.DUMMYFUNCTION("GOOGLETRANSLATE(A2406, ""en"", ""mt"")"),"L-istennija tal-foresta tropikali tal-Amazon kienet ristretta qabel liema era?")</f>
        <v>L-istennija tal-foresta tropikali tal-Amazon kienet ristretta qabel liema era?</v>
      </c>
    </row>
    <row r="2407" ht="15.75" customHeight="1">
      <c r="A2407" s="2" t="s">
        <v>2407</v>
      </c>
      <c r="B2407" s="2" t="str">
        <f>IFERROR(__xludf.DUMMYFUNCTION("GOOGLETRANSLATE(A2407, ""en"", ""mt"")"),"X'kien żviluppat għall-Korporazzjoni Rand?")</f>
        <v>X'kien żviluppat għall-Korporazzjoni Rand?</v>
      </c>
    </row>
    <row r="2408" ht="15.75" customHeight="1">
      <c r="A2408" s="2" t="s">
        <v>2408</v>
      </c>
      <c r="B2408" s="2" t="str">
        <f>IFERROR(__xludf.DUMMYFUNCTION("GOOGLETRANSLATE(A2408, ""en"", ""mt"")"),"Renju Unit")</f>
        <v>Renju Unit</v>
      </c>
    </row>
    <row r="2409" ht="15.75" customHeight="1">
      <c r="A2409" s="2" t="s">
        <v>2409</v>
      </c>
      <c r="B2409" s="2" t="str">
        <f>IFERROR(__xludf.DUMMYFUNCTION("GOOGLETRANSLATE(A2409, ""en"", ""mt"")"),"Harvard jopera diversi mużewijiet tal-arti, kulturali u xjentifiċi. Il-mużewijiet tal-arti ta ’Harvard jinkludu tliet mużewijiet. Il-Mużew Arthur M. Sackler jinkludi kollezzjonijiet ta ’arti antika, Asjatika, Iżlamika u aktar tard, il-Mużew Busch-Reisinge"&amp;"r, li qabel kien il-Mużew Ġermaniku, ikopri l-Art Ċentrali u tat-Tramuntana tal-Ewropa, u l-Mużew Fogg tal-Art, ikopri arti tal-Punent min-nofs Etajiet sal-preżent li jenfasizzaw it-Taljan Rinaxximent Bikri, il-pre-Raphaelite Ingliża, u l-arti Franċiża ta"&amp;"s-seklu 19. Il-Mużew ta 'l-Istorja Naturali ta' Harvard jinkludi l-Mużew Mineralogiku ta 'Harvard, Harvard University Herbaria li fih il-Blaschka Glass Flowers, u l-Mużew taż-Żooloġija Komparattiva. Mużewijiet oħra jinkludu ċ-Ċentru tal-Karpenter għall-Ar"&amp;"ti Viżwali, iddisinjat minn Le Corbusier, li jospita l-arkivju tal-films, il-Mużew Peabody tal-Arkeoloġija u l-Etnoloġija, li jispeċjalizza fl-istorja kulturali u ċ-ċiviltajiet tal-Emisferu tal-Punent, u l-Mużew Semitiku li fih artifatti minn skavi il-Lva"&amp;"nt Nofsani.")</f>
        <v>Harvard jopera diversi mużewijiet tal-arti, kulturali u xjentifiċi. Il-mużewijiet tal-arti ta ’Harvard jinkludu tliet mużewijiet. Il-Mużew Arthur M. Sackler jinkludi kollezzjonijiet ta ’arti antika, Asjatika, Iżlamika u aktar tard, il-Mużew Busch-Reisinger, li qabel kien il-Mużew Ġermaniku, ikopri l-Art Ċentrali u tat-Tramuntana tal-Ewropa, u l-Mużew Fogg tal-Art, ikopri arti tal-Punent min-nofs Etajiet sal-preżent li jenfasizzaw it-Taljan Rinaxximent Bikri, il-pre-Raphaelite Ingliża, u l-arti Franċiża tas-seklu 19. Il-Mużew ta 'l-Istorja Naturali ta' Harvard jinkludi l-Mużew Mineralogiku ta 'Harvard, Harvard University Herbaria li fih il-Blaschka Glass Flowers, u l-Mużew taż-Żooloġija Komparattiva. Mużewijiet oħra jinkludu ċ-Ċentru tal-Karpenter għall-Arti Viżwali, iddisinjat minn Le Corbusier, li jospita l-arkivju tal-films, il-Mużew Peabody tal-Arkeoloġija u l-Etnoloġija, li jispeċjalizza fl-istorja kulturali u ċ-ċiviltajiet tal-Emisferu tal-Punent, u l-Mużew Semitiku li fih artifatti minn skavi il-Lvant Nofsani.</v>
      </c>
    </row>
    <row r="2410" ht="15.75" customHeight="1">
      <c r="A2410" s="2" t="s">
        <v>2410</v>
      </c>
      <c r="B2410" s="2" t="str">
        <f>IFERROR(__xludf.DUMMYFUNCTION("GOOGLETRANSLATE(A2410, ""en"", ""mt"")"),"X'kienu stabbiliti minn diversi kumpaniji?")</f>
        <v>X'kienu stabbiliti minn diversi kumpaniji?</v>
      </c>
    </row>
    <row r="2411" ht="15.75" customHeight="1">
      <c r="A2411" s="2" t="s">
        <v>2411</v>
      </c>
      <c r="B2411" s="2" t="str">
        <f>IFERROR(__xludf.DUMMYFUNCTION("GOOGLETRANSLATE(A2411, ""en"", ""mt"")"),"Liema kejl huwa affettwat mill-konverżjoni bejn il-mudelli tal-magni?")</f>
        <v>Liema kejl huwa affettwat mill-konverżjoni bejn il-mudelli tal-magni?</v>
      </c>
    </row>
    <row r="2412" ht="15.75" customHeight="1">
      <c r="A2412" s="2" t="s">
        <v>2412</v>
      </c>
      <c r="B2412" s="2" t="str">
        <f>IFERROR(__xludf.DUMMYFUNCTION("GOOGLETRANSLATE(A2412, ""en"", ""mt"")"),"Mongoljan, Tibetan, u Ċiniż")</f>
        <v>Mongoljan, Tibetan, u Ċiniż</v>
      </c>
    </row>
    <row r="2413" ht="15.75" customHeight="1">
      <c r="A2413" s="2" t="s">
        <v>2413</v>
      </c>
      <c r="B2413" s="2" t="str">
        <f>IFERROR(__xludf.DUMMYFUNCTION("GOOGLETRANSLATE(A2413, ""en"", ""mt"")"),"ossiġnu")</f>
        <v>ossiġnu</v>
      </c>
    </row>
    <row r="2414" ht="15.75" customHeight="1">
      <c r="A2414" s="2" t="s">
        <v>2414</v>
      </c>
      <c r="B2414" s="2" t="str">
        <f>IFERROR(__xludf.DUMMYFUNCTION("GOOGLETRANSLATE(A2414, ""en"", ""mt"")"),"It-tieni")</f>
        <v>It-tieni</v>
      </c>
    </row>
    <row r="2415" ht="15.75" customHeight="1">
      <c r="A2415" s="2" t="s">
        <v>2415</v>
      </c>
      <c r="B2415" s="2" t="str">
        <f>IFERROR(__xludf.DUMMYFUNCTION("GOOGLETRANSLATE(A2415, ""en"", ""mt"")"),"X'tagħmel id-diżubbidjenza ċivili diretta għal-liġi li mhix qed tiġi pprotestata?")</f>
        <v>X'tagħmel id-diżubbidjenza ċivili diretta għal-liġi li mhix qed tiġi pprotestata?</v>
      </c>
    </row>
    <row r="2416" ht="15.75" customHeight="1">
      <c r="A2416" s="2" t="s">
        <v>2416</v>
      </c>
      <c r="B2416" s="2" t="str">
        <f>IFERROR(__xludf.DUMMYFUNCTION("GOOGLETRANSLATE(A2416, ""en"", ""mt"")"),"sa erba 'minuti")</f>
        <v>sa erba 'minuti</v>
      </c>
    </row>
    <row r="2417" ht="15.75" customHeight="1">
      <c r="A2417" s="2" t="s">
        <v>2417</v>
      </c>
      <c r="B2417" s="2" t="str">
        <f>IFERROR(__xludf.DUMMYFUNCTION("GOOGLETRANSLATE(A2417, ""en"", ""mt"")"),"Kemm kien hemm Huguenots fi Franza fl-1685?")</f>
        <v>Kemm kien hemm Huguenots fi Franza fl-1685?</v>
      </c>
    </row>
    <row r="2418" ht="15.75" customHeight="1">
      <c r="A2418" s="2" t="s">
        <v>2418</v>
      </c>
      <c r="B2418" s="2" t="str">
        <f>IFERROR(__xludf.DUMMYFUNCTION("GOOGLETRANSLATE(A2418, ""en"", ""mt"")"),"Jekk wieħed jassumi li l-Forza tal-Ajru mħallsa għall-iżvilupp tal-kunċett, allura l-Forza tal-Ajru tkun intitolata għal ħlas ta 'royalties għal kull pakkett mibgħut?")</f>
        <v>Jekk wieħed jassumi li l-Forza tal-Ajru mħallsa għall-iżvilupp tal-kunċett, allura l-Forza tal-Ajru tkun intitolata għal ħlas ta 'royalties għal kull pakkett mibgħut?</v>
      </c>
    </row>
    <row r="2419" ht="15.75" customHeight="1">
      <c r="A2419" s="2" t="s">
        <v>2419</v>
      </c>
      <c r="B2419" s="2" t="str">
        <f>IFERROR(__xludf.DUMMYFUNCTION("GOOGLETRANSLATE(A2419, ""en"", ""mt"")"),"Kalamita qawwija")</f>
        <v>Kalamita qawwija</v>
      </c>
    </row>
    <row r="2420" ht="15.75" customHeight="1">
      <c r="A2420" s="2" t="s">
        <v>2420</v>
      </c>
      <c r="B2420" s="2" t="str">
        <f>IFERROR(__xludf.DUMMYFUNCTION("GOOGLETRANSLATE(A2420, ""en"", ""mt"")"),"Bosta familji tal-Greċja Biżantina kienu ta ’oriġini merċenarja Norman matul il-perjodu tar-restawr tal-Komneni, meta l-imperaturi Biżantini kienu qed ifittxu ġellieda tal-Ewropa tal-Punent. Ir-Raoulii kienu dixxendenti minn Italo-Norman jismu Raoul, il-P"&amp;"etraliphae kienu dixxendenti minn Pierre d'Aulps, u dak il-grupp ta 'gruppi Albaniżi magħrufa bħala l-Maniakates kienu dixxendenti minn Normanni li servew taħt George Maniaces fl-expedition Sqalli ta' l-1038.")</f>
        <v>Bosta familji tal-Greċja Biżantina kienu ta ’oriġini merċenarja Norman matul il-perjodu tar-restawr tal-Komneni, meta l-imperaturi Biżantini kienu qed ifittxu ġellieda tal-Ewropa tal-Punent. Ir-Raoulii kienu dixxendenti minn Italo-Norman jismu Raoul, il-Petraliphae kienu dixxendenti minn Pierre d'Aulps, u dak il-grupp ta 'gruppi Albaniżi magħrufa bħala l-Maniakates kienu dixxendenti minn Normanni li servew taħt George Maniaces fl-expedition Sqalli ta' l-1038.</v>
      </c>
    </row>
    <row r="2421" ht="15.75" customHeight="1">
      <c r="A2421" s="2" t="s">
        <v>2421</v>
      </c>
      <c r="B2421" s="2" t="str">
        <f>IFERROR(__xludf.DUMMYFUNCTION("GOOGLETRANSLATE(A2421, ""en"", ""mt"")"),"Pjanti m'għandhomx x'tip ta 'ċelloli immuni?")</f>
        <v>Pjanti m'għandhomx x'tip ta 'ċelloli immuni?</v>
      </c>
    </row>
    <row r="2422" ht="15.75" customHeight="1">
      <c r="A2422" s="2" t="s">
        <v>2422</v>
      </c>
      <c r="B2422" s="2" t="str">
        <f>IFERROR(__xludf.DUMMYFUNCTION("GOOGLETRANSLATE(A2422, ""en"", ""mt"")"),"It-Torri tal-Bank of America qabel kien magħruf bħala?")</f>
        <v>It-Torri tal-Bank of America qabel kien magħruf bħala?</v>
      </c>
    </row>
    <row r="2423" ht="15.75" customHeight="1">
      <c r="A2423" s="2" t="s">
        <v>2423</v>
      </c>
      <c r="B2423" s="2" t="str">
        <f>IFERROR(__xludf.DUMMYFUNCTION("GOOGLETRANSLATE(A2423, ""en"", ""mt"")"),"l-organizzazzjoni tal-jihad Iżlamiku Eġizzjan")</f>
        <v>l-organizzazzjoni tal-jihad Iżlamiku Eġizzjan</v>
      </c>
    </row>
    <row r="2424" ht="15.75" customHeight="1">
      <c r="A2424" s="2" t="s">
        <v>2424</v>
      </c>
      <c r="B2424" s="2" t="str">
        <f>IFERROR(__xludf.DUMMYFUNCTION("GOOGLETRANSLATE(A2424, ""en"", ""mt"")"),"Peninsulari")</f>
        <v>Peninsulari</v>
      </c>
    </row>
    <row r="2425" ht="15.75" customHeight="1">
      <c r="A2425" s="2" t="s">
        <v>2425</v>
      </c>
      <c r="B2425" s="2" t="str">
        <f>IFERROR(__xludf.DUMMYFUNCTION("GOOGLETRANSLATE(A2425, ""en"", ""mt"")"),"It-trabi tat-twelid m'għandhom l-ebda esponiment minn qabel għall-mikrobi u huma partikolarment vulnerabbli għall-infezzjoni. Diversi saffi ta ’protezzjoni passiva huma pprovduti mill-omm. Waqt it-tqala, tip partikolari ta 'antikorpi, imsejjaħ IgG, huwa t"&amp;"trasportat minn omm għal tarbija direttament madwar il-plaċenta, u għalhekk it-trabi umani għandhom livelli għoljin ta' antikorpi anke fit-twelid, bl-istess firxa ta 'speċifiċitajiet ta' antiġeni bħal ommhom. Il-ħalib tas-sider jew il-kolostru fih ukoll a"&amp;"ntikorpi li jiġu trasferiti fl-imsaren tat-tarbija u jipproteġu kontra infezzjonijiet batteriċi sakemm it-tarbija tat-twelid tkun tista 'tissintetizza l-antikorpi tiegħu stess. Din hija immunità passiva minħabba li l-fetu fil-fatt ma jagħmel l-ebda ċellol"&amp;"i tal-memorja jew antikorpi - jissellefhom biss. Din l-immunità passiva ġeneralment tkun għal żmien qasir, li ddum minn ftit jiem sa bosta xhur. Fil-mediċina, l-immunità passiva protettiva tista 'wkoll tiġi trasferita artifiċjalment minn individwu għal ie"&amp;"ħor permezz ta' serum b'ħafna antikorpi.")</f>
        <v>It-trabi tat-twelid m'għandhom l-ebda esponiment minn qabel għall-mikrobi u huma partikolarment vulnerabbli għall-infezzjoni. Diversi saffi ta ’protezzjoni passiva huma pprovduti mill-omm. Waqt it-tqala, tip partikolari ta 'antikorpi, imsejjaħ IgG, huwa ttrasportat minn omm għal tarbija direttament madwar il-plaċenta, u għalhekk it-trabi umani għandhom livelli għoljin ta' antikorpi anke fit-twelid, bl-istess firxa ta 'speċifiċitajiet ta' antiġeni bħal ommhom. Il-ħalib tas-sider jew il-kolostru fih ukoll antikorpi li jiġu trasferiti fl-imsaren tat-tarbija u jipproteġu kontra infezzjonijiet batteriċi sakemm it-tarbija tat-twelid tkun tista 'tissintetizza l-antikorpi tiegħu stess. Din hija immunità passiva minħabba li l-fetu fil-fatt ma jagħmel l-ebda ċelloli tal-memorja jew antikorpi - jissellefhom biss. Din l-immunità passiva ġeneralment tkun għal żmien qasir, li ddum minn ftit jiem sa bosta xhur. Fil-mediċina, l-immunità passiva protettiva tista 'wkoll tiġi trasferita artifiċjalment minn individwu għal ieħor permezz ta' serum b'ħafna antikorpi.</v>
      </c>
    </row>
    <row r="2426" ht="15.75" customHeight="1">
      <c r="A2426" s="2" t="s">
        <v>2426</v>
      </c>
      <c r="B2426" s="2" t="str">
        <f>IFERROR(__xludf.DUMMYFUNCTION("GOOGLETRANSLATE(A2426, ""en"", ""mt"")"),"L-ex Kamra tad-Dibattitu tal-Kunsill Reġjonali ta 'Strathclyde")</f>
        <v>L-ex Kamra tad-Dibattitu tal-Kunsill Reġjonali ta 'Strathclyde</v>
      </c>
    </row>
    <row r="2427" ht="15.75" customHeight="1">
      <c r="A2427" s="2" t="s">
        <v>2427</v>
      </c>
      <c r="B2427" s="2" t="str">
        <f>IFERROR(__xludf.DUMMYFUNCTION("GOOGLETRANSLATE(A2427, ""en"", ""mt"")"),"X'tip ta 'diviżjoni tal-poter kellu l-gvern ta' Kublai?")</f>
        <v>X'tip ta 'diviżjoni tal-poter kellu l-gvern ta' Kublai?</v>
      </c>
    </row>
    <row r="2428" ht="15.75" customHeight="1">
      <c r="A2428" s="2" t="s">
        <v>2428</v>
      </c>
      <c r="B2428" s="2" t="str">
        <f>IFERROR(__xludf.DUMMYFUNCTION("GOOGLETRANSLATE(A2428, ""en"", ""mt"")"),"X'inhuma żewġ eżempji ta 'vertebrati primittivi ta' xedaq?")</f>
        <v>X'inhuma żewġ eżempji ta 'vertebrati primittivi ta' xedaq?</v>
      </c>
    </row>
    <row r="2429" ht="15.75" customHeight="1">
      <c r="A2429" s="2" t="s">
        <v>2429</v>
      </c>
      <c r="B2429" s="2" t="str">
        <f>IFERROR(__xludf.DUMMYFUNCTION("GOOGLETRANSLATE(A2429, ""en"", ""mt"")"),"Liema skola privata notevoli għandha dotazzjoni ta 'bosta mijiet ta' miljun dollaru?")</f>
        <v>Liema skola privata notevoli għandha dotazzjoni ta 'bosta mijiet ta' miljun dollaru?</v>
      </c>
    </row>
    <row r="2430" ht="15.75" customHeight="1">
      <c r="A2430" s="2" t="s">
        <v>2430</v>
      </c>
      <c r="B2430" s="2" t="str">
        <f>IFERROR(__xludf.DUMMYFUNCTION("GOOGLETRANSLATE(A2430, ""en"", ""mt"")"),"X’ma rrikonoxxietx il-Qorti tal-Ġustizzja?")</f>
        <v>X’ma rrikonoxxietx il-Qorti tal-Ġustizzja?</v>
      </c>
    </row>
    <row r="2431" ht="15.75" customHeight="1">
      <c r="A2431" s="2" t="s">
        <v>2431</v>
      </c>
      <c r="B2431" s="2" t="str">
        <f>IFERROR(__xludf.DUMMYFUNCTION("GOOGLETRANSLATE(A2431, ""en"", ""mt"")"),"X'tifhem il-mikroskopija ottika dwar postijiet individwali?")</f>
        <v>X'tifhem il-mikroskopija ottika dwar postijiet individwali?</v>
      </c>
    </row>
    <row r="2432" ht="15.75" customHeight="1">
      <c r="A2432" s="2" t="s">
        <v>2432</v>
      </c>
      <c r="B2432" s="2" t="str">
        <f>IFERROR(__xludf.DUMMYFUNCTION("GOOGLETRANSLATE(A2432, ""en"", ""mt"")"),"James Watt")</f>
        <v>James Watt</v>
      </c>
    </row>
    <row r="2433" ht="15.75" customHeight="1">
      <c r="A2433" s="2" t="s">
        <v>2433</v>
      </c>
      <c r="B2433" s="2" t="str">
        <f>IFERROR(__xludf.DUMMYFUNCTION("GOOGLETRANSLATE(A2433, ""en"", ""mt"")"),"Ferrovija ta 'Stockton u Darlington")</f>
        <v>Ferrovija ta 'Stockton u Darlington</v>
      </c>
    </row>
    <row r="2434" ht="15.75" customHeight="1">
      <c r="A2434" s="2" t="s">
        <v>2434</v>
      </c>
      <c r="B2434" s="2" t="str">
        <f>IFERROR(__xludf.DUMMYFUNCTION("GOOGLETRANSLATE(A2434, ""en"", ""mt"")"),"Kważi miljun persuna")</f>
        <v>Kważi miljun persuna</v>
      </c>
    </row>
    <row r="2435" ht="15.75" customHeight="1">
      <c r="A2435" s="2" t="s">
        <v>2435</v>
      </c>
      <c r="B2435" s="2" t="str">
        <f>IFERROR(__xludf.DUMMYFUNCTION("GOOGLETRANSLATE(A2435, ""en"", ""mt"")"),"kolonizzazzjoni")</f>
        <v>kolonizzazzjoni</v>
      </c>
    </row>
    <row r="2436" ht="15.75" customHeight="1">
      <c r="A2436" s="2" t="s">
        <v>2436</v>
      </c>
      <c r="B2436" s="2" t="str">
        <f>IFERROR(__xludf.DUMMYFUNCTION("GOOGLETRANSLATE(A2436, ""en"", ""mt"")"),"Il-kriżi taż-żejt tal-1973 bdiet f'Ottubru 1973 meta l-membri tal-Organizzazzjoni tal-Pajjiżi Esportanti tal-Petrolju Għarab (OAPEC, li jikkonsistu mill-membri Għarab tal-OPEC flimkien mal-Eġittu u s-Sirja) ipproklamaw embargo taż-żejt. Sa tmiem l-embargo"&amp;" f'Marzu 1974, il-prezz taż-żejt kien żdied minn US $ 3 kull barmil għal kważi $ 12 globalment; Il-prezzijiet tal-Istati Uniti kienu sinifikament ogħla. L-embargo kkawża kriżi taż-żejt, jew ""xokk"", b'ħafna effetti għal żmien qasir u fit-tul fuq il-polit"&amp;"ika globali u l-ekonomija globali. Aktar tard ġie msejjaħ ""l-ewwel xokk taż-żejt"", segwit mill-kriżi taż-żejt tal-1979, imsejjaħ it- ""Tieni Xokk taż-Żejt.""")</f>
        <v>Il-kriżi taż-żejt tal-1973 bdiet f'Ottubru 1973 meta l-membri tal-Organizzazzjoni tal-Pajjiżi Esportanti tal-Petrolju Għarab (OAPEC, li jikkonsistu mill-membri Għarab tal-OPEC flimkien mal-Eġittu u s-Sirja) ipproklamaw embargo taż-żejt. Sa tmiem l-embargo f'Marzu 1974, il-prezz taż-żejt kien żdied minn US $ 3 kull barmil għal kważi $ 12 globalment; Il-prezzijiet tal-Istati Uniti kienu sinifikament ogħla. L-embargo kkawża kriżi taż-żejt, jew "xokk", b'ħafna effetti għal żmien qasir u fit-tul fuq il-politika globali u l-ekonomija globali. Aktar tard ġie msejjaħ "l-ewwel xokk taż-żejt", segwit mill-kriżi taż-żejt tal-1979, imsejjaħ it- "Tieni Xokk taż-Żejt."</v>
      </c>
    </row>
    <row r="2437" ht="15.75" customHeight="1">
      <c r="A2437" s="2" t="s">
        <v>2437</v>
      </c>
      <c r="B2437" s="2" t="str">
        <f>IFERROR(__xludf.DUMMYFUNCTION("GOOGLETRANSLATE(A2437, ""en"", ""mt"")"),"Shoushi li")</f>
        <v>Shoushi li</v>
      </c>
    </row>
    <row r="2438" ht="15.75" customHeight="1">
      <c r="A2438" s="2" t="s">
        <v>2438</v>
      </c>
      <c r="B2438" s="2" t="str">
        <f>IFERROR(__xludf.DUMMYFUNCTION("GOOGLETRANSLATE(A2438, ""en"", ""mt"")"),"94")</f>
        <v>94</v>
      </c>
    </row>
    <row r="2439" ht="15.75" customHeight="1">
      <c r="A2439" s="2" t="s">
        <v>2439</v>
      </c>
      <c r="B2439" s="2" t="str">
        <f>IFERROR(__xludf.DUMMYFUNCTION("GOOGLETRANSLATE(A2439, ""en"", ""mt"")"),"1,000 m3 / s (35,000 cu ft / s),")</f>
        <v>1,000 m3 / s (35,000 cu ft / s),</v>
      </c>
    </row>
    <row r="2440" ht="15.75" customHeight="1">
      <c r="A2440" s="2" t="s">
        <v>2440</v>
      </c>
      <c r="B2440" s="2" t="str">
        <f>IFERROR(__xludf.DUMMYFUNCTION("GOOGLETRANSLATE(A2440, ""en"", ""mt"")"),"Kemm oġġetti hija d-dar tal-Librerija ZBigniew?")</f>
        <v>Kemm oġġetti hija d-dar tal-Librerija ZBigniew?</v>
      </c>
    </row>
    <row r="2441" ht="15.75" customHeight="1">
      <c r="A2441" s="2" t="s">
        <v>2441</v>
      </c>
      <c r="B2441" s="2" t="str">
        <f>IFERROR(__xludf.DUMMYFUNCTION("GOOGLETRANSLATE(A2441, ""en"", ""mt"")"),"Il-kisba tal-kontroll tal-kriminalità permezz ta 'inkapaċità u deterrenza")</f>
        <v>Il-kisba tal-kontroll tal-kriminalità permezz ta 'inkapaċità u deterrenza</v>
      </c>
    </row>
    <row r="2442" ht="15.75" customHeight="1">
      <c r="A2442" s="2" t="s">
        <v>2442</v>
      </c>
      <c r="B2442" s="2" t="str">
        <f>IFERROR(__xludf.DUMMYFUNCTION("GOOGLETRANSLATE(A2442, ""en"", ""mt"")"),"Ottubru")</f>
        <v>Ottubru</v>
      </c>
    </row>
    <row r="2443" ht="15.75" customHeight="1">
      <c r="A2443" s="2" t="s">
        <v>2443</v>
      </c>
      <c r="B2443" s="2" t="str">
        <f>IFERROR(__xludf.DUMMYFUNCTION("GOOGLETRANSLATE(A2443, ""en"", ""mt"")"),"X'promwoviet NSFNET")</f>
        <v>X'promwoviet NSFNET</v>
      </c>
    </row>
    <row r="2444" ht="15.75" customHeight="1">
      <c r="A2444" s="2" t="s">
        <v>2444</v>
      </c>
      <c r="B2444" s="2" t="str">
        <f>IFERROR(__xludf.DUMMYFUNCTION("GOOGLETRANSLATE(A2444, ""en"", ""mt"")"),"Biex iddur bilanċ")</f>
        <v>Biex iddur bilanċ</v>
      </c>
    </row>
    <row r="2445" ht="15.75" customHeight="1">
      <c r="A2445" s="2" t="s">
        <v>2445</v>
      </c>
      <c r="B2445" s="2" t="str">
        <f>IFERROR(__xludf.DUMMYFUNCTION("GOOGLETRANSLATE(A2445, ""en"", ""mt"")"),"Kif kien imsejjaħ meta l-popolazzjoni bajda ta ’Jacksonville marret tgħix il-belt?")</f>
        <v>Kif kien imsejjaħ meta l-popolazzjoni bajda ta ’Jacksonville marret tgħix il-belt?</v>
      </c>
    </row>
    <row r="2446" ht="15.75" customHeight="1">
      <c r="A2446" s="2" t="s">
        <v>2446</v>
      </c>
      <c r="B2446" s="2" t="str">
        <f>IFERROR(__xludf.DUMMYFUNCTION("GOOGLETRANSLATE(A2446, ""en"", ""mt"")"),"Kemm kienet ogħla r-rata ta 'deforestazzjoni fl-2000, sal-2005 meta mqabbla mal-1995 sal-2000?")</f>
        <v>Kemm kienet ogħla r-rata ta 'deforestazzjoni fl-2000, sal-2005 meta mqabbla mal-1995 sal-2000?</v>
      </c>
    </row>
    <row r="2447" ht="15.75" customHeight="1">
      <c r="A2447" s="2" t="s">
        <v>2447</v>
      </c>
      <c r="B2447" s="2" t="str">
        <f>IFERROR(__xludf.DUMMYFUNCTION("GOOGLETRANSLATE(A2447, ""en"", ""mt"")"),"1,300,000")</f>
        <v>1,300,000</v>
      </c>
    </row>
    <row r="2448" ht="15.75" customHeight="1">
      <c r="A2448" s="2" t="s">
        <v>2448</v>
      </c>
      <c r="B2448" s="2" t="str">
        <f>IFERROR(__xludf.DUMMYFUNCTION("GOOGLETRANSLATE(A2448, ""en"", ""mt"")"),"Meta ġie abolit il-kalifat Ottoman?")</f>
        <v>Meta ġie abolit il-kalifat Ottoman?</v>
      </c>
    </row>
    <row r="2449" ht="15.75" customHeight="1">
      <c r="A2449" s="2" t="s">
        <v>2449</v>
      </c>
      <c r="B2449" s="2" t="str">
        <f>IFERROR(__xludf.DUMMYFUNCTION("GOOGLETRANSLATE(A2449, ""en"", ""mt"")"),"Kmamar tal-ossiġnu speċjali")</f>
        <v>Kmamar tal-ossiġnu speċjali</v>
      </c>
    </row>
    <row r="2450" ht="15.75" customHeight="1">
      <c r="A2450" s="2" t="s">
        <v>2450</v>
      </c>
      <c r="B2450" s="2" t="str">
        <f>IFERROR(__xludf.DUMMYFUNCTION("GOOGLETRANSLATE(A2450, ""en"", ""mt"")"),"Newcomen")</f>
        <v>Newcomen</v>
      </c>
    </row>
    <row r="2451" ht="15.75" customHeight="1">
      <c r="A2451" s="2" t="s">
        <v>2451</v>
      </c>
      <c r="B2451" s="2" t="str">
        <f>IFERROR(__xludf.DUMMYFUNCTION("GOOGLETRANSLATE(A2451, ""en"", ""mt"")"),"F'liema sena jgħixu n-nies tat-timucue fiż-żona ta 'Jacksonville?")</f>
        <v>F'liema sena jgħixu n-nies tat-timucue fiż-żona ta 'Jacksonville?</v>
      </c>
    </row>
    <row r="2452" ht="15.75" customHeight="1">
      <c r="A2452" s="2" t="s">
        <v>2452</v>
      </c>
      <c r="B2452" s="2" t="str">
        <f>IFERROR(__xludf.DUMMYFUNCTION("GOOGLETRANSLATE(A2452, ""en"", ""mt"")"),"X'ħin l-MSPs normalment jiddeċiedu dwar il-mozzjonijiet u l-emendi minn dak in-nhar?")</f>
        <v>X'ħin l-MSPs normalment jiddeċiedu dwar il-mozzjonijiet u l-emendi minn dak in-nhar?</v>
      </c>
    </row>
    <row r="2453" ht="15.75" customHeight="1">
      <c r="A2453" s="2" t="s">
        <v>2453</v>
      </c>
      <c r="B2453" s="2" t="str">
        <f>IFERROR(__xludf.DUMMYFUNCTION("GOOGLETRANSLATE(A2453, ""en"", ""mt"")"),"Min jingħata kreditu biex jiskopri ġeoglyphs tul ix-xmara Amazon?")</f>
        <v>Min jingħata kreditu biex jiskopri ġeoglyphs tul ix-xmara Amazon?</v>
      </c>
    </row>
    <row r="2454" ht="15.75" customHeight="1">
      <c r="A2454" s="2" t="s">
        <v>2454</v>
      </c>
      <c r="B2454" s="2" t="str">
        <f>IFERROR(__xludf.DUMMYFUNCTION("GOOGLETRANSLATE(A2454, ""en"", ""mt"")"),"Liema reġjun metropolitana internazzjonali jinsab fil-grigal ta 'Megalopolis?")</f>
        <v>Liema reġjun metropolitana internazzjonali jinsab fil-grigal ta 'Megalopolis?</v>
      </c>
    </row>
    <row r="2455" ht="15.75" customHeight="1">
      <c r="A2455" s="2" t="s">
        <v>2455</v>
      </c>
      <c r="B2455" s="2" t="str">
        <f>IFERROR(__xludf.DUMMYFUNCTION("GOOGLETRANSLATE(A2455, ""en"", ""mt"")"),"Id-Direttiva dwar il-Prattiki Kummerċjali Inġusti")</f>
        <v>Id-Direttiva dwar il-Prattiki Kummerċjali Inġusti</v>
      </c>
    </row>
    <row r="2456" ht="15.75" customHeight="1">
      <c r="A2456" s="2" t="s">
        <v>2456</v>
      </c>
      <c r="B2456" s="2" t="str">
        <f>IFERROR(__xludf.DUMMYFUNCTION("GOOGLETRANSLATE(A2456, ""en"", ""mt"")"),"Ċirkwiti Booleani;")</f>
        <v>Ċirkwiti Booleani;</v>
      </c>
    </row>
    <row r="2457" ht="15.75" customHeight="1">
      <c r="A2457" s="2" t="s">
        <v>2457</v>
      </c>
      <c r="B2457" s="2" t="str">
        <f>IFERROR(__xludf.DUMMYFUNCTION("GOOGLETRANSLATE(A2457, ""en"", ""mt"")"),"Domanda mnaqqsa tal-konsumatur")</f>
        <v>Domanda mnaqqsa tal-konsumatur</v>
      </c>
    </row>
    <row r="2458" ht="15.75" customHeight="1">
      <c r="A2458" s="2" t="s">
        <v>2458</v>
      </c>
      <c r="B2458" s="2" t="str">
        <f>IFERROR(__xludf.DUMMYFUNCTION("GOOGLETRANSLATE(A2458, ""en"", ""mt"")"),"Kemm damet il-Gwerra Bierda?")</f>
        <v>Kemm damet il-Gwerra Bierda?</v>
      </c>
    </row>
    <row r="2459" ht="15.75" customHeight="1">
      <c r="A2459" s="2" t="s">
        <v>2459</v>
      </c>
      <c r="B2459" s="2" t="str">
        <f>IFERROR(__xludf.DUMMYFUNCTION("GOOGLETRANSLATE(A2459, ""en"", ""mt"")"),"F'liema sena Raymond Sullivan ippubblika studju ta 'settijiet rudimentarji?")</f>
        <v>F'liema sena Raymond Sullivan ippubblika studju ta 'settijiet rudimentarji?</v>
      </c>
    </row>
    <row r="2460" ht="15.75" customHeight="1">
      <c r="A2460" s="2" t="s">
        <v>2460</v>
      </c>
      <c r="B2460" s="2" t="str">
        <f>IFERROR(__xludf.DUMMYFUNCTION("GOOGLETRANSLATE(A2460, ""en"", ""mt"")"),"Liema l-ewwel dipartiment tar-reliġjon tad-dinja għen biex jiżviluppa?")</f>
        <v>Liema l-ewwel dipartiment tar-reliġjon tad-dinja għen biex jiżviluppa?</v>
      </c>
    </row>
    <row r="2461" ht="15.75" customHeight="1">
      <c r="A2461" s="2" t="s">
        <v>2461</v>
      </c>
      <c r="B2461" s="2" t="str">
        <f>IFERROR(__xludf.DUMMYFUNCTION("GOOGLETRANSLATE(A2461, ""en"", ""mt"")"),"X'inhuma s-sitt tipi ta 'tnaqqis?")</f>
        <v>X'inhuma s-sitt tipi ta 'tnaqqis?</v>
      </c>
    </row>
    <row r="2462" ht="15.75" customHeight="1">
      <c r="A2462" s="2" t="s">
        <v>2462</v>
      </c>
      <c r="B2462" s="2" t="str">
        <f>IFERROR(__xludf.DUMMYFUNCTION("GOOGLETRANSLATE(A2462, ""en"", ""mt"")"),"Guo Shoujing")</f>
        <v>Guo Shoujing</v>
      </c>
    </row>
    <row r="2463" ht="15.75" customHeight="1">
      <c r="A2463" s="2" t="s">
        <v>2463</v>
      </c>
      <c r="B2463" s="2" t="str">
        <f>IFERROR(__xludf.DUMMYFUNCTION("GOOGLETRANSLATE(A2463, ""en"", ""mt"")"),"San Ġwann")</f>
        <v>San Ġwann</v>
      </c>
    </row>
    <row r="2464" ht="15.75" customHeight="1">
      <c r="A2464" s="2" t="s">
        <v>2464</v>
      </c>
      <c r="B2464" s="2" t="str">
        <f>IFERROR(__xludf.DUMMYFUNCTION("GOOGLETRANSLATE(A2464, ""en"", ""mt"")"),"X'inhu l-laqam għad-Delta fl-Olanda?")</f>
        <v>X'inhu l-laqam għad-Delta fl-Olanda?</v>
      </c>
    </row>
    <row r="2465" ht="15.75" customHeight="1">
      <c r="A2465" s="2" t="s">
        <v>2465</v>
      </c>
      <c r="B2465" s="2" t="str">
        <f>IFERROR(__xludf.DUMMYFUNCTION("GOOGLETRANSLATE(A2465, ""en"", ""mt"")"),"is-sid tal-proprjetà")</f>
        <v>is-sid tal-proprjetà</v>
      </c>
    </row>
    <row r="2466" ht="15.75" customHeight="1">
      <c r="A2466" s="2" t="s">
        <v>2466</v>
      </c>
      <c r="B2466" s="2" t="str">
        <f>IFERROR(__xludf.DUMMYFUNCTION("GOOGLETRANSLATE(A2466, ""en"", ""mt"")"),"Meded peninsulari")</f>
        <v>Meded peninsulari</v>
      </c>
    </row>
    <row r="2467" ht="15.75" customHeight="1">
      <c r="A2467" s="2" t="s">
        <v>2467</v>
      </c>
      <c r="B2467" s="2" t="str">
        <f>IFERROR(__xludf.DUMMYFUNCTION("GOOGLETRANSLATE(A2467, ""en"", ""mt"")"),"detrimentali")</f>
        <v>detrimentali</v>
      </c>
    </row>
    <row r="2468" ht="15.75" customHeight="1">
      <c r="A2468" s="2" t="s">
        <v>2468</v>
      </c>
      <c r="B2468" s="2" t="str">
        <f>IFERROR(__xludf.DUMMYFUNCTION("GOOGLETRANSLATE(A2468, ""en"", ""mt"")"),"Min brevettat magna kompost bi pressjoni għolja fl-1805?")</f>
        <v>Min brevettat magna kompost bi pressjoni għolja fl-1805?</v>
      </c>
    </row>
    <row r="2469" ht="15.75" customHeight="1">
      <c r="A2469" s="2" t="s">
        <v>2469</v>
      </c>
      <c r="B2469" s="2" t="str">
        <f>IFERROR(__xludf.DUMMYFUNCTION("GOOGLETRANSLATE(A2469, ""en"", ""mt"")"),"muturi elettriċi u kombustjoni interna")</f>
        <v>muturi elettriċi u kombustjoni interna</v>
      </c>
    </row>
    <row r="2470" ht="15.75" customHeight="1">
      <c r="A2470" s="2" t="s">
        <v>2470</v>
      </c>
      <c r="B2470" s="2" t="str">
        <f>IFERROR(__xludf.DUMMYFUNCTION("GOOGLETRANSLATE(A2470, ""en"", ""mt"")"),"Negozjanti Ġenesi")</f>
        <v>Negozjanti Ġenesi</v>
      </c>
    </row>
    <row r="2471" ht="15.75" customHeight="1">
      <c r="A2471" s="2" t="s">
        <v>2471</v>
      </c>
      <c r="B2471" s="2" t="str">
        <f>IFERROR(__xludf.DUMMYFUNCTION("GOOGLETRANSLATE(A2471, ""en"", ""mt"")"),"Min kien iben Robert?")</f>
        <v>Min kien iben Robert?</v>
      </c>
    </row>
    <row r="2472" ht="15.75" customHeight="1">
      <c r="A2472" s="2" t="s">
        <v>2472</v>
      </c>
      <c r="B2472" s="2" t="str">
        <f>IFERROR(__xludf.DUMMYFUNCTION("GOOGLETRANSLATE(A2472, ""en"", ""mt"")"),"Meta twieled James Hutton?")</f>
        <v>Meta twieled James Hutton?</v>
      </c>
    </row>
    <row r="2473" ht="15.75" customHeight="1">
      <c r="A2473" s="2" t="s">
        <v>2473</v>
      </c>
      <c r="B2473" s="2" t="str">
        <f>IFERROR(__xludf.DUMMYFUNCTION("GOOGLETRANSLATE(A2473, ""en"", ""mt"")"),"Fis-Sistema Federali tal-Kura tas-Saħħa ta 'l-Istati Uniti (inklużi l-VA, is-Servizz tas-Saħħa Indjana, u l-NIH) l-ispiżjara tal-kura ambulatorju jingħataw awtorità ta' preskrizzjoni indipendenti sħiħa. F’xi stati bħal North Carolina u New Mexico dawn il-"&amp;"kliniċi tal-ispiżjar jingħataw awtorità preskrittiva u dijanjostika kollaborattiva. Fl-2011 il-Bord tal-Ispeċjalitajiet Farmaċewtiċi approva l-prattika tal-ispiżerija tal-kura ambulatorja bħala ċertifikazzjoni separata tal-bord. In-nomina uffiċjali għall-"&amp;"ispiżjara li jgħaddu l-eżami taċ-ċertifikazzjoni tal-ispiżerija tal-ispiżerija tal-kura tal-ispiżerija se jkunu l-ispiżjar tal-kura ambulatorja ċċertifikata u dawn l-ispiżjara se jġorru l-inizjali tal-BCACP.")</f>
        <v>Fis-Sistema Federali tal-Kura tas-Saħħa ta 'l-Istati Uniti (inklużi l-VA, is-Servizz tas-Saħħa Indjana, u l-NIH) l-ispiżjara tal-kura ambulatorju jingħataw awtorità ta' preskrizzjoni indipendenti sħiħa. F’xi stati bħal North Carolina u New Mexico dawn il-kliniċi tal-ispiżjar jingħataw awtorità preskrittiva u dijanjostika kollaborattiva. Fl-2011 il-Bord tal-Ispeċjalitajiet Farmaċewtiċi approva l-prattika tal-ispiżerija tal-kura ambulatorja bħala ċertifikazzjoni separata tal-bord. In-nomina uffiċjali għall-ispiżjara li jgħaddu l-eżami taċ-ċertifikazzjoni tal-ispiżerija tal-ispiżerija tal-kura tal-ispiżerija se jkunu l-ispiżjar tal-kura ambulatorja ċċertifikata u dawn l-ispiżjara se jġorru l-inizjali tal-BCACP.</v>
      </c>
    </row>
    <row r="2474" ht="15.75" customHeight="1">
      <c r="A2474" s="2" t="s">
        <v>2474</v>
      </c>
      <c r="B2474" s="2" t="str">
        <f>IFERROR(__xludf.DUMMYFUNCTION("GOOGLETRANSLATE(A2474, ""en"", ""mt"")"),"tipiku tal-pajjiżi tal-blokk tal-Lvant")</f>
        <v>tipiku tal-pajjiżi tal-blokk tal-Lvant</v>
      </c>
    </row>
    <row r="2475" ht="15.75" customHeight="1">
      <c r="A2475" s="2" t="s">
        <v>2475</v>
      </c>
      <c r="B2475" s="2" t="str">
        <f>IFERROR(__xludf.DUMMYFUNCTION("GOOGLETRANSLATE(A2475, ""en"", ""mt"")"),"Salafism jippreżenta li d-demokrazija hija responsabbli għal liema tip ta 'avvenimenti horrible tas-seklu 20?")</f>
        <v>Salafism jippreżenta li d-demokrazija hija responsabbli għal liema tip ta 'avvenimenti horrible tas-seklu 20?</v>
      </c>
    </row>
    <row r="2476" ht="15.75" customHeight="1">
      <c r="A2476" s="2" t="s">
        <v>2476</v>
      </c>
      <c r="B2476" s="2" t="str">
        <f>IFERROR(__xludf.DUMMYFUNCTION("GOOGLETRANSLATE(A2476, ""en"", ""mt"")"),"Inerzja")</f>
        <v>Inerzja</v>
      </c>
    </row>
    <row r="2477" ht="15.75" customHeight="1">
      <c r="A2477" s="2" t="s">
        <v>2477</v>
      </c>
      <c r="B2477" s="2" t="str">
        <f>IFERROR(__xludf.DUMMYFUNCTION("GOOGLETRANSLATE(A2477, ""en"", ""mt"")"),"Kriżi Finanzjarja tal-2007–08")</f>
        <v>Kriżi Finanzjarja tal-2007–08</v>
      </c>
    </row>
    <row r="2478" ht="15.75" customHeight="1">
      <c r="A2478" s="2" t="s">
        <v>2478</v>
      </c>
      <c r="B2478" s="2" t="str">
        <f>IFERROR(__xludf.DUMMYFUNCTION("GOOGLETRANSLATE(A2478, ""en"", ""mt"")"),"Lagi kbar")</f>
        <v>Lagi kbar</v>
      </c>
    </row>
    <row r="2479" ht="15.75" customHeight="1">
      <c r="A2479" s="2" t="s">
        <v>2479</v>
      </c>
      <c r="B2479" s="2" t="str">
        <f>IFERROR(__xludf.DUMMYFUNCTION("GOOGLETRANSLATE(A2479, ""en"", ""mt"")"),"Ħafna mill-bażi tat-taxxa tal-belt tinħela")</f>
        <v>Ħafna mill-bażi tat-taxxa tal-belt tinħela</v>
      </c>
    </row>
    <row r="2480" ht="15.75" customHeight="1">
      <c r="A2480" s="2" t="s">
        <v>2480</v>
      </c>
      <c r="B2480" s="2" t="str">
        <f>IFERROR(__xludf.DUMMYFUNCTION("GOOGLETRANSLATE(A2480, ""en"", ""mt"")"),"Mill-1947 sal-1967, kemm żdied il-prezz taż-żejt?")</f>
        <v>Mill-1947 sal-1967, kemm żdied il-prezz taż-żejt?</v>
      </c>
    </row>
    <row r="2481" ht="15.75" customHeight="1">
      <c r="A2481" s="2" t="s">
        <v>2481</v>
      </c>
      <c r="B2481" s="2" t="str">
        <f>IFERROR(__xludf.DUMMYFUNCTION("GOOGLETRANSLATE(A2481, ""en"", ""mt"")")," Min kien il-ħakkiem Karluk Kara-Khanid ikklassifikat hawn taħt?")</f>
        <v> Min kien il-ħakkiem Karluk Kara-Khanid ikklassifikat hawn taħt?</v>
      </c>
    </row>
    <row r="2482" ht="15.75" customHeight="1">
      <c r="A2482" s="2" t="s">
        <v>2482</v>
      </c>
      <c r="B2482" s="2" t="str">
        <f>IFERROR(__xludf.DUMMYFUNCTION("GOOGLETRANSLATE(A2482, ""en"", ""mt"")"),"korp ta 'trattati u leġislazzjoni")</f>
        <v>korp ta 'trattati u leġislazzjoni</v>
      </c>
    </row>
    <row r="2483" ht="15.75" customHeight="1">
      <c r="A2483" s="2" t="s">
        <v>2483</v>
      </c>
      <c r="B2483" s="2" t="str">
        <f>IFERROR(__xludf.DUMMYFUNCTION("GOOGLETRANSLATE(A2483, ""en"", ""mt"")")," X’użat Gou għax-xjenza?")</f>
        <v> X’użat Gou għax-xjenza?</v>
      </c>
    </row>
    <row r="2484" ht="15.75" customHeight="1">
      <c r="A2484" s="2" t="s">
        <v>2484</v>
      </c>
      <c r="B2484" s="2" t="str">
        <f>IFERROR(__xludf.DUMMYFUNCTION("GOOGLETRANSLATE(A2484, ""en"", ""mt"")")," Liema isem ta 'stil Ċiniż irrifjuta Rinchinbal?")</f>
        <v> Liema isem ta 'stil Ċiniż irrifjuta Rinchinbal?</v>
      </c>
    </row>
    <row r="2485" ht="15.75" customHeight="1">
      <c r="A2485" s="2" t="s">
        <v>2485</v>
      </c>
      <c r="B2485" s="2" t="str">
        <f>IFERROR(__xludf.DUMMYFUNCTION("GOOGLETRANSLATE(A2485, ""en"", ""mt"")"),"Conan O'Brien")</f>
        <v>Conan O'Brien</v>
      </c>
    </row>
    <row r="2486" ht="15.75" customHeight="1">
      <c r="A2486" s="2" t="s">
        <v>2486</v>
      </c>
      <c r="B2486" s="2" t="str">
        <f>IFERROR(__xludf.DUMMYFUNCTION("GOOGLETRANSLATE(A2486, ""en"", ""mt"")"),"Bħala funzjoni tad-daqs tal-istanza")</f>
        <v>Bħala funzjoni tad-daqs tal-istanza</v>
      </c>
    </row>
    <row r="2487" ht="15.75" customHeight="1">
      <c r="A2487" s="2" t="s">
        <v>2487</v>
      </c>
      <c r="B2487" s="2" t="str">
        <f>IFERROR(__xludf.DUMMYFUNCTION("GOOGLETRANSLATE(A2487, ""en"", ""mt"")"),"5 sa 15")</f>
        <v>5 sa 15</v>
      </c>
    </row>
    <row r="2488" ht="15.75" customHeight="1">
      <c r="A2488" s="2" t="s">
        <v>2488</v>
      </c>
      <c r="B2488" s="2" t="str">
        <f>IFERROR(__xludf.DUMMYFUNCTION("GOOGLETRANSLATE(A2488, ""en"", ""mt"")"),"Il-President tal-Kunsill jista 'jivvota dwar kwistjonijiet importanti relatati mal-Bank Ċentrali Ewropew?")</f>
        <v>Il-President tal-Kunsill jista 'jivvota dwar kwistjonijiet importanti relatati mal-Bank Ċentrali Ewropew?</v>
      </c>
    </row>
    <row r="2489" ht="15.75" customHeight="1">
      <c r="A2489" s="2" t="s">
        <v>2489</v>
      </c>
      <c r="B2489" s="2" t="str">
        <f>IFERROR(__xludf.DUMMYFUNCTION("GOOGLETRANSLATE(A2489, ""en"", ""mt"")"),"Għal ħafna applikazzjonijiet ġeoloġiċi, il-proporzjonijiet ta 'iżotopi ta' elementi radjuattivi huma mkejla f'minerali li jagħtu l-ammont ta 'ħin li għadda minn meta blat għadda mit-temperatura ta' għeluq partikolari tiegħu, il-punt li fih iżotopi radjome"&amp;"triċi differenti jieqfu jxerrdu ġewwa u barra mill-kannizzata tal-kristall. Dawn jintużaw fi studji ġeokronoloġiċi u termokronoloġiċi. Metodi komuni jinkludu dating taċ-ċomb tal-uranju, dating tal-argon tal-potassju, dating tal-argon-argon u dating tal-ur"&amp;"anju. Dawn il-metodi jintużaw għal varjetà ta 'applikazzjonijiet. Id-dating ta 'lava u saffi ta' rmied vulkaniku misjuba f'sekwenza stratigrafika tista 'tipprovdi dejta ta' età assoluta għal unitajiet ta 'blat sedimentarju li ma fihomx iżotopi radjuattivi"&amp;" u jikkalibraw tekniki ta' dating relattivi. Dawn il-metodi jistgħu jintużaw ukoll biex jiddeterminaw l-etajiet ta 'pluton emplacement. Tekniki termokimiċi jistgħu jintużaw biex jiddeterminaw il-profili tat-temperatura fil-qoxra, l-irfigħ tal-firxiet tal-"&amp;"muntanji, u l-paleotopografija.")</f>
        <v>Għal ħafna applikazzjonijiet ġeoloġiċi, il-proporzjonijiet ta 'iżotopi ta' elementi radjuattivi huma mkejla f'minerali li jagħtu l-ammont ta 'ħin li għadda minn meta blat għadda mit-temperatura ta' għeluq partikolari tiegħu, il-punt li fih iżotopi radjometriċi differenti jieqfu jxerrdu ġewwa u barra mill-kannizzata tal-kristall. Dawn jintużaw fi studji ġeokronoloġiċi u termokronoloġiċi. Metodi komuni jinkludu dating taċ-ċomb tal-uranju, dating tal-argon tal-potassju, dating tal-argon-argon u dating tal-uranju. Dawn il-metodi jintużaw għal varjetà ta 'applikazzjonijiet. Id-dating ta 'lava u saffi ta' rmied vulkaniku misjuba f'sekwenza stratigrafika tista 'tipprovdi dejta ta' età assoluta għal unitajiet ta 'blat sedimentarju li ma fihomx iżotopi radjuattivi u jikkalibraw tekniki ta' dating relattivi. Dawn il-metodi jistgħu jintużaw ukoll biex jiddeterminaw l-etajiet ta 'pluton emplacement. Tekniki termokimiċi jistgħu jintużaw biex jiddeterminaw il-profili tat-temperatura fil-qoxra, l-irfigħ tal-firxiet tal-muntanji, u l-paleotopografija.</v>
      </c>
    </row>
    <row r="2490" ht="15.75" customHeight="1">
      <c r="A2490" s="2" t="s">
        <v>2490</v>
      </c>
      <c r="B2490" s="2" t="str">
        <f>IFERROR(__xludf.DUMMYFUNCTION("GOOGLETRANSLATE(A2490, ""en"", ""mt"")"),"Kemm Huguenots għażlu li jibqgħu fi Franza?")</f>
        <v>Kemm Huguenots għażlu li jibqgħu fi Franza?</v>
      </c>
    </row>
    <row r="2491" ht="15.75" customHeight="1">
      <c r="A2491" s="2" t="s">
        <v>2491</v>
      </c>
      <c r="B2491" s="2" t="str">
        <f>IFERROR(__xludf.DUMMYFUNCTION("GOOGLETRANSLATE(A2491, ""en"", ""mt"")"),"Fl-Indja, skejjel privati ​​jissejħu skejjel indipendenti, iżda peress li xi skejjel privati ​​jirċievu għajnuna finanzjarja mill-gvern, din tista 'tkun megħjuna jew skola mingħajr għajnuna. Allura, f'sens strett, skola privata hija skola indipendenti min"&amp;"għajr għajnuna. Għall-iskop ta 'din id-definizzjoni, irċevuta biss ta' għajnuna finanzjarja hija kkunsidrata, mhux art mixtrija mill-gvern b'rata sussidjata. Huwa fil-poter kemm tal-gvern tal-Unjoni kif ukoll tal-gvernijiet tal-istat biex jirregolaw l-isk"&amp;"ejjel peress li l-edukazzjoni tidher fil-lista fl-istess ħin ta 'suġġetti leġiżlattivi fil-Kostituzzjoni. Il-prattika kienet għall-gvern tal-Unjoni biex jipprovdi direzzjonijiet ta 'politika wesgħin waqt li l-istati joħolqu r-regoli u r-regolamenti tagħho"&amp;"m stess għall-amministrazzjoni tas-settur. Fost affarijiet oħra, dan irriżulta wkoll fi 30 bordijiet ta 'eżami differenti jew awtoritajiet akkademiċi li jwettqu eżamijiet għal ċertifikati li jħallu l-iskola. Bordijiet prominenti ta 'eżami li huma preżenti"&amp;" fi stati multipli huma s-CBSE u s-CISCE, NENBSE")</f>
        <v>Fl-Indja, skejjel privati ​​jissejħu skejjel indipendenti, iżda peress li xi skejjel privati ​​jirċievu għajnuna finanzjarja mill-gvern, din tista 'tkun megħjuna jew skola mingħajr għajnuna. Allura, f'sens strett, skola privata hija skola indipendenti mingħajr għajnuna. Għall-iskop ta 'din id-definizzjoni, irċevuta biss ta' għajnuna finanzjarja hija kkunsidrata, mhux art mixtrija mill-gvern b'rata sussidjata. Huwa fil-poter kemm tal-gvern tal-Unjoni kif ukoll tal-gvernijiet tal-istat biex jirregolaw l-iskejjel peress li l-edukazzjoni tidher fil-lista fl-istess ħin ta 'suġġetti leġiżlattivi fil-Kostituzzjoni. Il-prattika kienet għall-gvern tal-Unjoni biex jipprovdi direzzjonijiet ta 'politika wesgħin waqt li l-istati joħolqu r-regoli u r-regolamenti tagħhom stess għall-amministrazzjoni tas-settur. Fost affarijiet oħra, dan irriżulta wkoll fi 30 bordijiet ta 'eżami differenti jew awtoritajiet akkademiċi li jwettqu eżamijiet għal ċertifikati li jħallu l-iskola. Bordijiet prominenti ta 'eżami li huma preżenti fi stati multipli huma s-CBSE u s-CISCE, NENBSE</v>
      </c>
    </row>
    <row r="2492" ht="15.75" customHeight="1">
      <c r="A2492" s="2" t="s">
        <v>2492</v>
      </c>
      <c r="B2492" s="2" t="str">
        <f>IFERROR(__xludf.DUMMYFUNCTION("GOOGLETRANSLATE(A2492, ""en"", ""mt"")"),"Liema metodi jużaw il-petroloġisti biex jeżaminaw il-blat fil-qasam?")</f>
        <v>Liema metodi jużaw il-petroloġisti biex jeżaminaw il-blat fil-qasam?</v>
      </c>
    </row>
    <row r="2493" ht="15.75" customHeight="1">
      <c r="A2493" s="2" t="s">
        <v>2493</v>
      </c>
      <c r="B2493" s="2" t="str">
        <f>IFERROR(__xludf.DUMMYFUNCTION("GOOGLETRANSLATE(A2493, ""en"", ""mt"")"),"Kemm mill-abitanti ta 'Varsavja tkellmu Pollakk fl-1933?")</f>
        <v>Kemm mill-abitanti ta 'Varsavja tkellmu Pollakk fl-1933?</v>
      </c>
    </row>
    <row r="2494" ht="15.75" customHeight="1">
      <c r="A2494" s="2" t="s">
        <v>2494</v>
      </c>
      <c r="B2494" s="2" t="str">
        <f>IFERROR(__xludf.DUMMYFUNCTION("GOOGLETRANSLATE(A2494, ""en"", ""mt"")"),"Għaliex ġie rtirat iż-żejt il-qadim mis-suq?")</f>
        <v>Għaliex ġie rtirat iż-żejt il-qadim mis-suq?</v>
      </c>
    </row>
    <row r="2495" ht="15.75" customHeight="1">
      <c r="A2495" s="2" t="s">
        <v>2495</v>
      </c>
      <c r="B2495" s="2" t="str">
        <f>IFERROR(__xludf.DUMMYFUNCTION("GOOGLETRANSLATE(A2495, ""en"", ""mt"")")," Liema pajjiż minbarra l-Kuba l-Istati Uniti ma ppruvawx jannessu fl-1898?")</f>
        <v> Liema pajjiż minbarra l-Kuba l-Istati Uniti ma ppruvawx jannessu fl-1898?</v>
      </c>
    </row>
    <row r="2496" ht="15.75" customHeight="1">
      <c r="A2496" s="2" t="s">
        <v>2496</v>
      </c>
      <c r="B2496" s="2" t="str">
        <f>IFERROR(__xludf.DUMMYFUNCTION("GOOGLETRANSLATE(A2496, ""en"", ""mt"")"),"Pons")</f>
        <v>Pons</v>
      </c>
    </row>
    <row r="2497" ht="15.75" customHeight="1">
      <c r="A2497" s="2" t="s">
        <v>2497</v>
      </c>
      <c r="B2497" s="2" t="str">
        <f>IFERROR(__xludf.DUMMYFUNCTION("GOOGLETRANSLATE(A2497, ""en"", ""mt"")"),"Artikolu 49 TFEU")</f>
        <v>Artikolu 49 TFEU</v>
      </c>
    </row>
    <row r="2498" ht="15.75" customHeight="1">
      <c r="A2498" s="2" t="s">
        <v>2498</v>
      </c>
      <c r="B2498" s="2" t="str">
        <f>IFERROR(__xludf.DUMMYFUNCTION("GOOGLETRANSLATE(A2498, ""en"", ""mt"")"),"Kemm sofrew it-telf kbir fil-kriżi finanzjarja tal-2008-09 għal Harvard Endowment?")</f>
        <v>Kemm sofrew it-telf kbir fil-kriżi finanzjarja tal-2008-09 għal Harvard Endowment?</v>
      </c>
    </row>
    <row r="2499" ht="15.75" customHeight="1">
      <c r="A2499" s="2" t="s">
        <v>2499</v>
      </c>
      <c r="B2499" s="2" t="str">
        <f>IFERROR(__xludf.DUMMYFUNCTION("GOOGLETRANSLATE(A2499, ""en"", ""mt"")"),"Għalfejn l-istudenti jiġu mbiegħda minn programmi mhux tal-grad?")</f>
        <v>Għalfejn l-istudenti jiġu mbiegħda minn programmi mhux tal-grad?</v>
      </c>
    </row>
    <row r="2500" ht="15.75" customHeight="1">
      <c r="A2500" s="2" t="s">
        <v>2500</v>
      </c>
      <c r="B2500" s="2" t="str">
        <f>IFERROR(__xludf.DUMMYFUNCTION("GOOGLETRANSLATE(A2500, ""en"", ""mt"")"),"Meta jista 'ossiġnu parzjali jkun tossiku?")</f>
        <v>Meta jista 'ossiġnu parzjali jkun tossiku?</v>
      </c>
    </row>
    <row r="2501" ht="15.75" customHeight="1">
      <c r="A2501" s="2" t="s">
        <v>2501</v>
      </c>
      <c r="B2501" s="2" t="str">
        <f>IFERROR(__xludf.DUMMYFUNCTION("GOOGLETRANSLATE(A2501, ""en"", ""mt"")"),"l-ewwel netwerk li jagħmel lill-ospiti responsabbli għal konsenja affidabbli ta 'dejta")</f>
        <v>l-ewwel netwerk li jagħmel lill-ospiti responsabbli għal konsenja affidabbli ta 'dejta</v>
      </c>
    </row>
    <row r="2502" ht="15.75" customHeight="1">
      <c r="A2502" s="2" t="s">
        <v>2502</v>
      </c>
      <c r="B2502" s="2" t="str">
        <f>IFERROR(__xludf.DUMMYFUNCTION("GOOGLETRANSLATE(A2502, ""en"", ""mt"")"),"Xi wħud iġġeneralizzaw it-tifsira tal-kelma imperjalizmu għal skopijiet ġenerali?")</f>
        <v>Xi wħud iġġeneralizzaw it-tifsira tal-kelma imperjalizmu għal skopijiet ġenerali?</v>
      </c>
    </row>
    <row r="2503" ht="15.75" customHeight="1">
      <c r="A2503" s="2" t="s">
        <v>2503</v>
      </c>
      <c r="B2503" s="2" t="str">
        <f>IFERROR(__xludf.DUMMYFUNCTION("GOOGLETRANSLATE(A2503, ""en"", ""mt"")"),"Liema sena BSKYB u Virgin Media kellhom ftehim fuq il-ġarr ta 'stazzjonijiet tas-sema fuq it-TV bil-kejbil?")</f>
        <v>Liema sena BSKYB u Virgin Media kellhom ftehim fuq il-ġarr ta 'stazzjonijiet tas-sema fuq it-TV bil-kejbil?</v>
      </c>
    </row>
    <row r="2504" ht="15.75" customHeight="1">
      <c r="A2504" s="2" t="s">
        <v>2504</v>
      </c>
      <c r="B2504" s="2" t="str">
        <f>IFERROR(__xludf.DUMMYFUNCTION("GOOGLETRANSLATE(A2504, ""en"", ""mt"")"),"Il-kisba tal-kontroll tal-kriminalità")</f>
        <v>Il-kisba tal-kontroll tal-kriminalità</v>
      </c>
    </row>
    <row r="2505" ht="15.75" customHeight="1">
      <c r="A2505" s="2" t="s">
        <v>2505</v>
      </c>
      <c r="B2505" s="2" t="str">
        <f>IFERROR(__xludf.DUMMYFUNCTION("GOOGLETRANSLATE(A2505, ""en"", ""mt"")"),"0.5–1.4 m")</f>
        <v>0.5–1.4 m</v>
      </c>
    </row>
    <row r="2506" ht="15.75" customHeight="1">
      <c r="A2506" s="2" t="s">
        <v>2506</v>
      </c>
      <c r="B2506" s="2" t="str">
        <f>IFERROR(__xludf.DUMMYFUNCTION("GOOGLETRANSLATE(A2506, ""en"", ""mt"")"),"32")</f>
        <v>32</v>
      </c>
    </row>
    <row r="2507" ht="15.75" customHeight="1">
      <c r="A2507" s="2" t="s">
        <v>2507</v>
      </c>
      <c r="B2507" s="2" t="str">
        <f>IFERROR(__xludf.DUMMYFUNCTION("GOOGLETRANSLATE(A2507, ""en"", ""mt"")"),"formalizmu")</f>
        <v>formalizmu</v>
      </c>
    </row>
    <row r="2508" ht="15.75" customHeight="1">
      <c r="A2508" s="2" t="s">
        <v>2508</v>
      </c>
      <c r="B2508" s="2" t="str">
        <f>IFERROR(__xludf.DUMMYFUNCTION("GOOGLETRANSLATE(A2508, ""en"", ""mt"")"),"Proġett ta 'kostruzzjoni huwa xibka kumplessa ta' kuntratti u obbligi legali oħra, li kull wieħed minnhom il-partijiet kollha għandhom jikkunsidraw bir-reqqa. Kuntratt huwa l-iskambju ta 'sett ta' obbligi bejn żewġ partijiet jew aktar, iżda mhix kwistjoni"&amp;" daqshekk sempliċi daqs kemm tipprova tikseb in-naħa l-oħra biex taqbel kemm jista 'jkun bi skambju għal kemm jista' jkun. L-element ta 'ħin fil-kostruzzjoni jfisser li dewmien jiswa l-flus, u f'każijiet ta' konġestjonijiet, id-dewmien jista 'jiswa ħafna."&amp;" Għalhekk, il-kuntratti għandhom ikunu ddisinjati biex jiżguraw li kull naħa tkun kapaċi twettaq l-obbligi stabbiliti. Il-kuntratti li jistabbilixxu aspettattivi ċari u mogħdijiet ċari għat-twettiq ta 'dawk l-aspettattivi huma ferm aktar probabbli li jirr"&amp;"iżultaw fil-proġett li jiċċirkola bla xkiel, filwaqt li kuntratti abbozzati ħażin iwasslu għal konfużjoni u kollass.")</f>
        <v>Proġett ta 'kostruzzjoni huwa xibka kumplessa ta' kuntratti u obbligi legali oħra, li kull wieħed minnhom il-partijiet kollha għandhom jikkunsidraw bir-reqqa. Kuntratt huwa l-iskambju ta 'sett ta' obbligi bejn żewġ partijiet jew aktar, iżda mhix kwistjoni daqshekk sempliċi daqs kemm tipprova tikseb in-naħa l-oħra biex taqbel kemm jista 'jkun bi skambju għal kemm jista' jkun. L-element ta 'ħin fil-kostruzzjoni jfisser li dewmien jiswa l-flus, u f'każijiet ta' konġestjonijiet, id-dewmien jista 'jiswa ħafna. Għalhekk, il-kuntratti għandhom ikunu ddisinjati biex jiżguraw li kull naħa tkun kapaċi twettaq l-obbligi stabbiliti. Il-kuntratti li jistabbilixxu aspettattivi ċari u mogħdijiet ċari għat-twettiq ta 'dawk l-aspettattivi huma ferm aktar probabbli li jirriżultaw fil-proġett li jiċċirkola bla xkiel, filwaqt li kuntratti abbozzati ħażin iwasslu għal konfużjoni u kollass.</v>
      </c>
    </row>
    <row r="2509" ht="15.75" customHeight="1">
      <c r="A2509" s="2" t="s">
        <v>2509</v>
      </c>
      <c r="B2509" s="2" t="str">
        <f>IFERROR(__xludf.DUMMYFUNCTION("GOOGLETRANSLATE(A2509, ""en"", ""mt"")"),"Qrib l-aħħar tas-seklu 19 Magni komposti daħlu f'użu mifrux. Magni komposti eżawrew fwar għal ċilindri suċċessivament akbar biex jakkomodaw il-volumi ogħla fi pressjonijiet imnaqqsa, u jagħtu effiċjenza mtejba. Dawn l-istadji kienu msejħa espansjonijiet, "&amp;"b'magni ta 'espansjoni doppja u tripla li huma komuni, speċjalment fit-tbaħħir fejn l-effiċjenza kienet importanti biex jitnaqqas il-piż tal-faħam li jinġarr. Il-magni tal-fwar baqgħu s-sors dominanti ta 'enerġija sal-bidu tas-seklu 20, meta l-avvanzi fid"&amp;"-disinn ta' muturi elettriċi u magni ta 'kombustjoni interna rriżultaw gradwalment fis-sostituzzjoni ta' magni tal-fwar reċiprokanti (pistuni), bit-tbaħħir fis-seklu 20 billi jiddependi fuq il-fwar turbina.")</f>
        <v>Qrib l-aħħar tas-seklu 19 Magni komposti daħlu f'użu mifrux. Magni komposti eżawrew fwar għal ċilindri suċċessivament akbar biex jakkomodaw il-volumi ogħla fi pressjonijiet imnaqqsa, u jagħtu effiċjenza mtejba. Dawn l-istadji kienu msejħa espansjonijiet, b'magni ta 'espansjoni doppja u tripla li huma komuni, speċjalment fit-tbaħħir fejn l-effiċjenza kienet importanti biex jitnaqqas il-piż tal-faħam li jinġarr. Il-magni tal-fwar baqgħu s-sors dominanti ta 'enerġija sal-bidu tas-seklu 20, meta l-avvanzi fid-disinn ta' muturi elettriċi u magni ta 'kombustjoni interna rriżultaw gradwalment fis-sostituzzjoni ta' magni tal-fwar reċiprokanti (pistuni), bit-tbaħħir fis-seklu 20 billi jiddependi fuq il-fwar turbina.</v>
      </c>
    </row>
    <row r="2510" ht="15.75" customHeight="1">
      <c r="A2510" s="2" t="s">
        <v>2510</v>
      </c>
      <c r="B2510" s="2" t="str">
        <f>IFERROR(__xludf.DUMMYFUNCTION("GOOGLETRANSLATE(A2510, ""en"", ""mt"")"),"Ir-riżultati tal-istudju Haensch minn dakinhar ġew ikkonfermati u emendati. Ibbażat fuq evidenza ġenetika derivata minn vittmi tal-mewt iswed fis-sit tad-dfin tal-Lvant ta 'Smithfield fl-Ingilterra, Schuenemann et al. ikkonkluda fl-2011 ""li l-mewt sewda "&amp;"fl-Ewropa medjevali kienet ikkawżata minn varjant ta 'Y. pestis li jista' ma jibqax jeżisti."" Studju ppubblikat fin-Natura f'Ottubru 2011 sekwenzja l-ġenoma ta 'Y. pestis mill-vittmi tal-pesta u indika li r-razza li kkawżat il-mewt sewda hija antenata għ"&amp;"all-aktar razez moderni tal-marda.")</f>
        <v>Ir-riżultati tal-istudju Haensch minn dakinhar ġew ikkonfermati u emendati. Ibbażat fuq evidenza ġenetika derivata minn vittmi tal-mewt iswed fis-sit tad-dfin tal-Lvant ta 'Smithfield fl-Ingilterra, Schuenemann et al. ikkonkluda fl-2011 "li l-mewt sewda fl-Ewropa medjevali kienet ikkawżata minn varjant ta 'Y. pestis li jista' ma jibqax jeżisti." Studju ppubblikat fin-Natura f'Ottubru 2011 sekwenzja l-ġenoma ta 'Y. pestis mill-vittmi tal-pesta u indika li r-razza li kkawżat il-mewt sewda hija antenata għall-aktar razez moderni tal-marda.</v>
      </c>
    </row>
    <row r="2511" ht="15.75" customHeight="1">
      <c r="A2511" s="2" t="s">
        <v>2511</v>
      </c>
      <c r="B2511" s="2" t="str">
        <f>IFERROR(__xludf.DUMMYFUNCTION("GOOGLETRANSLATE(A2511, ""en"", ""mt"")"),"Meta Zhu ppubblika 'Jade Mirror tal-Ħames Mhux magħrufa'?")</f>
        <v>Meta Zhu ppubblika 'Jade Mirror tal-Ħames Mhux magħrufa'?</v>
      </c>
    </row>
    <row r="2512" ht="15.75" customHeight="1">
      <c r="A2512" s="2" t="s">
        <v>2512</v>
      </c>
      <c r="B2512" s="2" t="str">
        <f>IFERROR(__xludf.DUMMYFUNCTION("GOOGLETRANSLATE(A2512, ""en"", ""mt"")"),"Min kien l-ideologu tar-Rivoluzzjoni Iranjana?")</f>
        <v>Min kien l-ideologu tar-Rivoluzzjoni Iranjana?</v>
      </c>
    </row>
    <row r="2513" ht="15.75" customHeight="1">
      <c r="A2513" s="2" t="s">
        <v>2513</v>
      </c>
      <c r="B2513" s="2" t="str">
        <f>IFERROR(__xludf.DUMMYFUNCTION("GOOGLETRANSLATE(A2513, ""en"", ""mt"")"),"Liema provinċji fil-Kanada jestendu d-drittijiet tal-ispiżjara fil-preskrizzjoni?")</f>
        <v>Liema provinċji fil-Kanada jestendu d-drittijiet tal-ispiżjara fil-preskrizzjoni?</v>
      </c>
    </row>
    <row r="2514" ht="15.75" customHeight="1">
      <c r="A2514" s="2" t="s">
        <v>2514</v>
      </c>
      <c r="B2514" s="2" t="str">
        <f>IFERROR(__xludf.DUMMYFUNCTION("GOOGLETRANSLATE(A2514, ""en"", ""mt"")"),"Meta l-blat jingħalaq fil-fond fid-dinja jista 'jintewa wieħed minn żewġ modi, meta jegħleb' il fuq dan joħloq?")</f>
        <v>Meta l-blat jingħalaq fil-fond fid-dinja jista 'jintewa wieħed minn żewġ modi, meta jegħleb' il fuq dan joħloq?</v>
      </c>
    </row>
    <row r="2515" ht="15.75" customHeight="1">
      <c r="A2515" s="2" t="s">
        <v>2515</v>
      </c>
      <c r="B2515" s="2" t="str">
        <f>IFERROR(__xludf.DUMMYFUNCTION("GOOGLETRANSLATE(A2515, ""en"", ""mt"")"),"599 m")</f>
        <v>599 m</v>
      </c>
    </row>
    <row r="2516" ht="15.75" customHeight="1">
      <c r="A2516" s="2" t="s">
        <v>2516</v>
      </c>
      <c r="B2516" s="2" t="str">
        <f>IFERROR(__xludf.DUMMYFUNCTION("GOOGLETRANSLATE(A2516, ""en"", ""mt"")"),"Siegfried")</f>
        <v>Siegfried</v>
      </c>
    </row>
    <row r="2517" ht="15.75" customHeight="1">
      <c r="A2517" s="2" t="s">
        <v>2517</v>
      </c>
      <c r="B2517" s="2" t="str">
        <f>IFERROR(__xludf.DUMMYFUNCTION("GOOGLETRANSLATE(A2517, ""en"", ""mt"")"),"1748")</f>
        <v>1748</v>
      </c>
    </row>
    <row r="2518" ht="15.75" customHeight="1">
      <c r="A2518" s="2" t="s">
        <v>2518</v>
      </c>
      <c r="B2518" s="2" t="str">
        <f>IFERROR(__xludf.DUMMYFUNCTION("GOOGLETRANSLATE(A2518, ""en"", ""mt"")"),"Meta l-folji tas-silġ ikopru l-Asja?")</f>
        <v>Meta l-folji tas-silġ ikopru l-Asja?</v>
      </c>
    </row>
    <row r="2519" ht="15.75" customHeight="1">
      <c r="A2519" s="2" t="s">
        <v>2519</v>
      </c>
      <c r="B2519" s="2" t="str">
        <f>IFERROR(__xludf.DUMMYFUNCTION("GOOGLETRANSLATE(A2519, ""en"", ""mt"")"),"l-inqas oneruż")</f>
        <v>l-inqas oneruż</v>
      </c>
    </row>
    <row r="2520" ht="15.75" customHeight="1">
      <c r="A2520" s="2" t="s">
        <v>2520</v>
      </c>
      <c r="B2520" s="2" t="str">
        <f>IFERROR(__xludf.DUMMYFUNCTION("GOOGLETRANSLATE(A2520, ""en"", ""mt"")"),"Ir-Re Ġorġ III")</f>
        <v>Ir-Re Ġorġ III</v>
      </c>
    </row>
    <row r="2521" ht="15.75" customHeight="1">
      <c r="A2521" s="2" t="s">
        <v>2521</v>
      </c>
      <c r="B2521" s="2" t="str">
        <f>IFERROR(__xludf.DUMMYFUNCTION("GOOGLETRANSLATE(A2521, ""en"", ""mt"")"),"Liema għargħar kellu impatt fuq il-meuse?")</f>
        <v>Liema għargħar kellu impatt fuq il-meuse?</v>
      </c>
    </row>
    <row r="2522" ht="15.75" customHeight="1">
      <c r="A2522" s="2" t="s">
        <v>2522</v>
      </c>
      <c r="B2522" s="2" t="str">
        <f>IFERROR(__xludf.DUMMYFUNCTION("GOOGLETRANSLATE(A2522, ""en"", ""mt"")"),"F'liema rwol fl-ekonomija l-università kellha sehem ewlieni?")</f>
        <v>F'liema rwol fl-ekonomija l-università kellha sehem ewlieni?</v>
      </c>
    </row>
    <row r="2523" ht="15.75" customHeight="1">
      <c r="A2523" s="2" t="s">
        <v>2523</v>
      </c>
      <c r="B2523" s="2" t="str">
        <f>IFERROR(__xludf.DUMMYFUNCTION("GOOGLETRANSLATE(A2523, ""en"", ""mt"")"),"mhedda ""Brittanika antika"" b'konsegwenzi severi")</f>
        <v>mhedda "Brittanika antika" b'konsegwenzi severi</v>
      </c>
    </row>
    <row r="2524" ht="15.75" customHeight="1">
      <c r="A2524" s="2" t="s">
        <v>2524</v>
      </c>
      <c r="B2524" s="2" t="str">
        <f>IFERROR(__xludf.DUMMYFUNCTION("GOOGLETRANSLATE(A2524, ""en"", ""mt"")"),"Liema perjodu kien 2.5 miljun sena ilu?")</f>
        <v>Liema perjodu kien 2.5 miljun sena ilu?</v>
      </c>
    </row>
    <row r="2525" ht="15.75" customHeight="1">
      <c r="A2525" s="2" t="s">
        <v>2525</v>
      </c>
      <c r="B2525" s="2" t="str">
        <f>IFERROR(__xludf.DUMMYFUNCTION("GOOGLETRANSLATE(A2525, ""en"", ""mt"")"),"oċeani tad-dinja")</f>
        <v>oċeani tad-dinja</v>
      </c>
    </row>
    <row r="2526" ht="15.75" customHeight="1">
      <c r="A2526" s="2" t="s">
        <v>2526</v>
      </c>
      <c r="B2526" s="2" t="str">
        <f>IFERROR(__xludf.DUMMYFUNCTION("GOOGLETRANSLATE(A2526, ""en"", ""mt"")"),"F'sistema ta 'telefonati virtwali, l-ospiti għandhom liema responsabbiltà?")</f>
        <v>F'sistema ta 'telefonati virtwali, l-ospiti għandhom liema responsabbiltà?</v>
      </c>
    </row>
    <row r="2527" ht="15.75" customHeight="1">
      <c r="A2527" s="2" t="s">
        <v>2527</v>
      </c>
      <c r="B2527" s="2" t="str">
        <f>IFERROR(__xludf.DUMMYFUNCTION("GOOGLETRANSLATE(A2527, ""en"", ""mt"")"),"Attakk fuq il-kapitali l-ġdida ta 'Franza, Quebec")</f>
        <v>Attakk fuq il-kapitali l-ġdida ta 'Franza, Quebec</v>
      </c>
    </row>
    <row r="2528" ht="15.75" customHeight="1">
      <c r="A2528" s="2" t="s">
        <v>2528</v>
      </c>
      <c r="B2528" s="2" t="str">
        <f>IFERROR(__xludf.DUMMYFUNCTION("GOOGLETRANSLATE(A2528, ""en"", ""mt"")"),"X'inhu aktar fundamentali mill-forza fit-teorija tal-kamp ta 'Quanton?")</f>
        <v>X'inhu aktar fundamentali mill-forza fit-teorija tal-kamp ta 'Quanton?</v>
      </c>
    </row>
    <row r="2529" ht="15.75" customHeight="1">
      <c r="A2529" s="2" t="s">
        <v>2529</v>
      </c>
      <c r="B2529" s="2" t="str">
        <f>IFERROR(__xludf.DUMMYFUNCTION("GOOGLETRANSLATE(A2529, ""en"", ""mt"")"),"Kemm interazzjonijiet huma bbażati fuq il-forzi universali kollha?")</f>
        <v>Kemm interazzjonijiet huma bbażati fuq il-forzi universali kollha?</v>
      </c>
    </row>
    <row r="2530" ht="15.75" customHeight="1">
      <c r="A2530" s="2" t="s">
        <v>2530</v>
      </c>
      <c r="B2530" s="2" t="str">
        <f>IFERROR(__xludf.DUMMYFUNCTION("GOOGLETRANSLATE(A2530, ""en"", ""mt"")"),"immunoglobulini u riċetturi taċ-ċelloli T")</f>
        <v>immunoglobulini u riċetturi taċ-ċelloli T</v>
      </c>
    </row>
    <row r="2531" ht="15.75" customHeight="1">
      <c r="A2531" s="2" t="s">
        <v>2531</v>
      </c>
      <c r="B2531" s="2" t="str">
        <f>IFERROR(__xludf.DUMMYFUNCTION("GOOGLETRANSLATE(A2531, ""en"", ""mt"")"),"Kemm passiġġieri jistgħu jġorru Chevrolet Bel Air fl-1970?")</f>
        <v>Kemm passiġġieri jistgħu jġorru Chevrolet Bel Air fl-1970?</v>
      </c>
    </row>
    <row r="2532" ht="15.75" customHeight="1">
      <c r="A2532" s="2" t="s">
        <v>2532</v>
      </c>
      <c r="B2532" s="2" t="str">
        <f>IFERROR(__xludf.DUMMYFUNCTION("GOOGLETRANSLATE(A2532, ""en"", ""mt"")"),"molekuli mhux awto")</f>
        <v>molekuli mhux awto</v>
      </c>
    </row>
    <row r="2533" ht="15.75" customHeight="1">
      <c r="A2533" s="2" t="s">
        <v>2533</v>
      </c>
      <c r="B2533" s="2" t="str">
        <f>IFERROR(__xludf.DUMMYFUNCTION("GOOGLETRANSLATE(A2533, ""en"", ""mt"")"),"Għaliex ġie żviluppat fl-1983?")</f>
        <v>Għaliex ġie żviluppat fl-1983?</v>
      </c>
    </row>
    <row r="2534" ht="15.75" customHeight="1">
      <c r="A2534" s="2" t="s">
        <v>2534</v>
      </c>
      <c r="B2534" s="2" t="str">
        <f>IFERROR(__xludf.DUMMYFUNCTION("GOOGLETRANSLATE(A2534, ""en"", ""mt"")")," It-Tramuntana raw lilhom infushom bħala dak li mqabbel mal-Lvant?")</f>
        <v> It-Tramuntana raw lilhom infushom bħala dak li mqabbel mal-Lvant?</v>
      </c>
    </row>
    <row r="2535" ht="15.75" customHeight="1">
      <c r="A2535" s="2" t="s">
        <v>2535</v>
      </c>
      <c r="B2535" s="2" t="str">
        <f>IFERROR(__xludf.DUMMYFUNCTION("GOOGLETRANSLATE(A2535, ""en"", ""mt"")"),"Liema konġettura ssostni li hemm ammont infinit ta 'pożittivi ġemellati?")</f>
        <v>Liema konġettura ssostni li hemm ammont infinit ta 'pożittivi ġemellati?</v>
      </c>
    </row>
    <row r="2536" ht="15.75" customHeight="1">
      <c r="A2536" s="2" t="s">
        <v>2536</v>
      </c>
      <c r="B2536" s="2" t="str">
        <f>IFERROR(__xludf.DUMMYFUNCTION("GOOGLETRANSLATE(A2536, ""en"", ""mt"")"),"baqar")</f>
        <v>baqar</v>
      </c>
    </row>
    <row r="2537" ht="15.75" customHeight="1">
      <c r="A2537" s="2" t="s">
        <v>2537</v>
      </c>
      <c r="B2537" s="2" t="str">
        <f>IFERROR(__xludf.DUMMYFUNCTION("GOOGLETRANSLATE(A2537, ""en"", ""mt"")"),"Bond doppju kovalenti li jirriżulta mill-mili ta 'orbitali molekulari ffurmati mill-orbitali atomiċi ta' l-atomi ta 'ossiġnu individwali")</f>
        <v>Bond doppju kovalenti li jirriżulta mill-mili ta 'orbitali molekulari ffurmati mill-orbitali atomiċi ta' l-atomi ta 'ossiġnu individwali</v>
      </c>
    </row>
    <row r="2538" ht="15.75" customHeight="1">
      <c r="A2538" s="2" t="s">
        <v>2538</v>
      </c>
      <c r="B2538" s="2" t="str">
        <f>IFERROR(__xludf.DUMMYFUNCTION("GOOGLETRANSLATE(A2538, ""en"", ""mt"")"),"Fl-Artikolu 5")</f>
        <v>Fl-Artikolu 5</v>
      </c>
    </row>
    <row r="2539" ht="15.75" customHeight="1">
      <c r="A2539" s="2" t="s">
        <v>2539</v>
      </c>
      <c r="B2539" s="2" t="str">
        <f>IFERROR(__xludf.DUMMYFUNCTION("GOOGLETRANSLATE(A2539, ""en"", ""mt"")"),"Taħt l-Att dwar l-Iskozja tal-1988, l-elezzjonijiet ġenerali ordinarji jsiru meta?")</f>
        <v>Taħt l-Att dwar l-Iskozja tal-1988, l-elezzjonijiet ġenerali ordinarji jsiru meta?</v>
      </c>
    </row>
    <row r="2540" ht="15.75" customHeight="1">
      <c r="A2540" s="2" t="s">
        <v>2540</v>
      </c>
      <c r="B2540" s="2" t="str">
        <f>IFERROR(__xludf.DUMMYFUNCTION("GOOGLETRANSLATE(A2540, ""en"", ""mt"")"),"Fejn il-Ġeoloġi tal-Ġenesi kejlu l-iżotopi tal-ossiġnu?")</f>
        <v>Fejn il-Ġeoloġi tal-Ġenesi kejlu l-iżotopi tal-ossiġnu?</v>
      </c>
    </row>
    <row r="2541" ht="15.75" customHeight="1">
      <c r="A2541" s="2" t="s">
        <v>2541</v>
      </c>
      <c r="B2541" s="2" t="str">
        <f>IFERROR(__xludf.DUMMYFUNCTION("GOOGLETRANSLATE(A2541, ""en"", ""mt"")"),"Peress li l-elettroni huma minions, ma jistgħux jokkupaw l-istess x'inhu?")</f>
        <v>Peress li l-elettroni huma minions, ma jistgħux jokkupaw l-istess x'inhu?</v>
      </c>
    </row>
    <row r="2542" ht="15.75" customHeight="1">
      <c r="A2542" s="2" t="s">
        <v>2542</v>
      </c>
      <c r="B2542" s="2" t="str">
        <f>IFERROR(__xludf.DUMMYFUNCTION("GOOGLETRANSLATE(A2542, ""en"", ""mt"")"),"Kemm outputs huma mistennija għal kull input fi problema ta 'funzjoni?")</f>
        <v>Kemm outputs huma mistennija għal kull input fi problema ta 'funzjoni?</v>
      </c>
    </row>
    <row r="2543" ht="15.75" customHeight="1">
      <c r="A2543" s="2" t="s">
        <v>2543</v>
      </c>
      <c r="B2543" s="2" t="str">
        <f>IFERROR(__xludf.DUMMYFUNCTION("GOOGLETRANSLATE(A2543, ""en"", ""mt"")"),"il-mudell tal-magna magħżul")</f>
        <v>il-mudell tal-magna magħżul</v>
      </c>
    </row>
    <row r="2544" ht="15.75" customHeight="1">
      <c r="A2544" s="2" t="s">
        <v>2544</v>
      </c>
      <c r="B2544" s="2" t="str">
        <f>IFERROR(__xludf.DUMMYFUNCTION("GOOGLETRANSLATE(A2544, ""en"", ""mt"")"),"X'inhuma xi sorsi supplimentari tal-liġi tal-Unjoni Ewropea?")</f>
        <v>X'inhuma xi sorsi supplimentari tal-liġi tal-Unjoni Ewropea?</v>
      </c>
    </row>
    <row r="2545" ht="15.75" customHeight="1">
      <c r="A2545" s="2" t="s">
        <v>2545</v>
      </c>
      <c r="B2545" s="2" t="str">
        <f>IFERROR(__xludf.DUMMYFUNCTION("GOOGLETRANSLATE(A2545, ""en"", ""mt"")"),"Sierra Freeway")</f>
        <v>Sierra Freeway</v>
      </c>
    </row>
    <row r="2546" ht="15.75" customHeight="1">
      <c r="A2546" s="2" t="s">
        <v>2546</v>
      </c>
      <c r="B2546" s="2" t="str">
        <f>IFERROR(__xludf.DUMMYFUNCTION("GOOGLETRANSLATE(A2546, ""en"", ""mt"")"),"temperatura ta 'għeluq partikolari")</f>
        <v>temperatura ta 'għeluq partikolari</v>
      </c>
    </row>
    <row r="2547" ht="15.75" customHeight="1">
      <c r="A2547" s="2" t="s">
        <v>2547</v>
      </c>
      <c r="B2547" s="2" t="str">
        <f>IFERROR(__xludf.DUMMYFUNCTION("GOOGLETRANSLATE(A2547, ""en"", ""mt"")"),"Min ivvota għall-annessjoni ta 'Jacksonville?")</f>
        <v>Min ivvota għall-annessjoni ta 'Jacksonville?</v>
      </c>
    </row>
    <row r="2548" ht="15.75" customHeight="1">
      <c r="A2548" s="2" t="s">
        <v>2548</v>
      </c>
      <c r="B2548" s="2" t="str">
        <f>IFERROR(__xludf.DUMMYFUNCTION("GOOGLETRANSLATE(A2548, ""en"", ""mt"")"),"Min ir-Re Karlu III jaħlef fealty?")</f>
        <v>Min ir-Re Karlu III jaħlef fealty?</v>
      </c>
    </row>
    <row r="2549" ht="15.75" customHeight="1">
      <c r="A2549" s="2" t="s">
        <v>2549</v>
      </c>
      <c r="B2549" s="2" t="str">
        <f>IFERROR(__xludf.DUMMYFUNCTION("GOOGLETRANSLATE(A2549, ""en"", ""mt"")"),"Liema klassifikazzjoni f'termini ta 'ajruporti l-aktar traffikużi mill-volum internazzjonali tal-passiġġieri huwa l-Ajruport Internazzjonali ta' Los Angeles?")</f>
        <v>Liema klassifikazzjoni f'termini ta 'ajruporti l-aktar traffikużi mill-volum internazzjonali tal-passiġġieri huwa l-Ajruport Internazzjonali ta' Los Angeles?</v>
      </c>
    </row>
    <row r="2550" ht="15.75" customHeight="1">
      <c r="A2550" s="2" t="s">
        <v>2550</v>
      </c>
      <c r="B2550" s="2" t="str">
        <f>IFERROR(__xludf.DUMMYFUNCTION("GOOGLETRANSLATE(A2550, ""en"", ""mt"")"),"Jibqgħu d-dar biex itaffu r-rata għolja ta 'qgħad fost irġiel Alġerini żgħażagħ")</f>
        <v>Jibqgħu d-dar biex itaffu r-rata għolja ta 'qgħad fost irġiel Alġerini żgħażagħ</v>
      </c>
    </row>
    <row r="2551" ht="15.75" customHeight="1">
      <c r="A2551" s="2" t="s">
        <v>2551</v>
      </c>
      <c r="B2551" s="2" t="str">
        <f>IFERROR(__xludf.DUMMYFUNCTION("GOOGLETRANSLATE(A2551, ""en"", ""mt"")"),"l-ewwel liġi")</f>
        <v>l-ewwel liġi</v>
      </c>
    </row>
    <row r="2552" ht="15.75" customHeight="1">
      <c r="A2552" s="2" t="s">
        <v>2552</v>
      </c>
      <c r="B2552" s="2" t="str">
        <f>IFERROR(__xludf.DUMMYFUNCTION("GOOGLETRANSLATE(A2552, ""en"", ""mt"")"),"ismijiet")</f>
        <v>ismijiet</v>
      </c>
    </row>
    <row r="2553" ht="15.75" customHeight="1">
      <c r="A2553" s="2" t="s">
        <v>2553</v>
      </c>
      <c r="B2553" s="2" t="str">
        <f>IFERROR(__xludf.DUMMYFUNCTION("GOOGLETRANSLATE(A2553, ""en"", ""mt"")"),"Id-Deżert tal-Colorado")</f>
        <v>Id-Deżert tal-Colorado</v>
      </c>
    </row>
    <row r="2554" ht="15.75" customHeight="1">
      <c r="A2554" s="2" t="s">
        <v>2554</v>
      </c>
      <c r="B2554" s="2" t="str">
        <f>IFERROR(__xludf.DUMMYFUNCTION("GOOGLETRANSLATE(A2554, ""en"", ""mt"")"),"Libertarju")</f>
        <v>Libertarju</v>
      </c>
    </row>
    <row r="2555" ht="15.75" customHeight="1">
      <c r="A2555" s="2" t="s">
        <v>2555</v>
      </c>
      <c r="B2555" s="2" t="str">
        <f>IFERROR(__xludf.DUMMYFUNCTION("GOOGLETRANSLATE(A2555, ""en"", ""mt"")"),"$ 32 biljun")</f>
        <v>$ 32 biljun</v>
      </c>
    </row>
    <row r="2556" ht="15.75" customHeight="1">
      <c r="A2556" s="2" t="s">
        <v>2556</v>
      </c>
      <c r="B2556" s="2" t="str">
        <f>IFERROR(__xludf.DUMMYFUNCTION("GOOGLETRANSLATE(A2556, ""en"", ""mt"")"),"Glukokortikojdi")</f>
        <v>Glukokortikojdi</v>
      </c>
    </row>
    <row r="2557" ht="15.75" customHeight="1">
      <c r="A2557" s="2" t="s">
        <v>2557</v>
      </c>
      <c r="B2557" s="2" t="str">
        <f>IFERROR(__xludf.DUMMYFUNCTION("GOOGLETRANSLATE(A2557, ""en"", ""mt"")"),"Meta seħħ it-tkabbir taż-żona ta 'Varsavja?")</f>
        <v>Meta seħħ it-tkabbir taż-żona ta 'Varsavja?</v>
      </c>
    </row>
    <row r="2558" ht="15.75" customHeight="1">
      <c r="A2558" s="2" t="s">
        <v>2558</v>
      </c>
      <c r="B2558" s="2" t="str">
        <f>IFERROR(__xludf.DUMMYFUNCTION("GOOGLETRANSLATE(A2558, ""en"", ""mt"")"),"Dan huwa l-aktar metodu komuni ta 'akkwist tal-kostruzzjoni u huwa stabbilit sew u rikonoxxut. F'dan l-arranġament, il-perit jew l-inġinier jaġixxi bħala l-koordinatur tal-proġett. Ir-rwol tiegħu jew tagħha huwa li jiddisinja x-xogħlijiet, iħejji l-ispeċi"&amp;"fikazzjonijiet u jipproduċi tpinġijiet tal-kostruzzjoni, jamministra l-kuntratt, joffri x-xogħlijiet, u jimmaniġġja x-xogħlijiet mill-bidu sal-tlestija. Hemm rabtiet kuntrattwali diretti bejn il-klijent tal-perit u l-kuntrattur ewlieni. Kull sottokuntratt"&amp;"ur għandu relazzjoni kuntrattwali diretta mal-kuntrattur ewlieni. Il-proċedura tkompli sakemm il-bini jkun lest biex jokkupa.")</f>
        <v>Dan huwa l-aktar metodu komuni ta 'akkwist tal-kostruzzjoni u huwa stabbilit sew u rikonoxxut. F'dan l-arranġament, il-perit jew l-inġinier jaġixxi bħala l-koordinatur tal-proġett. Ir-rwol tiegħu jew tagħha huwa li jiddisinja x-xogħlijiet, iħejji l-ispeċifikazzjonijiet u jipproduċi tpinġijiet tal-kostruzzjoni, jamministra l-kuntratt, joffri x-xogħlijiet, u jimmaniġġja x-xogħlijiet mill-bidu sal-tlestija. Hemm rabtiet kuntrattwali diretti bejn il-klijent tal-perit u l-kuntrattur ewlieni. Kull sottokuntrattur għandu relazzjoni kuntrattwali diretta mal-kuntrattur ewlieni. Il-proċedura tkompli sakemm il-bini jkun lest biex jokkupa.</v>
      </c>
    </row>
    <row r="2559" ht="15.75" customHeight="1">
      <c r="A2559" s="2" t="s">
        <v>2559</v>
      </c>
      <c r="B2559" s="2" t="str">
        <f>IFERROR(__xludf.DUMMYFUNCTION("GOOGLETRANSLATE(A2559, ""en"", ""mt"")"),"X'inhu korrelatat b'mod negattiv mat-tul tat-tkabbir ekonomiku?")</f>
        <v>X'inhu korrelatat b'mod negattiv mat-tul tat-tkabbir ekonomiku?</v>
      </c>
    </row>
    <row r="2560" ht="15.75" customHeight="1">
      <c r="A2560" s="2" t="s">
        <v>2560</v>
      </c>
      <c r="B2560" s="2" t="str">
        <f>IFERROR(__xludf.DUMMYFUNCTION("GOOGLETRANSLATE(A2560, ""en"", ""mt"")"),"summa cum laude")</f>
        <v>summa cum laude</v>
      </c>
    </row>
    <row r="2561" ht="15.75" customHeight="1">
      <c r="A2561" s="2" t="s">
        <v>2561</v>
      </c>
      <c r="B2561" s="2" t="str">
        <f>IFERROR(__xludf.DUMMYFUNCTION("GOOGLETRANSLATE(A2561, ""en"", ""mt"")"),"sa 2% ogħla")</f>
        <v>sa 2% ogħla</v>
      </c>
    </row>
    <row r="2562" ht="15.75" customHeight="1">
      <c r="A2562" s="2" t="s">
        <v>2562</v>
      </c>
      <c r="B2562" s="2" t="str">
        <f>IFERROR(__xludf.DUMMYFUNCTION("GOOGLETRANSLATE(A2562, ""en"", ""mt"")"),"rikurrenti")</f>
        <v>rikurrenti</v>
      </c>
    </row>
    <row r="2563" ht="15.75" customHeight="1">
      <c r="A2563" s="2" t="s">
        <v>2563</v>
      </c>
      <c r="B2563" s="2" t="str">
        <f>IFERROR(__xludf.DUMMYFUNCTION("GOOGLETRANSLATE(A2563, ""en"", ""mt"")"),"Soċjaliżmu")</f>
        <v>Soċjaliżmu</v>
      </c>
    </row>
    <row r="2564" ht="15.75" customHeight="1">
      <c r="A2564" s="2" t="s">
        <v>2564</v>
      </c>
      <c r="B2564" s="2" t="str">
        <f>IFERROR(__xludf.DUMMYFUNCTION("GOOGLETRANSLATE(A2564, ""en"", ""mt"")"),"Fil-parti tal-Lvant tal-Grigal ta 'Fresno, Woodward Park twaqqfet mill-mibki Ralph Woodward, resident ta' Fresno għal żmien twil. Huwa ħalla porzjon ewlieni tal-propjetà tiegħu fl-1968 biex jipprovdi park reġjonali u santwarju tal-għasafar fil-Grigal ta '"&amp;"Fresno. Il-park jinsab fuq ix-xatt tan-nofsinhar tax-Xmara San Joaquin bejn Highway 41 u Friant Road. Il-235 acres inizjali (0.95 km2), flimkien ma 'acres addizzjonali akkwistati aktar tard mill-belt, iġib il-park għal 300 acres imdaqqsa (1.2 km2). Issa p"&amp;"pakkjat bil-kumditajiet, Woodward Park huwa l-uniku park reġjonali tad-daqs tiegħu fil-Wied Ċentrali. Ir-rokna tax-Xlokk tal-park għandha bosta speċi ta 'għasafar li joffru lid-dilettanti tal-għasafar opportunità eċċellenti għall-wiri. Il-park għandu anfi"&amp;"teatru b'ħafna użi li jpoġġi sa 2,500 persuna, ġnien Ġappuniż awtentiku, park tal-klieb magħluq, traċċa ekwestri ta 'żewġ mili (3 km), eżerċizzju par ta' kors, tliet bitħa tat-tfal, lag, 3 lag, 3 għadajjar żgħar, 7 piknik Żoni u ħames mili (8 km) ta 'traċ"&amp;"ċi b'diversi skopijiet li huma parti mill-Lewis S. Eaton Trail ta' San Joaquin River Parkway. Meta tkun kompluta, is-sistema ta 'Lewis S. Eaton Trail tkopri 22 mil (35 km) bejn l-Awtostrada 99 u l-Friant Dam. It-tabelli tal-pikniks numerużi tal-park jagħm"&amp;"lu għal destinazzjoni tal-pikniks kbira u ħarba konvenjenti mill-ħajja tal-belt. L-amphetheatre tal-park ġie rinnovat fl-2010, u ospita wirjiet minn atti bħal Deftones, Tech N9ne, u Sevendust kif ukoll bosta oħrajn. Il-park huwa miftuħ minn April sa Ottub"&amp;"ru, 6am sal-10pm u Novembru sa Marzu, 6am sas-7pm. Woodward Park huwa d-dar tal-CIF annwali (Federazzjoni Interskolastika ta 'California) tal-Kampjonat tal-Istat Cross Country, li jseħħ fl-aħħar ta' Novembru. Huwa wkoll id-dar tal-Woodward Shakespeare Fes"&amp;"tival li beda l-wirjiet fil-park fl-2005.")</f>
        <v>Fil-parti tal-Lvant tal-Grigal ta 'Fresno, Woodward Park twaqqfet mill-mibki Ralph Woodward, resident ta' Fresno għal żmien twil. Huwa ħalla porzjon ewlieni tal-propjetà tiegħu fl-1968 biex jipprovdi park reġjonali u santwarju tal-għasafar fil-Grigal ta 'Fresno. Il-park jinsab fuq ix-xatt tan-nofsinhar tax-Xmara San Joaquin bejn Highway 41 u Friant Road. Il-235 acres inizjali (0.95 km2), flimkien ma 'acres addizzjonali akkwistati aktar tard mill-belt, iġib il-park għal 300 acres imdaqqsa (1.2 km2). Issa ppakkjat bil-kumditajiet, Woodward Park huwa l-uniku park reġjonali tad-daqs tiegħu fil-Wied Ċentrali. Ir-rokna tax-Xlokk tal-park għandha bosta speċi ta 'għasafar li joffru lid-dilettanti tal-għasafar opportunità eċċellenti għall-wiri. Il-park għandu anfiteatru b'ħafna użi li jpoġġi sa 2,500 persuna, ġnien Ġappuniż awtentiku, park tal-klieb magħluq, traċċa ekwestri ta 'żewġ mili (3 km), eżerċizzju par ta' kors, tliet bitħa tat-tfal, lag, 3 lag, 3 għadajjar żgħar, 7 piknik Żoni u ħames mili (8 km) ta 'traċċi b'diversi skopijiet li huma parti mill-Lewis S. Eaton Trail ta' San Joaquin River Parkway. Meta tkun kompluta, is-sistema ta 'Lewis S. Eaton Trail tkopri 22 mil (35 km) bejn l-Awtostrada 99 u l-Friant Dam. It-tabelli tal-pikniks numerużi tal-park jagħmlu għal destinazzjoni tal-pikniks kbira u ħarba konvenjenti mill-ħajja tal-belt. L-amphetheatre tal-park ġie rinnovat fl-2010, u ospita wirjiet minn atti bħal Deftones, Tech N9ne, u Sevendust kif ukoll bosta oħrajn. Il-park huwa miftuħ minn April sa Ottubru, 6am sal-10pm u Novembru sa Marzu, 6am sas-7pm. Woodward Park huwa d-dar tal-CIF annwali (Federazzjoni Interskolastika ta 'California) tal-Kampjonat tal-Istat Cross Country, li jseħħ fl-aħħar ta' Novembru. Huwa wkoll id-dar tal-Woodward Shakespeare Festival li beda l-wirjiet fil-park fl-2005.</v>
      </c>
    </row>
    <row r="2565" ht="15.75" customHeight="1">
      <c r="A2565" s="2" t="s">
        <v>2565</v>
      </c>
      <c r="B2565" s="2" t="str">
        <f>IFERROR(__xludf.DUMMYFUNCTION("GOOGLETRANSLATE(A2565, ""en"", ""mt"")"),"ministri jew mexxejja tal-partit")</f>
        <v>ministri jew mexxejja tal-partit</v>
      </c>
    </row>
    <row r="2566" ht="15.75" customHeight="1">
      <c r="A2566" s="2" t="s">
        <v>2566</v>
      </c>
      <c r="B2566" s="2" t="str">
        <f>IFERROR(__xludf.DUMMYFUNCTION("GOOGLETRANSLATE(A2566, ""en"", ""mt"")"),"X'inhuma t-tliet ċikli ewlenin tal-ossiġnu fid-dinja?")</f>
        <v>X'inhuma t-tliet ċikli ewlenin tal-ossiġnu fid-dinja?</v>
      </c>
    </row>
    <row r="2567" ht="15.75" customHeight="1">
      <c r="A2567" s="2" t="s">
        <v>2567</v>
      </c>
      <c r="B2567" s="2" t="str">
        <f>IFERROR(__xludf.DUMMYFUNCTION("GOOGLETRANSLATE(A2567, ""en"", ""mt"")"),"l-Iżraeljani")</f>
        <v>l-Iżraeljani</v>
      </c>
    </row>
    <row r="2568" ht="15.75" customHeight="1">
      <c r="A2568" s="2" t="s">
        <v>2568</v>
      </c>
      <c r="B2568" s="2" t="str">
        <f>IFERROR(__xludf.DUMMYFUNCTION("GOOGLETRANSLATE(A2568, ""en"", ""mt"")"),"Frame Relay teħtieġ handshake minn xiex?")</f>
        <v>Frame Relay teħtieġ handshake minn xiex?</v>
      </c>
    </row>
    <row r="2569" ht="15.75" customHeight="1">
      <c r="A2569" s="2" t="s">
        <v>2569</v>
      </c>
      <c r="B2569" s="2" t="str">
        <f>IFERROR(__xludf.DUMMYFUNCTION("GOOGLETRANSLATE(A2569, ""en"", ""mt"")"),"Harvard Yard")</f>
        <v>Harvard Yard</v>
      </c>
    </row>
    <row r="2570" ht="15.75" customHeight="1">
      <c r="A2570" s="2" t="s">
        <v>2570</v>
      </c>
      <c r="B2570" s="2" t="str">
        <f>IFERROR(__xludf.DUMMYFUNCTION("GOOGLETRANSLATE(A2570, ""en"", ""mt"")"),"KSEE affiljat tal-NBC")</f>
        <v>KSEE affiljat tal-NBC</v>
      </c>
    </row>
    <row r="2571" ht="15.75" customHeight="1">
      <c r="A2571" s="2" t="s">
        <v>2571</v>
      </c>
      <c r="B2571" s="2" t="str">
        <f>IFERROR(__xludf.DUMMYFUNCTION("GOOGLETRANSLATE(A2571, ""en"", ""mt"")"),"Priestley")</f>
        <v>Priestley</v>
      </c>
    </row>
    <row r="2572" ht="15.75" customHeight="1">
      <c r="A2572" s="2" t="s">
        <v>2572</v>
      </c>
      <c r="B2572" s="2" t="str">
        <f>IFERROR(__xludf.DUMMYFUNCTION("GOOGLETRANSLATE(A2572, ""en"", ""mt"")"),"Minn xiex ġej l-ipoteżi ta 'Riemann li ġej is-sors ta' irregolarità fid-distribuzzjoni tal-punti?")</f>
        <v>Minn xiex ġej l-ipoteżi ta 'Riemann li ġej is-sors ta' irregolarità fid-distribuzzjoni tal-punti?</v>
      </c>
    </row>
    <row r="2573" ht="15.75" customHeight="1">
      <c r="A2573" s="2" t="s">
        <v>2573</v>
      </c>
      <c r="B2573" s="2" t="str">
        <f>IFERROR(__xludf.DUMMYFUNCTION("GOOGLETRANSLATE(A2573, ""en"", ""mt"")"),"Fl-1965, fuq l-istigazzjoni ta 'Warner Sinback, netwerk ta' dejta bbażat fuq dan in-netwerk tal-vuċi-phone kien iddisinjat biex jgħaqqad l-erba 'ċentri ta' bejgħ u servizzi tal-kompjuter ta 'GE (Schenectady, Phoenix, Chicago, u Phoenix) biex jiffaċilita s"&amp;"ervizz ta' qsim ta 'ħin tal-kompjuter, Milli jidher l-ewwel servizz onlajn kummerċjali tad-dinja. (Minbarra li jbigħu l-kompjuters GE, iċ-ċentri kienu uffiċċji tas-servizzi tal-kompjuter, joffru servizzi ta 'proċessar tal-lott. Huma tilfu l-flus mill-bidu"&amp;", u Sinback, maniġer ta' kummerċ ta 'livell għoli, ingħata x-xogħol li jdawwar in-negozju. Sistema ta 'qsim ta' ħin, ibbażata fuq ix-xogħol ta 'Kemney f'Dartmouth - li uża kompjuter b'self minn GE - jista' jkun ta 'profitt. Warner kellu raġun.)")</f>
        <v>Fl-1965, fuq l-istigazzjoni ta 'Warner Sinback, netwerk ta' dejta bbażat fuq dan in-netwerk tal-vuċi-phone kien iddisinjat biex jgħaqqad l-erba 'ċentri ta' bejgħ u servizzi tal-kompjuter ta 'GE (Schenectady, Phoenix, Chicago, u Phoenix) biex jiffaċilita servizz ta' qsim ta 'ħin tal-kompjuter, Milli jidher l-ewwel servizz onlajn kummerċjali tad-dinja. (Minbarra li jbigħu l-kompjuters GE, iċ-ċentri kienu uffiċċji tas-servizzi tal-kompjuter, joffru servizzi ta 'proċessar tal-lott. Huma tilfu l-flus mill-bidu, u Sinback, maniġer ta' kummerċ ta 'livell għoli, ingħata x-xogħol li jdawwar in-negozju. Sistema ta 'qsim ta' ħin, ibbażata fuq ix-xogħol ta 'Kemney f'Dartmouth - li uża kompjuter b'self minn GE - jista' jkun ta 'profitt. Warner kellu raġun.)</v>
      </c>
    </row>
    <row r="2574" ht="15.75" customHeight="1">
      <c r="A2574" s="2" t="s">
        <v>2574</v>
      </c>
      <c r="B2574" s="2" t="str">
        <f>IFERROR(__xludf.DUMMYFUNCTION("GOOGLETRANSLATE(A2574, ""en"", ""mt"")"),"Kif tissejjaħ meta n-nies fis-soċjetà jirribellaw kontra l-liġijiet li jaħsbu li huma inġusti?")</f>
        <v>Kif tissejjaħ meta n-nies fis-soċjetà jirribellaw kontra l-liġijiet li jaħsbu li huma inġusti?</v>
      </c>
    </row>
    <row r="2575" ht="15.75" customHeight="1">
      <c r="A2575" s="2" t="s">
        <v>2575</v>
      </c>
      <c r="B2575" s="2" t="str">
        <f>IFERROR(__xludf.DUMMYFUNCTION("GOOGLETRANSLATE(A2575, ""en"", ""mt"")"),"Tnaqqis fil-ħin polinomjali")</f>
        <v>Tnaqqis fil-ħin polinomjali</v>
      </c>
    </row>
    <row r="2576" ht="15.75" customHeight="1">
      <c r="A2576" s="2" t="s">
        <v>2576</v>
      </c>
      <c r="B2576" s="2" t="str">
        <f>IFERROR(__xludf.DUMMYFUNCTION("GOOGLETRANSLATE(A2576, ""en"", ""mt"")"),"il-kontenut ta 'enerġija tiegħu")</f>
        <v>il-kontenut ta 'enerġija tiegħu</v>
      </c>
    </row>
    <row r="2577" ht="15.75" customHeight="1">
      <c r="A2577" s="2" t="s">
        <v>2577</v>
      </c>
      <c r="B2577" s="2" t="str">
        <f>IFERROR(__xludf.DUMMYFUNCTION("GOOGLETRANSLATE(A2577, ""en"", ""mt"")"),"Il-leġiżlazzjoni ppermettiet lil California tiġi ammessa fl-Unjoni bħala x'tip ta 'stat?")</f>
        <v>Il-leġiżlazzjoni ppermettiet lil California tiġi ammessa fl-Unjoni bħala x'tip ta 'stat?</v>
      </c>
    </row>
    <row r="2578" ht="15.75" customHeight="1">
      <c r="A2578" s="2" t="s">
        <v>2578</v>
      </c>
      <c r="B2578" s="2" t="str">
        <f>IFERROR(__xludf.DUMMYFUNCTION("GOOGLETRANSLATE(A2578, ""en"", ""mt"")"),"Liema żewġ unuri ngħataw aktar spiss fl-2005?")</f>
        <v>Liema żewġ unuri ngħataw aktar spiss fl-2005?</v>
      </c>
    </row>
    <row r="2579" ht="15.75" customHeight="1">
      <c r="A2579" s="2" t="s">
        <v>2579</v>
      </c>
      <c r="B2579" s="2" t="str">
        <f>IFERROR(__xludf.DUMMYFUNCTION("GOOGLETRANSLATE(A2579, ""en"", ""mt"")"),"Ingredjenti għall-mediċini, mibjugħa tabakk u mediċini għall-privattivi")</f>
        <v>Ingredjenti għall-mediċini, mibjugħa tabakk u mediċini għall-privattivi</v>
      </c>
    </row>
    <row r="2580" ht="15.75" customHeight="1">
      <c r="A2580" s="2" t="s">
        <v>2580</v>
      </c>
      <c r="B2580" s="2" t="str">
        <f>IFERROR(__xludf.DUMMYFUNCTION("GOOGLETRANSLATE(A2580, ""en"", ""mt"")"),"Dak li żvela l-intenzjonijiet tal-Ingliżi fil-Lvant Nofsani rigward il-prezzijiet taż-żejt fl-2004?")</f>
        <v>Dak li żvela l-intenzjonijiet tal-Ingliżi fil-Lvant Nofsani rigward il-prezzijiet taż-żejt fl-2004?</v>
      </c>
    </row>
    <row r="2581" ht="15.75" customHeight="1">
      <c r="A2581" s="2" t="s">
        <v>2581</v>
      </c>
      <c r="B2581" s="2" t="str">
        <f>IFERROR(__xludf.DUMMYFUNCTION("GOOGLETRANSLATE(A2581, ""en"", ""mt"")"),"1752 Trattat ta 'Logstown")</f>
        <v>1752 Trattat ta 'Logstown</v>
      </c>
    </row>
    <row r="2582" ht="15.75" customHeight="1">
      <c r="A2582" s="2" t="s">
        <v>2582</v>
      </c>
      <c r="B2582" s="2" t="str">
        <f>IFERROR(__xludf.DUMMYFUNCTION("GOOGLETRANSLATE(A2582, ""en"", ""mt"")"),"qawwa")</f>
        <v>qawwa</v>
      </c>
    </row>
    <row r="2583" ht="15.75" customHeight="1">
      <c r="A2583" s="2" t="s">
        <v>2583</v>
      </c>
      <c r="B2583" s="2" t="str">
        <f>IFERROR(__xludf.DUMMYFUNCTION("GOOGLETRANSLATE(A2583, ""en"", ""mt"")"),"X'tip ta 'komposti jifforma l-ossiġnu l-aktar komunement?")</f>
        <v>X'tip ta 'komposti jifforma l-ossiġnu l-aktar komunement?</v>
      </c>
    </row>
    <row r="2584" ht="15.75" customHeight="1">
      <c r="A2584" s="2" t="s">
        <v>2584</v>
      </c>
      <c r="B2584" s="2" t="str">
        <f>IFERROR(__xludf.DUMMYFUNCTION("GOOGLETRANSLATE(A2584, ""en"", ""mt"")"),"Edgar")</f>
        <v>Edgar</v>
      </c>
    </row>
    <row r="2585" ht="15.75" customHeight="1">
      <c r="A2585" s="2" t="s">
        <v>2585</v>
      </c>
      <c r="B2585" s="2" t="str">
        <f>IFERROR(__xludf.DUMMYFUNCTION("GOOGLETRANSLATE(A2585, ""en"", ""mt"")"),"Liema partit politiku huwa l-iktar qawwi fiż-żoni reġjonali fqar ta 'Melbourne?")</f>
        <v>Liema partit politiku huwa l-iktar qawwi fiż-żoni reġjonali fqar ta 'Melbourne?</v>
      </c>
    </row>
    <row r="2586" ht="15.75" customHeight="1">
      <c r="A2586" s="2" t="s">
        <v>2586</v>
      </c>
      <c r="B2586" s="2" t="str">
        <f>IFERROR(__xludf.DUMMYFUNCTION("GOOGLETRANSLATE(A2586, ""en"", ""mt"")"),"F'liema sena nbena ""Ir-Renu Romantiku"" mibni?")</f>
        <v>F'liema sena nbena "Ir-Renu Romantiku" mibni?</v>
      </c>
    </row>
    <row r="2587" ht="15.75" customHeight="1">
      <c r="A2587" s="2" t="s">
        <v>2587</v>
      </c>
      <c r="B2587" s="2" t="str">
        <f>IFERROR(__xludf.DUMMYFUNCTION("GOOGLETRANSLATE(A2587, ""en"", ""mt"")"),"Jihad armat")</f>
        <v>Jihad armat</v>
      </c>
    </row>
    <row r="2588" ht="15.75" customHeight="1">
      <c r="A2588" s="2" t="s">
        <v>2588</v>
      </c>
      <c r="B2588" s="2" t="str">
        <f>IFERROR(__xludf.DUMMYFUNCTION("GOOGLETRANSLATE(A2588, ""en"", ""mt"")"),"Kemm kien militari Brittaniku fl-Amerika ta ’Fuq fil-bidu tal-gwerra?")</f>
        <v>Kemm kien militari Brittaniku fl-Amerika ta ’Fuq fil-bidu tal-gwerra?</v>
      </c>
    </row>
    <row r="2589" ht="15.75" customHeight="1">
      <c r="A2589" s="2" t="s">
        <v>2589</v>
      </c>
      <c r="B2589" s="2" t="str">
        <f>IFERROR(__xludf.DUMMYFUNCTION("GOOGLETRANSLATE(A2589, ""en"", ""mt"")"),"Fort William Henry")</f>
        <v>Fort William Henry</v>
      </c>
    </row>
    <row r="2590" ht="15.75" customHeight="1">
      <c r="A2590" s="2" t="s">
        <v>2590</v>
      </c>
      <c r="B2590" s="2" t="str">
        <f>IFERROR(__xludf.DUMMYFUNCTION("GOOGLETRANSLATE(A2590, ""en"", ""mt"")"),"3 u 14-il siegħa fil-ġimgħa")</f>
        <v>3 u 14-il siegħa fil-ġimgħa</v>
      </c>
    </row>
    <row r="2591" ht="15.75" customHeight="1">
      <c r="A2591" s="2" t="s">
        <v>2591</v>
      </c>
      <c r="B2591" s="2" t="str">
        <f>IFERROR(__xludf.DUMMYFUNCTION("GOOGLETRANSLATE(A2591, ""en"", ""mt"")"),"Kemm festi mhux imħallsa d-direttiva tal-ħin tax-xogħol teħtieġ li l-ħaddiema jkollhom kull sena?")</f>
        <v>Kemm festi mhux imħallsa d-direttiva tal-ħin tax-xogħol teħtieġ li l-ħaddiema jkollhom kull sena?</v>
      </c>
    </row>
    <row r="2592" ht="15.75" customHeight="1">
      <c r="A2592" s="2" t="s">
        <v>2592</v>
      </c>
      <c r="B2592" s="2" t="str">
        <f>IFERROR(__xludf.DUMMYFUNCTION("GOOGLETRANSLATE(A2592, ""en"", ""mt"")"),"Huguenots Franċiżi għamlu żewġ tentattivi biex jistabbilixxu kenn fl-Amerika ta 'Fuq. Fl-1562, l-Uffiċjal Navali Jean Ribault mexxa spedizzjoni li esplorat Florida u l-ġurnata tax-xlokk tal-Istati Uniti, u waqqfet l-imbiegħed ta 'Charlesfort fuq il-Gżira "&amp;"Parris, South Carolina. Il-gwerer tar-reliġjon ma ppreklurawx vjaġġ bir-ritorn, u l-imbiegħed ġie abbandunat. Fl-1564, l-ex-logutenent ta 'Ribault René Goulaine de Laudonnière nediet it-tieni vjaġġ biex tibni kolonja; Huwa stabbilixxa Fort Caroline f'dak "&amp;"li issa huwa Jacksonville, Florida. Gwerra fid-dar reġgħet prekludiet missjoni ta 'provvista mill-ġdid, u l-kolonja tħabat. Fl-1565 l-Ispanjol iddeċieda li jinforza t-talba tagħhom lil La Florida, u bagħat lil Pedro Menéndez de Avilés, li stabbilixxa s-so"&amp;"luzzjoni ta ’Santu Wistin qrib Fort Caroline. Il-forzi ta 'Menéndez rotta l-Franċiżi u eżegwew ħafna mill-magħluqin Protestanti.")</f>
        <v>Huguenots Franċiżi għamlu żewġ tentattivi biex jistabbilixxu kenn fl-Amerika ta 'Fuq. Fl-1562, l-Uffiċjal Navali Jean Ribault mexxa spedizzjoni li esplorat Florida u l-ġurnata tax-xlokk tal-Istati Uniti, u waqqfet l-imbiegħed ta 'Charlesfort fuq il-Gżira Parris, South Carolina. Il-gwerer tar-reliġjon ma ppreklurawx vjaġġ bir-ritorn, u l-imbiegħed ġie abbandunat. Fl-1564, l-ex-logutenent ta 'Ribault René Goulaine de Laudonnière nediet it-tieni vjaġġ biex tibni kolonja; Huwa stabbilixxa Fort Caroline f'dak li issa huwa Jacksonville, Florida. Gwerra fid-dar reġgħet prekludiet missjoni ta 'provvista mill-ġdid, u l-kolonja tħabat. Fl-1565 l-Ispanjol iddeċieda li jinforza t-talba tagħhom lil La Florida, u bagħat lil Pedro Menéndez de Avilés, li stabbilixxa s-soluzzjoni ta ’Santu Wistin qrib Fort Caroline. Il-forzi ta 'Menéndez rotta l-Franċiżi u eżegwew ħafna mill-magħluqin Protestanti.</v>
      </c>
    </row>
    <row r="2593" ht="15.75" customHeight="1">
      <c r="A2593" s="2" t="s">
        <v>2593</v>
      </c>
      <c r="B2593" s="2" t="str">
        <f>IFERROR(__xludf.DUMMYFUNCTION("GOOGLETRANSLATE(A2593, ""en"", ""mt"")"),"Ferrovija")</f>
        <v>Ferrovija</v>
      </c>
    </row>
    <row r="2594" ht="15.75" customHeight="1">
      <c r="A2594" s="2" t="s">
        <v>2594</v>
      </c>
      <c r="B2594" s="2" t="str">
        <f>IFERROR(__xludf.DUMMYFUNCTION("GOOGLETRANSLATE(A2594, ""en"", ""mt"")"),"Liema żieda fil-piż tal-materjal waqt is-sadid kienet ħjiel bikri li t-teorija ta 'Philogiston kienet ħażina?")</f>
        <v>Liema żieda fil-piż tal-materjal waqt is-sadid kienet ħjiel bikri li t-teorija ta 'Philogiston kienet ħażina?</v>
      </c>
    </row>
    <row r="2595" ht="15.75" customHeight="1">
      <c r="A2595" s="2" t="s">
        <v>2595</v>
      </c>
      <c r="B2595" s="2" t="str">
        <f>IFERROR(__xludf.DUMMYFUNCTION("GOOGLETRANSLATE(A2595, ""en"", ""mt"")"),"X’ma kinux il-pjanijiet ta ’Loudoun għall-1757?")</f>
        <v>X’ma kinux il-pjanijiet ta ’Loudoun għall-1757?</v>
      </c>
    </row>
    <row r="2596" ht="15.75" customHeight="1">
      <c r="A2596" s="2" t="s">
        <v>2596</v>
      </c>
      <c r="B2596" s="2" t="str">
        <f>IFERROR(__xludf.DUMMYFUNCTION("GOOGLETRANSLATE(A2596, ""en"", ""mt"")"),"X'kien jintroduċi fil-Baħar l-Iswed?")</f>
        <v>X'kien jintroduċi fil-Baħar l-Iswed?</v>
      </c>
    </row>
    <row r="2597" ht="15.75" customHeight="1">
      <c r="A2597" s="2" t="s">
        <v>2597</v>
      </c>
      <c r="B2597" s="2" t="str">
        <f>IFERROR(__xludf.DUMMYFUNCTION("GOOGLETRANSLATE(A2597, ""en"", ""mt"")"),"Biex tevita l-installazzjoni ta 'immaġini pagani fit-tempju f'Ġerusalemm")</f>
        <v>Biex tevita l-installazzjoni ta 'immaġini pagani fit-tempju f'Ġerusalemm</v>
      </c>
    </row>
    <row r="2598" ht="15.75" customHeight="1">
      <c r="A2598" s="2" t="s">
        <v>2598</v>
      </c>
      <c r="B2598" s="2" t="str">
        <f>IFERROR(__xludf.DUMMYFUNCTION("GOOGLETRANSLATE(A2598, ""en"", ""mt"")"),"4,404.5")</f>
        <v>4,404.5</v>
      </c>
    </row>
    <row r="2599" ht="15.75" customHeight="1">
      <c r="A2599" s="2" t="s">
        <v>2599</v>
      </c>
      <c r="B2599" s="2" t="str">
        <f>IFERROR(__xludf.DUMMYFUNCTION("GOOGLETRANSLATE(A2599, ""en"", ""mt"")"),"jirbħu l-artijiet tal-istat l-ieħor")</f>
        <v>jirbħu l-artijiet tal-istat l-ieħor</v>
      </c>
    </row>
    <row r="2600" ht="15.75" customHeight="1">
      <c r="A2600" s="2" t="s">
        <v>2600</v>
      </c>
      <c r="B2600" s="2" t="str">
        <f>IFERROR(__xludf.DUMMYFUNCTION("GOOGLETRANSLATE(A2600, ""en"", ""mt"")")," Friedrich Ratzel ħaseb dak li ma kienx meħtieġ biex stat jgħix?")</f>
        <v> Friedrich Ratzel ħaseb dak li ma kienx meħtieġ biex stat jgħix?</v>
      </c>
    </row>
    <row r="2601" ht="15.75" customHeight="1">
      <c r="A2601" s="2" t="s">
        <v>2601</v>
      </c>
      <c r="B2601" s="2" t="str">
        <f>IFERROR(__xludf.DUMMYFUNCTION("GOOGLETRANSLATE(A2601, ""en"", ""mt"")"),"Min għandu potenzjal produttiv limitat meta jiffaċċja aktar aċċess għall-edukazzjoni?")</f>
        <v>Min għandu potenzjal produttiv limitat meta jiffaċċja aktar aċċess għall-edukazzjoni?</v>
      </c>
    </row>
    <row r="2602" ht="15.75" customHeight="1">
      <c r="A2602" s="2" t="s">
        <v>2602</v>
      </c>
      <c r="B2602" s="2" t="str">
        <f>IFERROR(__xludf.DUMMYFUNCTION("GOOGLETRANSLATE(A2602, ""en"", ""mt"")"),"it-tramuntana")</f>
        <v>it-tramuntana</v>
      </c>
    </row>
    <row r="2603" ht="15.75" customHeight="1">
      <c r="A2603" s="2" t="s">
        <v>2603</v>
      </c>
      <c r="B2603" s="2" t="str">
        <f>IFERROR(__xludf.DUMMYFUNCTION("GOOGLETRANSLATE(A2603, ""en"", ""mt"")"),"1928")</f>
        <v>1928</v>
      </c>
    </row>
    <row r="2604" ht="15.75" customHeight="1">
      <c r="A2604" s="2" t="s">
        <v>2604</v>
      </c>
      <c r="B2604" s="2" t="str">
        <f>IFERROR(__xludf.DUMMYFUNCTION("GOOGLETRANSLATE(A2604, ""en"", ""mt"")"),"X'inhi l-pressjoni parzjali ta 'O fil-gass tan-nifs?")</f>
        <v>X'inhi l-pressjoni parzjali ta 'O fil-gass tan-nifs?</v>
      </c>
    </row>
    <row r="2605" ht="15.75" customHeight="1">
      <c r="A2605" s="2" t="s">
        <v>2605</v>
      </c>
      <c r="B2605" s="2" t="str">
        <f>IFERROR(__xludf.DUMMYFUNCTION("GOOGLETRANSLATE(A2605, ""en"", ""mt"")"),"żewġ arbli")</f>
        <v>żewġ arbli</v>
      </c>
    </row>
    <row r="2606" ht="15.75" customHeight="1">
      <c r="A2606" s="2" t="s">
        <v>2606</v>
      </c>
      <c r="B2606" s="2" t="str">
        <f>IFERROR(__xludf.DUMMYFUNCTION("GOOGLETRANSLATE(A2606, ""en"", ""mt"")"),"Pesta Bubonika")</f>
        <v>Pesta Bubonika</v>
      </c>
    </row>
    <row r="2607" ht="15.75" customHeight="1">
      <c r="A2607" s="2" t="s">
        <v>2607</v>
      </c>
      <c r="B2607" s="2" t="str">
        <f>IFERROR(__xludf.DUMMYFUNCTION("GOOGLETRANSLATE(A2607, ""en"", ""mt"")"),"Ed Asner")</f>
        <v>Ed Asner</v>
      </c>
    </row>
    <row r="2608" ht="15.75" customHeight="1">
      <c r="A2608" s="2" t="s">
        <v>2608</v>
      </c>
      <c r="B2608" s="2" t="str">
        <f>IFERROR(__xludf.DUMMYFUNCTION("GOOGLETRANSLATE(A2608, ""en"", ""mt"")"),"Kemm ġew skoperti speċi ta 'rotifers?")</f>
        <v>Kemm ġew skoperti speċi ta 'rotifers?</v>
      </c>
    </row>
    <row r="2609" ht="15.75" customHeight="1">
      <c r="A2609" s="2" t="s">
        <v>2609</v>
      </c>
      <c r="B2609" s="2" t="str">
        <f>IFERROR(__xludf.DUMMYFUNCTION("GOOGLETRANSLATE(A2609, ""en"", ""mt"")"),"teoriji ""ċellulari"" u ""umoristiċi""")</f>
        <v>teoriji "ċellulari" u "umoristiċi"</v>
      </c>
    </row>
    <row r="2610" ht="15.75" customHeight="1">
      <c r="A2610" s="2" t="s">
        <v>2610</v>
      </c>
      <c r="B2610" s="2" t="str">
        <f>IFERROR(__xludf.DUMMYFUNCTION("GOOGLETRANSLATE(A2610, ""en"", ""mt"")"),"Liema arċidjoċesi hija s-sede ta 'Varsavja?")</f>
        <v>Liema arċidjoċesi hija s-sede ta 'Varsavja?</v>
      </c>
    </row>
    <row r="2611" ht="15.75" customHeight="1">
      <c r="A2611" s="2" t="s">
        <v>2611</v>
      </c>
      <c r="B2611" s="2" t="str">
        <f>IFERROR(__xludf.DUMMYFUNCTION("GOOGLETRANSLATE(A2611, ""en"", ""mt"")"),"Disa 'Fatturi")</f>
        <v>Disa 'Fatturi</v>
      </c>
    </row>
    <row r="2612" ht="15.75" customHeight="1">
      <c r="A2612" s="2" t="s">
        <v>2612</v>
      </c>
      <c r="B2612" s="2" t="str">
        <f>IFERROR(__xludf.DUMMYFUNCTION("GOOGLETRANSLATE(A2612, ""en"", ""mt"")"),"Liema apparati ġew ikkreditati bħala l-forza li tiċċaqlaq tal-kultivazzjoni?")</f>
        <v>Liema apparati ġew ikkreditati bħala l-forza li tiċċaqlaq tal-kultivazzjoni?</v>
      </c>
    </row>
    <row r="2613" ht="15.75" customHeight="1">
      <c r="A2613" s="2" t="s">
        <v>2613</v>
      </c>
      <c r="B2613" s="2" t="str">
        <f>IFERROR(__xludf.DUMMYFUNCTION("GOOGLETRANSLATE(A2613, ""en"", ""mt"")"),"X'kienu l-kundizzjonijiet għall-minaturi fl-Irlanda u ċ-Ċina?")</f>
        <v>X'kienu l-kundizzjonijiet għall-minaturi fl-Irlanda u ċ-Ċina?</v>
      </c>
    </row>
    <row r="2614" ht="15.75" customHeight="1">
      <c r="A2614" s="2" t="s">
        <v>2614</v>
      </c>
      <c r="B2614" s="2" t="str">
        <f>IFERROR(__xludf.DUMMYFUNCTION("GOOGLETRANSLATE(A2614, ""en"", ""mt"")"),"identifikazzjoni tal-blat")</f>
        <v>identifikazzjoni tal-blat</v>
      </c>
    </row>
    <row r="2615" ht="15.75" customHeight="1">
      <c r="A2615" s="2" t="s">
        <v>2615</v>
      </c>
      <c r="B2615" s="2" t="str">
        <f>IFERROR(__xludf.DUMMYFUNCTION("GOOGLETRANSLATE(A2615, ""en"", ""mt"")"),"X'inhuma ċ-ċelloli tal-ġilda li jistgħu jiġu trasformati f'tumuri magħrufa bħala?")</f>
        <v>X'inhuma ċ-ċelloli tal-ġilda li jistgħu jiġu trasformati f'tumuri magħrufa bħala?</v>
      </c>
    </row>
    <row r="2616" ht="15.75" customHeight="1">
      <c r="A2616" s="2" t="s">
        <v>2616</v>
      </c>
      <c r="B2616" s="2" t="str">
        <f>IFERROR(__xludf.DUMMYFUNCTION("GOOGLETRANSLATE(A2616, ""en"", ""mt"")"),"X'tip ta 'moviment hija l-Fratellanza Musulmana?")</f>
        <v>X'tip ta 'moviment hija l-Fratellanza Musulmana?</v>
      </c>
    </row>
    <row r="2617" ht="15.75" customHeight="1">
      <c r="A2617" s="2" t="s">
        <v>2617</v>
      </c>
      <c r="B2617" s="2" t="str">
        <f>IFERROR(__xludf.DUMMYFUNCTION("GOOGLETRANSLATE(A2617, ""en"", ""mt"")"),"Grupp Iżlamiku")</f>
        <v>Grupp Iżlamiku</v>
      </c>
    </row>
    <row r="2618" ht="15.75" customHeight="1">
      <c r="A2618" s="2" t="s">
        <v>2618</v>
      </c>
      <c r="B2618" s="2" t="str">
        <f>IFERROR(__xludf.DUMMYFUNCTION("GOOGLETRANSLATE(A2618, ""en"", ""mt"")"),"Liema unità titkejjel biex tiddetermina l-kumplessità taċ-ċirkwit?")</f>
        <v>Liema unità titkejjel biex tiddetermina l-kumplessità taċ-ċirkwit?</v>
      </c>
    </row>
    <row r="2619" ht="15.75" customHeight="1">
      <c r="A2619" s="2" t="s">
        <v>2619</v>
      </c>
      <c r="B2619" s="2" t="str">
        <f>IFERROR(__xludf.DUMMYFUNCTION("GOOGLETRANSLATE(A2619, ""en"", ""mt"")"),"materjali kombustibbli")</f>
        <v>materjali kombustibbli</v>
      </c>
    </row>
    <row r="2620" ht="15.75" customHeight="1">
      <c r="A2620" s="2" t="s">
        <v>2620</v>
      </c>
      <c r="B2620" s="2" t="str">
        <f>IFERROR(__xludf.DUMMYFUNCTION("GOOGLETRANSLATE(A2620, ""en"", ""mt"")"),"Kemm it-trab tas-Saħara jaqa 'fuq il-baċin tal-Amażonja kull sena?")</f>
        <v>Kemm it-trab tas-Saħara jaqa 'fuq il-baċin tal-Amażonja kull sena?</v>
      </c>
    </row>
    <row r="2621" ht="15.75" customHeight="1">
      <c r="A2621" s="2" t="s">
        <v>2621</v>
      </c>
      <c r="B2621" s="2" t="str">
        <f>IFERROR(__xludf.DUMMYFUNCTION("GOOGLETRANSLATE(A2621, ""en"", ""mt"")"),"Kemm-il ġurnata s-sindku għandu jwarrab il-veto tal-kunsill?")</f>
        <v>Kemm-il ġurnata s-sindku għandu jwarrab il-veto tal-kunsill?</v>
      </c>
    </row>
    <row r="2622" ht="15.75" customHeight="1">
      <c r="A2622" s="2" t="s">
        <v>2622</v>
      </c>
      <c r="B2622" s="2" t="str">
        <f>IFERROR(__xludf.DUMMYFUNCTION("GOOGLETRANSLATE(A2622, ""en"", ""mt"")"),"Kemm studenti rreġistrati fil-kulleġġ matul ir-rebbiegħa tal-2014?")</f>
        <v>Kemm studenti rreġistrati fil-kulleġġ matul ir-rebbiegħa tal-2014?</v>
      </c>
    </row>
    <row r="2623" ht="15.75" customHeight="1">
      <c r="A2623" s="2" t="s">
        <v>2623</v>
      </c>
      <c r="B2623" s="2" t="str">
        <f>IFERROR(__xludf.DUMMYFUNCTION("GOOGLETRANSLATE(A2623, ""en"", ""mt"")"),"antiġen minn patoġen")</f>
        <v>antiġen minn patoġen</v>
      </c>
    </row>
    <row r="2624" ht="15.75" customHeight="1">
      <c r="A2624" s="2" t="s">
        <v>2624</v>
      </c>
      <c r="B2624" s="2" t="str">
        <f>IFERROR(__xludf.DUMMYFUNCTION("GOOGLETRANSLATE(A2624, ""en"", ""mt"")"),"Amsterdam u ż-żona ta 'West Frisia")</f>
        <v>Amsterdam u ż-żona ta 'West Frisia</v>
      </c>
    </row>
    <row r="2625" ht="15.75" customHeight="1">
      <c r="A2625" s="2" t="s">
        <v>2625</v>
      </c>
      <c r="B2625" s="2" t="str">
        <f>IFERROR(__xludf.DUMMYFUNCTION("GOOGLETRANSLATE(A2625, ""en"", ""mt"")"),"Lira-Forza")</f>
        <v>Lira-Forza</v>
      </c>
    </row>
    <row r="2626" ht="15.75" customHeight="1">
      <c r="A2626" s="2" t="s">
        <v>2626</v>
      </c>
      <c r="B2626" s="2" t="str">
        <f>IFERROR(__xludf.DUMMYFUNCTION("GOOGLETRANSLATE(A2626, ""en"", ""mt"")"),"L-Anġli ta ’Los Angeles ta’ Anaheim huma minn liema sport?")</f>
        <v>L-Anġli ta ’Los Angeles ta’ Anaheim huma minn liema sport?</v>
      </c>
    </row>
    <row r="2627" ht="15.75" customHeight="1">
      <c r="A2627" s="2" t="s">
        <v>2627</v>
      </c>
      <c r="B2627" s="2" t="str">
        <f>IFERROR(__xludf.DUMMYFUNCTION("GOOGLETRANSLATE(A2627, ""en"", ""mt"")"),"200,000 Krone Daniż")</f>
        <v>200,000 Krone Daniż</v>
      </c>
    </row>
    <row r="2628" ht="15.75" customHeight="1">
      <c r="A2628" s="2" t="s">
        <v>2628</v>
      </c>
      <c r="B2628" s="2" t="str">
        <f>IFERROR(__xludf.DUMMYFUNCTION("GOOGLETRANSLATE(A2628, ""en"", ""mt"")"),"is-soluzzjoni")</f>
        <v>is-soluzzjoni</v>
      </c>
    </row>
    <row r="2629" ht="15.75" customHeight="1">
      <c r="A2629" s="2" t="s">
        <v>2629</v>
      </c>
      <c r="B2629" s="2" t="str">
        <f>IFERROR(__xludf.DUMMYFUNCTION("GOOGLETRANSLATE(A2629, ""en"", ""mt"")"),"X'jista 'jwassal għal pagi aktar baxxi għall-membri tal-organizzazzjonijiet tax-xogħol?")</f>
        <v>X'jista 'jwassal għal pagi aktar baxxi għall-membri tal-organizzazzjonijiet tax-xogħol?</v>
      </c>
    </row>
    <row r="2630" ht="15.75" customHeight="1">
      <c r="A2630" s="2" t="s">
        <v>2630</v>
      </c>
      <c r="B2630" s="2" t="str">
        <f>IFERROR(__xludf.DUMMYFUNCTION("GOOGLETRANSLATE(A2630, ""en"", ""mt"")"),"L-interpretazzjoni korretta tal-kompożizzjoni tal-ilma")</f>
        <v>L-interpretazzjoni korretta tal-kompożizzjoni tal-ilma</v>
      </c>
    </row>
    <row r="2631" ht="15.75" customHeight="1">
      <c r="A2631" s="2" t="s">
        <v>2631</v>
      </c>
      <c r="B2631" s="2" t="str">
        <f>IFERROR(__xludf.DUMMYFUNCTION("GOOGLETRANSLATE(A2631, ""en"", ""mt"")"),"Huma rranġaw biex l-Iżrael jiġbed lura mill-Peniżola tas-Sinaj u l-Golan Heights.")</f>
        <v>Huma rranġaw biex l-Iżrael jiġbed lura mill-Peniżola tas-Sinaj u l-Golan Heights.</v>
      </c>
    </row>
    <row r="2632" ht="15.75" customHeight="1">
      <c r="A2632" s="2" t="s">
        <v>2632</v>
      </c>
      <c r="B2632" s="2" t="str">
        <f>IFERROR(__xludf.DUMMYFUNCTION("GOOGLETRANSLATE(A2632, ""en"", ""mt"")"),"id-dinastija Ming")</f>
        <v>id-dinastija Ming</v>
      </c>
    </row>
    <row r="2633" ht="15.75" customHeight="1">
      <c r="A2633" s="2" t="s">
        <v>2633</v>
      </c>
      <c r="B2633" s="2" t="str">
        <f>IFERROR(__xludf.DUMMYFUNCTION("GOOGLETRANSLATE(A2633, ""en"", ""mt"")"),"X'inhu akkużat talli kkawża l-qatra qawwija fil-qabdiet tal-ħut fil-Baħar l-Iswed u fil-Baħar ta 'Azov?")</f>
        <v>X'inhu akkużat talli kkawża l-qatra qawwija fil-qabdiet tal-ħut fil-Baħar l-Iswed u fil-Baħar ta 'Azov?</v>
      </c>
    </row>
    <row r="2634" ht="15.75" customHeight="1">
      <c r="A2634" s="2" t="s">
        <v>2634</v>
      </c>
      <c r="B2634" s="2" t="str">
        <f>IFERROR(__xludf.DUMMYFUNCTION("GOOGLETRANSLATE(A2634, ""en"", ""mt"")"),"Ħadid banded")</f>
        <v>Ħadid banded</v>
      </c>
    </row>
    <row r="2635" ht="15.75" customHeight="1">
      <c r="A2635" s="2" t="s">
        <v>2635</v>
      </c>
      <c r="B2635" s="2" t="str">
        <f>IFERROR(__xludf.DUMMYFUNCTION("GOOGLETRANSLATE(A2635, ""en"", ""mt"")"),"ħamrija fqira.")</f>
        <v>ħamrija fqira.</v>
      </c>
    </row>
    <row r="2636" ht="15.75" customHeight="1">
      <c r="A2636" s="2" t="s">
        <v>2636</v>
      </c>
      <c r="B2636" s="2" t="str">
        <f>IFERROR(__xludf.DUMMYFUNCTION("GOOGLETRANSLATE(A2636, ""en"", ""mt"")"),"Liema park huwa d-dar għaż-Żoo Fresno Chafffee?")</f>
        <v>Liema park huwa d-dar għaż-Żoo Fresno Chafffee?</v>
      </c>
    </row>
    <row r="2637" ht="15.75" customHeight="1">
      <c r="A2637" s="2" t="s">
        <v>2637</v>
      </c>
      <c r="B2637" s="2" t="str">
        <f>IFERROR(__xludf.DUMMYFUNCTION("GOOGLETRANSLATE(A2637, ""en"", ""mt"")"),"Mejju 2013")</f>
        <v>Mejju 2013</v>
      </c>
    </row>
    <row r="2638" ht="15.75" customHeight="1">
      <c r="A2638" s="2" t="s">
        <v>2638</v>
      </c>
      <c r="B2638" s="2" t="str">
        <f>IFERROR(__xludf.DUMMYFUNCTION("GOOGLETRANSLATE(A2638, ""en"", ""mt"")"),"Kemm-il ġurnata pparteċipaw il-forzi tal-Istati Uniti fil-Gwerra Bierda?")</f>
        <v>Kemm-il ġurnata pparteċipaw il-forzi tal-Istati Uniti fil-Gwerra Bierda?</v>
      </c>
    </row>
    <row r="2639" ht="15.75" customHeight="1">
      <c r="A2639" s="2" t="s">
        <v>2639</v>
      </c>
      <c r="B2639" s="2" t="str">
        <f>IFERROR(__xludf.DUMMYFUNCTION("GOOGLETRANSLATE(A2639, ""en"", ""mt"")"),"Jekk ma tafx kemm il-kobor kif ukoll id-direzzjoni ta 'żewġ forzi fuq oġġett, x'sejjaħ dik is-sitwazzjoni?")</f>
        <v>Jekk ma tafx kemm il-kobor kif ukoll id-direzzjoni ta 'żewġ forzi fuq oġġett, x'sejjaħ dik is-sitwazzjoni?</v>
      </c>
    </row>
    <row r="2640" ht="15.75" customHeight="1">
      <c r="A2640" s="2" t="s">
        <v>2640</v>
      </c>
      <c r="B2640" s="2" t="str">
        <f>IFERROR(__xludf.DUMMYFUNCTION("GOOGLETRANSLATE(A2640, ""en"", ""mt"")"),"X'jiggarantixxi għal Harvard jekk jiġbdu studenti għonja?")</f>
        <v>X'jiggarantixxi għal Harvard jekk jiġbdu studenti għonja?</v>
      </c>
    </row>
    <row r="2641" ht="15.75" customHeight="1">
      <c r="A2641" s="2" t="s">
        <v>2641</v>
      </c>
      <c r="B2641" s="2" t="str">
        <f>IFERROR(__xludf.DUMMYFUNCTION("GOOGLETRANSLATE(A2641, ""en"", ""mt"")"),"5,500,000 kilometru kwadru (2,100,000 sq mi) huma koperti mill-foresta tropikali.")</f>
        <v>5,500,000 kilometru kwadru (2,100,000 sq mi) huma koperti mill-foresta tropikali.</v>
      </c>
    </row>
    <row r="2642" ht="15.75" customHeight="1">
      <c r="A2642" s="2" t="s">
        <v>2642</v>
      </c>
      <c r="B2642" s="2" t="str">
        <f>IFERROR(__xludf.DUMMYFUNCTION("GOOGLETRANSLATE(A2642, ""en"", ""mt"")"),"X’naqqas ir-rata tal-fluss u kkawża li l-livell tal-ilma ta ’taħt l-art jiżdied?")</f>
        <v>X’naqqas ir-rata tal-fluss u kkawża li l-livell tal-ilma ta ’taħt l-art jiżdied?</v>
      </c>
    </row>
    <row r="2643" ht="15.75" customHeight="1">
      <c r="A2643" s="2" t="s">
        <v>2643</v>
      </c>
      <c r="B2643" s="2" t="str">
        <f>IFERROR(__xludf.DUMMYFUNCTION("GOOGLETRANSLATE(A2643, ""en"", ""mt"")"),"Fost l-aktar klassijiet importanti ta 'komposti organiċi li fihom l-ossiġnu hemm (fejn ""R"" huwa grupp organiku): alkoħol (R-OH); eteri (R-O-R); ketoni (r-co-r); Aldehydes (R-Co-H); Aċidi karbossiliċi (R-COOH); esteri (r-coo-r); aċidu aċidużi (r-co-o-co-"&amp;"r); u amidi (r-c (o) -nr
2). Hemm ħafna solventi organiċi importanti li fihom ossiġnu, inklużi: aċetun, metanol, etanol, isopropanol, furan, THF, dietil ether, dijossan, aċetat tal-etil, DMF, DMS, DMSO, aċidu aċetiku, u aċidu formiku. Aċetun ((ch
3)
2co) "&amp;"u fenol (c
6h
5OH) jintużaw bħala materjali ta 'l-alimentazzjoni fis-sintesi ta' ħafna sustanzi differenti. Komposti organiċi importanti oħra li fihom l-ossiġnu huma: gliċerol, formaldehyde, glutaraldehyde, aċidu ċitriku, anhydride aċetiku, u aċetamide. L"&amp;"-epossidi huma eteri li fihom l-atomu tal-ossiġnu huwa parti minn ċirku ta 'tliet atomi.")</f>
        <v>Fost l-aktar klassijiet importanti ta 'komposti organiċi li fihom l-ossiġnu hemm (fejn "R" huwa grupp organiku): alkoħol (R-OH); eteri (R-O-R); ketoni (r-co-r); Aldehydes (R-Co-H); Aċidi karbossiliċi (R-COOH); esteri (r-coo-r); aċidu aċidużi (r-co-o-co-r); u amidi (r-c (o) -nr
2). Hemm ħafna solventi organiċi importanti li fihom ossiġnu, inklużi: aċetun, metanol, etanol, isopropanol, furan, THF, dietil ether, dijossan, aċetat tal-etil, DMF, DMS, DMSO, aċidu aċetiku, u aċidu formiku. Aċetun ((ch
3)
2co) u fenol (c
6h
5OH) jintużaw bħala materjali ta 'l-alimentazzjoni fis-sintesi ta' ħafna sustanzi differenti. Komposti organiċi importanti oħra li fihom l-ossiġnu huma: gliċerol, formaldehyde, glutaraldehyde, aċidu ċitriku, anhydride aċetiku, u aċetamide. L-epossidi huma eteri li fihom l-atomu tal-ossiġnu huwa parti minn ċirku ta 'tliet atomi.</v>
      </c>
    </row>
    <row r="2644" ht="15.75" customHeight="1">
      <c r="A2644" s="2" t="s">
        <v>2644</v>
      </c>
      <c r="B2644" s="2" t="str">
        <f>IFERROR(__xludf.DUMMYFUNCTION("GOOGLETRANSLATE(A2644, ""en"", ""mt"")"),"L-ebda ħin tal-ħabs")</f>
        <v>L-ebda ħin tal-ħabs</v>
      </c>
    </row>
    <row r="2645" ht="15.75" customHeight="1">
      <c r="A2645" s="2" t="s">
        <v>2645</v>
      </c>
      <c r="B2645" s="2" t="str">
        <f>IFERROR(__xludf.DUMMYFUNCTION("GOOGLETRANSLATE(A2645, ""en"", ""mt"")"),"100-150")</f>
        <v>100-150</v>
      </c>
    </row>
    <row r="2646" ht="15.75" customHeight="1">
      <c r="A2646" s="2" t="s">
        <v>2646</v>
      </c>
      <c r="B2646" s="2" t="str">
        <f>IFERROR(__xludf.DUMMYFUNCTION("GOOGLETRANSLATE(A2646, ""en"", ""mt"")"),"X'inhu l-iskambju ta 'sett ta' obbligi bejn żewġ partijiet jew aktar?")</f>
        <v>X'inhu l-iskambju ta 'sett ta' obbligi bejn żewġ partijiet jew aktar?</v>
      </c>
    </row>
    <row r="2647" ht="15.75" customHeight="1">
      <c r="A2647" s="2" t="s">
        <v>2647</v>
      </c>
      <c r="B2647" s="2" t="str">
        <f>IFERROR(__xludf.DUMMYFUNCTION("GOOGLETRANSLATE(A2647, ""en"", ""mt"")"),"Il-motto tal-Fratellanza Musulmana jispeċifika x’inhi l-kostituzzjoni tagħhom?")</f>
        <v>Il-motto tal-Fratellanza Musulmana jispeċifika x’inhi l-kostituzzjoni tagħhom?</v>
      </c>
    </row>
    <row r="2648" ht="15.75" customHeight="1">
      <c r="A2648" s="2" t="s">
        <v>2648</v>
      </c>
      <c r="B2648" s="2" t="str">
        <f>IFERROR(__xludf.DUMMYFUNCTION("GOOGLETRANSLATE(A2648, ""en"", ""mt"")"),"Kemm nies mietu fit-tifqigħa tal-1471?")</f>
        <v>Kemm nies mietu fit-tifqigħa tal-1471?</v>
      </c>
    </row>
    <row r="2649" ht="15.75" customHeight="1">
      <c r="A2649" s="2" t="s">
        <v>2649</v>
      </c>
      <c r="B2649" s="2" t="str">
        <f>IFERROR(__xludf.DUMMYFUNCTION("GOOGLETRANSLATE(A2649, ""en"", ""mt"")"),"Premju Nobel")</f>
        <v>Premju Nobel</v>
      </c>
    </row>
    <row r="2650" ht="15.75" customHeight="1">
      <c r="A2650" s="2" t="s">
        <v>2650</v>
      </c>
      <c r="B2650" s="2" t="str">
        <f>IFERROR(__xludf.DUMMYFUNCTION("GOOGLETRANSLATE(A2650, ""en"", ""mt"")"),"X’għamel Gerge Lenczowski għall-prezz taż-żejt fis-16 ta ’Ottubru, 1973?")</f>
        <v>X’għamel Gerge Lenczowski għall-prezz taż-żejt fis-16 ta ’Ottubru, 1973?</v>
      </c>
    </row>
    <row r="2651" ht="15.75" customHeight="1">
      <c r="A2651" s="2" t="s">
        <v>2651</v>
      </c>
      <c r="B2651" s="2" t="str">
        <f>IFERROR(__xludf.DUMMYFUNCTION("GOOGLETRANSLATE(A2651, ""en"", ""mt"")"),"il-fluwidu tax-xogħol")</f>
        <v>il-fluwidu tax-xogħol</v>
      </c>
    </row>
    <row r="2652" ht="15.75" customHeight="1">
      <c r="A2652" s="2" t="s">
        <v>2652</v>
      </c>
      <c r="B2652" s="2" t="str">
        <f>IFERROR(__xludf.DUMMYFUNCTION("GOOGLETRANSLATE(A2652, ""en"", ""mt"")"),"Thomas Reid u Dugald Stewart")</f>
        <v>Thomas Reid u Dugald Stewart</v>
      </c>
    </row>
    <row r="2653" ht="15.75" customHeight="1">
      <c r="A2653" s="2" t="s">
        <v>2653</v>
      </c>
      <c r="B2653" s="2" t="str">
        <f>IFERROR(__xludf.DUMMYFUNCTION("GOOGLETRANSLATE(A2653, ""en"", ""mt"")"),"Għaliex il-gvern Pollakk eżiljat f'Londra ordna lill-Armata tad-Dar taħt l-art biex taħtaf il-kontroll ta 'Stalin qabel il-wasla jew l-Armata l-Ħamra?")</f>
        <v>Għaliex il-gvern Pollakk eżiljat f'Londra ordna lill-Armata tad-Dar taħt l-art biex taħtaf il-kontroll ta 'Stalin qabel il-wasla jew l-Armata l-Ħamra?</v>
      </c>
    </row>
    <row r="2654" ht="15.75" customHeight="1">
      <c r="A2654" s="2" t="s">
        <v>2654</v>
      </c>
      <c r="B2654" s="2" t="str">
        <f>IFERROR(__xludf.DUMMYFUNCTION("GOOGLETRANSLATE(A2654, ""en"", ""mt"")"),"Ilkhanate")</f>
        <v>Ilkhanate</v>
      </c>
    </row>
    <row r="2655" ht="15.75" customHeight="1">
      <c r="A2655" s="2" t="s">
        <v>2655</v>
      </c>
      <c r="B2655" s="2" t="str">
        <f>IFERROR(__xludf.DUMMYFUNCTION("GOOGLETRANSLATE(A2655, ""en"", ""mt"")"),"1542")</f>
        <v>1542</v>
      </c>
    </row>
    <row r="2656" ht="15.75" customHeight="1">
      <c r="A2656" s="2" t="s">
        <v>2656</v>
      </c>
      <c r="B2656" s="2" t="str">
        <f>IFERROR(__xludf.DUMMYFUNCTION("GOOGLETRANSLATE(A2656, ""en"", ""mt"")"),"Liema suċċess Abercrombie kiseb mir-rebħa f'Carillon?")</f>
        <v>Liema suċċess Abercrombie kiseb mir-rebħa f'Carillon?</v>
      </c>
    </row>
    <row r="2657" ht="15.75" customHeight="1">
      <c r="A2657" s="2" t="s">
        <v>2657</v>
      </c>
      <c r="B2657" s="2" t="str">
        <f>IFERROR(__xludf.DUMMYFUNCTION("GOOGLETRANSLATE(A2657, ""en"", ""mt"")"),"regoli li jmorru kontra l-moralità")</f>
        <v>regoli li jmorru kontra l-moralità</v>
      </c>
    </row>
    <row r="2658" ht="15.75" customHeight="1">
      <c r="A2658" s="2" t="s">
        <v>2658</v>
      </c>
      <c r="B2658" s="2" t="str">
        <f>IFERROR(__xludf.DUMMYFUNCTION("GOOGLETRANSLATE(A2658, ""en"", ""mt"")"),"Metodi ta 'ħażna ta' ossiġnu jinkludu tankijiet ta 'ossiġenu bi pressjoni għolja, krijoġeniċi u komposti kimiċi. Għal raġunijiet ta 'ekonomija, l-ossiġenu spiss jiġi ttrasportat bl-ingrossa bħala likwidu fit-tankers iżolati apposta, peress li litru ta' os"&amp;"siġnu likwifikat huwa ekwivalenti għal 840 litru ta 'ossiġenu gassuż bi pressjoni atmosferika u 20 ° C (68 ° F). Dawn it-tankers jintużaw biex jerġgħu jimlew il-kontenituri tal-ħażna tal-ossiġnu likwidu bl-ingrossa, li joqogħdu barra l-isptarijiet u istit"&amp;"uzzjonijiet oħra li għandhom bżonn volumi kbar ta 'gass tal-ossiġnu pur. L-ossiġnu likwidu jgħaddi minn skambjaturi tas-sħana, li jikkonvertu l-likwidu krijoġeniku f'gass qabel ma jidħol fil-bini. L-ossiġnu jinħażen ukoll u jintbagħat f'ċilindri iżgħar li"&amp;" fihom il-gass ikkompressat; Formola li hija utli f'ċerti applikazzjonijiet mediċi portabbli u wweldjar u qtugħ ta 'fjuwil bl-ossidabbli.")</f>
        <v>Metodi ta 'ħażna ta' ossiġnu jinkludu tankijiet ta 'ossiġenu bi pressjoni għolja, krijoġeniċi u komposti kimiċi. Għal raġunijiet ta 'ekonomija, l-ossiġenu spiss jiġi ttrasportat bl-ingrossa bħala likwidu fit-tankers iżolati apposta, peress li litru ta' ossiġnu likwifikat huwa ekwivalenti għal 840 litru ta 'ossiġenu gassuż bi pressjoni atmosferika u 20 ° C (68 ° F). Dawn it-tankers jintużaw biex jerġgħu jimlew il-kontenituri tal-ħażna tal-ossiġnu likwidu bl-ingrossa, li joqogħdu barra l-isptarijiet u istituzzjonijiet oħra li għandhom bżonn volumi kbar ta 'gass tal-ossiġnu pur. L-ossiġnu likwidu jgħaddi minn skambjaturi tas-sħana, li jikkonvertu l-likwidu krijoġeniku f'gass qabel ma jidħol fil-bini. L-ossiġnu jinħażen ukoll u jintbagħat f'ċilindri iżgħar li fihom il-gass ikkompressat; Formola li hija utli f'ċerti applikazzjonijiet mediċi portabbli u wweldjar u qtugħ ta 'fjuwil bl-ossidabbli.</v>
      </c>
    </row>
    <row r="2659" ht="15.75" customHeight="1">
      <c r="A2659" s="2" t="s">
        <v>2659</v>
      </c>
      <c r="B2659" s="2" t="str">
        <f>IFERROR(__xludf.DUMMYFUNCTION("GOOGLETRANSLATE(A2659, ""en"", ""mt"")"),"tisħin tal-wiċċ tad-dinja")</f>
        <v>tisħin tal-wiċċ tad-dinja</v>
      </c>
    </row>
    <row r="2660" ht="15.75" customHeight="1">
      <c r="A2660" s="2" t="s">
        <v>2660</v>
      </c>
      <c r="B2660" s="2" t="str">
        <f>IFERROR(__xludf.DUMMYFUNCTION("GOOGLETRANSLATE(A2660, ""en"", ""mt"")"),"Fejn inbena t-tieni fort ta 'Marin?")</f>
        <v>Fejn inbena t-tieni fort ta 'Marin?</v>
      </c>
    </row>
    <row r="2661" ht="15.75" customHeight="1">
      <c r="A2661" s="2" t="s">
        <v>2661</v>
      </c>
      <c r="B2661" s="2" t="str">
        <f>IFERROR(__xludf.DUMMYFUNCTION("GOOGLETRANSLATE(A2661, ""en"", ""mt"")"),"X'jista 'jagħmel il-fwar tal-egżost meta l-avveniment tal-fwar ma jkunx twil biżżejjed?")</f>
        <v>X'jista 'jagħmel il-fwar tal-egżost meta l-avveniment tal-fwar ma jkunx twil biżżejjed?</v>
      </c>
    </row>
    <row r="2662" ht="15.75" customHeight="1">
      <c r="A2662" s="2" t="s">
        <v>2662</v>
      </c>
      <c r="B2662" s="2" t="str">
        <f>IFERROR(__xludf.DUMMYFUNCTION("GOOGLETRANSLATE(A2662, ""en"", ""mt"")"),"Wojciech Bogusławski Theatre")</f>
        <v>Wojciech Bogusławski Theatre</v>
      </c>
    </row>
    <row r="2663" ht="15.75" customHeight="1">
      <c r="A2663" s="2" t="s">
        <v>2663</v>
      </c>
      <c r="B2663" s="2" t="str">
        <f>IFERROR(__xludf.DUMMYFUNCTION("GOOGLETRANSLATE(A2663, ""en"", ""mt"")"),"tagħti tfittxija ta 'kunsens")</f>
        <v>tagħti tfittxija ta 'kunsens</v>
      </c>
    </row>
    <row r="2664" ht="15.75" customHeight="1">
      <c r="A2664" s="2" t="s">
        <v>2664</v>
      </c>
      <c r="B2664" s="2" t="str">
        <f>IFERROR(__xludf.DUMMYFUNCTION("GOOGLETRANSLATE(A2664, ""en"", ""mt"")"),"Ir-Re ta ’Franza")</f>
        <v>Ir-Re ta ’Franza</v>
      </c>
    </row>
    <row r="2665" ht="15.75" customHeight="1">
      <c r="A2665" s="2" t="s">
        <v>2665</v>
      </c>
      <c r="B2665" s="2" t="str">
        <f>IFERROR(__xludf.DUMMYFUNCTION("GOOGLETRANSLATE(A2665, ""en"", ""mt"")"),"iġibu l-ħruġ tagħhom fuq il-mejda")</f>
        <v>iġibu l-ħruġ tagħhom fuq il-mejda</v>
      </c>
    </row>
    <row r="2666" ht="15.75" customHeight="1">
      <c r="A2666" s="2" t="s">
        <v>2666</v>
      </c>
      <c r="B2666" s="2" t="str">
        <f>IFERROR(__xludf.DUMMYFUNCTION("GOOGLETRANSLATE(A2666, ""en"", ""mt"")")," X'tip ta 'diviżjoni tal-poter qatt ma kellu l-gvern ta' Kublai?")</f>
        <v> X'tip ta 'diviżjoni tal-poter qatt ma kellu l-gvern ta' Kublai?</v>
      </c>
    </row>
    <row r="2667" ht="15.75" customHeight="1">
      <c r="A2667" s="2" t="s">
        <v>2667</v>
      </c>
      <c r="B2667" s="2" t="str">
        <f>IFERROR(__xludf.DUMMYFUNCTION("GOOGLETRANSLATE(A2667, ""en"", ""mt"")"),"X'kienu l-kundizzjonijiet għall-minaturi fl-għelieqi tad-deheb fir-Rabat?")</f>
        <v>X'kienu l-kundizzjonijiet għall-minaturi fl-għelieqi tad-deheb fir-Rabat?</v>
      </c>
    </row>
    <row r="2668" ht="15.75" customHeight="1">
      <c r="A2668" s="2" t="s">
        <v>2668</v>
      </c>
      <c r="B2668" s="2" t="str">
        <f>IFERROR(__xludf.DUMMYFUNCTION("GOOGLETRANSLATE(A2668, ""en"", ""mt"")"),"Dating ta 'saffi tal-lava u rmied vulkaniku")</f>
        <v>Dating ta 'saffi tal-lava u rmied vulkaniku</v>
      </c>
    </row>
    <row r="2669" ht="15.75" customHeight="1">
      <c r="A2669" s="2" t="s">
        <v>2669</v>
      </c>
      <c r="B2669" s="2" t="str">
        <f>IFERROR(__xludf.DUMMYFUNCTION("GOOGLETRANSLATE(A2669, ""en"", ""mt"")"),"Kemm Franċiż rebaħ Battalja ta 'Carillon?")</f>
        <v>Kemm Franċiż rebaħ Battalja ta 'Carillon?</v>
      </c>
    </row>
    <row r="2670" ht="15.75" customHeight="1">
      <c r="A2670" s="2" t="s">
        <v>2670</v>
      </c>
      <c r="B2670" s="2" t="str">
        <f>IFERROR(__xludf.DUMMYFUNCTION("GOOGLETRANSLATE(A2670, ""en"", ""mt"")"),"X'tip ta 'kumitat huwa stabbilit taħt l-ordnijiet permanenti ta' l-SP?")</f>
        <v>X'tip ta 'kumitat huwa stabbilit taħt l-ordnijiet permanenti ta' l-SP?</v>
      </c>
    </row>
    <row r="2671" ht="15.75" customHeight="1">
      <c r="A2671" s="2" t="s">
        <v>2671</v>
      </c>
      <c r="B2671" s="2" t="str">
        <f>IFERROR(__xludf.DUMMYFUNCTION("GOOGLETRANSLATE(A2671, ""en"", ""mt"")"),"Għal fejn hi l-biċċa l-kbira tal-ħalib u ċ-ċanga mir-Rabat esportati?")</f>
        <v>Għal fejn hi l-biċċa l-kbira tal-ħalib u ċ-ċanga mir-Rabat esportati?</v>
      </c>
    </row>
    <row r="2672" ht="15.75" customHeight="1">
      <c r="A2672" s="2" t="s">
        <v>2672</v>
      </c>
      <c r="B2672" s="2" t="str">
        <f>IFERROR(__xludf.DUMMYFUNCTION("GOOGLETRANSLATE(A2672, ""en"", ""mt"")"),"Liema organizzazzjoni hija responsabbli għar-riċerka tagħhom stess?")</f>
        <v>Liema organizzazzjoni hija responsabbli għar-riċerka tagħhom stess?</v>
      </c>
    </row>
    <row r="2673" ht="15.75" customHeight="1">
      <c r="A2673" s="2" t="s">
        <v>2673</v>
      </c>
      <c r="B2673" s="2" t="str">
        <f>IFERROR(__xludf.DUMMYFUNCTION("GOOGLETRANSLATE(A2673, ""en"", ""mt"")"),"X'inhuma l-eżempji ta 'servizzi kliniċi li l-ispiżjara jistgħu jipprovdu?")</f>
        <v>X'inhuma l-eżempji ta 'servizzi kliniċi li l-ispiżjara jistgħu jipprovdu?</v>
      </c>
    </row>
    <row r="2674" ht="15.75" customHeight="1">
      <c r="A2674" s="2" t="s">
        <v>2674</v>
      </c>
      <c r="B2674" s="2" t="str">
        <f>IFERROR(__xludf.DUMMYFUNCTION("GOOGLETRANSLATE(A2674, ""en"", ""mt"")"),"AD 0–1250")</f>
        <v>AD 0–1250</v>
      </c>
    </row>
    <row r="2675" ht="15.75" customHeight="1">
      <c r="A2675" s="2" t="s">
        <v>2675</v>
      </c>
      <c r="B2675" s="2" t="str">
        <f>IFERROR(__xludf.DUMMYFUNCTION("GOOGLETRANSLATE(A2675, ""en"", ""mt"")"),"Michael Heckenberger u l-kollegi")</f>
        <v>Michael Heckenberger u l-kollegi</v>
      </c>
    </row>
    <row r="2676" ht="15.75" customHeight="1">
      <c r="A2676" s="2" t="s">
        <v>2676</v>
      </c>
      <c r="B2676" s="2" t="str">
        <f>IFERROR(__xludf.DUMMYFUNCTION("GOOGLETRANSLATE(A2676, ""en"", ""mt"")"),"Fis-snin bikrin, ħafna Huguenots stabbilixxew ukoll fl-inħawi tal-lum Charleston, South Carolina. Fl-1685, Rev Elie Prioleau mill-belt ta ’Pons fi Franza, kienet fost l-ewwel li toqgħod hemm. Huwa sar ragħaj tal-Ewwel Knisja Huguenot fl-Amerika ta ’Fuq f’"&amp;"dik il-belt. Wara r-revoka tal-editt ta 'Nantes fl-1685, diversi familji Huguenot ta' Norman u n-nobbil u d-dixxendenza Karolingjana, inkluż Edmund Bohun ta 'Suffolk l-Ingilterra mil-linja ta' Humphrey de Bohun ta 'royalties Franċiżi imnissla minn Charlem"&amp;"agne, Jean Postell ta' Dippe France, Alexander Pepin, Antoine Poitevin ta 'Orsement France, u Jacques de Bordeaux ta' Grenoble, immigraw lejn id-Distrett ta 'Charleston Orange. Kienu suċċess kbir fiż-żwieġ u l-ispekulazzjoni tal-propjetà. Wara li għamlu p"&amp;"etizzjoni lill-Kuruna Ingliża fl-1697 għad-dritt li għandhom art fil-baronies, huma rnexxew bħala sidien ta 'skjavi fuq il-pjantaġġuni ta' Cooper, Ashepoo, Ashley u Santee River li xtraw mill-landgrave Ingliża Edmund Bellinger. Uħud mid-dixxendenti tagħho"&amp;"m marru fil-Deep South u Texas, fejn żviluppaw pjantaġġuni ġodda.")</f>
        <v>Fis-snin bikrin, ħafna Huguenots stabbilixxew ukoll fl-inħawi tal-lum Charleston, South Carolina. Fl-1685, Rev Elie Prioleau mill-belt ta ’Pons fi Franza, kienet fost l-ewwel li toqgħod hemm. Huwa sar ragħaj tal-Ewwel Knisja Huguenot fl-Amerika ta ’Fuq f’dik il-belt. Wara r-revoka tal-editt ta 'Nantes fl-1685, diversi familji Huguenot ta' Norman u n-nobbil u d-dixxendenza Karolingjana, inkluż Edmund Bohun ta 'Suffolk l-Ingilterra mil-linja ta' Humphrey de Bohun ta 'royalties Franċiżi imnissla minn Charlemagne, Jean Postell ta' Dippe France, Alexander Pepin, Antoine Poitevin ta 'Orsement France, u Jacques de Bordeaux ta' Grenoble, immigraw lejn id-Distrett ta 'Charleston Orange. Kienu suċċess kbir fiż-żwieġ u l-ispekulazzjoni tal-propjetà. Wara li għamlu petizzjoni lill-Kuruna Ingliża fl-1697 għad-dritt li għandhom art fil-baronies, huma rnexxew bħala sidien ta 'skjavi fuq il-pjantaġġuni ta' Cooper, Ashepoo, Ashley u Santee River li xtraw mill-landgrave Ingliża Edmund Bellinger. Uħud mid-dixxendenti tagħhom marru fil-Deep South u Texas, fejn żviluppaw pjantaġġuni ġodda.</v>
      </c>
    </row>
    <row r="2677" ht="15.75" customHeight="1">
      <c r="A2677" s="2" t="s">
        <v>2677</v>
      </c>
      <c r="B2677" s="2" t="str">
        <f>IFERROR(__xludf.DUMMYFUNCTION("GOOGLETRANSLATE(A2677, ""en"", ""mt"")"),"Liema xjenzat ippubblika ""L-Anġli Aħjar tan-Natura Tagħna"" fl-2011?")</f>
        <v>Liema xjenzat ippubblika "L-Anġli Aħjar tan-Natura Tagħna" fl-2011?</v>
      </c>
    </row>
    <row r="2678" ht="15.75" customHeight="1">
      <c r="A2678" s="2" t="s">
        <v>2678</v>
      </c>
      <c r="B2678" s="2" t="str">
        <f>IFERROR(__xludf.DUMMYFUNCTION("GOOGLETRANSLATE(A2678, ""en"", ""mt"")"),"xulxin")</f>
        <v>xulxin</v>
      </c>
    </row>
    <row r="2679" ht="15.75" customHeight="1">
      <c r="A2679" s="2" t="s">
        <v>2679</v>
      </c>
      <c r="B2679" s="2" t="str">
        <f>IFERROR(__xludf.DUMMYFUNCTION("GOOGLETRANSLATE(A2679, ""en"", ""mt"")"),"Liema sessjoni attenda l-bord tal-IPCC qabel iċ-ċerimonji tal-ftuħ?")</f>
        <v>Liema sessjoni attenda l-bord tal-IPCC qabel iċ-ċerimonji tal-ftuħ?</v>
      </c>
    </row>
    <row r="2680" ht="15.75" customHeight="1">
      <c r="A2680" s="2" t="s">
        <v>2680</v>
      </c>
      <c r="B2680" s="2" t="str">
        <f>IFERROR(__xludf.DUMMYFUNCTION("GOOGLETRANSLATE(A2680, ""en"", ""mt"")"),"gżejjer")</f>
        <v>gżejjer</v>
      </c>
    </row>
    <row r="2681" ht="15.75" customHeight="1">
      <c r="A2681" s="2" t="s">
        <v>2681</v>
      </c>
      <c r="B2681" s="2" t="str">
        <f>IFERROR(__xludf.DUMMYFUNCTION("GOOGLETRANSLATE(A2681, ""en"", ""mt"")"),"X’installa n-netwerk fl-1999")</f>
        <v>X’installa n-netwerk fl-1999</v>
      </c>
    </row>
    <row r="2682" ht="15.75" customHeight="1">
      <c r="A2682" s="2" t="s">
        <v>2682</v>
      </c>
      <c r="B2682" s="2" t="str">
        <f>IFERROR(__xludf.DUMMYFUNCTION("GOOGLETRANSLATE(A2682, ""en"", ""mt"")"),"Fejn twieldet l-artist famuż Tamara de Maria?")</f>
        <v>Fejn twieldet l-artist famuż Tamara de Maria?</v>
      </c>
    </row>
    <row r="2683" ht="15.75" customHeight="1">
      <c r="A2683" s="2" t="s">
        <v>2683</v>
      </c>
      <c r="B2683" s="2" t="str">
        <f>IFERROR(__xludf.DUMMYFUNCTION("GOOGLETRANSLATE(A2683, ""en"", ""mt"")"),"Ftit biss")</f>
        <v>Ftit biss</v>
      </c>
    </row>
    <row r="2684" ht="15.75" customHeight="1">
      <c r="A2684" s="2" t="s">
        <v>2684</v>
      </c>
      <c r="B2684" s="2" t="str">
        <f>IFERROR(__xludf.DUMMYFUNCTION("GOOGLETRANSLATE(A2684, ""en"", ""mt"")"),"Flimkien mal-post, id-dotazzjoni u r-rieda tal-ġenituri li jħallsu, liema fattur jinfluwenza t-tagħlim tal-iskola privata?")</f>
        <v>Flimkien mal-post, id-dotazzjoni u r-rieda tal-ġenituri li jħallsu, liema fattur jinfluwenza t-tagħlim tal-iskola privata?</v>
      </c>
    </row>
    <row r="2685" ht="15.75" customHeight="1">
      <c r="A2685" s="2" t="s">
        <v>2685</v>
      </c>
      <c r="B2685" s="2" t="str">
        <f>IFERROR(__xludf.DUMMYFUNCTION("GOOGLETRANSLATE(A2685, ""en"", ""mt"")"),"X'inhi marda awtoimmuni rari?")</f>
        <v>X'inhi marda awtoimmuni rari?</v>
      </c>
    </row>
    <row r="2686" ht="15.75" customHeight="1">
      <c r="A2686" s="2" t="s">
        <v>2686</v>
      </c>
      <c r="B2686" s="2" t="str">
        <f>IFERROR(__xludf.DUMMYFUNCTION("GOOGLETRANSLATE(A2686, ""en"", ""mt"")"),"Fl-2010 x'kienet il-qligħ medju għal spettaklu professjonali?")</f>
        <v>Fl-2010 x'kienet il-qligħ medju għal spettaklu professjonali?</v>
      </c>
    </row>
    <row r="2687" ht="15.75" customHeight="1">
      <c r="A2687" s="2" t="s">
        <v>2687</v>
      </c>
      <c r="B2687" s="2" t="str">
        <f>IFERROR(__xludf.DUMMYFUNCTION("GOOGLETRANSLATE(A2687, ""en"", ""mt"")"),"X'inhi r-regolamentazzjoni tal-kanal l-iktar baxxa tar-Rhine?")</f>
        <v>X'inhi r-regolamentazzjoni tal-kanal l-iktar baxxa tar-Rhine?</v>
      </c>
    </row>
    <row r="2688" ht="15.75" customHeight="1">
      <c r="A2688" s="2" t="s">
        <v>2688</v>
      </c>
      <c r="B2688" s="2" t="str">
        <f>IFERROR(__xludf.DUMMYFUNCTION("GOOGLETRANSLATE(A2688, ""en"", ""mt"")"),"Liema trattat il-kapitolu soċjali mhuwiex kapitolu ta '?")</f>
        <v>Liema trattat il-kapitolu soċjali mhuwiex kapitolu ta '?</v>
      </c>
    </row>
    <row r="2689" ht="15.75" customHeight="1">
      <c r="A2689" s="2" t="s">
        <v>2689</v>
      </c>
      <c r="B2689" s="2" t="str">
        <f>IFERROR(__xludf.DUMMYFUNCTION("GOOGLETRANSLATE(A2689, ""en"", ""mt"")"),"X'inhu t-tieni l-iżgħar produttur globali tas-sojja?")</f>
        <v>X'inhu t-tieni l-iżgħar produttur globali tas-sojja?</v>
      </c>
    </row>
    <row r="2690" ht="15.75" customHeight="1">
      <c r="A2690" s="2" t="s">
        <v>2690</v>
      </c>
      <c r="B2690" s="2" t="str">
        <f>IFERROR(__xludf.DUMMYFUNCTION("GOOGLETRANSLATE(A2690, ""en"", ""mt"")"),"Invażjoni tal-Gran Brittanja, biex tiġbed riżorsi Ingliżi 'l bogħod mill-Amerika ta' Fuq u l-kontinent Ewropew")</f>
        <v>Invażjoni tal-Gran Brittanja, biex tiġbed riżorsi Ingliżi 'l bogħod mill-Amerika ta' Fuq u l-kontinent Ewropew</v>
      </c>
    </row>
    <row r="2691" ht="15.75" customHeight="1">
      <c r="A2691" s="2" t="s">
        <v>2691</v>
      </c>
      <c r="B2691" s="2" t="str">
        <f>IFERROR(__xludf.DUMMYFUNCTION("GOOGLETRANSLATE(A2691, ""en"", ""mt"")"),"X'ġara mill-iskejjel gradwati ta 'Radcliffe waqt it-Tieni Gwerra?")</f>
        <v>X'ġara mill-iskejjel gradwati ta 'Radcliffe waqt it-Tieni Gwerra?</v>
      </c>
    </row>
    <row r="2692" ht="15.75" customHeight="1">
      <c r="A2692" s="2" t="s">
        <v>2692</v>
      </c>
      <c r="B2692" s="2" t="str">
        <f>IFERROR(__xludf.DUMMYFUNCTION("GOOGLETRANSLATE(A2692, ""en"", ""mt"")"),"tilwima dwar il-kontroll tal-konfluwenza tax-xmajjar Allegheny u Monongahela")</f>
        <v>tilwima dwar il-kontroll tal-konfluwenza tax-xmajjar Allegheny u Monongahela</v>
      </c>
    </row>
    <row r="2693" ht="15.75" customHeight="1">
      <c r="A2693" s="2" t="s">
        <v>2693</v>
      </c>
      <c r="B2693" s="2" t="str">
        <f>IFERROR(__xludf.DUMMYFUNCTION("GOOGLETRANSLATE(A2693, ""en"", ""mt"")"),"konflitti interni")</f>
        <v>konflitti interni</v>
      </c>
    </row>
    <row r="2694" ht="15.75" customHeight="1">
      <c r="A2694" s="2" t="s">
        <v>2694</v>
      </c>
      <c r="B2694" s="2" t="str">
        <f>IFERROR(__xludf.DUMMYFUNCTION("GOOGLETRANSLATE(A2694, ""en"", ""mt"")"),"1999")</f>
        <v>1999</v>
      </c>
    </row>
    <row r="2695" ht="15.75" customHeight="1">
      <c r="A2695" s="2" t="s">
        <v>2695</v>
      </c>
      <c r="B2695" s="2" t="str">
        <f>IFERROR(__xludf.DUMMYFUNCTION("GOOGLETRANSLATE(A2695, ""en"", ""mt"")"),"X'indika l-analiżi mid-depożiti tas-sedimenti?")</f>
        <v>X'indika l-analiżi mid-depożiti tas-sedimenti?</v>
      </c>
    </row>
    <row r="2696" ht="15.75" customHeight="1">
      <c r="A2696" s="2" t="s">
        <v>2696</v>
      </c>
      <c r="B2696" s="2" t="str">
        <f>IFERROR(__xludf.DUMMYFUNCTION("GOOGLETRANSLATE(A2696, ""en"", ""mt"")"),"71%")</f>
        <v>71%</v>
      </c>
    </row>
    <row r="2697" ht="15.75" customHeight="1">
      <c r="A2697" s="2" t="s">
        <v>2697</v>
      </c>
      <c r="B2697" s="2" t="str">
        <f>IFERROR(__xludf.DUMMYFUNCTION("GOOGLETRANSLATE(A2697, ""en"", ""mt"")"),"Liema reliġjon skoraġġixxa l-wan, biex tappoġġja l-Buddiżmu?")</f>
        <v>Liema reliġjon skoraġġixxa l-wan, biex tappoġġja l-Buddiżmu?</v>
      </c>
    </row>
    <row r="2698" ht="15.75" customHeight="1">
      <c r="A2698" s="2" t="s">
        <v>2698</v>
      </c>
      <c r="B2698" s="2" t="str">
        <f>IFERROR(__xludf.DUMMYFUNCTION("GOOGLETRANSLATE(A2698, ""en"", ""mt"")"),"qatlu ħafna mill-Kanadiżi, inkluż l-uffiċjal kmandant tagħhom, Joseph Coulon de Jumonville")</f>
        <v>qatlu ħafna mill-Kanadiżi, inkluż l-uffiċjal kmandant tagħhom, Joseph Coulon de Jumonville</v>
      </c>
    </row>
    <row r="2699" ht="15.75" customHeight="1">
      <c r="A2699" s="2" t="s">
        <v>2699</v>
      </c>
      <c r="B2699" s="2" t="str">
        <f>IFERROR(__xludf.DUMMYFUNCTION("GOOGLETRANSLATE(A2699, ""en"", ""mt"")")," Liema ktieb kien it-tmien lezzjonijiet Ingliżi ta 'Iqbal ippubblikati bħala?")</f>
        <v> Liema ktieb kien it-tmien lezzjonijiet Ingliżi ta 'Iqbal ippubblikati bħala?</v>
      </c>
    </row>
    <row r="2700" ht="15.75" customHeight="1">
      <c r="A2700" s="2" t="s">
        <v>2700</v>
      </c>
      <c r="B2700" s="2" t="str">
        <f>IFERROR(__xludf.DUMMYFUNCTION("GOOGLETRANSLATE(A2700, ""en"", ""mt"")"),"X'inhuma r-reġjuni ankrati minn dak huma rikonoxxuti globalment?")</f>
        <v>X'inhuma r-reġjuni ankrati minn dak huma rikonoxxuti globalment?</v>
      </c>
    </row>
    <row r="2701" ht="15.75" customHeight="1">
      <c r="A2701" s="2" t="s">
        <v>2701</v>
      </c>
      <c r="B2701" s="2" t="str">
        <f>IFERROR(__xludf.DUMMYFUNCTION("GOOGLETRANSLATE(A2701, ""en"", ""mt"")"),"Xi teoriji żviluppati fis-snin sebgħin stabbilixxew toroq possibbli li permezz tagħhom l-inugwaljanza jista 'jkollha effett pożittiv fuq l-iżvilupp ekonomiku. Skond reviżjoni tal-1955, it-tfaddil mis-sinjur, jekk dawn jiżdiedu bl-inugwaljanza, kienu maħsu"&amp;"ba li jikkumpensaw id-domanda mnaqqsa tal-konsumatur. Rapport tal-2013 dwar in-Niġerja jissuġġerixxi li t-tkabbir żdied b'żieda fl-inugwaljanza fid-dħul. Xi teoriji popolari mill-ħamsinijiet sal-2011 iddikjaraw b'mod żbaljat li l-inugwaljanza kellha effet"&amp;"t pożittiv fuq l-iżvilupp ekonomiku. L-analiżi bbażati fuq it-tqabbil ta 'figuri ta' ugwaljanza annwali ma 'rati ta' tkabbir annwali kienu qarrieqa minħabba li hemm bżonn ta 'bosta snin biex effetti jimmanifestaw bħala bidliet fit-tkabbir ekonomiku. L-eko"&amp;"nomisti tal-FMI sabu assoċjazzjoni qawwija bejn livelli aktar baxxi ta 'inugwaljanza f'pajjiżi li qed jiżviluppaw u perjodi sostnuti ta' tkabbir ekonomiku. Pajjiżi li qed jiżviluppaw b'inugwaljanza għolja ""rnexxielhom jibdew it-tkabbir b'rati għoljin għa"&amp;"l ftit snin"" iżda ""perjodi ta 'tkabbir itwal huma assoċjati b'mod qawwi ma' aktar ugwaljanza fid-distribuzzjoni tad-dħul.""")</f>
        <v>Xi teoriji żviluppati fis-snin sebgħin stabbilixxew toroq possibbli li permezz tagħhom l-inugwaljanza jista 'jkollha effett pożittiv fuq l-iżvilupp ekonomiku. Skond reviżjoni tal-1955, it-tfaddil mis-sinjur, jekk dawn jiżdiedu bl-inugwaljanza, kienu maħsuba li jikkumpensaw id-domanda mnaqqsa tal-konsumatur. Rapport tal-2013 dwar in-Niġerja jissuġġerixxi li t-tkabbir żdied b'żieda fl-inugwaljanza fid-dħul. Xi teoriji popolari mill-ħamsinijiet sal-2011 iddikjaraw b'mod żbaljat li l-inugwaljanza kellha effett pożittiv fuq l-iżvilupp ekonomiku. L-analiżi bbażati fuq it-tqabbil ta 'figuri ta' ugwaljanza annwali ma 'rati ta' tkabbir annwali kienu qarrieqa minħabba li hemm bżonn ta 'bosta snin biex effetti jimmanifestaw bħala bidliet fit-tkabbir ekonomiku. L-ekonomisti tal-FMI sabu assoċjazzjoni qawwija bejn livelli aktar baxxi ta 'inugwaljanza f'pajjiżi li qed jiżviluppaw u perjodi sostnuti ta' tkabbir ekonomiku. Pajjiżi li qed jiżviluppaw b'inugwaljanza għolja "rnexxielhom jibdew it-tkabbir b'rati għoljin għal ftit snin" iżda "perjodi ta 'tkabbir itwal huma assoċjati b'mod qawwi ma' aktar ugwaljanza fid-distribuzzjoni tad-dħul."</v>
      </c>
    </row>
    <row r="2702" ht="15.75" customHeight="1">
      <c r="A2702" s="2" t="s">
        <v>2702</v>
      </c>
      <c r="B2702" s="2" t="str">
        <f>IFERROR(__xludf.DUMMYFUNCTION("GOOGLETRANSLATE(A2702, ""en"", ""mt"")"),"Min qatt ma kiteb ""il-prosperità moħbija tal-foqra""?")</f>
        <v>Min qatt ma kiteb "il-prosperità moħbija tal-foqra"?</v>
      </c>
    </row>
    <row r="2703" ht="15.75" customHeight="1">
      <c r="A2703" s="2" t="s">
        <v>2703</v>
      </c>
      <c r="B2703" s="2" t="str">
        <f>IFERROR(__xludf.DUMMYFUNCTION("GOOGLETRANSLATE(A2703, ""en"", ""mt"")"),"Il-President Mahmoud Ahmadinejad")</f>
        <v>Il-President Mahmoud Ahmadinejad</v>
      </c>
    </row>
    <row r="2704" ht="15.75" customHeight="1">
      <c r="A2704" s="2" t="s">
        <v>2704</v>
      </c>
      <c r="B2704" s="2" t="str">
        <f>IFERROR(__xludf.DUMMYFUNCTION("GOOGLETRANSLATE(A2704, ""en"", ""mt"")"),"Liema għajnuna hija disponibbli għal studenti defavoriti li jfittxu li jattendu università privata?")</f>
        <v>Liema għajnuna hija disponibbli għal studenti defavoriti li jfittxu li jattendu università privata?</v>
      </c>
    </row>
    <row r="2705" ht="15.75" customHeight="1">
      <c r="A2705" s="2" t="s">
        <v>2705</v>
      </c>
      <c r="B2705" s="2" t="str">
        <f>IFERROR(__xludf.DUMMYFUNCTION("GOOGLETRANSLATE(A2705, ""en"", ""mt"")"),"issuġġerixxaha għall-użu fl-arpanet")</f>
        <v>issuġġerixxaha għall-użu fl-arpanet</v>
      </c>
    </row>
    <row r="2706" ht="15.75" customHeight="1">
      <c r="A2706" s="2" t="s">
        <v>2706</v>
      </c>
      <c r="B2706" s="2" t="str">
        <f>IFERROR(__xludf.DUMMYFUNCTION("GOOGLETRANSLATE(A2706, ""en"", ""mt"")"),"Liema seklu ġiet skoperta l-kultura Hallstatt?")</f>
        <v>Liema seklu ġiet skoperta l-kultura Hallstatt?</v>
      </c>
    </row>
    <row r="2707" ht="15.75" customHeight="1">
      <c r="A2707" s="2" t="s">
        <v>2707</v>
      </c>
      <c r="B2707" s="2" t="str">
        <f>IFERROR(__xludf.DUMMYFUNCTION("GOOGLETRANSLATE(A2707, ""en"", ""mt"")"),"Ma 'xiex hija l-epidermide?")</f>
        <v>Ma 'xiex hija l-epidermide?</v>
      </c>
    </row>
    <row r="2708" ht="15.75" customHeight="1">
      <c r="A2708" s="2" t="s">
        <v>2708</v>
      </c>
      <c r="B2708" s="2" t="str">
        <f>IFERROR(__xludf.DUMMYFUNCTION("GOOGLETRANSLATE(A2708, ""en"", ""mt"")"),"L-inugwaljanza fil-preżenza tal-imperfezzjonijiet tas-suq tal-kreditu għandha x'tip ta 'effett fuq il-formazzjoni tal-kapital uman?")</f>
        <v>L-inugwaljanza fil-preżenza tal-imperfezzjonijiet tas-suq tal-kreditu għandha x'tip ta 'effett fuq il-formazzjoni tal-kapital uman?</v>
      </c>
    </row>
    <row r="2709" ht="15.75" customHeight="1">
      <c r="A2709" s="2" t="s">
        <v>2709</v>
      </c>
      <c r="B2709" s="2" t="str">
        <f>IFERROR(__xludf.DUMMYFUNCTION("GOOGLETRANSLATE(A2709, ""en"", ""mt"")"),"Minbarra d-downtown ta 'San Bernardino, u l-belt universitarja, x'inhu l-isem ta' distrett ta 'negozju ieħor fiż-żona ta' San Bernardino-Riverside?")</f>
        <v>Minbarra d-downtown ta 'San Bernardino, u l-belt universitarja, x'inhu l-isem ta' distrett ta 'negozju ieħor fiż-żona ta' San Bernardino-Riverside?</v>
      </c>
    </row>
    <row r="2710" ht="15.75" customHeight="1">
      <c r="A2710" s="2" t="s">
        <v>2710</v>
      </c>
      <c r="B2710" s="2" t="str">
        <f>IFERROR(__xludf.DUMMYFUNCTION("GOOGLETRANSLATE(A2710, ""en"", ""mt"")"),"Magna tat-Turing hija mudell matematiku ta 'magna tal-kompjuters ġenerali. Huwa apparat teoretiku li jimmanipula s-simboli li jinsabu fuq strixxa ta 'tejp. Magni tat-Turing mhumiex maħsuba bħala teknoloġija prattika tal-kompjuters, iżda bħala esperiment t"&amp;"al-ħsieb li jirrappreżenta magna tal-kompjuters - kull ħaġa minn superkompjuter avvanzat għal matematiku bil-lapes u l-karta. Huwa maħsub li jekk problema tista 'tissolva permezz ta' algoritmu, teżisti magna tat-Turing li ssolvi l-problema. Tassew, din hi"&amp;"ja d-dikjarazzjoni tat-teżi tal-knisja. Barra minn hekk, huwa magħruf li dak kollu li jista 'jiġi kkalkulat fuq mudelli oħra ta' komputazzjoni magħrufa għalina llum, bħal magna RAM, il-logħba tal-ħajja ta 'Conway, l-awtomata ċellulari jew kwalunkwe lingwa"&amp;" ta' programmazzjoni tista 'tiġi kkalkulata fuq magna tat-Turing. Peress li l-magni tat-Turing huma faċli biex tanalizzaw matematikament, u huma maħsuba li huma b'saħħithom daqs kwalunkwe mudell ieħor ta 'komputazzjoni, il-magna tat-Turing hija l-aktar mu"&amp;"dell użat komunement fit-teorija tal-kumplessità.")</f>
        <v>Magna tat-Turing hija mudell matematiku ta 'magna tal-kompjuters ġenerali. Huwa apparat teoretiku li jimmanipula s-simboli li jinsabu fuq strixxa ta 'tejp. Magni tat-Turing mhumiex maħsuba bħala teknoloġija prattika tal-kompjuters, iżda bħala esperiment tal-ħsieb li jirrappreżenta magna tal-kompjuters - kull ħaġa minn superkompjuter avvanzat għal matematiku bil-lapes u l-karta. Huwa maħsub li jekk problema tista 'tissolva permezz ta' algoritmu, teżisti magna tat-Turing li ssolvi l-problema. Tassew, din hija d-dikjarazzjoni tat-teżi tal-knisja. Barra minn hekk, huwa magħruf li dak kollu li jista 'jiġi kkalkulat fuq mudelli oħra ta' komputazzjoni magħrufa għalina llum, bħal magna RAM, il-logħba tal-ħajja ta 'Conway, l-awtomata ċellulari jew kwalunkwe lingwa ta' programmazzjoni tista 'tiġi kkalkulata fuq magna tat-Turing. Peress li l-magni tat-Turing huma faċli biex tanalizzaw matematikament, u huma maħsuba li huma b'saħħithom daqs kwalunkwe mudell ieħor ta 'komputazzjoni, il-magna tat-Turing hija l-aktar mudell użat komunement fit-teorija tal-kumplessità.</v>
      </c>
    </row>
    <row r="2711" ht="15.75" customHeight="1">
      <c r="A2711" s="2" t="s">
        <v>2711</v>
      </c>
      <c r="B2711" s="2" t="str">
        <f>IFERROR(__xludf.DUMMYFUNCTION("GOOGLETRANSLATE(A2711, ""en"", ""mt"")"),"X'inhi n-nazzjonalità ta 'William Jones?")</f>
        <v>X'inhi n-nazzjonalità ta 'William Jones?</v>
      </c>
    </row>
    <row r="2712" ht="15.75" customHeight="1">
      <c r="A2712" s="2" t="s">
        <v>2712</v>
      </c>
      <c r="B2712" s="2" t="str">
        <f>IFERROR(__xludf.DUMMYFUNCTION("GOOGLETRANSLATE(A2712, ""en"", ""mt"")"),"Primes Fermat")</f>
        <v>Primes Fermat</v>
      </c>
    </row>
    <row r="2713" ht="15.75" customHeight="1">
      <c r="A2713" s="2" t="s">
        <v>2713</v>
      </c>
      <c r="B2713" s="2" t="str">
        <f>IFERROR(__xludf.DUMMYFUNCTION("GOOGLETRANSLATE(A2713, ""en"", ""mt"")"),"l-iktar rigoruż, intens")</f>
        <v>l-iktar rigoruż, intens</v>
      </c>
    </row>
    <row r="2714" ht="15.75" customHeight="1">
      <c r="A2714" s="2" t="s">
        <v>2714</v>
      </c>
      <c r="B2714" s="2" t="str">
        <f>IFERROR(__xludf.DUMMYFUNCTION("GOOGLETRANSLATE(A2714, ""en"", ""mt"")"),"Ipproteġi l-art tar-re fil-wied ta 'Ohio mill-Ingliżi")</f>
        <v>Ipproteġi l-art tar-re fil-wied ta 'Ohio mill-Ingliżi</v>
      </c>
    </row>
    <row r="2715" ht="15.75" customHeight="1">
      <c r="A2715" s="2" t="s">
        <v>2715</v>
      </c>
      <c r="B2715" s="2" t="str">
        <f>IFERROR(__xludf.DUMMYFUNCTION("GOOGLETRANSLATE(A2715, ""en"", ""mt"")"),"X'każ tal-qorti desegregated skejjel fl-Istati Uniti?")</f>
        <v>X'każ tal-qorti desegregated skejjel fl-Istati Uniti?</v>
      </c>
    </row>
    <row r="2716" ht="15.75" customHeight="1">
      <c r="A2716" s="2" t="s">
        <v>2716</v>
      </c>
      <c r="B2716" s="2" t="str">
        <f>IFERROR(__xludf.DUMMYFUNCTION("GOOGLETRANSLATE(A2716, ""en"", ""mt"")"),"L-isem Gaulish rēnos")</f>
        <v>L-isem Gaulish rēnos</v>
      </c>
    </row>
    <row r="2717" ht="15.75" customHeight="1">
      <c r="A2717" s="2" t="s">
        <v>2717</v>
      </c>
      <c r="B2717" s="2" t="str">
        <f>IFERROR(__xludf.DUMMYFUNCTION("GOOGLETRANSLATE(A2717, ""en"", ""mt"")"),"X'inhi t-teorija tal-ajru ħażina magħrufa uffiċjalment bħala?")</f>
        <v>X'inhi t-teorija tal-ajru ħażina magħrufa uffiċjalment bħala?</v>
      </c>
    </row>
    <row r="2718" ht="15.75" customHeight="1">
      <c r="A2718" s="2" t="s">
        <v>2718</v>
      </c>
      <c r="B2718" s="2" t="str">
        <f>IFERROR(__xludf.DUMMYFUNCTION("GOOGLETRANSLATE(A2718, ""en"", ""mt"")"),"Kif jista 'jtaffi l-bajd tagħhom?")</f>
        <v>Kif jista 'jtaffi l-bajd tagħhom?</v>
      </c>
    </row>
    <row r="2719" ht="15.75" customHeight="1">
      <c r="A2719" s="2" t="s">
        <v>2719</v>
      </c>
      <c r="B2719" s="2" t="str">
        <f>IFERROR(__xludf.DUMMYFUNCTION("GOOGLETRANSLATE(A2719, ""en"", ""mt"")"),"F'liema sena Napuljun wasal għall-poter fi Franza?")</f>
        <v>F'liema sena Napuljun wasal għall-poter fi Franza?</v>
      </c>
    </row>
    <row r="2720" ht="15.75" customHeight="1">
      <c r="A2720" s="2" t="s">
        <v>2720</v>
      </c>
      <c r="B2720" s="2" t="str">
        <f>IFERROR(__xludf.DUMMYFUNCTION("GOOGLETRANSLATE(A2720, ""en"", ""mt"")"),"Liema soċjetà kienet responsabbli għall-pubblikazzjoni tad-dikjarazzjoni konġunta?")</f>
        <v>Liema soċjetà kienet responsabbli għall-pubblikazzjoni tad-dikjarazzjoni konġunta?</v>
      </c>
    </row>
    <row r="2721" ht="15.75" customHeight="1">
      <c r="A2721" s="2" t="s">
        <v>2721</v>
      </c>
      <c r="B2721" s="2" t="str">
        <f>IFERROR(__xludf.DUMMYFUNCTION("GOOGLETRANSLATE(A2721, ""en"", ""mt"")"),"Kemm hemm tipi ta 'ċili?")</f>
        <v>Kemm hemm tipi ta 'ċili?</v>
      </c>
    </row>
    <row r="2722" ht="15.75" customHeight="1">
      <c r="A2722" s="2" t="s">
        <v>2722</v>
      </c>
      <c r="B2722" s="2" t="str">
        <f>IFERROR(__xludf.DUMMYFUNCTION("GOOGLETRANSLATE(A2722, ""en"", ""mt"")"),"Min jgħix aktar bħala medja minn Griegi u New Zealanders?")</f>
        <v>Min jgħix aktar bħala medja minn Griegi u New Zealanders?</v>
      </c>
    </row>
    <row r="2723" ht="15.75" customHeight="1">
      <c r="A2723" s="2" t="s">
        <v>2723</v>
      </c>
      <c r="B2723" s="2" t="str">
        <f>IFERROR(__xludf.DUMMYFUNCTION("GOOGLETRANSLATE(A2723, ""en"", ""mt"")"),"Tossini alkalojdi lipofiliċi")</f>
        <v>Tossini alkalojdi lipofiliċi</v>
      </c>
    </row>
    <row r="2724" ht="15.75" customHeight="1">
      <c r="A2724" s="2" t="s">
        <v>2724</v>
      </c>
      <c r="B2724" s="2" t="str">
        <f>IFERROR(__xludf.DUMMYFUNCTION("GOOGLETRANSLATE(A2724, ""en"", ""mt"")"),"Kif wieħed joħloq imperu permezz tal-imperjalizmu?")</f>
        <v>Kif wieħed joħloq imperu permezz tal-imperjalizmu?</v>
      </c>
    </row>
    <row r="2725" ht="15.75" customHeight="1">
      <c r="A2725" s="2" t="s">
        <v>2725</v>
      </c>
      <c r="B2725" s="2" t="str">
        <f>IFERROR(__xludf.DUMMYFUNCTION("GOOGLETRANSLATE(A2725, ""en"", ""mt"")"),"Liema grupp armat waqqaf lill-awtoritajiet kolonjali f'Ballarat?")</f>
        <v>Liema grupp armat waqqaf lill-awtoritajiet kolonjali f'Ballarat?</v>
      </c>
    </row>
    <row r="2726" ht="15.75" customHeight="1">
      <c r="A2726" s="2" t="s">
        <v>2726</v>
      </c>
      <c r="B2726" s="2" t="str">
        <f>IFERROR(__xludf.DUMMYFUNCTION("GOOGLETRANSLATE(A2726, ""en"", ""mt"")"),"Kemm tentakli għandu l-aboral fuq il-farinġi tiegħu?")</f>
        <v>Kemm tentakli għandu l-aboral fuq il-farinġi tiegħu?</v>
      </c>
    </row>
    <row r="2727" ht="15.75" customHeight="1">
      <c r="A2727" s="2" t="s">
        <v>2727</v>
      </c>
      <c r="B2727" s="2" t="str">
        <f>IFERROR(__xludf.DUMMYFUNCTION("GOOGLETRANSLATE(A2727, ""en"", ""mt"")"),"il-wan kbir")</f>
        <v>il-wan kbir</v>
      </c>
    </row>
    <row r="2728" ht="15.75" customHeight="1">
      <c r="A2728" s="2" t="s">
        <v>2728</v>
      </c>
      <c r="B2728" s="2" t="str">
        <f>IFERROR(__xludf.DUMMYFUNCTION("GOOGLETRANSLATE(A2728, ""en"", ""mt"")"),"F'liema seklu żdied l-ammont ta 'foresti fuq il-pjanura ta' l-għargħar?")</f>
        <v>F'liema seklu żdied l-ammont ta 'foresti fuq il-pjanura ta' l-għargħar?</v>
      </c>
    </row>
    <row r="2729" ht="15.75" customHeight="1">
      <c r="A2729" s="2" t="s">
        <v>2729</v>
      </c>
      <c r="B2729" s="2" t="str">
        <f>IFERROR(__xludf.DUMMYFUNCTION("GOOGLETRANSLATE(A2729, ""en"", ""mt"")"),"Liema spiżjar rebaħ il-Premju Nobel f'Cemsry fl-1986?")</f>
        <v>Liema spiżjar rebaħ il-Premju Nobel f'Cemsry fl-1986?</v>
      </c>
    </row>
    <row r="2730" ht="15.75" customHeight="1">
      <c r="A2730" s="2" t="s">
        <v>2730</v>
      </c>
      <c r="B2730" s="2" t="str">
        <f>IFERROR(__xludf.DUMMYFUNCTION("GOOGLETRANSLATE(A2730, ""en"", ""mt"")"),"X’sejjaħ il-Ġermaniżi skejjel privati?")</f>
        <v>X’sejjaħ il-Ġermaniżi skejjel privati?</v>
      </c>
    </row>
    <row r="2731" ht="15.75" customHeight="1">
      <c r="A2731" s="2" t="s">
        <v>2731</v>
      </c>
      <c r="B2731" s="2" t="str">
        <f>IFERROR(__xludf.DUMMYFUNCTION("GOOGLETRANSLATE(A2731, ""en"", ""mt"")"),"Klassijiet ta 'kumplessità huma ġeneralment klassifikati f'liema?")</f>
        <v>Klassijiet ta 'kumplessità huma ġeneralment klassifikati f'liema?</v>
      </c>
    </row>
    <row r="2732" ht="15.75" customHeight="1">
      <c r="A2732" s="2" t="s">
        <v>2732</v>
      </c>
      <c r="B2732" s="2" t="str">
        <f>IFERROR(__xludf.DUMMYFUNCTION("GOOGLETRANSLATE(A2732, ""en"", ""mt"")"),"Kemm-il darba jinżammu l-elezzjonijiet għall-avukat?")</f>
        <v>Kemm-il darba jinżammu l-elezzjonijiet għall-avukat?</v>
      </c>
    </row>
    <row r="2733" ht="15.75" customHeight="1">
      <c r="A2733" s="2" t="s">
        <v>2733</v>
      </c>
      <c r="B2733" s="2" t="str">
        <f>IFERROR(__xludf.DUMMYFUNCTION("GOOGLETRANSLATE(A2733, ""en"", ""mt"")"),"Ir-Renu ħiereġ minn Swabia, Franconia u liema post ieħor fis-seklu 10?")</f>
        <v>Ir-Renu ħiereġ minn Swabia, Franconia u liema post ieħor fis-seklu 10?</v>
      </c>
    </row>
    <row r="2734" ht="15.75" customHeight="1">
      <c r="A2734" s="2" t="s">
        <v>2734</v>
      </c>
      <c r="B2734" s="2" t="str">
        <f>IFERROR(__xludf.DUMMYFUNCTION("GOOGLETRANSLATE(A2734, ""en"", ""mt"")"),"Il-kostruzzjoni sseħħ fuq il-post għal min?")</f>
        <v>Il-kostruzzjoni sseħħ fuq il-post għal min?</v>
      </c>
    </row>
    <row r="2735" ht="15.75" customHeight="1">
      <c r="A2735" s="2" t="s">
        <v>2735</v>
      </c>
      <c r="B2735" s="2" t="str">
        <f>IFERROR(__xludf.DUMMYFUNCTION("GOOGLETRANSLATE(A2735, ""en"", ""mt"")"),"L-intestatura tal-pakkett tista 'tkun żgħira, peress li teħtieġ biss li tinkludi dan il-kodiċi u kwalunkwe informazzjoni, bħal tul, timestamp, jew numru tas-sekwenza")</f>
        <v>L-intestatura tal-pakkett tista 'tkun żgħira, peress li teħtieġ biss li tinkludi dan il-kodiċi u kwalunkwe informazzjoni, bħal tul, timestamp, jew numru tas-sekwenza</v>
      </c>
    </row>
    <row r="2736" ht="15.75" customHeight="1">
      <c r="A2736" s="2" t="s">
        <v>2736</v>
      </c>
      <c r="B2736" s="2" t="str">
        <f>IFERROR(__xludf.DUMMYFUNCTION("GOOGLETRANSLATE(A2736, ""en"", ""mt"")"),"Liema ilma huwa kontinwament viżibbli tul it-tul kollu tal-lag?")</f>
        <v>Liema ilma huwa kontinwament viżibbli tul it-tul kollu tal-lag?</v>
      </c>
    </row>
    <row r="2737" ht="15.75" customHeight="1">
      <c r="A2737" s="2" t="s">
        <v>2737</v>
      </c>
      <c r="B2737" s="2" t="str">
        <f>IFERROR(__xludf.DUMMYFUNCTION("GOOGLETRANSLATE(A2737, ""en"", ""mt"")")," X’kienet it-Taliban li kien jissottometti parti żgħira mill-pajjiż?")</f>
        <v> X’kienet it-Taliban li kien jissottometti parti żgħira mill-pajjiż?</v>
      </c>
    </row>
    <row r="2738" ht="15.75" customHeight="1">
      <c r="A2738" s="2" t="s">
        <v>2738</v>
      </c>
      <c r="B2738" s="2" t="str">
        <f>IFERROR(__xludf.DUMMYFUNCTION("GOOGLETRANSLATE(A2738, ""en"", ""mt"")"),"L-Imperatur tal-Kanzunetta")</f>
        <v>L-Imperatur tal-Kanzunetta</v>
      </c>
    </row>
    <row r="2739" ht="15.75" customHeight="1">
      <c r="A2739" s="2" t="s">
        <v>2739</v>
      </c>
      <c r="B2739" s="2" t="str">
        <f>IFERROR(__xludf.DUMMYFUNCTION("GOOGLETRANSLATE(A2739, ""en"", ""mt"")"),"Iż-żewġ parks tal-limiti tal-belt jinsabu f'liema direzzjoni?")</f>
        <v>Iż-żewġ parks tal-limiti tal-belt jinsabu f'liema direzzjoni?</v>
      </c>
    </row>
    <row r="2740" ht="15.75" customHeight="1">
      <c r="A2740" s="2" t="s">
        <v>2740</v>
      </c>
      <c r="B2740" s="2" t="str">
        <f>IFERROR(__xludf.DUMMYFUNCTION("GOOGLETRANSLATE(A2740, ""en"", ""mt"")"),"X'inhuma ż-żewġ simboli li jfissru l-ispiżerija f'pajjiżi li jitkellmu bl-Ingliż?")</f>
        <v>X'inhuma ż-żewġ simboli li jfissru l-ispiżerija f'pajjiżi li jitkellmu bl-Ingliż?</v>
      </c>
    </row>
    <row r="2741" ht="15.75" customHeight="1">
      <c r="A2741" s="2" t="s">
        <v>2741</v>
      </c>
      <c r="B2741" s="2" t="str">
        <f>IFERROR(__xludf.DUMMYFUNCTION("GOOGLETRANSLATE(A2741, ""en"", ""mt"")"),"Impass kostituzzjonali li fih żewġ aġenziji pubbliċi")</f>
        <v>Impass kostituzzjonali li fih żewġ aġenziji pubbliċi</v>
      </c>
    </row>
    <row r="2742" ht="15.75" customHeight="1">
      <c r="A2742" s="2" t="s">
        <v>2742</v>
      </c>
      <c r="B2742" s="2" t="str">
        <f>IFERROR(__xludf.DUMMYFUNCTION("GOOGLETRANSLATE(A2742, ""en"", ""mt"")"),"Minn fejn oriġina l-Mewt l-Iswed?")</f>
        <v>Minn fejn oriġina l-Mewt l-Iswed?</v>
      </c>
    </row>
    <row r="2743" ht="15.75" customHeight="1">
      <c r="A2743" s="2" t="s">
        <v>2743</v>
      </c>
      <c r="B2743" s="2" t="str">
        <f>IFERROR(__xludf.DUMMYFUNCTION("GOOGLETRANSLATE(A2743, ""en"", ""mt"")"),"Maġġoranza fil-Parlament")</f>
        <v>Maġġoranza fil-Parlament</v>
      </c>
    </row>
    <row r="2744" ht="15.75" customHeight="1">
      <c r="A2744" s="2" t="s">
        <v>2744</v>
      </c>
      <c r="B2744" s="2" t="str">
        <f>IFERROR(__xludf.DUMMYFUNCTION("GOOGLETRANSLATE(A2744, ""en"", ""mt"")"),"Liema forma ta 'poeżija ġiet żviluppata fil-wan?")</f>
        <v>Liema forma ta 'poeżija ġiet żviluppata fil-wan?</v>
      </c>
    </row>
    <row r="2745" ht="15.75" customHeight="1">
      <c r="A2745" s="2" t="s">
        <v>2745</v>
      </c>
      <c r="B2745" s="2" t="str">
        <f>IFERROR(__xludf.DUMMYFUNCTION("GOOGLETRANSLATE(A2745, ""en"", ""mt"")"),"X'jiġri fagoċiti 'l bogħod minn żoni speċifiċi?")</f>
        <v>X'jiġri fagoċiti 'l bogħod minn żoni speċifiċi?</v>
      </c>
    </row>
    <row r="2746" ht="15.75" customHeight="1">
      <c r="A2746" s="2" t="s">
        <v>2746</v>
      </c>
      <c r="B2746" s="2" t="str">
        <f>IFERROR(__xludf.DUMMYFUNCTION("GOOGLETRANSLATE(A2746, ""en"", ""mt"")"),"Studju tal-blat")</f>
        <v>Studju tal-blat</v>
      </c>
    </row>
    <row r="2747" ht="15.75" customHeight="1">
      <c r="A2747" s="2" t="s">
        <v>2747</v>
      </c>
      <c r="B2747" s="2" t="str">
        <f>IFERROR(__xludf.DUMMYFUNCTION("GOOGLETRANSLATE(A2747, ""en"", ""mt"")"),"Terapija bl-ossiġnu")</f>
        <v>Terapija bl-ossiġnu</v>
      </c>
    </row>
    <row r="2748" ht="15.75" customHeight="1">
      <c r="A2748" s="2" t="s">
        <v>2748</v>
      </c>
      <c r="B2748" s="2" t="str">
        <f>IFERROR(__xludf.DUMMYFUNCTION("GOOGLETRANSLATE(A2748, ""en"", ""mt"")"),"Xi jwassal l-ewwel ministru fil-bidu ta 'kull sena parlamentari?")</f>
        <v>Xi jwassal l-ewwel ministru fil-bidu ta 'kull sena parlamentari?</v>
      </c>
    </row>
    <row r="2749" ht="15.75" customHeight="1">
      <c r="A2749" s="2" t="s">
        <v>2749</v>
      </c>
      <c r="B2749" s="2" t="str">
        <f>IFERROR(__xludf.DUMMYFUNCTION("GOOGLETRANSLATE(A2749, ""en"", ""mt"")"),"Djar mill-bidu tas-seklu 20 jillinjaw dan il-boulevard fil-qalba tal-passaġġ storiku Alta Vista. Is-sezzjoni ta ’Huntington Boulevard bejn l-Ewwel Triq fuq il-Punent sa Vjal Cedar fuq il-lvant hija d-dar għal ħafna djar kbar u mwarrba. L-iżvilupp oriġinal"&amp;"i ta 'din iż-żona beda madwar l-1910, fuq 190 acres ta' dak li kien qasam tal-alfalfa. Il-passaġġ Alta Vista, hekk kif l-art kienet issir magħrufa, kienet immappjata minn William Stranahan għall-Korporazzjoni ta 'Titjib tal-Paċifiku, u kienet uffiċjalment"&amp;" imqabbda fl-1911. ta 'Platt Avenue (fil-lvant tas-Sitt Triq) u Avenue Platt (fil-punent ta' Triq is-Sitt) fit-tramuntana, u l-Ewwel Triq fil-punent. Is-suddiviżjoni ġiet annessa mal-belt f'Jannar 1912, f'elezzjoni li kienet l-ewwel waħda li fiha n-nisa v"&amp;"vutaw fil-komunità. Fil-ħin tal-ammissjoni tagħha fil-belt, il-passaġġ Alta Vista kien abitat iżda msawwar, għalkemm is-siġar kellhom jiġu mdgħajfa mill-vagun tat-tank. Fl-1914 l-iżviluppaturi Billings &amp; Meyering akkwistaw il-passaġġ, komplew l-iżvilupp t"&amp;"at-triq, ipprovdew l-aħħar mit-titjib muniċipali meħtieġ inkluż is-servizz tal-ilma, u bdew jikkummerċjalizzaw il-propjetà bil-ħrara. Sempliċi nofs għaxar snin wara l-passaġġ kellu 267 djar. Dan l-iżvilupp rapidu kien bla dubju mgħaġġel mill-Kumpanija Fre"&amp;"sno Traction Land-of-way tul Huntington Boulevard, li pprovda konnessjonijiet tat-triq bejn iċ-ċentru u l-isptar tal-kontea.")</f>
        <v>Djar mill-bidu tas-seklu 20 jillinjaw dan il-boulevard fil-qalba tal-passaġġ storiku Alta Vista. Is-sezzjoni ta ’Huntington Boulevard bejn l-Ewwel Triq fuq il-Punent sa Vjal Cedar fuq il-lvant hija d-dar għal ħafna djar kbar u mwarrba. L-iżvilupp oriġinali ta 'din iż-żona beda madwar l-1910, fuq 190 acres ta' dak li kien qasam tal-alfalfa. Il-passaġġ Alta Vista, hekk kif l-art kienet issir magħrufa, kienet immappjata minn William Stranahan għall-Korporazzjoni ta 'Titjib tal-Paċifiku, u kienet uffiċjalment imqabbda fl-1911. ta 'Platt Avenue (fil-lvant tas-Sitt Triq) u Avenue Platt (fil-punent ta' Triq is-Sitt) fit-tramuntana, u l-Ewwel Triq fil-punent. Is-suddiviżjoni ġiet annessa mal-belt f'Jannar 1912, f'elezzjoni li kienet l-ewwel waħda li fiha n-nisa vvutaw fil-komunità. Fil-ħin tal-ammissjoni tagħha fil-belt, il-passaġġ Alta Vista kien abitat iżda msawwar, għalkemm is-siġar kellhom jiġu mdgħajfa mill-vagun tat-tank. Fl-1914 l-iżviluppaturi Billings &amp; Meyering akkwistaw il-passaġġ, komplew l-iżvilupp tat-triq, ipprovdew l-aħħar mit-titjib muniċipali meħtieġ inkluż is-servizz tal-ilma, u bdew jikkummerċjalizzaw il-propjetà bil-ħrara. Sempliċi nofs għaxar snin wara l-passaġġ kellu 267 djar. Dan l-iżvilupp rapidu kien bla dubju mgħaġġel mill-Kumpanija Fresno Traction Land-of-way tul Huntington Boulevard, li pprovda konnessjonijiet tat-triq bejn iċ-ċentru u l-isptar tal-kontea.</v>
      </c>
    </row>
    <row r="2750" ht="15.75" customHeight="1">
      <c r="A2750" s="2" t="s">
        <v>2750</v>
      </c>
      <c r="B2750" s="2" t="str">
        <f>IFERROR(__xludf.DUMMYFUNCTION("GOOGLETRANSLATE(A2750, ""en"", ""mt"")"),"Valley Vistula")</f>
        <v>Valley Vistula</v>
      </c>
    </row>
    <row r="2751" ht="15.75" customHeight="1">
      <c r="A2751" s="2" t="s">
        <v>2751</v>
      </c>
      <c r="B2751" s="2" t="str">
        <f>IFERROR(__xludf.DUMMYFUNCTION("GOOGLETRANSLATE(A2751, ""en"", ""mt"")"),"Dwar x'inhu l-Parlament tar-Rabat ibbażat?")</f>
        <v>Dwar x'inhu l-Parlament tar-Rabat ibbażat?</v>
      </c>
    </row>
    <row r="2752" ht="15.75" customHeight="1">
      <c r="A2752" s="2" t="s">
        <v>2752</v>
      </c>
      <c r="B2752" s="2" t="str">
        <f>IFERROR(__xludf.DUMMYFUNCTION("GOOGLETRANSLATE(A2752, ""en"", ""mt"")"),"Jaqa '")</f>
        <v>Jaqa '</v>
      </c>
    </row>
    <row r="2753" ht="15.75" customHeight="1">
      <c r="A2753" s="2" t="s">
        <v>2753</v>
      </c>
      <c r="B2753" s="2" t="str">
        <f>IFERROR(__xludf.DUMMYFUNCTION("GOOGLETRANSLATE(A2753, ""en"", ""mt"")"),"X'jista 'jiġi kkombinat il-qlub tat-tħaffir u l-proċessi antiki?")</f>
        <v>X'jista 'jiġi kkombinat il-qlub tat-tħaffir u l-proċessi antiki?</v>
      </c>
    </row>
    <row r="2754" ht="15.75" customHeight="1">
      <c r="A2754" s="2" t="s">
        <v>2754</v>
      </c>
      <c r="B2754" s="2" t="str">
        <f>IFERROR(__xludf.DUMMYFUNCTION("GOOGLETRANSLATE(A2754, ""en"", ""mt"")"),"Min ikkontesta d-dritt ta 'Kublai Khan li jirnexxi Mongke Khan?")</f>
        <v>Min ikkontesta d-dritt ta 'Kublai Khan li jirnexxi Mongke Khan?</v>
      </c>
    </row>
    <row r="2755" ht="15.75" customHeight="1">
      <c r="A2755" s="2" t="s">
        <v>2755</v>
      </c>
      <c r="B2755" s="2" t="str">
        <f>IFERROR(__xludf.DUMMYFUNCTION("GOOGLETRANSLATE(A2755, ""en"", ""mt"")"),"Liema kumitati ma jirriflettux il-bilanċ tal-partijiet madwar il-Parlament?")</f>
        <v>Liema kumitati ma jirriflettux il-bilanċ tal-partijiet madwar il-Parlament?</v>
      </c>
    </row>
    <row r="2756" ht="15.75" customHeight="1">
      <c r="A2756" s="2" t="s">
        <v>2756</v>
      </c>
      <c r="B2756" s="2" t="str">
        <f>IFERROR(__xludf.DUMMYFUNCTION("GOOGLETRANSLATE(A2756, ""en"", ""mt"")"),"Ma 'min għaqqad il-BSKYB għax ma kienx parti mill-konsorzju?")</f>
        <v>Ma 'min għaqqad il-BSKYB għax ma kienx parti mill-konsorzju?</v>
      </c>
    </row>
    <row r="2757" ht="15.75" customHeight="1">
      <c r="A2757" s="2" t="s">
        <v>2757</v>
      </c>
      <c r="B2757" s="2" t="str">
        <f>IFERROR(__xludf.DUMMYFUNCTION("GOOGLETRANSLATE(A2757, ""en"", ""mt"")"),"Mużew tal-Indipendenza")</f>
        <v>Mużew tal-Indipendenza</v>
      </c>
    </row>
    <row r="2758" ht="15.75" customHeight="1">
      <c r="A2758" s="2" t="s">
        <v>2758</v>
      </c>
      <c r="B2758" s="2" t="str">
        <f>IFERROR(__xludf.DUMMYFUNCTION("GOOGLETRANSLATE(A2758, ""en"", ""mt"")"),"X'inhi ċ-ċirkonferenza tal-Harvard Stadium?")</f>
        <v>X'inhi ċ-ċirkonferenza tal-Harvard Stadium?</v>
      </c>
    </row>
    <row r="2759" ht="15.75" customHeight="1">
      <c r="A2759" s="2" t="s">
        <v>2759</v>
      </c>
      <c r="B2759" s="2" t="str">
        <f>IFERROR(__xludf.DUMMYFUNCTION("GOOGLETRANSLATE(A2759, ""en"", ""mt"")"),"Il-pesta bubonika kienet mifruxa aktar malajr jew aktar bil-mod mill-pesta bubonika moderna?")</f>
        <v>Il-pesta bubonika kienet mifruxa aktar malajr jew aktar bil-mod mill-pesta bubonika moderna?</v>
      </c>
    </row>
    <row r="2760" ht="15.75" customHeight="1">
      <c r="A2760" s="2" t="s">
        <v>2760</v>
      </c>
      <c r="B2760" s="2" t="str">
        <f>IFERROR(__xludf.DUMMYFUNCTION("GOOGLETRANSLATE(A2760, ""en"", ""mt"")"),"L-għerq kwadru ta 'n.")</f>
        <v>L-għerq kwadru ta 'n.</v>
      </c>
    </row>
    <row r="2761" ht="15.75" customHeight="1">
      <c r="A2761" s="2" t="s">
        <v>2761</v>
      </c>
      <c r="B2761" s="2" t="str">
        <f>IFERROR(__xludf.DUMMYFUNCTION("GOOGLETRANSLATE(A2761, ""en"", ""mt"")"),"Min żied ir-riżorsi militari Ingliżi fil-kolonji?")</f>
        <v>Min żied ir-riżorsi militari Ingliżi fil-kolonji?</v>
      </c>
    </row>
    <row r="2762" ht="15.75" customHeight="1">
      <c r="A2762" s="2" t="s">
        <v>2762</v>
      </c>
      <c r="B2762" s="2" t="str">
        <f>IFERROR(__xludf.DUMMYFUNCTION("GOOGLETRANSLATE(A2762, ""en"", ""mt"")"),"Ġeneral Amherst.")</f>
        <v>Ġeneral Amherst.</v>
      </c>
    </row>
    <row r="2763" ht="15.75" customHeight="1">
      <c r="A2763" s="2" t="s">
        <v>2763</v>
      </c>
      <c r="B2763" s="2" t="str">
        <f>IFERROR(__xludf.DUMMYFUNCTION("GOOGLETRANSLATE(A2763, ""en"", ""mt"")"),"speċifiku")</f>
        <v>speċifiku</v>
      </c>
    </row>
    <row r="2764" ht="15.75" customHeight="1">
      <c r="A2764" s="2" t="s">
        <v>2764</v>
      </c>
      <c r="B2764" s="2" t="str">
        <f>IFERROR(__xludf.DUMMYFUNCTION("GOOGLETRANSLATE(A2764, ""en"", ""mt"")"),"X'tip ta 'sistema rappreżentattiva għandu l-Kunsill Leġiżlattiv Vittorjan?")</f>
        <v>X'tip ta 'sistema rappreżentattiva għandu l-Kunsill Leġiżlattiv Vittorjan?</v>
      </c>
    </row>
    <row r="2765" ht="15.75" customHeight="1">
      <c r="A2765" s="2" t="s">
        <v>2765</v>
      </c>
      <c r="B2765" s="2" t="str">
        <f>IFERROR(__xludf.DUMMYFUNCTION("GOOGLETRANSLATE(A2765, ""en"", ""mt"")"),"Ħafna klassijiet ta 'kumplessità importanti jistgħu jiġu definiti billi tillimita l-ħin jew l-ispazju użat mill-algoritmu. Xi klassijiet ta 'kumplessità importanti ta' problemi ta 'deċiżjoni definiti b'dan il-mod huma dawn li ġejjin:")</f>
        <v>Ħafna klassijiet ta 'kumplessità importanti jistgħu jiġu definiti billi tillimita l-ħin jew l-ispazju użat mill-algoritmu. Xi klassijiet ta 'kumplessità importanti ta' problemi ta 'deċiżjoni definiti b'dan il-mod huma dawn li ġejjin:</v>
      </c>
    </row>
    <row r="2766" ht="15.75" customHeight="1">
      <c r="A2766" s="2" t="s">
        <v>2766</v>
      </c>
      <c r="B2766" s="2" t="str">
        <f>IFERROR(__xludf.DUMMYFUNCTION("GOOGLETRANSLATE(A2766, ""en"", ""mt"")"),"Ukoll fis-seklu dsatax")</f>
        <v>Ukoll fis-seklu dsatax</v>
      </c>
    </row>
    <row r="2767" ht="15.75" customHeight="1">
      <c r="A2767" s="2" t="s">
        <v>2767</v>
      </c>
      <c r="B2767" s="2" t="str">
        <f>IFERROR(__xludf.DUMMYFUNCTION("GOOGLETRANSLATE(A2767, ""en"", ""mt"")"),"Videoguard")</f>
        <v>Videoguard</v>
      </c>
    </row>
    <row r="2768" ht="15.75" customHeight="1">
      <c r="A2768" s="2" t="s">
        <v>2768</v>
      </c>
      <c r="B2768" s="2" t="str">
        <f>IFERROR(__xludf.DUMMYFUNCTION("GOOGLETRANSLATE(A2768, ""en"", ""mt"")"),"Liema teorija tal-qasam xjentifiku rċeviet kontribuzzjonijiet mill-magna tal-fwar?")</f>
        <v>Liema teorija tal-qasam xjentifiku rċeviet kontribuzzjonijiet mill-magna tal-fwar?</v>
      </c>
    </row>
    <row r="2769" ht="15.75" customHeight="1">
      <c r="A2769" s="2" t="s">
        <v>2769</v>
      </c>
      <c r="B2769" s="2" t="str">
        <f>IFERROR(__xludf.DUMMYFUNCTION("GOOGLETRANSLATE(A2769, ""en"", ""mt"")"),"Tribujiet fil-porzjonijiet tal-Punent tar-reġjun tal-Lagi l-Kbar")</f>
        <v>Tribujiet fil-porzjonijiet tal-Punent tar-reġjun tal-Lagi l-Kbar</v>
      </c>
    </row>
    <row r="2770" ht="15.75" customHeight="1">
      <c r="A2770" s="2" t="s">
        <v>2770</v>
      </c>
      <c r="B2770" s="2" t="str">
        <f>IFERROR(__xludf.DUMMYFUNCTION("GOOGLETRANSLATE(A2770, ""en"", ""mt"")"),"X’niżviluppa fin-Normandija matul l-1100s?")</f>
        <v>X’niżviluppa fin-Normandija matul l-1100s?</v>
      </c>
    </row>
    <row r="2771" ht="15.75" customHeight="1">
      <c r="A2771" s="2" t="s">
        <v>2771</v>
      </c>
      <c r="B2771" s="2" t="str">
        <f>IFERROR(__xludf.DUMMYFUNCTION("GOOGLETRANSLATE(A2771, ""en"", ""mt"")"),"biex tiflaħ il-mewġ u l-partiċelli tas-sediment li jdawru")</f>
        <v>biex tiflaħ il-mewġ u l-partiċelli tas-sediment li jdawru</v>
      </c>
    </row>
    <row r="2772" ht="15.75" customHeight="1">
      <c r="A2772" s="2" t="s">
        <v>2772</v>
      </c>
      <c r="B2772" s="2" t="str">
        <f>IFERROR(__xludf.DUMMYFUNCTION("GOOGLETRANSLATE(A2772, ""en"", ""mt"")"),"X'inhu l-isem taż-żona li għadda mill-fruntiera li fiha l-Megaregion testendi?")</f>
        <v>X'inhu l-isem taż-żona li għadda mill-fruntiera li fiha l-Megaregion testendi?</v>
      </c>
    </row>
    <row r="2773" ht="15.75" customHeight="1">
      <c r="A2773" s="2" t="s">
        <v>2773</v>
      </c>
      <c r="B2773" s="2" t="str">
        <f>IFERROR(__xludf.DUMMYFUNCTION("GOOGLETRANSLATE(A2773, ""en"", ""mt"")"),"3.5 biljun")</f>
        <v>3.5 biljun</v>
      </c>
    </row>
    <row r="2774" ht="15.75" customHeight="1">
      <c r="A2774" s="2" t="s">
        <v>2774</v>
      </c>
      <c r="B2774" s="2" t="str">
        <f>IFERROR(__xludf.DUMMYFUNCTION("GOOGLETRANSLATE(A2774, ""en"", ""mt"")"),"Kemm ġiet miktuba letteratura rigward id-diżubbidjenza ċivili?")</f>
        <v>Kemm ġiet miktuba letteratura rigward id-diżubbidjenza ċivili?</v>
      </c>
    </row>
    <row r="2775" ht="15.75" customHeight="1">
      <c r="A2775" s="2" t="s">
        <v>2775</v>
      </c>
      <c r="B2775" s="2" t="str">
        <f>IFERROR(__xludf.DUMMYFUNCTION("GOOGLETRANSLATE(A2775, ""en"", ""mt"")"),"Kemm-il koordinazzjoni ta 'awturi ewlenin għandu kapitolu ta' rapport IPCC?")</f>
        <v>Kemm-il koordinazzjoni ta 'awturi ewlenin għandu kapitolu ta' rapport IPCC?</v>
      </c>
    </row>
    <row r="2776" ht="15.75" customHeight="1">
      <c r="A2776" s="2" t="s">
        <v>2776</v>
      </c>
      <c r="B2776" s="2" t="str">
        <f>IFERROR(__xludf.DUMMYFUNCTION("GOOGLETRANSLATE(A2776, ""en"", ""mt"")"),"Liema dinastija għen lil Zhang Rhou?")</f>
        <v>Liema dinastija għen lil Zhang Rhou?</v>
      </c>
    </row>
    <row r="2777" ht="15.75" customHeight="1">
      <c r="A2777" s="2" t="s">
        <v>2777</v>
      </c>
      <c r="B2777" s="2" t="str">
        <f>IFERROR(__xludf.DUMMYFUNCTION("GOOGLETRANSLATE(A2777, ""en"", ""mt"")"),"X'inhi problema?")</f>
        <v>X'inhi problema?</v>
      </c>
    </row>
    <row r="2778" ht="15.75" customHeight="1">
      <c r="A2778" s="2" t="s">
        <v>2778</v>
      </c>
      <c r="B2778" s="2" t="str">
        <f>IFERROR(__xludf.DUMMYFUNCTION("GOOGLETRANSLATE(A2778, ""en"", ""mt"")"),"X'inhuma APT u ADP?")</f>
        <v>X'inhuma APT u ADP?</v>
      </c>
    </row>
    <row r="2779" ht="15.75" customHeight="1">
      <c r="A2779" s="2" t="s">
        <v>2779</v>
      </c>
      <c r="B2779" s="2" t="str">
        <f>IFERROR(__xludf.DUMMYFUNCTION("GOOGLETRANSLATE(A2779, ""en"", ""mt"")"),"Meta ġie aġġornat OC-12C?")</f>
        <v>Meta ġie aġġornat OC-12C?</v>
      </c>
    </row>
    <row r="2780" ht="15.75" customHeight="1">
      <c r="A2780" s="2" t="s">
        <v>2780</v>
      </c>
      <c r="B2780" s="2" t="str">
        <f>IFERROR(__xludf.DUMMYFUNCTION("GOOGLETRANSLATE(A2780, ""en"", ""mt"")"),"L-Italja")</f>
        <v>L-Italja</v>
      </c>
    </row>
    <row r="2781" ht="15.75" customHeight="1">
      <c r="A2781" s="2" t="s">
        <v>2781</v>
      </c>
      <c r="B2781" s="2" t="str">
        <f>IFERROR(__xludf.DUMMYFUNCTION("GOOGLETRANSLATE(A2781, ""en"", ""mt"")"),"organizzazzjoni terroristika")</f>
        <v>organizzazzjoni terroristika</v>
      </c>
    </row>
    <row r="2782" ht="15.75" customHeight="1">
      <c r="A2782" s="2" t="s">
        <v>2782</v>
      </c>
      <c r="B2782" s="2" t="str">
        <f>IFERROR(__xludf.DUMMYFUNCTION("GOOGLETRANSLATE(A2782, ""en"", ""mt"")"),"Dak li mexxa r-residenti għal akkomodazzjoni suburbana aktar kwieta?")</f>
        <v>Dak li mexxa r-residenti għal akkomodazzjoni suburbana aktar kwieta?</v>
      </c>
    </row>
    <row r="2783" ht="15.75" customHeight="1">
      <c r="A2783" s="2" t="s">
        <v>2783</v>
      </c>
      <c r="B2783" s="2" t="str">
        <f>IFERROR(__xludf.DUMMYFUNCTION("GOOGLETRANSLATE(A2783, ""en"", ""mt"")"),"Ġestjoni fqira, diviżjonijiet interni, u scouts Kanadiżi effettivi")</f>
        <v>Ġestjoni fqira, diviżjonijiet interni, u scouts Kanadiżi effettivi</v>
      </c>
    </row>
    <row r="2784" ht="15.75" customHeight="1">
      <c r="A2784" s="2" t="s">
        <v>2784</v>
      </c>
      <c r="B2784" s="2" t="str">
        <f>IFERROR(__xludf.DUMMYFUNCTION("GOOGLETRANSLATE(A2784, ""en"", ""mt"")"),"Liġijiet inġusti.")</f>
        <v>Liġijiet inġusti.</v>
      </c>
    </row>
    <row r="2785" ht="15.75" customHeight="1">
      <c r="A2785" s="2" t="s">
        <v>2785</v>
      </c>
      <c r="B2785" s="2" t="str">
        <f>IFERROR(__xludf.DUMMYFUNCTION("GOOGLETRANSLATE(A2785, ""en"", ""mt"")"),"bidliet demokratiċi")</f>
        <v>bidliet demokratiċi</v>
      </c>
    </row>
    <row r="2786" ht="15.75" customHeight="1">
      <c r="A2786" s="2" t="s">
        <v>2786</v>
      </c>
      <c r="B2786" s="2" t="str">
        <f>IFERROR(__xludf.DUMMYFUNCTION("GOOGLETRANSLATE(A2786, ""en"", ""mt"")"),"notazzjoni binarja")</f>
        <v>notazzjoni binarja</v>
      </c>
    </row>
    <row r="2787" ht="15.75" customHeight="1">
      <c r="A2787" s="2" t="s">
        <v>2787</v>
      </c>
      <c r="B2787" s="2" t="str">
        <f>IFERROR(__xludf.DUMMYFUNCTION("GOOGLETRANSLATE(A2787, ""en"", ""mt"")"),"Magna tat-Turing Deterministika")</f>
        <v>Magna tat-Turing Deterministika</v>
      </c>
    </row>
    <row r="2788" ht="15.75" customHeight="1">
      <c r="A2788" s="2" t="s">
        <v>2788</v>
      </c>
      <c r="B2788" s="2" t="str">
        <f>IFERROR(__xludf.DUMMYFUNCTION("GOOGLETRANSLATE(A2788, ""en"", ""mt"")"),"L-analiżi ta 'algoritmu speċifiku hija tipikament assenjata għal liema qasam tax-xjenza tal-komputazzjoni?")</f>
        <v>L-analiżi ta 'algoritmu speċifiku hija tipikament assenjata għal liema qasam tax-xjenza tal-komputazzjoni?</v>
      </c>
    </row>
    <row r="2789" ht="15.75" customHeight="1">
      <c r="A2789" s="2" t="s">
        <v>2789</v>
      </c>
      <c r="B2789" s="2" t="str">
        <f>IFERROR(__xludf.DUMMYFUNCTION("GOOGLETRANSLATE(A2789, ""en"", ""mt"")"),"Il-veloċità kostanti kienet assoċjata ma 'nuqqas ta' forza netta")</f>
        <v>Il-veloċità kostanti kienet assoċjata ma 'nuqqas ta' forza netta</v>
      </c>
    </row>
    <row r="2790" ht="15.75" customHeight="1">
      <c r="A2790" s="2" t="s">
        <v>2790</v>
      </c>
      <c r="B2790" s="2" t="str">
        <f>IFERROR(__xludf.DUMMYFUNCTION("GOOGLETRANSLATE(A2790, ""en"", ""mt"")"),"Min għadda fuljetti edukattivi fl-awli matul il-Gwerra tal-Vjetnam?")</f>
        <v>Min għadda fuljetti edukattivi fl-awli matul il-Gwerra tal-Vjetnam?</v>
      </c>
    </row>
    <row r="2791" ht="15.75" customHeight="1">
      <c r="A2791" s="2" t="s">
        <v>2791</v>
      </c>
      <c r="B2791" s="2" t="str">
        <f>IFERROR(__xludf.DUMMYFUNCTION("GOOGLETRANSLATE(A2791, ""en"", ""mt"")"),"Min ħassar il-pjanijiet ta 'Roussel de Bailleul għal stat indipendenti?")</f>
        <v>Min ħassar il-pjanijiet ta 'Roussel de Bailleul għal stat indipendenti?</v>
      </c>
    </row>
    <row r="2792" ht="15.75" customHeight="1">
      <c r="A2792" s="2" t="s">
        <v>2792</v>
      </c>
      <c r="B2792" s="2" t="str">
        <f>IFERROR(__xludf.DUMMYFUNCTION("GOOGLETRANSLATE(A2792, ""en"", ""mt"")"),"tobba")</f>
        <v>tobba</v>
      </c>
    </row>
    <row r="2793" ht="15.75" customHeight="1">
      <c r="A2793" s="2" t="s">
        <v>2793</v>
      </c>
      <c r="B2793" s="2" t="str">
        <f>IFERROR(__xludf.DUMMYFUNCTION("GOOGLETRANSLATE(A2793, ""en"", ""mt"")"),"X'tip ta 'nies jattendu l-laqgħat tal-IPCC?")</f>
        <v>X'tip ta 'nies jattendu l-laqgħat tal-IPCC?</v>
      </c>
    </row>
    <row r="2794" ht="15.75" customHeight="1">
      <c r="A2794" s="2" t="s">
        <v>2794</v>
      </c>
      <c r="B2794" s="2" t="str">
        <f>IFERROR(__xludf.DUMMYFUNCTION("GOOGLETRANSLATE(A2794, ""en"", ""mt"")"),"Id-Direttiva tal-Kunsill tax-Xogħlijiet tal-1994")</f>
        <v>Id-Direttiva tal-Kunsill tax-Xogħlijiet tal-1994</v>
      </c>
    </row>
    <row r="2795" ht="15.75" customHeight="1">
      <c r="A2795" s="2" t="s">
        <v>2795</v>
      </c>
      <c r="B2795" s="2" t="str">
        <f>IFERROR(__xludf.DUMMYFUNCTION("GOOGLETRANSLATE(A2795, ""en"", ""mt"")"),"Skejjel affiljati u denominazzjonali reliġjużament jiffurmaw subkategorija ta 'skejjel privati. Xi skejjel bħal dawn jgħallmu l-edukazzjoni reliġjuża, flimkien mas-suġġetti akkademiċi tas-soltu biex jimpressjonaw it-twemmin u t-tradizzjonijiet tal-fidi pa"&amp;"rtikolari tagħhom fl-istudenti li jattendu. Oħrajn jużaw id-denominazzjoni bħala aktar ta 'tikketta ġenerali biex jiddeskrivu fuq dak li l-fundaturi bbażaw it-twemmin tagħhom, filwaqt li għadhom iżommu distinzjoni fina bejn l-akkademiċi u r-reliġjon. Dawn"&amp;" jinkludu skejjel parrokkjali, terminu li ħafna drabi jintuża biex jindika skejjel Kattoliċi Rumani. Gruppi reliġjużi oħra rappreżentati fis-settur tal-edukazzjoni privata tal-K-12 jinkludu Protestanti, Lhud, Musulmani u l-Insara Ortodossi.")</f>
        <v>Skejjel affiljati u denominazzjonali reliġjużament jiffurmaw subkategorija ta 'skejjel privati. Xi skejjel bħal dawn jgħallmu l-edukazzjoni reliġjuża, flimkien mas-suġġetti akkademiċi tas-soltu biex jimpressjonaw it-twemmin u t-tradizzjonijiet tal-fidi partikolari tagħhom fl-istudenti li jattendu. Oħrajn jużaw id-denominazzjoni bħala aktar ta 'tikketta ġenerali biex jiddeskrivu fuq dak li l-fundaturi bbażaw it-twemmin tagħhom, filwaqt li għadhom iżommu distinzjoni fina bejn l-akkademiċi u r-reliġjon. Dawn jinkludu skejjel parrokkjali, terminu li ħafna drabi jintuża biex jindika skejjel Kattoliċi Rumani. Gruppi reliġjużi oħra rappreżentati fis-settur tal-edukazzjoni privata tal-K-12 jinkludu Protestanti, Lhud, Musulmani u l-Insara Ortodossi.</v>
      </c>
    </row>
    <row r="2796" ht="15.75" customHeight="1">
      <c r="A2796" s="2" t="s">
        <v>2796</v>
      </c>
      <c r="B2796" s="2" t="str">
        <f>IFERROR(__xludf.DUMMYFUNCTION("GOOGLETRANSLATE(A2796, ""en"", ""mt"")"),"Għal xiex qed jitħallsu l-ispiżjara fir-Renju Unit?")</f>
        <v>Għal xiex qed jitħallsu l-ispiżjara fir-Renju Unit?</v>
      </c>
    </row>
    <row r="2797" ht="15.75" customHeight="1">
      <c r="A2797" s="2" t="s">
        <v>2797</v>
      </c>
      <c r="B2797" s="2" t="str">
        <f>IFERROR(__xludf.DUMMYFUNCTION("GOOGLETRANSLATE(A2797, ""en"", ""mt"")"),"ħin u memorja")</f>
        <v>ħin u memorja</v>
      </c>
    </row>
    <row r="2798" ht="15.75" customHeight="1">
      <c r="A2798" s="2" t="s">
        <v>2798</v>
      </c>
      <c r="B2798" s="2" t="str">
        <f>IFERROR(__xludf.DUMMYFUNCTION("GOOGLETRANSLATE(A2798, ""en"", ""mt"")"),"It-tfittxija kbira tal-Internet Mersenne Prime, x’kien il-premju biex tinstab prim b’mill-inqas 10 miljun ċifra?")</f>
        <v>It-tfittxija kbira tal-Internet Mersenne Prime, x’kien il-premju biex tinstab prim b’mill-inqas 10 miljun ċifra?</v>
      </c>
    </row>
    <row r="2799" ht="15.75" customHeight="1">
      <c r="A2799" s="2" t="s">
        <v>2799</v>
      </c>
      <c r="B2799" s="2" t="str">
        <f>IFERROR(__xludf.DUMMYFUNCTION("GOOGLETRANSLATE(A2799, ""en"", ""mt"")"),"Ewropa tal-Lvant")</f>
        <v>Ewropa tal-Lvant</v>
      </c>
    </row>
    <row r="2800" ht="15.75" customHeight="1">
      <c r="A2800" s="2" t="s">
        <v>2800</v>
      </c>
      <c r="B2800" s="2" t="str">
        <f>IFERROR(__xludf.DUMMYFUNCTION("GOOGLETRANSLATE(A2800, ""en"", ""mt"")"),"1390")</f>
        <v>1390</v>
      </c>
    </row>
    <row r="2801" ht="15.75" customHeight="1">
      <c r="A2801" s="2" t="s">
        <v>2801</v>
      </c>
      <c r="B2801" s="2" t="str">
        <f>IFERROR(__xludf.DUMMYFUNCTION("GOOGLETRANSLATE(A2801, ""en"", ""mt"")"),"Itfi d-difiżi ospitanti")</f>
        <v>Itfi d-difiżi ospitanti</v>
      </c>
    </row>
    <row r="2802" ht="15.75" customHeight="1">
      <c r="A2802" s="2" t="s">
        <v>2802</v>
      </c>
      <c r="B2802" s="2" t="str">
        <f>IFERROR(__xludf.DUMMYFUNCTION("GOOGLETRANSLATE(A2802, ""en"", ""mt"")"),"Muhammad ibn zakarīya rāzi")</f>
        <v>Muhammad ibn zakarīya rāzi</v>
      </c>
    </row>
    <row r="2803" ht="15.75" customHeight="1">
      <c r="A2803" s="2" t="s">
        <v>2803</v>
      </c>
      <c r="B2803" s="2" t="str">
        <f>IFERROR(__xludf.DUMMYFUNCTION("GOOGLETRANSLATE(A2803, ""en"", ""mt"")"),"Meta seħħ il-moviment tal-edukazzjoni tal-iskola sekondarja?")</f>
        <v>Meta seħħ il-moviment tal-edukazzjoni tal-iskola sekondarja?</v>
      </c>
    </row>
    <row r="2804" ht="15.75" customHeight="1">
      <c r="A2804" s="2" t="s">
        <v>2804</v>
      </c>
      <c r="B2804" s="2" t="str">
        <f>IFERROR(__xludf.DUMMYFUNCTION("GOOGLETRANSLATE(A2804, ""en"", ""mt"")"),"Kif jissejħu Cestida?")</f>
        <v>Kif jissejħu Cestida?</v>
      </c>
    </row>
    <row r="2805" ht="15.75" customHeight="1">
      <c r="A2805" s="2" t="s">
        <v>2805</v>
      </c>
      <c r="B2805" s="2" t="str">
        <f>IFERROR(__xludf.DUMMYFUNCTION("GOOGLETRANSLATE(A2805, ""en"", ""mt"")"),"Min qal li l-Qorti tal-Ġustizzja tista 'tgħin il-libertà tal-istabbiliment?")</f>
        <v>Min qal li l-Qorti tal-Ġustizzja tista 'tgħin il-libertà tal-istabbiliment?</v>
      </c>
    </row>
    <row r="2806" ht="15.75" customHeight="1">
      <c r="A2806" s="2" t="s">
        <v>2806</v>
      </c>
      <c r="B2806" s="2" t="str">
        <f>IFERROR(__xludf.DUMMYFUNCTION("GOOGLETRANSLATE(A2806, ""en"", ""mt"")"),"X'inhu l-limitu tal-veloċità stabbilit biex jitnaqqas il-konsum?")</f>
        <v>X'inhu l-limitu tal-veloċità stabbilit biex jitnaqqas il-konsum?</v>
      </c>
    </row>
    <row r="2807" ht="15.75" customHeight="1">
      <c r="A2807" s="2" t="s">
        <v>2807</v>
      </c>
      <c r="B2807" s="2" t="str">
        <f>IFERROR(__xludf.DUMMYFUNCTION("GOOGLETRANSLATE(A2807, ""en"", ""mt"")"),"Testijiet ta 'Solovay-Strassen")</f>
        <v>Testijiet ta 'Solovay-Strassen</v>
      </c>
    </row>
    <row r="2808" ht="15.75" customHeight="1">
      <c r="A2808" s="2" t="s">
        <v>2808</v>
      </c>
      <c r="B2808" s="2" t="str">
        <f>IFERROR(__xludf.DUMMYFUNCTION("GOOGLETRANSLATE(A2808, ""en"", ""mt"")"),"Ibqa '")</f>
        <v>Ibqa '</v>
      </c>
    </row>
    <row r="2809" ht="15.75" customHeight="1">
      <c r="A2809" s="2" t="s">
        <v>2809</v>
      </c>
      <c r="B2809" s="2" t="str">
        <f>IFERROR(__xludf.DUMMYFUNCTION("GOOGLETRANSLATE(A2809, ""en"", ""mt"")"),"Ma 'min għamel l-internet2 ma'")</f>
        <v>Ma 'min għamel l-internet2 ma'</v>
      </c>
    </row>
    <row r="2810" ht="15.75" customHeight="1">
      <c r="A2810" s="2" t="s">
        <v>2810</v>
      </c>
      <c r="B2810" s="2" t="str">
        <f>IFERROR(__xludf.DUMMYFUNCTION("GOOGLETRANSLATE(A2810, ""en"", ""mt"")"),"Ġiet imsejħa l-prattika li tokkupa u tiskansa d-djar Huguenot?")</f>
        <v>Ġiet imsejħa l-prattika li tokkupa u tiskansa d-djar Huguenot?</v>
      </c>
    </row>
    <row r="2811" ht="15.75" customHeight="1">
      <c r="A2811" s="2" t="s">
        <v>2811</v>
      </c>
      <c r="B2811" s="2" t="str">
        <f>IFERROR(__xludf.DUMMYFUNCTION("GOOGLETRANSLATE(A2811, ""en"", ""mt"")"),"Liema żona taċ-Ċina rnexxielha l-Ġappun fl-1931?")</f>
        <v>Liema żona taċ-Ċina rnexxielha l-Ġappun fl-1931?</v>
      </c>
    </row>
    <row r="2812" ht="15.75" customHeight="1">
      <c r="A2812" s="2" t="s">
        <v>2812</v>
      </c>
      <c r="B2812" s="2" t="str">
        <f>IFERROR(__xludf.DUMMYFUNCTION("GOOGLETRANSLATE(A2812, ""en"", ""mt"")"),"Netwerk Intermedju Nodes bl-asinkronikament bl-użu ta 'l-ewwel-in, l-ewwel buffering")</f>
        <v>Netwerk Intermedju Nodes bl-asinkronikament bl-użu ta 'l-ewwel-in, l-ewwel buffering</v>
      </c>
    </row>
    <row r="2813" ht="15.75" customHeight="1">
      <c r="A2813" s="2" t="s">
        <v>2813</v>
      </c>
      <c r="B2813" s="2" t="str">
        <f>IFERROR(__xludf.DUMMYFUNCTION("GOOGLETRANSLATE(A2813, ""en"", ""mt"")"),"Ordni mill-ġdid tal-gvern u tas-soċjetà skont ix-Shari'a")</f>
        <v>Ordni mill-ġdid tal-gvern u tas-soċjetà skont ix-Shari'a</v>
      </c>
    </row>
    <row r="2814" ht="15.75" customHeight="1">
      <c r="A2814" s="2" t="s">
        <v>2814</v>
      </c>
      <c r="B2814" s="2" t="str">
        <f>IFERROR(__xludf.DUMMYFUNCTION("GOOGLETRANSLATE(A2814, ""en"", ""mt"")"),"Dan il-kunċett oriġinarjament kien maħsub biex ikun applikazzjoni maħsuba biss għall-użu mill-militar?")</f>
        <v>Dan il-kunċett oriġinarjament kien maħsub biex ikun applikazzjoni maħsuba biss għall-użu mill-militar?</v>
      </c>
    </row>
    <row r="2815" ht="15.75" customHeight="1">
      <c r="A2815" s="2" t="s">
        <v>2815</v>
      </c>
      <c r="B2815" s="2" t="str">
        <f>IFERROR(__xludf.DUMMYFUNCTION("GOOGLETRANSLATE(A2815, ""en"", ""mt"")")," Meta ġiet iffinanzjata l-politika Russa ""indiġenizzazzjoni""?")</f>
        <v> Meta ġiet iffinanzjata l-politika Russa "indiġenizzazzjoni"?</v>
      </c>
    </row>
    <row r="2816" ht="15.75" customHeight="1">
      <c r="A2816" s="2" t="s">
        <v>2816</v>
      </c>
      <c r="B2816" s="2" t="str">
        <f>IFERROR(__xludf.DUMMYFUNCTION("GOOGLETRANSLATE(A2816, ""en"", ""mt"")"),"F'nofs is-snin 1960, l-iskandli tal-korruzzjoni bdew jinħolqu fost ħafna mill-uffiċjali tal-belt, li ġew eletti prinċipalment permezz tan-netwerk tradizzjonali tat-tifel antik. Wara li ġiet imlaqqa 'ġurija kbira biex tinvestiga, 11-il uffiċjal ġew akkużat"&amp;"i u aktar ġew sfurzati jirriżenjaw. Jacksonville Consolidation, immexxija minn J. J. Daniel u Claude Yates, bdew jirbħu aktar appoġġ matul dan il-perjodu, miż-żewġ suwed tal-belt ġewwa, li riedu aktar involviment fil-gvern, u l-abjad fis-subborgi, li ried"&amp;"u aktar servizzi u aktar kontroll fuq il-belt ċentrali fuq il-belt ċentrali - Fl-1964 il-15-il skejjel pubbliċi tal-Kontea ta 'Duval tilfu l-akkreditazzjoni tagħhom. Dan żied il-momentum għall-proposti għar-riforma tal-gvern. Taxxi aktar baxxi, żieda fl-i"&amp;"żvilupp ekonomiku, unifikazzjoni tal-komunità, infiq pubbliku aħjar u amministrazzjoni effettiva minn awtorità aktar ċentrali kienu kollha kkwotati bħala raġunijiet għal gvern konsolidat ġdid.")</f>
        <v>F'nofs is-snin 1960, l-iskandli tal-korruzzjoni bdew jinħolqu fost ħafna mill-uffiċjali tal-belt, li ġew eletti prinċipalment permezz tan-netwerk tradizzjonali tat-tifel antik. Wara li ġiet imlaqqa 'ġurija kbira biex tinvestiga, 11-il uffiċjal ġew akkużati u aktar ġew sfurzati jirriżenjaw. Jacksonville Consolidation, immexxija minn J. J. Daniel u Claude Yates, bdew jirbħu aktar appoġġ matul dan il-perjodu, miż-żewġ suwed tal-belt ġewwa, li riedu aktar involviment fil-gvern, u l-abjad fis-subborgi, li riedu aktar servizzi u aktar kontroll fuq il-belt ċentrali fuq il-belt ċentrali - Fl-1964 il-15-il skejjel pubbliċi tal-Kontea ta 'Duval tilfu l-akkreditazzjoni tagħhom. Dan żied il-momentum għall-proposti għar-riforma tal-gvern. Taxxi aktar baxxi, żieda fl-iżvilupp ekonomiku, unifikazzjoni tal-komunità, infiq pubbliku aħjar u amministrazzjoni effettiva minn awtorità aktar ċentrali kienu kollha kkwotati bħala raġunijiet għal gvern konsolidat ġdid.</v>
      </c>
    </row>
    <row r="2817" ht="15.75" customHeight="1">
      <c r="A2817" s="2" t="s">
        <v>2817</v>
      </c>
      <c r="B2817" s="2" t="str">
        <f>IFERROR(__xludf.DUMMYFUNCTION("GOOGLETRANSLATE(A2817, ""en"", ""mt"")"),"għant li fih jista 'jiġi rtirat")</f>
        <v>għant li fih jista 'jiġi rtirat</v>
      </c>
    </row>
    <row r="2818" ht="15.75" customHeight="1">
      <c r="A2818" s="2" t="s">
        <v>2818</v>
      </c>
      <c r="B2818" s="2" t="str">
        <f>IFERROR(__xludf.DUMMYFUNCTION("GOOGLETRANSLATE(A2818, ""en"", ""mt"")"),"X'inhu dak li jgħaqqad is-sistema immuni periferali mas-sistema neuroimmuni?")</f>
        <v>X'inhu dak li jgħaqqad is-sistema immuni periferali mas-sistema neuroimmuni?</v>
      </c>
    </row>
    <row r="2819" ht="15.75" customHeight="1">
      <c r="A2819" s="2" t="s">
        <v>2819</v>
      </c>
      <c r="B2819" s="2" t="str">
        <f>IFERROR(__xludf.DUMMYFUNCTION("GOOGLETRANSLATE(A2819, ""en"", ""mt"")"),"X'inhu l-isem ta 'kwistjonijiet barra l-abilità leġiżlattiva tal-Parlament Skoċċiż?")</f>
        <v>X'inhu l-isem ta 'kwistjonijiet barra l-abilità leġiżlattiva tal-Parlament Skoċċiż?</v>
      </c>
    </row>
    <row r="2820" ht="15.75" customHeight="1">
      <c r="A2820" s="2" t="s">
        <v>2820</v>
      </c>
      <c r="B2820" s="2" t="str">
        <f>IFERROR(__xludf.DUMMYFUNCTION("GOOGLETRANSLATE(A2820, ""en"", ""mt"")"),"X’gruppat Donald Davies fl-aħħar tas-snin 1950?")</f>
        <v>X’gruppat Donald Davies fl-aħħar tas-snin 1950?</v>
      </c>
    </row>
    <row r="2821" ht="15.75" customHeight="1">
      <c r="A2821" s="2" t="s">
        <v>2821</v>
      </c>
      <c r="B2821" s="2" t="str">
        <f>IFERROR(__xludf.DUMMYFUNCTION("GOOGLETRANSLATE(A2821, ""en"", ""mt"")"),"Meta ġew sospiżi l-La Galaxy?")</f>
        <v>Meta ġew sospiżi l-La Galaxy?</v>
      </c>
    </row>
    <row r="2822" ht="15.75" customHeight="1">
      <c r="A2822" s="2" t="s">
        <v>2822</v>
      </c>
      <c r="B2822" s="2" t="str">
        <f>IFERROR(__xludf.DUMMYFUNCTION("GOOGLETRANSLATE(A2822, ""en"", ""mt"")"),"Barra mir-rikonoxximent nazzjonali, liema tip ieħor ta 'rikonoxximent jiksbu xi wħud mill-ibliet?")</f>
        <v>Barra mir-rikonoxximent nazzjonali, liema tip ieħor ta 'rikonoxximent jiksbu xi wħud mill-ibliet?</v>
      </c>
    </row>
    <row r="2823" ht="15.75" customHeight="1">
      <c r="A2823" s="2" t="s">
        <v>2823</v>
      </c>
      <c r="B2823" s="2" t="str">
        <f>IFERROR(__xludf.DUMMYFUNCTION("GOOGLETRANSLATE(A2823, ""en"", ""mt"")"),"F'liema pajjiż l-ewwel ivvintat iċ-ċentru tal-fwar tal-ferrovija fuq skala sħiħa?")</f>
        <v>F'liema pajjiż l-ewwel ivvintat iċ-ċentru tal-fwar tal-ferrovija fuq skala sħiħa?</v>
      </c>
    </row>
    <row r="2824" ht="15.75" customHeight="1">
      <c r="A2824" s="2" t="s">
        <v>2824</v>
      </c>
      <c r="B2824" s="2" t="str">
        <f>IFERROR(__xludf.DUMMYFUNCTION("GOOGLETRANSLATE(A2824, ""en"", ""mt"")"),"patoġeni")</f>
        <v>patoġeni</v>
      </c>
    </row>
    <row r="2825" ht="15.75" customHeight="1">
      <c r="A2825" s="2" t="s">
        <v>2825</v>
      </c>
      <c r="B2825" s="2" t="str">
        <f>IFERROR(__xludf.DUMMYFUNCTION("GOOGLETRANSLATE(A2825, ""en"", ""mt"")"),"25 fil-mija")</f>
        <v>25 fil-mija</v>
      </c>
    </row>
    <row r="2826" ht="15.75" customHeight="1">
      <c r="A2826" s="2" t="s">
        <v>2826</v>
      </c>
      <c r="B2826" s="2" t="str">
        <f>IFERROR(__xludf.DUMMYFUNCTION("GOOGLETRANSLATE(A2826, ""en"", ""mt"")"),"Liema CEO tal-Microsoft huwa wkoll alumni tal-Università ta 'Chicago?")</f>
        <v>Liema CEO tal-Microsoft huwa wkoll alumni tal-Università ta 'Chicago?</v>
      </c>
    </row>
    <row r="2827" ht="15.75" customHeight="1">
      <c r="A2827" s="2" t="s">
        <v>2827</v>
      </c>
      <c r="B2827" s="2" t="str">
        <f>IFERROR(__xludf.DUMMYFUNCTION("GOOGLETRANSLATE(A2827, ""en"", ""mt"")"),"X'inhu t-terminu għal skola privata Indjana?")</f>
        <v>X'inhu t-terminu għal skola privata Indjana?</v>
      </c>
    </row>
    <row r="2828" ht="15.75" customHeight="1">
      <c r="A2828" s="2" t="s">
        <v>2828</v>
      </c>
      <c r="B2828" s="2" t="str">
        <f>IFERROR(__xludf.DUMMYFUNCTION("GOOGLETRANSLATE(A2828, ""en"", ""mt"")"),"F’Ottubru 2010")</f>
        <v>F’Ottubru 2010</v>
      </c>
    </row>
    <row r="2829" ht="15.75" customHeight="1">
      <c r="A2829" s="2" t="s">
        <v>2829</v>
      </c>
      <c r="B2829" s="2" t="str">
        <f>IFERROR(__xludf.DUMMYFUNCTION("GOOGLETRANSLATE(A2829, ""en"", ""mt"")"),"Kemm ġew irreġistrati nies biex jirċievu s-servizz HD qabel it-tnedija?")</f>
        <v>Kemm ġew irreġistrati nies biex jirċievu s-servizz HD qabel it-tnedija?</v>
      </c>
    </row>
    <row r="2830" ht="15.75" customHeight="1">
      <c r="A2830" s="2" t="s">
        <v>2830</v>
      </c>
      <c r="B2830" s="2" t="str">
        <f>IFERROR(__xludf.DUMMYFUNCTION("GOOGLETRANSLATE(A2830, ""en"", ""mt"")"),"F'liema età r-reazzjonijiet immuni ġeneralment jibdew jonqsu?")</f>
        <v>F'liema età r-reazzjonijiet immuni ġeneralment jibdew jonqsu?</v>
      </c>
    </row>
    <row r="2831" ht="15.75" customHeight="1">
      <c r="A2831" s="2" t="s">
        <v>2831</v>
      </c>
      <c r="B2831" s="2" t="str">
        <f>IFERROR(__xludf.DUMMYFUNCTION("GOOGLETRANSLATE(A2831, ""en"", ""mt"")"),"Meta twaqqaf l-ewwel borża ta 'Varsavja?")</f>
        <v>Meta twaqqaf l-ewwel borża ta 'Varsavja?</v>
      </c>
    </row>
    <row r="2832" ht="15.75" customHeight="1">
      <c r="A2832" s="2" t="s">
        <v>2832</v>
      </c>
      <c r="B2832" s="2" t="str">
        <f>IFERROR(__xludf.DUMMYFUNCTION("GOOGLETRANSLATE(A2832, ""en"", ""mt"")"),"Liema solventi importanti fihom ossiġnu?")</f>
        <v>Liema solventi importanti fihom ossiġnu?</v>
      </c>
    </row>
    <row r="2833" ht="15.75" customHeight="1">
      <c r="A2833" s="2" t="s">
        <v>2833</v>
      </c>
      <c r="B2833" s="2" t="str">
        <f>IFERROR(__xludf.DUMMYFUNCTION("GOOGLETRANSLATE(A2833, ""en"", ""mt"")"),"Il-patoġen kif joqtol il-fagoċita?")</f>
        <v>Il-patoġen kif joqtol il-fagoċita?</v>
      </c>
    </row>
    <row r="2834" ht="15.75" customHeight="1">
      <c r="A2834" s="2" t="s">
        <v>2834</v>
      </c>
      <c r="B2834" s="2" t="str">
        <f>IFERROR(__xludf.DUMMYFUNCTION("GOOGLETRANSLATE(A2834, ""en"", ""mt"")"),"fil-fatt")</f>
        <v>fil-fatt</v>
      </c>
    </row>
    <row r="2835" ht="15.75" customHeight="1">
      <c r="A2835" s="2" t="s">
        <v>2835</v>
      </c>
      <c r="B2835" s="2" t="str">
        <f>IFERROR(__xludf.DUMMYFUNCTION("GOOGLETRANSLATE(A2835, ""en"", ""mt"")"),"Kemm primes ġew inklużi fil-lista ta 'numri ewlenin tal-Griegi bikrija?")</f>
        <v>Kemm primes ġew inklużi fil-lista ta 'numri ewlenin tal-Griegi bikrija?</v>
      </c>
    </row>
    <row r="2836" ht="15.75" customHeight="1">
      <c r="A2836" s="2" t="s">
        <v>2836</v>
      </c>
      <c r="B2836" s="2" t="str">
        <f>IFERROR(__xludf.DUMMYFUNCTION("GOOGLETRANSLATE(A2836, ""en"", ""mt"")"),"Liema kompożitur minimalista huwa wkoll gradwat universitarju?")</f>
        <v>Liema kompożitur minimalista huwa wkoll gradwat universitarju?</v>
      </c>
    </row>
    <row r="2837" ht="15.75" customHeight="1">
      <c r="A2837" s="2" t="s">
        <v>2837</v>
      </c>
      <c r="B2837" s="2" t="str">
        <f>IFERROR(__xludf.DUMMYFUNCTION("GOOGLETRANSLATE(A2837, ""en"", ""mt"")"),"X'inhi l-oriġini tal-ispiżerija klinika?")</f>
        <v>X'inhi l-oriġini tal-ispiżerija klinika?</v>
      </c>
    </row>
    <row r="2838" ht="15.75" customHeight="1">
      <c r="A2838" s="2" t="s">
        <v>2838</v>
      </c>
      <c r="B2838" s="2" t="str">
        <f>IFERROR(__xludf.DUMMYFUNCTION("GOOGLETRANSLATE(A2838, ""en"", ""mt"")"),"A. A. Michelson")</f>
        <v>A. A. Michelson</v>
      </c>
    </row>
    <row r="2839" ht="15.75" customHeight="1">
      <c r="A2839" s="2" t="s">
        <v>2839</v>
      </c>
      <c r="B2839" s="2" t="str">
        <f>IFERROR(__xludf.DUMMYFUNCTION("GOOGLETRANSLATE(A2839, ""en"", ""mt"")"),"Liema ħut li jgħix fix-xmara Amazon huwa magħruf li jigdem il-bnedmin?")</f>
        <v>Liema ħut li jgħix fix-xmara Amazon huwa magħruf li jigdem il-bnedmin?</v>
      </c>
    </row>
    <row r="2840" ht="15.75" customHeight="1">
      <c r="A2840" s="2" t="s">
        <v>2840</v>
      </c>
      <c r="B2840" s="2" t="str">
        <f>IFERROR(__xludf.DUMMYFUNCTION("GOOGLETRANSLATE(A2840, ""en"", ""mt"")"),"Meta l-Ġappun irċieva 71% taż-żejt importat tiegħu mill-Lvant Nofsani f'Diċembru X'riżultat ikkawża fil-pubbliku?")</f>
        <v>Meta l-Ġappun irċieva 71% taż-żejt importat tiegħu mill-Lvant Nofsani f'Diċembru X'riżultat ikkawża fil-pubbliku?</v>
      </c>
    </row>
    <row r="2841" ht="15.75" customHeight="1">
      <c r="A2841" s="2" t="s">
        <v>2841</v>
      </c>
      <c r="B2841" s="2" t="str">
        <f>IFERROR(__xludf.DUMMYFUNCTION("GOOGLETRANSLATE(A2841, ""en"", ""mt"")"),"Il-Korporazzjoni RAND kienet ipprojbita milli tiżvela r-riċerka lil xi ħadd ieħor ħlief għall-Air Force?")</f>
        <v>Il-Korporazzjoni RAND kienet ipprojbita milli tiżvela r-riċerka lil xi ħadd ieħor ħlief għall-Air Force?</v>
      </c>
    </row>
    <row r="2842" ht="15.75" customHeight="1">
      <c r="A2842" s="2" t="s">
        <v>2842</v>
      </c>
      <c r="B2842" s="2" t="str">
        <f>IFERROR(__xludf.DUMMYFUNCTION("GOOGLETRANSLATE(A2842, ""en"", ""mt"")"),"Kemm korpi ta 'ilma jiffurmaw lill-Obersee?")</f>
        <v>Kemm korpi ta 'ilma jiffurmaw lill-Obersee?</v>
      </c>
    </row>
    <row r="2843" ht="15.75" customHeight="1">
      <c r="A2843" s="2" t="s">
        <v>2843</v>
      </c>
      <c r="B2843" s="2" t="str">
        <f>IFERROR(__xludf.DUMMYFUNCTION("GOOGLETRANSLATE(A2843, ""en"", ""mt"")"),"Pakkett jista 'jintbagħat qatt għan-numru ħażin?")</f>
        <v>Pakkett jista 'jintbagħat qatt għan-numru ħażin?</v>
      </c>
    </row>
    <row r="2844" ht="15.75" customHeight="1">
      <c r="A2844" s="2" t="s">
        <v>2844</v>
      </c>
      <c r="B2844" s="2" t="str">
        <f>IFERROR(__xludf.DUMMYFUNCTION("GOOGLETRANSLATE(A2844, ""en"", ""mt"")"),"Għaliex inħoloq NSFUs inizjalment?")</f>
        <v>Għaliex inħoloq NSFUs inizjalment?</v>
      </c>
    </row>
    <row r="2845" ht="15.75" customHeight="1">
      <c r="A2845" s="2" t="s">
        <v>2845</v>
      </c>
      <c r="B2845" s="2" t="str">
        <f>IFERROR(__xludf.DUMMYFUNCTION("GOOGLETRANSLATE(A2845, ""en"", ""mt"")"),"kurrikulu ewlieni ta ’seba’ klassijiet")</f>
        <v>kurrikulu ewlieni ta ’seba’ klassijiet</v>
      </c>
    </row>
    <row r="2846" ht="15.75" customHeight="1">
      <c r="A2846" s="2" t="s">
        <v>2846</v>
      </c>
      <c r="B2846" s="2" t="str">
        <f>IFERROR(__xludf.DUMMYFUNCTION("GOOGLETRANSLATE(A2846, ""en"", ""mt"")"),"Seljuk Turks")</f>
        <v>Seljuk Turks</v>
      </c>
    </row>
    <row r="2847" ht="15.75" customHeight="1">
      <c r="A2847" s="2" t="s">
        <v>2847</v>
      </c>
      <c r="B2847" s="2" t="str">
        <f>IFERROR(__xludf.DUMMYFUNCTION("GOOGLETRANSLATE(A2847, ""en"", ""mt"")"),"Fl-ekonomija, il-Premju Memorial Nobel notevoli fir-rebbieħa tax-Xjenzi Ekonomiċi Milton Friedman, konsulent ewlieni għall-President Repubblikan tal-Istati Uniti Ronald Reagan u l-Prim Ministru Brittaniku Konservattiv Margaret Thatcher, George Stigler, la"&amp;"ureat Nobel u proponent tat-teorija tal-qbid regolatorju, Gary Becker, kontributur importanti għal Il-Fergħa tal-Ekonomija tal-Familja tal-Ekonomija, Herbert A. Simon, responsabbli għall-interpretazzjoni moderna tal-kunċett ta 'teħid ta' deċiżjonijiet org"&amp;"anizzattivi, Paul Samuelson, l-ewwel Amerikan li rebaħ il-Premju Memorial Nobel fix-Xjenzi Ekonomiċi, u Eugene Fama, magħruf għax-xogħol tiegħu Dwar it-teorija tal-portafoll, l-ipprezzar tal-assi u l-imġieba tas-suq tal-ishma, huma kollha gradwati. Ekonom"&amp;"ista Amerikan, teoriku soċjali, filosfu politiku, u l-awtur Thomas Sowell huwa wkoll student.")</f>
        <v>Fl-ekonomija, il-Premju Memorial Nobel notevoli fir-rebbieħa tax-Xjenzi Ekonomiċi Milton Friedman, konsulent ewlieni għall-President Repubblikan tal-Istati Uniti Ronald Reagan u l-Prim Ministru Brittaniku Konservattiv Margaret Thatcher, George Stigler, laureat Nobel u proponent tat-teorija tal-qbid regolatorju, Gary Becker, kontributur importanti għal Il-Fergħa tal-Ekonomija tal-Familja tal-Ekonomija, Herbert A. Simon, responsabbli għall-interpretazzjoni moderna tal-kunċett ta 'teħid ta' deċiżjonijiet organizzattivi, Paul Samuelson, l-ewwel Amerikan li rebaħ il-Premju Memorial Nobel fix-Xjenzi Ekonomiċi, u Eugene Fama, magħruf għax-xogħol tiegħu Dwar it-teorija tal-portafoll, l-ipprezzar tal-assi u l-imġieba tas-suq tal-ishma, huma kollha gradwati. Ekonomista Amerikan, teoriku soċjali, filosfu politiku, u l-awtur Thomas Sowell huwa wkoll student.</v>
      </c>
    </row>
    <row r="2848" ht="15.75" customHeight="1">
      <c r="A2848" s="2" t="s">
        <v>2848</v>
      </c>
      <c r="B2848" s="2" t="str">
        <f>IFERROR(__xludf.DUMMYFUNCTION("GOOGLETRANSLATE(A2848, ""en"", ""mt"")"),"Reġjun ta 'Upper Rhine")</f>
        <v>Reġjun ta 'Upper Rhine</v>
      </c>
    </row>
    <row r="2849" ht="15.75" customHeight="1">
      <c r="A2849" s="2" t="s">
        <v>2849</v>
      </c>
      <c r="B2849" s="2" t="str">
        <f>IFERROR(__xludf.DUMMYFUNCTION("GOOGLETRANSLATE(A2849, ""en"", ""mt"")"),"Liema konġettura żżomm dik għal kwalunkwe numru sħiħ negattiv N, hemm ammont infinit ta 'pari ta' primes konsekuttivi li jvarjaw minn 2N?")</f>
        <v>Liema konġettura żżomm dik għal kwalunkwe numru sħiħ negattiv N, hemm ammont infinit ta 'pari ta' primes konsekuttivi li jvarjaw minn 2N?</v>
      </c>
    </row>
    <row r="2850" ht="15.75" customHeight="1">
      <c r="A2850" s="2" t="s">
        <v>2850</v>
      </c>
      <c r="B2850" s="2" t="str">
        <f>IFERROR(__xludf.DUMMYFUNCTION("GOOGLETRANSLATE(A2850, ""en"", ""mt"")"),"Tiżgura li s-sorsi tat-tqabbid jiġu mminimizzati")</f>
        <v>Tiżgura li s-sorsi tat-tqabbid jiġu mminimizzati</v>
      </c>
    </row>
    <row r="2851" ht="15.75" customHeight="1">
      <c r="A2851" s="2" t="s">
        <v>2851</v>
      </c>
      <c r="B2851" s="2" t="str">
        <f>IFERROR(__xludf.DUMMYFUNCTION("GOOGLETRANSLATE(A2851, ""en"", ""mt"")"),"F’liema sena individwu wieħed issuġġerixxa li tikklassifika s-siġar tal-Amażonja f’erba ’kategoriji?")</f>
        <v>F’liema sena individwu wieħed issuġġerixxa li tikklassifika s-siġar tal-Amażonja f’erba ’kategoriji?</v>
      </c>
    </row>
    <row r="2852" ht="15.75" customHeight="1">
      <c r="A2852" s="2" t="s">
        <v>2852</v>
      </c>
      <c r="B2852" s="2" t="str">
        <f>IFERROR(__xludf.DUMMYFUNCTION("GOOGLETRANSLATE(A2852, ""en"", ""mt"")"),"Meta Hitler ordna l-annihilazzjoni tal-ghetto ta 'Varsavja?")</f>
        <v>Meta Hitler ordna l-annihilazzjoni tal-ghetto ta 'Varsavja?</v>
      </c>
    </row>
    <row r="2853" ht="15.75" customHeight="1">
      <c r="A2853" s="2" t="s">
        <v>2853</v>
      </c>
      <c r="B2853" s="2" t="str">
        <f>IFERROR(__xludf.DUMMYFUNCTION("GOOGLETRANSLATE(A2853, ""en"", ""mt"")"),"F'liema teorija hija l-idea ta 'numru skambjat ma' dik ta 'l-aritmetika Noetherian?")</f>
        <v>F'liema teorija hija l-idea ta 'numru skambjat ma' dik ta 'l-aritmetika Noetherian?</v>
      </c>
    </row>
    <row r="2854" ht="15.75" customHeight="1">
      <c r="A2854" s="2" t="s">
        <v>2854</v>
      </c>
      <c r="B2854" s="2" t="str">
        <f>IFERROR(__xludf.DUMMYFUNCTION("GOOGLETRANSLATE(A2854, ""en"", ""mt"")"),"Ralph Woodward")</f>
        <v>Ralph Woodward</v>
      </c>
    </row>
    <row r="2855" ht="15.75" customHeight="1">
      <c r="A2855" s="2" t="s">
        <v>2855</v>
      </c>
      <c r="B2855" s="2" t="str">
        <f>IFERROR(__xludf.DUMMYFUNCTION("GOOGLETRANSLATE(A2855, ""en"", ""mt"")"),"għaxar darbiet")</f>
        <v>għaxar darbiet</v>
      </c>
    </row>
    <row r="2856" ht="15.75" customHeight="1">
      <c r="A2856" s="2" t="s">
        <v>2856</v>
      </c>
      <c r="B2856" s="2" t="str">
        <f>IFERROR(__xludf.DUMMYFUNCTION("GOOGLETRANSLATE(A2856, ""en"", ""mt"")"),"X'għamlu l-infrastruttura tal-kliniċi matul l-aħħar snin?")</f>
        <v>X'għamlu l-infrastruttura tal-kliniċi matul l-aħħar snin?</v>
      </c>
    </row>
    <row r="2857" ht="15.75" customHeight="1">
      <c r="A2857" s="2" t="s">
        <v>2857</v>
      </c>
      <c r="B2857" s="2" t="str">
        <f>IFERROR(__xludf.DUMMYFUNCTION("GOOGLETRANSLATE(A2857, ""en"", ""mt"")"),"l-għerq kwadru ta 'n")</f>
        <v>l-għerq kwadru ta 'n</v>
      </c>
    </row>
    <row r="2858" ht="15.75" customHeight="1">
      <c r="A2858" s="2" t="s">
        <v>2858</v>
      </c>
      <c r="B2858" s="2" t="str">
        <f>IFERROR(__xludf.DUMMYFUNCTION("GOOGLETRANSLATE(A2858, ""en"", ""mt"")"),"l-Għarab u ħafna mill-bqija tat-tielet dinja")</f>
        <v>l-Għarab u ħafna mill-bqija tat-tielet dinja</v>
      </c>
    </row>
    <row r="2859" ht="15.75" customHeight="1">
      <c r="A2859" s="2" t="s">
        <v>2859</v>
      </c>
      <c r="B2859" s="2" t="str">
        <f>IFERROR(__xludf.DUMMYFUNCTION("GOOGLETRANSLATE(A2859, ""en"", ""mt"")"),"Drittijiet Fundamentali (ara d-drittijiet tal-bniedem), proporzjonalità, ċertezza legali, ugwaljanza quddiem il-liġi u s-sussidjarjetà")</f>
        <v>Drittijiet Fundamentali (ara d-drittijiet tal-bniedem), proporzjonalità, ċertezza legali, ugwaljanza quddiem il-liġi u s-sussidjarjetà</v>
      </c>
    </row>
    <row r="2860" ht="15.75" customHeight="1">
      <c r="A2860" s="2" t="s">
        <v>2860</v>
      </c>
      <c r="B2860" s="2" t="str">
        <f>IFERROR(__xludf.DUMMYFUNCTION("GOOGLETRANSLATE(A2860, ""en"", ""mt"")"),"Fejn bil-massa huwa l-ossiġnu parti ewlenija?")</f>
        <v>Fejn bil-massa huwa l-ossiġnu parti ewlenija?</v>
      </c>
    </row>
    <row r="2861" ht="15.75" customHeight="1">
      <c r="A2861" s="2" t="s">
        <v>2861</v>
      </c>
      <c r="B2861" s="2" t="str">
        <f>IFERROR(__xludf.DUMMYFUNCTION("GOOGLETRANSLATE(A2861, ""en"", ""mt"")"),"magna gun")</f>
        <v>magna gun</v>
      </c>
    </row>
    <row r="2862" ht="15.75" customHeight="1">
      <c r="A2862" s="2" t="s">
        <v>2862</v>
      </c>
      <c r="B2862" s="2" t="str">
        <f>IFERROR(__xludf.DUMMYFUNCTION("GOOGLETRANSLATE(A2862, ""en"", ""mt"")"),"X'kienet tissostitwixxi mar-reliġjon Norveġiż?")</f>
        <v>X'kienet tissostitwixxi mar-reliġjon Norveġiż?</v>
      </c>
    </row>
    <row r="2863" ht="15.75" customHeight="1">
      <c r="A2863" s="2" t="s">
        <v>2863</v>
      </c>
      <c r="B2863" s="2" t="str">
        <f>IFERROR(__xludf.DUMMYFUNCTION("GOOGLETRANSLATE(A2863, ""en"", ""mt"")"),"id-dispożizzjoni tal-effetti personali tal-priġunieri")</f>
        <v>id-dispożizzjoni tal-effetti personali tal-priġunieri</v>
      </c>
    </row>
    <row r="2864" ht="15.75" customHeight="1">
      <c r="A2864" s="2" t="s">
        <v>2864</v>
      </c>
      <c r="B2864" s="2" t="str">
        <f>IFERROR(__xludf.DUMMYFUNCTION("GOOGLETRANSLATE(A2864, ""en"", ""mt"")"),"Fl-ewwel nofs tas-seklu 17, pesta sostniet madwar 1.7 miljun vittma fl-Italja, jew madwar 14% tal-popolazzjoni. Fl-1656, il-pesta qatel madwar nofs it-300,000 abitant ta 'Napli. Aktar minn 1.25 miljun mewt irriżultaw mill-inċidenza estrema tal-pesta fi Sp"&amp;"anja tas-seklu 17. Il-pesta tal-1649 probabbilment naqqset il-popolazzjoni ta ’Sivilja bin-nofs. Fl-1709–13, epidemija tal-pesta li segwiet il-Gwerra l-Kbira tat-Tramuntana (1700–21, l-Isvezja v. Russja u Alleati) qatlet madwar 100,000 fl-Iżvezja, u 300,0"&amp;"00 fil-Prussja. Il-pesta qatel żewġ terzi tal-abitanti ta 'Ħelsinki, u ddikjarat terz tal-popolazzjoni ta' Stokkolma. L-aħħar epidemija ewlenija tal-Ewropa seħħet fl-1720 f'Marsilja.")</f>
        <v>Fl-ewwel nofs tas-seklu 17, pesta sostniet madwar 1.7 miljun vittma fl-Italja, jew madwar 14% tal-popolazzjoni. Fl-1656, il-pesta qatel madwar nofs it-300,000 abitant ta 'Napli. Aktar minn 1.25 miljun mewt irriżultaw mill-inċidenza estrema tal-pesta fi Spanja tas-seklu 17. Il-pesta tal-1649 probabbilment naqqset il-popolazzjoni ta ’Sivilja bin-nofs. Fl-1709–13, epidemija tal-pesta li segwiet il-Gwerra l-Kbira tat-Tramuntana (1700–21, l-Isvezja v. Russja u Alleati) qatlet madwar 100,000 fl-Iżvezja, u 300,000 fil-Prussja. Il-pesta qatel żewġ terzi tal-abitanti ta 'Ħelsinki, u ddikjarat terz tal-popolazzjoni ta' Stokkolma. L-aħħar epidemija ewlenija tal-Ewropa seħħet fl-1720 f'Marsilja.</v>
      </c>
    </row>
    <row r="2865" ht="15.75" customHeight="1">
      <c r="A2865" s="2" t="s">
        <v>2865</v>
      </c>
      <c r="B2865" s="2" t="str">
        <f>IFERROR(__xludf.DUMMYFUNCTION("GOOGLETRANSLATE(A2865, ""en"", ""mt"")"),"maqlub")</f>
        <v>maqlub</v>
      </c>
    </row>
    <row r="2866" ht="15.75" customHeight="1">
      <c r="A2866" s="2" t="s">
        <v>2866</v>
      </c>
      <c r="B2866" s="2" t="str">
        <f>IFERROR(__xludf.DUMMYFUNCTION("GOOGLETRANSLATE(A2866, ""en"", ""mt"")"),"Għaxar snin wara l-kriżi taż-żejt tal-1973")</f>
        <v>Għaxar snin wara l-kriżi taż-żejt tal-1973</v>
      </c>
    </row>
    <row r="2867" ht="15.75" customHeight="1">
      <c r="A2867" s="2" t="s">
        <v>2867</v>
      </c>
      <c r="B2867" s="2" t="str">
        <f>IFERROR(__xludf.DUMMYFUNCTION("GOOGLETRANSLATE(A2867, ""en"", ""mt"")"),"Min hu avukat prominenti ta 'din it-teorija?")</f>
        <v>Min hu avukat prominenti ta 'din it-teorija?</v>
      </c>
    </row>
    <row r="2868" ht="15.75" customHeight="1">
      <c r="A2868" s="2" t="s">
        <v>2868</v>
      </c>
      <c r="B2868" s="2" t="str">
        <f>IFERROR(__xludf.DUMMYFUNCTION("GOOGLETRANSLATE(A2868, ""en"", ""mt"")"),"Satellita li kejjel l-ammont ta 'trab li tmur l-Amazon kien imsemmi xiex?")</f>
        <v>Satellita li kejjel l-ammont ta 'trab li tmur l-Amazon kien imsemmi xiex?</v>
      </c>
    </row>
    <row r="2869" ht="15.75" customHeight="1">
      <c r="A2869" s="2" t="s">
        <v>2869</v>
      </c>
      <c r="B2869" s="2" t="str">
        <f>IFERROR(__xludf.DUMMYFUNCTION("GOOGLETRANSLATE(A2869, ""en"", ""mt"")"),"X'inhi kundizzjoni waħda li element P ta 'R għandu jissodisfa sabiex ikun ikkunsidrat bħala element ewlieni?")</f>
        <v>X'inhi kundizzjoni waħda li element P ta 'R għandu jissodisfa sabiex ikun ikkunsidrat bħala element ewlieni?</v>
      </c>
    </row>
    <row r="2870" ht="15.75" customHeight="1">
      <c r="A2870" s="2" t="s">
        <v>2870</v>
      </c>
      <c r="B2870" s="2" t="str">
        <f>IFERROR(__xludf.DUMMYFUNCTION("GOOGLETRANSLATE(A2870, ""en"", ""mt"")"),"Dwar x'inhi bbażata l-Kostituzzjoni ta 'Victoria?")</f>
        <v>Dwar x'inhi bbażata l-Kostituzzjoni ta 'Victoria?</v>
      </c>
    </row>
    <row r="2871" ht="15.75" customHeight="1">
      <c r="A2871" s="2" t="s">
        <v>2871</v>
      </c>
      <c r="B2871" s="2" t="str">
        <f>IFERROR(__xludf.DUMMYFUNCTION("GOOGLETRANSLATE(A2871, ""en"", ""mt"")"),"Kemm jista 'jiekol rotifer f'ġurnata waħda?")</f>
        <v>Kemm jista 'jiekol rotifer f'ġurnata waħda?</v>
      </c>
    </row>
    <row r="2872" ht="15.75" customHeight="1">
      <c r="A2872" s="2" t="s">
        <v>2872</v>
      </c>
      <c r="B2872" s="2" t="str">
        <f>IFERROR(__xludf.DUMMYFUNCTION("GOOGLETRANSLATE(A2872, ""en"", ""mt"")"),"Taħt liema qasam seħħet l-ewwel reazzjoni nukleari prodotta sintetikament fid-dinja?")</f>
        <v>Taħt liema qasam seħħet l-ewwel reazzjoni nukleari prodotta sintetikament fid-dinja?</v>
      </c>
    </row>
    <row r="2873" ht="15.75" customHeight="1">
      <c r="A2873" s="2" t="s">
        <v>2873</v>
      </c>
      <c r="B2873" s="2" t="str">
        <f>IFERROR(__xludf.DUMMYFUNCTION("GOOGLETRANSLATE(A2873, ""en"", ""mt"")"),"Il-forza tat-tensjoni fuq tagħbija tista 'tiġi mmultiplikata")</f>
        <v>Il-forza tat-tensjoni fuq tagħbija tista 'tiġi mmultiplikata</v>
      </c>
    </row>
    <row r="2874" ht="15.75" customHeight="1">
      <c r="A2874" s="2" t="s">
        <v>2874</v>
      </c>
      <c r="B2874" s="2" t="str">
        <f>IFERROR(__xludf.DUMMYFUNCTION("GOOGLETRANSLATE(A2874, ""en"", ""mt"")"),"Brest")</f>
        <v>Brest</v>
      </c>
    </row>
    <row r="2875" ht="15.75" customHeight="1">
      <c r="A2875" s="2" t="s">
        <v>2875</v>
      </c>
      <c r="B2875" s="2" t="str">
        <f>IFERROR(__xludf.DUMMYFUNCTION("GOOGLETRANSLATE(A2875, ""en"", ""mt"")"),"X'tip ta 'foresta hija l-foresta tropikali tal-Amażonja?")</f>
        <v>X'tip ta 'foresta hija l-foresta tropikali tal-Amażonja?</v>
      </c>
    </row>
    <row r="2876" ht="15.75" customHeight="1">
      <c r="A2876" s="2" t="s">
        <v>2876</v>
      </c>
      <c r="B2876" s="2" t="str">
        <f>IFERROR(__xludf.DUMMYFUNCTION("GOOGLETRANSLATE(A2876, ""en"", ""mt"")"),"Meta nediet il-BSKYB huwa s-servizz HDTV?")</f>
        <v>Meta nediet il-BSKYB huwa s-servizz HDTV?</v>
      </c>
    </row>
    <row r="2877" ht="15.75" customHeight="1">
      <c r="A2877" s="2" t="s">
        <v>2877</v>
      </c>
      <c r="B2877" s="2" t="str">
        <f>IFERROR(__xludf.DUMMYFUNCTION("GOOGLETRANSLATE(A2877, ""en"", ""mt"")"),"Kożmoloġija Aristoteljana")</f>
        <v>Kożmoloġija Aristoteljana</v>
      </c>
    </row>
    <row r="2878" ht="15.75" customHeight="1">
      <c r="A2878" s="2" t="s">
        <v>2878</v>
      </c>
      <c r="B2878" s="2" t="str">
        <f>IFERROR(__xludf.DUMMYFUNCTION("GOOGLETRANSLATE(A2878, ""en"", ""mt"")"),"Marzu 2008")</f>
        <v>Marzu 2008</v>
      </c>
    </row>
    <row r="2879" ht="15.75" customHeight="1">
      <c r="A2879" s="2" t="s">
        <v>2879</v>
      </c>
      <c r="B2879" s="2" t="str">
        <f>IFERROR(__xludf.DUMMYFUNCTION("GOOGLETRANSLATE(A2879, ""en"", ""mt"")"),"Kumitat tal-Konċiljazzjoni")</f>
        <v>Kumitat tal-Konċiljazzjoni</v>
      </c>
    </row>
    <row r="2880" ht="15.75" customHeight="1">
      <c r="A2880" s="2" t="s">
        <v>2880</v>
      </c>
      <c r="B2880" s="2" t="str">
        <f>IFERROR(__xludf.DUMMYFUNCTION("GOOGLETRANSLATE(A2880, ""en"", ""mt"")"),"Dak li ma ġiex introdott fil-liġi tal-UE fl-2007?")</f>
        <v>Dak li ma ġiex introdott fil-liġi tal-UE fl-2007?</v>
      </c>
    </row>
    <row r="2881" ht="15.75" customHeight="1">
      <c r="A2881" s="2" t="s">
        <v>2881</v>
      </c>
      <c r="B2881" s="2" t="str">
        <f>IFERROR(__xludf.DUMMYFUNCTION("GOOGLETRANSLATE(A2881, ""en"", ""mt"")"),"Min kien l-inventur tal-vakwu?")</f>
        <v>Min kien l-inventur tal-vakwu?</v>
      </c>
    </row>
    <row r="2882" ht="15.75" customHeight="1">
      <c r="A2882" s="2" t="s">
        <v>2882</v>
      </c>
      <c r="B2882" s="2" t="str">
        <f>IFERROR(__xludf.DUMMYFUNCTION("GOOGLETRANSLATE(A2882, ""en"", ""mt"")"),"X'inhi l-pressjoni politika biex timbotta biex testendi biex tikkumpensa għall-poter ta 'xiri staġnat?")</f>
        <v>X'inhi l-pressjoni politika biex timbotta biex testendi biex tikkumpensa għall-poter ta 'xiri staġnat?</v>
      </c>
    </row>
    <row r="2883" ht="15.75" customHeight="1">
      <c r="A2883" s="2" t="s">
        <v>2883</v>
      </c>
      <c r="B2883" s="2" t="str">
        <f>IFERROR(__xludf.DUMMYFUNCTION("GOOGLETRANSLATE(A2883, ""en"", ""mt"")"),"kant")</f>
        <v>kant</v>
      </c>
    </row>
    <row r="2884" ht="15.75" customHeight="1">
      <c r="A2884" s="2" t="s">
        <v>2884</v>
      </c>
      <c r="B2884" s="2" t="str">
        <f>IFERROR(__xludf.DUMMYFUNCTION("GOOGLETRANSLATE(A2884, ""en"", ""mt"")"),"Mit-Trattat ta 'Ruma 1957")</f>
        <v>Mit-Trattat ta 'Ruma 1957</v>
      </c>
    </row>
    <row r="2885" ht="15.75" customHeight="1">
      <c r="A2885" s="2" t="s">
        <v>2885</v>
      </c>
      <c r="B2885" s="2" t="str">
        <f>IFERROR(__xludf.DUMMYFUNCTION("GOOGLETRANSLATE(A2885, ""en"", ""mt"")"),"Għaliex wieħed jista 'jinvoka ħati ta' reat li jinvolvi diżubbidjenza ċivili?")</f>
        <v>Għaliex wieħed jista 'jinvoka ħati ta' reat li jinvolvi diżubbidjenza ċivili?</v>
      </c>
    </row>
    <row r="2886" ht="15.75" customHeight="1">
      <c r="A2886" s="2" t="s">
        <v>2886</v>
      </c>
      <c r="B2886" s="2" t="str">
        <f>IFERROR(__xludf.DUMMYFUNCTION("GOOGLETRANSLATE(A2886, ""en"", ""mt"")"),"2014")</f>
        <v>2014</v>
      </c>
    </row>
    <row r="2887" ht="15.75" customHeight="1">
      <c r="A2887" s="2" t="s">
        <v>2887</v>
      </c>
      <c r="B2887" s="2" t="str">
        <f>IFERROR(__xludf.DUMMYFUNCTION("GOOGLETRANSLATE(A2887, ""en"", ""mt"")"),"X'inhuma ċ-ċelloli T qattiel mhux attivati ​​minn?")</f>
        <v>X'inhuma ċ-ċelloli T qattiel mhux attivati ​​minn?</v>
      </c>
    </row>
    <row r="2888" ht="15.75" customHeight="1">
      <c r="A2888" s="2" t="s">
        <v>2888</v>
      </c>
      <c r="B2888" s="2" t="str">
        <f>IFERROR(__xludf.DUMMYFUNCTION("GOOGLETRANSLATE(A2888, ""en"", ""mt"")"),"12-il miljun")</f>
        <v>12-il miljun</v>
      </c>
    </row>
    <row r="2889" ht="15.75" customHeight="1">
      <c r="A2889" s="2" t="s">
        <v>2889</v>
      </c>
      <c r="B2889" s="2" t="str">
        <f>IFERROR(__xludf.DUMMYFUNCTION("GOOGLETRANSLATE(A2889, ""en"", ""mt"")"),"Tech Coast")</f>
        <v>Tech Coast</v>
      </c>
    </row>
    <row r="2890" ht="15.75" customHeight="1">
      <c r="A2890" s="2" t="s">
        <v>2890</v>
      </c>
      <c r="B2890" s="2" t="str">
        <f>IFERROR(__xludf.DUMMYFUNCTION("GOOGLETRANSLATE(A2890, ""en"", ""mt"")"),"Lil min biegħ lil Northen Telecom kloni transpac?")</f>
        <v>Lil min biegħ lil Northen Telecom kloni transpac?</v>
      </c>
    </row>
    <row r="2891" ht="15.75" customHeight="1">
      <c r="A2891" s="2" t="s">
        <v>2891</v>
      </c>
      <c r="B2891" s="2" t="str">
        <f>IFERROR(__xludf.DUMMYFUNCTION("GOOGLETRANSLATE(A2891, ""en"", ""mt"")"),"Meta ġiet proposta l-ipoteżi tal-funzjoni?")</f>
        <v>Meta ġiet proposta l-ipoteżi tal-funzjoni?</v>
      </c>
    </row>
    <row r="2892" ht="15.75" customHeight="1">
      <c r="A2892" s="2" t="s">
        <v>2892</v>
      </c>
      <c r="B2892" s="2" t="str">
        <f>IFERROR(__xludf.DUMMYFUNCTION("GOOGLETRANSLATE(A2892, ""en"", ""mt"")"),"Kemm inkarigat l-iskola Groton għal kull student għat-tagħlim fl-2012?")</f>
        <v>Kemm inkarigat l-iskola Groton għal kull student għat-tagħlim fl-2012?</v>
      </c>
    </row>
    <row r="2893" ht="15.75" customHeight="1">
      <c r="A2893" s="2" t="s">
        <v>2893</v>
      </c>
      <c r="B2893" s="2" t="str">
        <f>IFERROR(__xludf.DUMMYFUNCTION("GOOGLETRANSLATE(A2893, ""en"", ""mt"")"),"is-seklu 12")</f>
        <v>is-seklu 12</v>
      </c>
    </row>
    <row r="2894" ht="15.75" customHeight="1">
      <c r="A2894" s="2" t="s">
        <v>2894</v>
      </c>
      <c r="B2894" s="2" t="str">
        <f>IFERROR(__xludf.DUMMYFUNCTION("GOOGLETRANSLATE(A2894, ""en"", ""mt"")"),"F'liema sena twieldet Pedro Menendez de Aviles?")</f>
        <v>F'liema sena twieldet Pedro Menendez de Aviles?</v>
      </c>
    </row>
    <row r="2895" ht="15.75" customHeight="1">
      <c r="A2895" s="2" t="s">
        <v>2895</v>
      </c>
      <c r="B2895" s="2" t="str">
        <f>IFERROR(__xludf.DUMMYFUNCTION("GOOGLETRANSLATE(A2895, ""en"", ""mt"")"),"Għal phylum bi speċi relattivament ftit, ctenophores għandhom firxa wiesgħa ta 'pjanijiet tal-ġisem. L-ispeċi kostali jeħtieġ li jkunu iebsa biżżejjed biex jifilħu l-mewġ u jdawru partiċelli tas-sediment, filwaqt li xi speċi oċeaniċi huma daqshekk fraġli "&amp;"li huwa diffiċli ħafna li jaqbduhom intatti għall-istudju. Barra minn hekk l-ispeċi oċeaniċi ma jippreservawx sew, u huma magħrufa prinċipalment minn ritratti u minn noti ta 'osservaturi. Għalhekk il-biċċa l-kbira tal-attenzjoni sa ftit ilu kkonċentrat fu"&amp;"q tliet ġeneri kostali - Pleurobrachia, Beroe u Mnemiopsis. Mill-inqas żewġ kotba jibbażaw id-deskrizzjonijiet tagħhom ta 'ctenophores fuq il-pleurobrachia cydippid.")</f>
        <v>Għal phylum bi speċi relattivament ftit, ctenophores għandhom firxa wiesgħa ta 'pjanijiet tal-ġisem. L-ispeċi kostali jeħtieġ li jkunu iebsa biżżejjed biex jifilħu l-mewġ u jdawru partiċelli tas-sediment, filwaqt li xi speċi oċeaniċi huma daqshekk fraġli li huwa diffiċli ħafna li jaqbduhom intatti għall-istudju. Barra minn hekk l-ispeċi oċeaniċi ma jippreservawx sew, u huma magħrufa prinċipalment minn ritratti u minn noti ta 'osservaturi. Għalhekk il-biċċa l-kbira tal-attenzjoni sa ftit ilu kkonċentrat fuq tliet ġeneri kostali - Pleurobrachia, Beroe u Mnemiopsis. Mill-inqas żewġ kotba jibbażaw id-deskrizzjonijiet tagħhom ta 'ctenophores fuq il-pleurobrachia cydippid.</v>
      </c>
    </row>
    <row r="2896" ht="15.75" customHeight="1">
      <c r="A2896" s="2" t="s">
        <v>2896</v>
      </c>
      <c r="B2896" s="2" t="str">
        <f>IFERROR(__xludf.DUMMYFUNCTION("GOOGLETRANSLATE(A2896, ""en"", ""mt"")"),"Sophocles wera diżubbidjenza ċivili fi dramm li kien jissejjaħ?")</f>
        <v>Sophocles wera diżubbidjenza ċivili fi dramm li kien jissejjaħ?</v>
      </c>
    </row>
    <row r="2897" ht="15.75" customHeight="1">
      <c r="A2897" s="2" t="s">
        <v>2897</v>
      </c>
      <c r="B2897" s="2" t="str">
        <f>IFERROR(__xludf.DUMMYFUNCTION("GOOGLETRANSLATE(A2897, ""en"", ""mt"")"),"Meta l-inugwaljanza ekonomika tkun ikbar, aktar skart u tniġġis?")</f>
        <v>Meta l-inugwaljanza ekonomika tkun ikbar, aktar skart u tniġġis?</v>
      </c>
    </row>
    <row r="2898" ht="15.75" customHeight="1">
      <c r="A2898" s="2" t="s">
        <v>2898</v>
      </c>
      <c r="B2898" s="2" t="str">
        <f>IFERROR(__xludf.DUMMYFUNCTION("GOOGLETRANSLATE(A2898, ""en"", ""mt"")"),"Min m'għandux is-setgħa li jibda leġislazzjoni fl-Unjoni Ewropea?")</f>
        <v>Min m'għandux is-setgħa li jibda leġislazzjoni fl-Unjoni Ewropea?</v>
      </c>
    </row>
    <row r="2899" ht="15.75" customHeight="1">
      <c r="A2899" s="2" t="s">
        <v>2899</v>
      </c>
      <c r="B2899" s="2" t="str">
        <f>IFERROR(__xludf.DUMMYFUNCTION("GOOGLETRANSLATE(A2899, ""en"", ""mt"")"),"J. F. D. Shrewsbury")</f>
        <v>J. F. D. Shrewsbury</v>
      </c>
    </row>
    <row r="2900" ht="15.75" customHeight="1">
      <c r="A2900" s="2" t="s">
        <v>2900</v>
      </c>
      <c r="B2900" s="2" t="str">
        <f>IFERROR(__xludf.DUMMYFUNCTION("GOOGLETRANSLATE(A2900, ""en"", ""mt"")"),"biex jikkawżaw ir-revoka tagħhom")</f>
        <v>biex jikkawżaw ir-revoka tagħhom</v>
      </c>
    </row>
    <row r="2901" ht="15.75" customHeight="1">
      <c r="A2901" s="2" t="s">
        <v>2901</v>
      </c>
      <c r="B2901" s="2" t="str">
        <f>IFERROR(__xludf.DUMMYFUNCTION("GOOGLETRANSLATE(A2901, ""en"", ""mt"")"),"X'inhi d-distinzjoni ewlenija bejn l-analiżi tal-algoritmi u t-teorija tal-kumplessità tal-komputazzjoni?")</f>
        <v>X'inhi d-distinzjoni ewlenija bejn l-analiżi tal-algoritmi u t-teorija tal-kumplessità tal-komputazzjoni?</v>
      </c>
    </row>
    <row r="2902" ht="15.75" customHeight="1">
      <c r="A2902" s="2" t="s">
        <v>2902</v>
      </c>
      <c r="B2902" s="2" t="str">
        <f>IFERROR(__xludf.DUMMYFUNCTION("GOOGLETRANSLATE(A2902, ""en"", ""mt"")"),"T (n)")</f>
        <v>T (n)</v>
      </c>
    </row>
    <row r="2903" ht="15.75" customHeight="1">
      <c r="A2903" s="2" t="s">
        <v>2903</v>
      </c>
      <c r="B2903" s="2" t="str">
        <f>IFERROR(__xludf.DUMMYFUNCTION("GOOGLETRANSLATE(A2903, ""en"", ""mt"")"),"X'tip ta 'mediċina tista' tikkawża awtoimmunità?")</f>
        <v>X'tip ta 'mediċina tista' tikkawża awtoimmunità?</v>
      </c>
    </row>
    <row r="2904" ht="15.75" customHeight="1">
      <c r="A2904" s="2" t="s">
        <v>2904</v>
      </c>
      <c r="B2904" s="2" t="str">
        <f>IFERROR(__xludf.DUMMYFUNCTION("GOOGLETRANSLATE(A2904, ""en"", ""mt"")"),"43 miljun tunnellata")</f>
        <v>43 miljun tunnellata</v>
      </c>
    </row>
    <row r="2905" ht="15.75" customHeight="1">
      <c r="A2905" s="2" t="s">
        <v>2905</v>
      </c>
      <c r="B2905" s="2" t="str">
        <f>IFERROR(__xludf.DUMMYFUNCTION("GOOGLETRANSLATE(A2905, ""en"", ""mt"")"),"Outlaws")</f>
        <v>Outlaws</v>
      </c>
    </row>
    <row r="2906" ht="15.75" customHeight="1">
      <c r="A2906" s="2" t="s">
        <v>2906</v>
      </c>
      <c r="B2906" s="2" t="str">
        <f>IFERROR(__xludf.DUMMYFUNCTION("GOOGLETRANSLATE(A2906, ""en"", ""mt"")"),"Minn Dinwiddie jitlob irtirar immedjat Franċiż mill-pajjiż ta 'Ohio")</f>
        <v>Minn Dinwiddie jitlob irtirar immedjat Franċiż mill-pajjiż ta 'Ohio</v>
      </c>
    </row>
    <row r="2907" ht="15.75" customHeight="1">
      <c r="A2907" s="2" t="s">
        <v>2907</v>
      </c>
      <c r="B2907" s="2" t="str">
        <f>IFERROR(__xludf.DUMMYFUNCTION("GOOGLETRANSLATE(A2907, ""en"", ""mt"")"),"Tnaqqis fin-nazzjonaliżmu Skoċċiż matul is-snin 1960?")</f>
        <v>Tnaqqis fin-nazzjonaliżmu Skoċċiż matul is-snin 1960?</v>
      </c>
    </row>
    <row r="2908" ht="15.75" customHeight="1">
      <c r="A2908" s="2" t="s">
        <v>2908</v>
      </c>
      <c r="B2908" s="2" t="str">
        <f>IFERROR(__xludf.DUMMYFUNCTION("GOOGLETRANSLATE(A2908, ""en"", ""mt"")"),"2.5 biljun sena ilu")</f>
        <v>2.5 biljun sena ilu</v>
      </c>
    </row>
    <row r="2909" ht="15.75" customHeight="1">
      <c r="A2909" s="2" t="s">
        <v>2909</v>
      </c>
      <c r="B2909" s="2" t="str">
        <f>IFERROR(__xludf.DUMMYFUNCTION("GOOGLETRANSLATE(A2909, ""en"", ""mt"")"),"Liema spiżjara qatt ma jfittxu edukazzjoni addizzjonali wara skola tal-ispiżerija?")</f>
        <v>Liema spiżjara qatt ma jfittxu edukazzjoni addizzjonali wara skola tal-ispiżerija?</v>
      </c>
    </row>
    <row r="2910" ht="15.75" customHeight="1">
      <c r="A2910" s="2" t="s">
        <v>2910</v>
      </c>
      <c r="B2910" s="2" t="str">
        <f>IFERROR(__xludf.DUMMYFUNCTION("GOOGLETRANSLATE(A2910, ""en"", ""mt"")"),"Kemm hemm fraternitajiet li jiffurmaw il-Kunsill tal-Interfraternità tal-Università ta 'Chicago?")</f>
        <v>Kemm hemm fraternitajiet li jiffurmaw il-Kunsill tal-Interfraternità tal-Università ta 'Chicago?</v>
      </c>
    </row>
    <row r="2911" ht="15.75" customHeight="1">
      <c r="A2911" s="2" t="s">
        <v>2911</v>
      </c>
      <c r="B2911" s="2" t="str">
        <f>IFERROR(__xludf.DUMMYFUNCTION("GOOGLETRANSLATE(A2911, ""en"", ""mt"")"),"Minbarra n-Nova Scotia x'kienet kolonja Ingliża oħra fl-Amerika ta 'Fuq?")</f>
        <v>Minbarra n-Nova Scotia x'kienet kolonja Ingliża oħra fl-Amerika ta 'Fuq?</v>
      </c>
    </row>
    <row r="2912" ht="15.75" customHeight="1">
      <c r="A2912" s="2" t="s">
        <v>2912</v>
      </c>
      <c r="B2912" s="2" t="str">
        <f>IFERROR(__xludf.DUMMYFUNCTION("GOOGLETRANSLATE(A2912, ""en"", ""mt"")"),"X'jagħmel it-TEU?")</f>
        <v>X'jagħmel it-TEU?</v>
      </c>
    </row>
    <row r="2913" ht="15.75" customHeight="1">
      <c r="A2913" s="2" t="s">
        <v>2913</v>
      </c>
      <c r="B2913" s="2" t="str">
        <f>IFERROR(__xludf.DUMMYFUNCTION("GOOGLETRANSLATE(A2913, ""en"", ""mt"")"),"Xi jindikaw ukoll dikjarazzjonijiet mill-PO u l-membru inkarigati mill-abbozz?")</f>
        <v>Xi jindikaw ukoll dikjarazzjonijiet mill-PO u l-membru inkarigati mill-abbozz?</v>
      </c>
    </row>
    <row r="2914" ht="15.75" customHeight="1">
      <c r="A2914" s="2" t="s">
        <v>2914</v>
      </c>
      <c r="B2914" s="2" t="str">
        <f>IFERROR(__xludf.DUMMYFUNCTION("GOOGLETRANSLATE(A2914, ""en"", ""mt"")"),"Liema karozzi tal-pajjiż saru aktar imfittxija peress li kienu aktar effiċjenti fil-fjuwil?")</f>
        <v>Liema karozzi tal-pajjiż saru aktar imfittxija peress li kienu aktar effiċjenti fil-fjuwil?</v>
      </c>
    </row>
    <row r="2915" ht="15.75" customHeight="1">
      <c r="A2915" s="2" t="s">
        <v>2915</v>
      </c>
      <c r="B2915" s="2" t="str">
        <f>IFERROR(__xludf.DUMMYFUNCTION("GOOGLETRANSLATE(A2915, ""en"", ""mt"")"),"Min kienet miżżewġa lil Janet Gray?")</f>
        <v>Min kienet miżżewġa lil Janet Gray?</v>
      </c>
    </row>
    <row r="2916" ht="15.75" customHeight="1">
      <c r="A2916" s="2" t="s">
        <v>2916</v>
      </c>
      <c r="B2916" s="2" t="str">
        <f>IFERROR(__xludf.DUMMYFUNCTION("GOOGLETRANSLATE(A2916, ""en"", ""mt"")"),"X'inhi l-bażi termodinamika tal-egżost?")</f>
        <v>X'inhi l-bażi termodinamika tal-egżost?</v>
      </c>
    </row>
    <row r="2917" ht="15.75" customHeight="1">
      <c r="A2917" s="2" t="s">
        <v>2917</v>
      </c>
      <c r="B2917" s="2" t="str">
        <f>IFERROR(__xludf.DUMMYFUNCTION("GOOGLETRANSLATE(A2917, ""en"", ""mt"")"),"Wellington")</f>
        <v>Wellington</v>
      </c>
    </row>
    <row r="2918" ht="15.75" customHeight="1">
      <c r="A2918" s="2" t="s">
        <v>2918</v>
      </c>
      <c r="B2918" s="2" t="str">
        <f>IFERROR(__xludf.DUMMYFUNCTION("GOOGLETRANSLATE(A2918, ""en"", ""mt"")"),"X'inhuma x-xandiriet standard tad-definizzjoni ta 'BSKYB?")</f>
        <v>X'inhuma x-xandiriet standard tad-definizzjoni ta 'BSKYB?</v>
      </c>
    </row>
    <row r="2919" ht="15.75" customHeight="1">
      <c r="A2919" s="2" t="s">
        <v>2919</v>
      </c>
      <c r="B2919" s="2" t="str">
        <f>IFERROR(__xludf.DUMMYFUNCTION("GOOGLETRANSLATE(A2919, ""en"", ""mt"")")," Meta ġiet stabbilita l-Kumpanija Brittanika tal-Indja tal-Lvant?")</f>
        <v> Meta ġiet stabbilita l-Kumpanija Brittanika tal-Indja tal-Lvant?</v>
      </c>
    </row>
    <row r="2920" ht="15.75" customHeight="1">
      <c r="A2920" s="2" t="s">
        <v>2920</v>
      </c>
      <c r="B2920" s="2" t="str">
        <f>IFERROR(__xludf.DUMMYFUNCTION("GOOGLETRANSLATE(A2920, ""en"", ""mt"")"),"X'kienet elenkata l-belt il-qadima ta 'Varsavja bħal fl-1980?")</f>
        <v>X'kienet elenkata l-belt il-qadima ta 'Varsavja bħal fl-1980?</v>
      </c>
    </row>
    <row r="2921" ht="15.75" customHeight="1">
      <c r="A2921" s="2" t="s">
        <v>2921</v>
      </c>
      <c r="B2921" s="2" t="str">
        <f>IFERROR(__xludf.DUMMYFUNCTION("GOOGLETRANSLATE(A2921, ""en"", ""mt"")"),"rotazzjoni")</f>
        <v>rotazzjoni</v>
      </c>
    </row>
    <row r="2922" ht="15.75" customHeight="1">
      <c r="A2922" s="2" t="s">
        <v>2922</v>
      </c>
      <c r="B2922" s="2" t="str">
        <f>IFERROR(__xludf.DUMMYFUNCTION("GOOGLETRANSLATE(A2922, ""en"", ""mt"")"),"it-tmiem dojoq")</f>
        <v>it-tmiem dojoq</v>
      </c>
    </row>
    <row r="2923" ht="15.75" customHeight="1">
      <c r="A2923" s="2" t="s">
        <v>2923</v>
      </c>
      <c r="B2923" s="2" t="str">
        <f>IFERROR(__xludf.DUMMYFUNCTION("GOOGLETRANSLATE(A2923, ""en"", ""mt"")"),"suspettat li huwa inugwali")</f>
        <v>suspettat li huwa inugwali</v>
      </c>
    </row>
    <row r="2924" ht="15.75" customHeight="1">
      <c r="A2924" s="2" t="s">
        <v>2924</v>
      </c>
      <c r="B2924" s="2" t="str">
        <f>IFERROR(__xludf.DUMMYFUNCTION("GOOGLETRANSLATE(A2924, ""en"", ""mt"")"),"Liema għarfien ta 'Galileo kien assoċjat ma' veloċità kostanti?")</f>
        <v>Liema għarfien ta 'Galileo kien assoċjat ma' veloċità kostanti?</v>
      </c>
    </row>
    <row r="2925" ht="15.75" customHeight="1">
      <c r="A2925" s="2" t="s">
        <v>2925</v>
      </c>
      <c r="B2925" s="2" t="str">
        <f>IFERROR(__xludf.DUMMYFUNCTION("GOOGLETRANSLATE(A2925, ""en"", ""mt"")"),"86 km")</f>
        <v>86 km</v>
      </c>
    </row>
    <row r="2926" ht="15.75" customHeight="1">
      <c r="A2926" s="2" t="s">
        <v>2926</v>
      </c>
      <c r="B2926" s="2" t="str">
        <f>IFERROR(__xludf.DUMMYFUNCTION("GOOGLETRANSLATE(A2926, ""en"", ""mt"")"),"Li ssaltan fuq l-Imperu Ottoman meta kien l-iktar qawwi tiegħu.")</f>
        <v>Li ssaltan fuq l-Imperu Ottoman meta kien l-iktar qawwi tiegħu.</v>
      </c>
    </row>
    <row r="2927" ht="15.75" customHeight="1">
      <c r="A2927" s="2" t="s">
        <v>2927</v>
      </c>
      <c r="B2927" s="2" t="str">
        <f>IFERROR(__xludf.DUMMYFUNCTION("GOOGLETRANSLATE(A2927, ""en"", ""mt"")"),"Il-kolonizzaturi Ingliżi qabżu l-20 sa 1 Franċiżi b'popolazzjoni ta 'madwar 1.5 miljun varjaw tul il-kosta tal-Lvant tal-kontinent, minn Nova Scotia u Newfoundland fit-tramuntana, lejn il-Ġeorġja fin-nofsinhar. Ħafna mill-kolonji anzjani kellhom talbiet f"&amp;"uq l-art li estendew b'mod arbitrarju 'l bogħod lejn il-punent, peress li l-firxa tal-kontinent ma kinitx magħrufa fiż-żmien li ngħataw il-karti provinċjali tagħhom. Filwaqt li ċ-ċentri tal-popolazzjoni tagħhom kienu tul il-kosta, l-insedjamenti kienu qed"&amp;" jikbru fl-intern. In-Nova Scotia, li kienet inqabdet minn Franza fl-1713, xorta kellha popolazzjoni sinifikanti li titkellem bil-Franċiż. Il-Gran Brittanja ddikjarat ukoll l-art ta ’Rupert, fejn il-Kumpanija tal-Bajja ta’ Hudson innegozjat għall-pil ma ’"&amp;"tribujiet lokali.")</f>
        <v>Il-kolonizzaturi Ingliżi qabżu l-20 sa 1 Franċiżi b'popolazzjoni ta 'madwar 1.5 miljun varjaw tul il-kosta tal-Lvant tal-kontinent, minn Nova Scotia u Newfoundland fit-tramuntana, lejn il-Ġeorġja fin-nofsinhar. Ħafna mill-kolonji anzjani kellhom talbiet fuq l-art li estendew b'mod arbitrarju 'l bogħod lejn il-punent, peress li l-firxa tal-kontinent ma kinitx magħrufa fiż-żmien li ngħataw il-karti provinċjali tagħhom. Filwaqt li ċ-ċentri tal-popolazzjoni tagħhom kienu tul il-kosta, l-insedjamenti kienu qed jikbru fl-intern. In-Nova Scotia, li kienet inqabdet minn Franza fl-1713, xorta kellha popolazzjoni sinifikanti li titkellem bil-Franċiż. Il-Gran Brittanja ddikjarat ukoll l-art ta ’Rupert, fejn il-Kumpanija tal-Bajja ta’ Hudson innegozjat għall-pil ma ’tribujiet lokali.</v>
      </c>
    </row>
    <row r="2928" ht="15.75" customHeight="1">
      <c r="A2928" s="2" t="s">
        <v>2928</v>
      </c>
      <c r="B2928" s="2" t="str">
        <f>IFERROR(__xludf.DUMMYFUNCTION("GOOGLETRANSLATE(A2928, ""en"", ""mt"")"),"X'tip ta 'ċaħda tirriżulta f'reazzjoni immuni mnaqqsa u produzzjoni ta' antikorpi aktar baxxi?")</f>
        <v>X'tip ta 'ċaħda tirriżulta f'reazzjoni immuni mnaqqsa u produzzjoni ta' antikorpi aktar baxxi?</v>
      </c>
    </row>
    <row r="2929" ht="15.75" customHeight="1">
      <c r="A2929" s="2" t="s">
        <v>2929</v>
      </c>
      <c r="B2929" s="2" t="str">
        <f>IFERROR(__xludf.DUMMYFUNCTION("GOOGLETRANSLATE(A2929, ""en"", ""mt"")"),"Jekk id-daqs tal-input huwa n, il-ħin meħud jista 'jiġi espress bħala funzjoni ta' n. Peress li l-ħin meħud fuq inputs differenti tal-istess daqs jista 'jkun differenti, l-agħar kumplessità tal-ħin t (n) hija definita bħala l-ħin massimu meħud fuq l-input"&amp;"s kollha tad-daqs N. Jekk T (n) huwa polinomju f'N, allura l-algoritmu jingħad li huwa algoritmu ta 'ħin polinomjali. It-teżi ta 'Cobham tgħid li problema tista' tissolva b'ammont fattibbli ta 'riżorsi jekk tammetti algoritmu ta' ħin polinomjali.")</f>
        <v>Jekk id-daqs tal-input huwa n, il-ħin meħud jista 'jiġi espress bħala funzjoni ta' n. Peress li l-ħin meħud fuq inputs differenti tal-istess daqs jista 'jkun differenti, l-agħar kumplessità tal-ħin t (n) hija definita bħala l-ħin massimu meħud fuq l-inputs kollha tad-daqs N. Jekk T (n) huwa polinomju f'N, allura l-algoritmu jingħad li huwa algoritmu ta 'ħin polinomjali. It-teżi ta 'Cobham tgħid li problema tista' tissolva b'ammont fattibbli ta 'riżorsi jekk tammetti algoritmu ta' ħin polinomjali.</v>
      </c>
    </row>
    <row r="2930" ht="15.75" customHeight="1">
      <c r="A2930" s="2" t="s">
        <v>2930</v>
      </c>
      <c r="B2930" s="2" t="str">
        <f>IFERROR(__xludf.DUMMYFUNCTION("GOOGLETRANSLATE(A2930, ""en"", ""mt"")"),"Min kien Warsz?")</f>
        <v>Min kien Warsz?</v>
      </c>
    </row>
    <row r="2931" ht="15.75" customHeight="1">
      <c r="A2931" s="2" t="s">
        <v>2931</v>
      </c>
      <c r="B2931" s="2" t="str">
        <f>IFERROR(__xludf.DUMMYFUNCTION("GOOGLETRANSLATE(A2931, ""en"", ""mt"")"),"Kemm jeżistu numri magħżula?")</f>
        <v>Kemm jeżistu numri magħżula?</v>
      </c>
    </row>
    <row r="2932" ht="15.75" customHeight="1">
      <c r="A2932" s="2" t="s">
        <v>2932</v>
      </c>
      <c r="B2932" s="2" t="str">
        <f>IFERROR(__xludf.DUMMYFUNCTION("GOOGLETRANSLATE(A2932, ""en"", ""mt"")"),"Davies żviluppa l-kunċett tiegħu bl-intenzjoni li jimmonetizzah?")</f>
        <v>Davies żviluppa l-kunċett tiegħu bl-intenzjoni li jimmonetizzah?</v>
      </c>
    </row>
    <row r="2933" ht="15.75" customHeight="1">
      <c r="A2933" s="2" t="s">
        <v>2933</v>
      </c>
      <c r="B2933" s="2" t="str">
        <f>IFERROR(__xludf.DUMMYFUNCTION("GOOGLETRANSLATE(A2933, ""en"", ""mt"")"),"Iċ-Ċina tat-Tramuntana")</f>
        <v>Iċ-Ċina tat-Tramuntana</v>
      </c>
    </row>
    <row r="2934" ht="15.75" customHeight="1">
      <c r="A2934" s="2" t="s">
        <v>2934</v>
      </c>
      <c r="B2934" s="2" t="str">
        <f>IFERROR(__xludf.DUMMYFUNCTION("GOOGLETRANSLATE(A2934, ""en"", ""mt"")"),"X'tip ta 'annimali huma kkunsidrati cilia?")</f>
        <v>X'tip ta 'annimali huma kkunsidrati cilia?</v>
      </c>
    </row>
    <row r="2935" ht="15.75" customHeight="1">
      <c r="A2935" s="2" t="s">
        <v>2935</v>
      </c>
      <c r="B2935" s="2" t="str">
        <f>IFERROR(__xludf.DUMMYFUNCTION("GOOGLETRANSLATE(A2935, ""en"", ""mt"")"),"Indja ħielsa")</f>
        <v>Indja ħielsa</v>
      </c>
    </row>
    <row r="2936" ht="15.75" customHeight="1">
      <c r="A2936" s="2" t="s">
        <v>2936</v>
      </c>
      <c r="B2936" s="2" t="str">
        <f>IFERROR(__xludf.DUMMYFUNCTION("GOOGLETRANSLATE(A2936, ""en"", ""mt"")"),"forma ta 'antrax")</f>
        <v>forma ta 'antrax</v>
      </c>
    </row>
    <row r="2937" ht="15.75" customHeight="1">
      <c r="A2937" s="2" t="s">
        <v>2937</v>
      </c>
      <c r="B2937" s="2" t="str">
        <f>IFERROR(__xludf.DUMMYFUNCTION("GOOGLETRANSLATE(A2937, ""en"", ""mt"")"),"X'inhi raġuni għall-moviment biex tillegalizza l-importazzjoni ta 'mediċini minn pajjiżi oħra?")</f>
        <v>X'inhi raġuni għall-moviment biex tillegalizza l-importazzjoni ta 'mediċini minn pajjiżi oħra?</v>
      </c>
    </row>
    <row r="2938" ht="15.75" customHeight="1">
      <c r="A2938" s="2" t="s">
        <v>2938</v>
      </c>
      <c r="B2938" s="2" t="str">
        <f>IFERROR(__xludf.DUMMYFUNCTION("GOOGLETRANSLATE(A2938, ""en"", ""mt"")"),"Fl-1785 x'kien il-pjan ta 'Duc de Choiseul għal sforzi militari ffokati?")</f>
        <v>Fl-1785 x'kien il-pjan ta 'Duc de Choiseul għal sforzi militari ffokati?</v>
      </c>
    </row>
    <row r="2939" ht="15.75" customHeight="1">
      <c r="A2939" s="2" t="s">
        <v>2939</v>
      </c>
      <c r="B2939" s="2" t="str">
        <f>IFERROR(__xludf.DUMMYFUNCTION("GOOGLETRANSLATE(A2939, ""en"", ""mt"")"),"Grafika arbitrarja")</f>
        <v>Grafika arbitrarja</v>
      </c>
    </row>
    <row r="2940" ht="15.75" customHeight="1">
      <c r="A2940" s="2" t="s">
        <v>2940</v>
      </c>
      <c r="B2940" s="2" t="str">
        <f>IFERROR(__xludf.DUMMYFUNCTION("GOOGLETRANSLATE(A2940, ""en"", ""mt"")"),"Min qal li l-mudelli klimatiċi mhumiex inċerti?")</f>
        <v>Min qal li l-mudelli klimatiċi mhumiex inċerti?</v>
      </c>
    </row>
    <row r="2941" ht="15.75" customHeight="1">
      <c r="A2941" s="2" t="s">
        <v>2941</v>
      </c>
      <c r="B2941" s="2" t="str">
        <f>IFERROR(__xludf.DUMMYFUNCTION("GOOGLETRANSLATE(A2941, ""en"", ""mt"")"),"tnaqqis")</f>
        <v>tnaqqis</v>
      </c>
    </row>
    <row r="2942" ht="15.75" customHeight="1">
      <c r="A2942" s="2" t="s">
        <v>2942</v>
      </c>
      <c r="B2942" s="2" t="str">
        <f>IFERROR(__xludf.DUMMYFUNCTION("GOOGLETRANSLATE(A2942, ""en"", ""mt"")"),"għan soċjali")</f>
        <v>għan soċjali</v>
      </c>
    </row>
    <row r="2943" ht="15.75" customHeight="1">
      <c r="A2943" s="2" t="s">
        <v>2943</v>
      </c>
      <c r="B2943" s="2" t="str">
        <f>IFERROR(__xludf.DUMMYFUNCTION("GOOGLETRANSLATE(A2943, ""en"", ""mt"")"),"Liema sena ġie rrifjutat it-Trattat ta 'Amsterdam mil-Liġi tal-Unjoni Ewropea?")</f>
        <v>Liema sena ġie rrifjutat it-Trattat ta 'Amsterdam mil-Liġi tal-Unjoni Ewropea?</v>
      </c>
    </row>
    <row r="2944" ht="15.75" customHeight="1">
      <c r="A2944" s="2" t="s">
        <v>2944</v>
      </c>
      <c r="B2944" s="2" t="str">
        <f>IFERROR(__xludf.DUMMYFUNCTION("GOOGLETRANSLATE(A2944, ""en"", ""mt"")"),"Min jaħdem biex il-ħaddiema jbaxxu kumpens?")</f>
        <v>Min jaħdem biex il-ħaddiema jbaxxu kumpens?</v>
      </c>
    </row>
    <row r="2945" ht="15.75" customHeight="1">
      <c r="A2945" s="2" t="s">
        <v>2945</v>
      </c>
      <c r="B2945" s="2" t="str">
        <f>IFERROR(__xludf.DUMMYFUNCTION("GOOGLETRANSLATE(A2945, ""en"", ""mt"")"),"Min għandu provvista ta 'emerġenza ta' O?")</f>
        <v>Min għandu provvista ta 'emerġenza ta' O?</v>
      </c>
    </row>
    <row r="2946" ht="15.75" customHeight="1">
      <c r="A2946" s="2" t="s">
        <v>2946</v>
      </c>
      <c r="B2946" s="2" t="str">
        <f>IFERROR(__xludf.DUMMYFUNCTION("GOOGLETRANSLATE(A2946, ""en"", ""mt"")"),"Trasport, Drenaġġ, Skart Perikoluż u Ilma")</f>
        <v>Trasport, Drenaġġ, Skart Perikoluż u Ilma</v>
      </c>
    </row>
    <row r="2947" ht="15.75" customHeight="1">
      <c r="A2947" s="2" t="s">
        <v>2947</v>
      </c>
      <c r="B2947" s="2" t="str">
        <f>IFERROR(__xludf.DUMMYFUNCTION("GOOGLETRANSLATE(A2947, ""en"", ""mt"")"),"Meta ċ-ċelloli B u ċ-ċelloli T huma attivati ​​u jibdew jirreplikaw, uħud mill-frieħ tagħhom isiru ċelloli tal-memorja b'ħajja twila. Matul il-ħajja ta 'annimal, dawn iċ-ċelloli tal-memorja jiftakru kull patoġen speċifiku li jiltaqa' magħhom u jistgħu jin"&amp;"tramaw rispons qawwi jekk il-patoġen jerġa 'jinstab. Dan huwa ""adattiv"" għaliex iseħħ matul il-ħajja ta 'individwu bħala adattament għall-infezzjoni ma' dak il-patoġen u jipprepara s-sistema immunitarja għal sfidi futuri. Memorja immunoloġika tista 'tku"&amp;"n fil-forma ta' memorja għal żmien qasir passiv jew memorja attiva fit-tul.")</f>
        <v>Meta ċ-ċelloli B u ċ-ċelloli T huma attivati ​​u jibdew jirreplikaw, uħud mill-frieħ tagħhom isiru ċelloli tal-memorja b'ħajja twila. Matul il-ħajja ta 'annimal, dawn iċ-ċelloli tal-memorja jiftakru kull patoġen speċifiku li jiltaqa' magħhom u jistgħu jintramaw rispons qawwi jekk il-patoġen jerġa 'jinstab. Dan huwa "adattiv" għaliex iseħħ matul il-ħajja ta 'individwu bħala adattament għall-infezzjoni ma' dak il-patoġen u jipprepara s-sistema immunitarja għal sfidi futuri. Memorja immunoloġika tista 'tkun fil-forma ta' memorja għal żmien qasir passiv jew memorja attiva fit-tul.</v>
      </c>
    </row>
    <row r="2948" ht="15.75" customHeight="1">
      <c r="A2948" s="2" t="s">
        <v>2948</v>
      </c>
      <c r="B2948" s="2" t="str">
        <f>IFERROR(__xludf.DUMMYFUNCTION("GOOGLETRANSLATE(A2948, ""en"", ""mt"")"),"Min mexxa attakk Mongoljan fuq id-dinastija tal-kanzunetta?")</f>
        <v>Min mexxa attakk Mongoljan fuq id-dinastija tal-kanzunetta?</v>
      </c>
    </row>
    <row r="2949" ht="15.75" customHeight="1">
      <c r="A2949" s="2" t="s">
        <v>2949</v>
      </c>
      <c r="B2949" s="2" t="str">
        <f>IFERROR(__xludf.DUMMYFUNCTION("GOOGLETRANSLATE(A2949, ""en"", ""mt"")"),"Studjużi ġeografiċi")</f>
        <v>Studjużi ġeografiċi</v>
      </c>
    </row>
    <row r="2950" ht="15.75" customHeight="1">
      <c r="A2950" s="2" t="s">
        <v>2950</v>
      </c>
      <c r="B2950" s="2" t="str">
        <f>IFERROR(__xludf.DUMMYFUNCTION("GOOGLETRANSLATE(A2950, ""en"", ""mt"")"),"Kemm hemm nies fil-Polonja fl-1939?")</f>
        <v>Kemm hemm nies fil-Polonja fl-1939?</v>
      </c>
    </row>
    <row r="2951" ht="15.75" customHeight="1">
      <c r="A2951" s="2" t="s">
        <v>2951</v>
      </c>
      <c r="B2951" s="2" t="str">
        <f>IFERROR(__xludf.DUMMYFUNCTION("GOOGLETRANSLATE(A2951, ""en"", ""mt"")"),"żviluppat")</f>
        <v>żviluppat</v>
      </c>
    </row>
    <row r="2952" ht="15.75" customHeight="1">
      <c r="A2952" s="2" t="s">
        <v>2952</v>
      </c>
      <c r="B2952" s="2" t="str">
        <f>IFERROR(__xludf.DUMMYFUNCTION("GOOGLETRANSLATE(A2952, ""en"", ""mt"")"),"Magni tal-fwar")</f>
        <v>Magni tal-fwar</v>
      </c>
    </row>
    <row r="2953" ht="15.75" customHeight="1">
      <c r="A2953" s="2" t="s">
        <v>2953</v>
      </c>
      <c r="B2953" s="2" t="str">
        <f>IFERROR(__xludf.DUMMYFUNCTION("GOOGLETRANSLATE(A2953, ""en"", ""mt"")"),"23")</f>
        <v>23</v>
      </c>
    </row>
    <row r="2954" ht="15.75" customHeight="1">
      <c r="A2954" s="2" t="s">
        <v>2954</v>
      </c>
      <c r="B2954" s="2" t="str">
        <f>IFERROR(__xludf.DUMMYFUNCTION("GOOGLETRANSLATE(A2954, ""en"", ""mt"")"),"tilwima fuq il-kontroll")</f>
        <v>tilwima fuq il-kontroll</v>
      </c>
    </row>
    <row r="2955" ht="15.75" customHeight="1">
      <c r="A2955" s="2" t="s">
        <v>2955</v>
      </c>
      <c r="B2955" s="2" t="str">
        <f>IFERROR(__xludf.DUMMYFUNCTION("GOOGLETRANSLATE(A2955, ""en"", ""mt"")"),"Kważi $ 40 kull barmil")</f>
        <v>Kważi $ 40 kull barmil</v>
      </c>
    </row>
    <row r="2956" ht="15.75" customHeight="1">
      <c r="A2956" s="2" t="s">
        <v>2956</v>
      </c>
      <c r="B2956" s="2" t="str">
        <f>IFERROR(__xludf.DUMMYFUNCTION("GOOGLETRANSLATE(A2956, ""en"", ""mt"")"),"il-Lvant Nofsani")</f>
        <v>il-Lvant Nofsani</v>
      </c>
    </row>
    <row r="2957" ht="15.75" customHeight="1">
      <c r="A2957" s="2" t="s">
        <v>2957</v>
      </c>
      <c r="B2957" s="2" t="str">
        <f>IFERROR(__xludf.DUMMYFUNCTION("GOOGLETRANSLATE(A2957, ""en"", ""mt"")"),"Min marbut xi tibdil fil-politika futura fil-paċi?")</f>
        <v>Min marbut xi tibdil fil-politika futura fil-paċi?</v>
      </c>
    </row>
    <row r="2958" ht="15.75" customHeight="1">
      <c r="A2958" s="2" t="s">
        <v>2958</v>
      </c>
      <c r="B2958" s="2" t="str">
        <f>IFERROR(__xludf.DUMMYFUNCTION("GOOGLETRANSLATE(A2958, ""en"", ""mt"")"),"Jekk jintbagħtu tliet pakketti sekwenzjali u dak fin-nofs jintilef, allura kif id-dejta tiġi rikompilata b'mod sinifikanti?")</f>
        <v>Jekk jintbagħtu tliet pakketti sekwenzjali u dak fin-nofs jintilef, allura kif id-dejta tiġi rikompilata b'mod sinifikanti?</v>
      </c>
    </row>
    <row r="2959" ht="15.75" customHeight="1">
      <c r="A2959" s="2" t="s">
        <v>2959</v>
      </c>
      <c r="B2959" s="2" t="str">
        <f>IFERROR(__xludf.DUMMYFUNCTION("GOOGLETRANSLATE(A2959, ""en"", ""mt"")"),"p - 1 jew divisor ta 'p - 1")</f>
        <v>p - 1 jew divisor ta 'p - 1</v>
      </c>
    </row>
    <row r="2960" ht="15.75" customHeight="1">
      <c r="A2960" s="2" t="s">
        <v>2960</v>
      </c>
      <c r="B2960" s="2" t="str">
        <f>IFERROR(__xludf.DUMMYFUNCTION("GOOGLETRANSLATE(A2960, ""en"", ""mt"")"),"iż-żgħażagħ u l-anzjani")</f>
        <v>iż-żgħażagħ u l-anzjani</v>
      </c>
    </row>
    <row r="2961" ht="15.75" customHeight="1">
      <c r="A2961" s="2" t="s">
        <v>2961</v>
      </c>
      <c r="B2961" s="2" t="str">
        <f>IFERROR(__xludf.DUMMYFUNCTION("GOOGLETRANSLATE(A2961, ""en"", ""mt"")"),"Kemm nazzjonijiet fihom ""Amazonas"" f'isimhom?")</f>
        <v>Kemm nazzjonijiet fihom "Amazonas" f'isimhom?</v>
      </c>
    </row>
    <row r="2962" ht="15.75" customHeight="1">
      <c r="A2962" s="2" t="s">
        <v>2962</v>
      </c>
      <c r="B2962" s="2" t="str">
        <f>IFERROR(__xludf.DUMMYFUNCTION("GOOGLETRANSLATE(A2962, ""en"", ""mt"")"),"it-Timucua")</f>
        <v>it-Timucua</v>
      </c>
    </row>
    <row r="2963" ht="15.75" customHeight="1">
      <c r="A2963" s="2" t="s">
        <v>2963</v>
      </c>
      <c r="B2963" s="2" t="str">
        <f>IFERROR(__xludf.DUMMYFUNCTION("GOOGLETRANSLATE(A2963, ""en"", ""mt"")"),"L-ewwel netwerk ta 'dejta pubblika liċenzjata mill-FCC")</f>
        <v>L-ewwel netwerk ta 'dejta pubblika liċenzjata mill-FCC</v>
      </c>
    </row>
    <row r="2964" ht="15.75" customHeight="1">
      <c r="A2964" s="2" t="s">
        <v>2964</v>
      </c>
      <c r="B2964" s="2" t="str">
        <f>IFERROR(__xludf.DUMMYFUNCTION("GOOGLETRANSLATE(A2964, ""en"", ""mt"")"),"Firxa ta 'diviżjoni kbira")</f>
        <v>Firxa ta 'diviżjoni kbira</v>
      </c>
    </row>
    <row r="2965" ht="15.75" customHeight="1">
      <c r="A2965" s="2" t="s">
        <v>2965</v>
      </c>
      <c r="B2965" s="2" t="str">
        <f>IFERROR(__xludf.DUMMYFUNCTION("GOOGLETRANSLATE(A2965, ""en"", ""mt"")"),"X'qal il-Qorti tal-Ġustizzja li s-Sur Steymann ma kellux dritt jagħmel?")</f>
        <v>X'qal il-Qorti tal-Ġustizzja li s-Sur Steymann ma kellux dritt jagħmel?</v>
      </c>
    </row>
    <row r="2966" ht="15.75" customHeight="1">
      <c r="A2966" s="2" t="s">
        <v>2966</v>
      </c>
      <c r="B2966" s="2" t="str">
        <f>IFERROR(__xludf.DUMMYFUNCTION("GOOGLETRANSLATE(A2966, ""en"", ""mt"")"),"Provinċja tal-Kap tal-Punent")</f>
        <v>Provinċja tal-Kap tal-Punent</v>
      </c>
    </row>
    <row r="2967" ht="15.75" customHeight="1">
      <c r="A2967" s="2" t="s">
        <v>2967</v>
      </c>
      <c r="B2967" s="2" t="str">
        <f>IFERROR(__xludf.DUMMYFUNCTION("GOOGLETRANSLATE(A2967, ""en"", ""mt"")"),"X'inhi l-iskarikar medju tal-Moselle sa l-għonq?")</f>
        <v>X'inhi l-iskarikar medju tal-Moselle sa l-għonq?</v>
      </c>
    </row>
    <row r="2968" ht="15.75" customHeight="1">
      <c r="A2968" s="2" t="s">
        <v>2968</v>
      </c>
      <c r="B2968" s="2" t="str">
        <f>IFERROR(__xludf.DUMMYFUNCTION("GOOGLETRANSLATE(A2968, ""en"", ""mt"")"),"livell tal-aqwa rata tat-taxxa")</f>
        <v>livell tal-aqwa rata tat-taxxa</v>
      </c>
    </row>
    <row r="2969" ht="15.75" customHeight="1">
      <c r="A2969" s="2" t="s">
        <v>2969</v>
      </c>
      <c r="B2969" s="2" t="str">
        <f>IFERROR(__xludf.DUMMYFUNCTION("GOOGLETRANSLATE(A2969, ""en"", ""mt"")"),"intuwizzjoni")</f>
        <v>intuwizzjoni</v>
      </c>
    </row>
    <row r="2970" ht="15.75" customHeight="1">
      <c r="A2970" s="2" t="s">
        <v>2970</v>
      </c>
      <c r="B2970" s="2" t="str">
        <f>IFERROR(__xludf.DUMMYFUNCTION("GOOGLETRANSLATE(A2970, ""en"", ""mt"")"),"L-istanza tal-problema hija tipikament ikkaratterizzata bħala astratta jew konkreta?")</f>
        <v>L-istanza tal-problema hija tipikament ikkaratterizzata bħala astratta jew konkreta?</v>
      </c>
    </row>
    <row r="2971" ht="15.75" customHeight="1">
      <c r="A2971" s="2" t="s">
        <v>2971</v>
      </c>
      <c r="B2971" s="2" t="str">
        <f>IFERROR(__xludf.DUMMYFUNCTION("GOOGLETRANSLATE(A2971, ""en"", ""mt"")"),"Shangdu")</f>
        <v>Shangdu</v>
      </c>
    </row>
    <row r="2972" ht="15.75" customHeight="1">
      <c r="A2972" s="2" t="s">
        <v>2972</v>
      </c>
      <c r="B2972" s="2" t="str">
        <f>IFERROR(__xludf.DUMMYFUNCTION("GOOGLETRANSLATE(A2972, ""en"", ""mt"")"),"In-nies anzjani jiksbu inqas xemx u jipproduċu inqas minn liema kimika permezz ta 'radjazzjoni UVB?")</f>
        <v>In-nies anzjani jiksbu inqas xemx u jipproduċu inqas minn liema kimika permezz ta 'radjazzjoni UVB?</v>
      </c>
    </row>
    <row r="2973" ht="15.75" customHeight="1">
      <c r="A2973" s="2" t="s">
        <v>2973</v>
      </c>
      <c r="B2973" s="2" t="str">
        <f>IFERROR(__xludf.DUMMYFUNCTION("GOOGLETRANSLATE(A2973, ""en"", ""mt"")"),"Ċellula B tidentifika patoġeni meta l-antikorpi fuq il-wiċċ tiegħu jorbtu ma 'antiġen barrani speċifiku. Dan il-kumpless tal-antiġen / antikorpi huwa meħud miċ-ċellula B u pproċessat mill-proteolisi f'peptidi. Iċ-ċellula B imbagħad turi dawn il-peptidi an"&amp;"tiġeniċi fuq il-molekuli tal-wiċċ MHC tal-klassi II tagħha. Din il-kombinazzjoni ta 'MHC u antiġen tattira ċellola T li tqabbel, li tirrilaxxa limfokini u tattiva ċ-ċellula B. Hekk kif iċ-ċellula B attivata mbagħad tibda tinqasam, il-frieħ tagħha (ċelloli"&amp;" tal-plażma) inixxu miljuni ta 'kopji ta' l-antikorp li jirrikonoxxi dan l-antiġen. Dawn l-antikorpi jiċċirkolaw fil-plażma tad-demm u l-limfa, jorbtu ma 'patoġeni li jesprimu l-antiġen u jimmarkawhom għall-qerda billi jikkumplimentaw l-attivazzjoni jew g"&amp;"ħall-assorbiment u l-qerda mill-fagoċiti. L-antikorpi jistgħu wkoll jinnewtralizzaw l-isfidi direttament, billi jorbtu ma 'tossini batteriċi jew billi jinterferixxu mar-riċetturi li l-viruses u l-batterji jużaw biex jinfettaw iċ-ċelloli.")</f>
        <v>Ċellula B tidentifika patoġeni meta l-antikorpi fuq il-wiċċ tiegħu jorbtu ma 'antiġen barrani speċifiku. Dan il-kumpless tal-antiġen / antikorpi huwa meħud miċ-ċellula B u pproċessat mill-proteolisi f'peptidi. Iċ-ċellula B imbagħad turi dawn il-peptidi antiġeniċi fuq il-molekuli tal-wiċċ MHC tal-klassi II tagħha. Din il-kombinazzjoni ta 'MHC u antiġen tattira ċellola T li tqabbel, li tirrilaxxa limfokini u tattiva ċ-ċellula B. Hekk kif iċ-ċellula B attivata mbagħad tibda tinqasam, il-frieħ tagħha (ċelloli tal-plażma) inixxu miljuni ta 'kopji ta' l-antikorp li jirrikonoxxi dan l-antiġen. Dawn l-antikorpi jiċċirkolaw fil-plażma tad-demm u l-limfa, jorbtu ma 'patoġeni li jesprimu l-antiġen u jimmarkawhom għall-qerda billi jikkumplimentaw l-attivazzjoni jew għall-assorbiment u l-qerda mill-fagoċiti. L-antikorpi jistgħu wkoll jinnewtralizzaw l-isfidi direttament, billi jorbtu ma 'tossini batteriċi jew billi jinterferixxu mar-riċetturi li l-viruses u l-batterji jużaw biex jinfettaw iċ-ċelloli.</v>
      </c>
    </row>
    <row r="2974" ht="15.75" customHeight="1">
      <c r="A2974" s="2" t="s">
        <v>2974</v>
      </c>
      <c r="B2974" s="2" t="str">
        <f>IFERROR(__xludf.DUMMYFUNCTION("GOOGLETRANSLATE(A2974, ""en"", ""mt"")"),"X’jagħmlu l-petroloġisti biex jifhmu l-kristallizzazzjoni tal-kamra tal-magma?")</f>
        <v>X’jagħmlu l-petroloġisti biex jifhmu l-kristallizzazzjoni tal-kamra tal-magma?</v>
      </c>
    </row>
    <row r="2975" ht="15.75" customHeight="1">
      <c r="A2975" s="2" t="s">
        <v>2975</v>
      </c>
      <c r="B2975" s="2" t="str">
        <f>IFERROR(__xludf.DUMMYFUNCTION("GOOGLETRANSLATE(A2975, ""en"", ""mt"")"),"Yuan T. Lee")</f>
        <v>Yuan T. Lee</v>
      </c>
    </row>
    <row r="2976" ht="15.75" customHeight="1">
      <c r="A2976" s="2" t="s">
        <v>2976</v>
      </c>
      <c r="B2976" s="2" t="str">
        <f>IFERROR(__xludf.DUMMYFUNCTION("GOOGLETRANSLATE(A2976, ""en"", ""mt"")"),"Liema tip ta 'liġi jagħmel l-istituzzjonijiet tal-UE u l-istati membri tagħha jsegwu l-liġi?")</f>
        <v>Liema tip ta 'liġi jagħmel l-istituzzjonijiet tal-UE u l-istati membri tagħha jsegwu l-liġi?</v>
      </c>
    </row>
    <row r="2977" ht="15.75" customHeight="1">
      <c r="A2977" s="2" t="s">
        <v>2977</v>
      </c>
      <c r="B2977" s="2" t="str">
        <f>IFERROR(__xludf.DUMMYFUNCTION("GOOGLETRANSLATE(A2977, ""en"", ""mt"")"),"toroq militari lejn iż-żona minn Braddock u Forbes")</f>
        <v>toroq militari lejn iż-żona minn Braddock u Forbes</v>
      </c>
    </row>
    <row r="2978" ht="15.75" customHeight="1">
      <c r="A2978" s="2" t="s">
        <v>2978</v>
      </c>
      <c r="B2978" s="2" t="str">
        <f>IFERROR(__xludf.DUMMYFUNCTION("GOOGLETRANSLATE(A2978, ""en"", ""mt"")"),"Min jikkontribwixxi għan-negozju tal-membri minbarra l-proponent?")</f>
        <v>Min jikkontribwixxi għan-negozju tal-membri minbarra l-proponent?</v>
      </c>
    </row>
    <row r="2979" ht="15.75" customHeight="1">
      <c r="A2979" s="2" t="s">
        <v>2979</v>
      </c>
      <c r="B2979" s="2" t="str">
        <f>IFERROR(__xludf.DUMMYFUNCTION("GOOGLETRANSLATE(A2979, ""en"", ""mt"")"),"Meta ntużaw il-protokolli ta 'Frame Relay f'UNI?")</f>
        <v>Meta ntużaw il-protokolli ta 'Frame Relay f'UNI?</v>
      </c>
    </row>
    <row r="2980" ht="15.75" customHeight="1">
      <c r="A2980" s="2" t="s">
        <v>2980</v>
      </c>
      <c r="B2980" s="2" t="str">
        <f>IFERROR(__xludf.DUMMYFUNCTION("GOOGLETRANSLATE(A2980, ""en"", ""mt"")"),"Mid-Atlantiku")</f>
        <v>Mid-Atlantiku</v>
      </c>
    </row>
    <row r="2981" ht="15.75" customHeight="1">
      <c r="A2981" s="2" t="s">
        <v>2981</v>
      </c>
      <c r="B2981" s="2" t="str">
        <f>IFERROR(__xludf.DUMMYFUNCTION("GOOGLETRANSLATE(A2981, ""en"", ""mt"")"),"Meta Li Tan mexxa rewwixta?")</f>
        <v>Meta Li Tan mexxa rewwixta?</v>
      </c>
    </row>
    <row r="2982" ht="15.75" customHeight="1">
      <c r="A2982" s="2" t="s">
        <v>2982</v>
      </c>
      <c r="B2982" s="2" t="str">
        <f>IFERROR(__xludf.DUMMYFUNCTION("GOOGLETRANSLATE(A2982, ""en"", ""mt"")"),"365.2425 Jiem tas-Sena")</f>
        <v>365.2425 Jiem tas-Sena</v>
      </c>
    </row>
    <row r="2983" ht="15.75" customHeight="1">
      <c r="A2983" s="2" t="s">
        <v>2983</v>
      </c>
      <c r="B2983" s="2" t="str">
        <f>IFERROR(__xludf.DUMMYFUNCTION("GOOGLETRANSLATE(A2983, ""en"", ""mt"")"),"Għal liema livell il-ġerarkija tal-ħin polinomjali tiġġarraf jekk l-isomorfiżmu tal-graff huwa komplut NP?")</f>
        <v>Għal liema livell il-ġerarkija tal-ħin polinomjali tiġġarraf jekk l-isomorfiżmu tal-graff huwa komplut NP?</v>
      </c>
    </row>
    <row r="2984" ht="15.75" customHeight="1">
      <c r="A2984" s="2" t="s">
        <v>2984</v>
      </c>
      <c r="B2984" s="2" t="str">
        <f>IFERROR(__xludf.DUMMYFUNCTION("GOOGLETRANSLATE(A2984, ""en"", ""mt"")"),"tista 'tipproduċi kemm bajd kif ukoll sperma fl-istess ħin")</f>
        <v>tista 'tipproduċi kemm bajd kif ukoll sperma fl-istess ħin</v>
      </c>
    </row>
    <row r="2985" ht="15.75" customHeight="1">
      <c r="A2985" s="2" t="s">
        <v>2985</v>
      </c>
      <c r="B2985" s="2" t="str">
        <f>IFERROR(__xludf.DUMMYFUNCTION("GOOGLETRANSLATE(A2985, ""en"", ""mt"")"),"Los Angeles")</f>
        <v>Los Angeles</v>
      </c>
    </row>
    <row r="2986" ht="15.75" customHeight="1">
      <c r="A2986" s="2" t="s">
        <v>2986</v>
      </c>
      <c r="B2986" s="2" t="str">
        <f>IFERROR(__xludf.DUMMYFUNCTION("GOOGLETRANSLATE(A2986, ""en"", ""mt"")"),"X’tirt Artur Triton lid-dinja?")</f>
        <v>X’tirt Artur Triton lid-dinja?</v>
      </c>
    </row>
    <row r="2987" ht="15.75" customHeight="1">
      <c r="A2987" s="2" t="s">
        <v>2987</v>
      </c>
      <c r="B2987" s="2" t="str">
        <f>IFERROR(__xludf.DUMMYFUNCTION("GOOGLETRANSLATE(A2987, ""en"", ""mt"")"),"Kemm kien hemm unitajiet tad-djar fl-2000?")</f>
        <v>Kemm kien hemm unitajiet tad-djar fl-2000?</v>
      </c>
    </row>
    <row r="2988" ht="15.75" customHeight="1">
      <c r="A2988" s="2" t="s">
        <v>2988</v>
      </c>
      <c r="B2988" s="2" t="str">
        <f>IFERROR(__xludf.DUMMYFUNCTION("GOOGLETRANSLATE(A2988, ""en"", ""mt"")"),"X'għandhom jgħaddu ċ-ċelloli 'l bogħod mis-sit ta' l-infezzjoni?")</f>
        <v>X'għandhom jgħaddu ċ-ċelloli 'l bogħod mis-sit ta' l-infezzjoni?</v>
      </c>
    </row>
    <row r="2989" ht="15.75" customHeight="1">
      <c r="A2989" s="2" t="s">
        <v>2989</v>
      </c>
      <c r="B2989" s="2" t="str">
        <f>IFERROR(__xludf.DUMMYFUNCTION("GOOGLETRANSLATE(A2989, ""en"", ""mt"")"),"Kemm ilha tgħix Julia Butterfly Hill ħdejn installazzjoni tal-missili nukleari?")</f>
        <v>Kemm ilha tgħix Julia Butterfly Hill ħdejn installazzjoni tal-missili nukleari?</v>
      </c>
    </row>
    <row r="2990" ht="15.75" customHeight="1">
      <c r="A2990" s="2" t="s">
        <v>2990</v>
      </c>
      <c r="B2990" s="2" t="str">
        <f>IFERROR(__xludf.DUMMYFUNCTION("GOOGLETRANSLATE(A2990, ""en"", ""mt"")"),"kwiet")</f>
        <v>kwiet</v>
      </c>
    </row>
    <row r="2991" ht="15.75" customHeight="1">
      <c r="A2991" s="2" t="s">
        <v>2991</v>
      </c>
      <c r="B2991" s="2" t="str">
        <f>IFERROR(__xludf.DUMMYFUNCTION("GOOGLETRANSLATE(A2991, ""en"", ""mt"")"),"Foresta Primordjali Masovjana")</f>
        <v>Foresta Primordjali Masovjana</v>
      </c>
    </row>
    <row r="2992" ht="15.75" customHeight="1">
      <c r="A2992" s="2" t="s">
        <v>2992</v>
      </c>
      <c r="B2992" s="2" t="str">
        <f>IFERROR(__xludf.DUMMYFUNCTION("GOOGLETRANSLATE(A2992, ""en"", ""mt"")"),"X'inhu użat biex tikkwantifika l-underanding intuwittiv tal-forzi?")</f>
        <v>X'inhu użat biex tikkwantifika l-underanding intuwittiv tal-forzi?</v>
      </c>
    </row>
    <row r="2993" ht="15.75" customHeight="1">
      <c r="A2993" s="2" t="s">
        <v>2993</v>
      </c>
      <c r="B2993" s="2" t="str">
        <f>IFERROR(__xludf.DUMMYFUNCTION("GOOGLETRANSLATE(A2993, ""en"", ""mt"")"),"Carmichael")</f>
        <v>Carmichael</v>
      </c>
    </row>
    <row r="2994" ht="15.75" customHeight="1">
      <c r="A2994" s="2" t="s">
        <v>2994</v>
      </c>
      <c r="B2994" s="2" t="str">
        <f>IFERROR(__xludf.DUMMYFUNCTION("GOOGLETRANSLATE(A2994, ""en"", ""mt"")"),"Fejn kien ibbażat iċ-ċentrali mhux ibbażat fuq is-segretarjat?")</f>
        <v>Fejn kien ibbażat iċ-ċentrali mhux ibbażat fuq is-segretarjat?</v>
      </c>
    </row>
    <row r="2995" ht="15.75" customHeight="1">
      <c r="A2995" s="2" t="s">
        <v>2995</v>
      </c>
      <c r="B2995" s="2" t="str">
        <f>IFERROR(__xludf.DUMMYFUNCTION("GOOGLETRANSLATE(A2995, ""en"", ""mt"")")," Khan meta rrifjuta formalment id-dinastija Yuan?")</f>
        <v> Khan meta rrifjuta formalment id-dinastija Yuan?</v>
      </c>
    </row>
    <row r="2996" ht="15.75" customHeight="1">
      <c r="A2996" s="2" t="s">
        <v>2996</v>
      </c>
      <c r="B2996" s="2" t="str">
        <f>IFERROR(__xludf.DUMMYFUNCTION("GOOGLETRANSLATE(A2996, ""en"", ""mt"")"),"X'inhuma l-fatturi li qed jikkontribwixxu għax-xewqa li l-SR 99 jitjiebu biex ikunu ta 'standards bejn l-istati?")</f>
        <v>X'inhuma l-fatturi li qed jikkontribwixxu għax-xewqa li l-SR 99 jitjiebu biex ikunu ta 'standards bejn l-istati?</v>
      </c>
    </row>
    <row r="2997" ht="15.75" customHeight="1">
      <c r="A2997" s="2" t="s">
        <v>2997</v>
      </c>
      <c r="B2997" s="2" t="str">
        <f>IFERROR(__xludf.DUMMYFUNCTION("GOOGLETRANSLATE(A2997, ""en"", ""mt"")"),"Diffie - Hellman Skambju Ewlenin")</f>
        <v>Diffie - Hellman Skambju Ewlenin</v>
      </c>
    </row>
    <row r="2998" ht="15.75" customHeight="1">
      <c r="A2998" s="2" t="s">
        <v>2998</v>
      </c>
      <c r="B2998" s="2" t="str">
        <f>IFERROR(__xludf.DUMMYFUNCTION("GOOGLETRANSLATE(A2998, ""en"", ""mt"")"),"Sal-aħħar tal-1350")</f>
        <v>Sal-aħħar tal-1350</v>
      </c>
    </row>
    <row r="2999" ht="15.75" customHeight="1">
      <c r="A2999" s="2" t="s">
        <v>2999</v>
      </c>
      <c r="B2999" s="2" t="str">
        <f>IFERROR(__xludf.DUMMYFUNCTION("GOOGLETRANSLATE(A2999, ""en"", ""mt"")"),"Sistema ta 'Modifika ta' Restrizzjoni")</f>
        <v>Sistema ta 'Modifika ta' Restrizzjoni</v>
      </c>
    </row>
    <row r="3000" ht="15.75" customHeight="1">
      <c r="A3000" s="2" t="s">
        <v>3000</v>
      </c>
      <c r="B3000" s="2" t="str">
        <f>IFERROR(__xludf.DUMMYFUNCTION("GOOGLETRANSLATE(A3000, ""en"", ""mt"")"),"Qabel ir-riċerka attwali ddedikata espliċitament għall-kumplessità tal-problemi algoritmiċi li bdiet, ġew stabbiliti bosta pedamenti minn diversi riċerkaturi. L-iktar influwenti fost dawn kienet id-definizzjoni tal-magni tat-Turing minn Alan Turing fl-193"&amp;"6, li rriżulta li kienet simplifikazzjoni robusta u flessibbli ħafna ta 'kompjuter.")</f>
        <v>Qabel ir-riċerka attwali ddedikata espliċitament għall-kumplessità tal-problemi algoritmiċi li bdiet, ġew stabbiliti bosta pedamenti minn diversi riċerkaturi. L-iktar influwenti fost dawn kienet id-definizzjoni tal-magni tat-Turing minn Alan Turing fl-1936, li rriżulta li kienet simplifikazzjoni robusta u flessibbli ħafna ta 'kompjuter.</v>
      </c>
    </row>
    <row r="3001" ht="15.75" customHeight="1">
      <c r="A3001" s="2" t="s">
        <v>3001</v>
      </c>
      <c r="B3001" s="2" t="str">
        <f>IFERROR(__xludf.DUMMYFUNCTION("GOOGLETRANSLATE(A3001, ""en"", ""mt"")"),"X'inhi l-forza eżerċitata mill-gravità standard fuq tunnellata ta 'massa?")</f>
        <v>X'inhi l-forza eżerċitata mill-gravità standard fuq tunnellata ta 'massa?</v>
      </c>
    </row>
    <row r="3002" ht="15.75" customHeight="1">
      <c r="A3002" s="2" t="s">
        <v>3002</v>
      </c>
      <c r="B3002" s="2" t="str">
        <f>IFERROR(__xludf.DUMMYFUNCTION("GOOGLETRANSLATE(A3002, ""en"", ""mt"")"),"assolut ġdid")</f>
        <v>assolut ġdid</v>
      </c>
    </row>
    <row r="3003" ht="15.75" customHeight="1">
      <c r="A3003" s="2" t="s">
        <v>3003</v>
      </c>
      <c r="B3003" s="2" t="str">
        <f>IFERROR(__xludf.DUMMYFUNCTION("GOOGLETRANSLATE(A3003, ""en"", ""mt"")"),"Ctenophores")</f>
        <v>Ctenophores</v>
      </c>
    </row>
    <row r="3004" ht="15.75" customHeight="1">
      <c r="A3004" s="2" t="s">
        <v>3004</v>
      </c>
      <c r="B3004" s="2" t="str">
        <f>IFERROR(__xludf.DUMMYFUNCTION("GOOGLETRANSLATE(A3004, ""en"", ""mt"")"),"Konsum tal-Ħin u l-Memorja")</f>
        <v>Konsum tal-Ħin u l-Memorja</v>
      </c>
    </row>
    <row r="3005" ht="15.75" customHeight="1">
      <c r="A3005" s="2" t="s">
        <v>3005</v>
      </c>
      <c r="B3005" s="2" t="str">
        <f>IFERROR(__xludf.DUMMYFUNCTION("GOOGLETRANSLATE(A3005, ""en"", ""mt"")"),"Reazzjoni tar-Rebbiegħa")</f>
        <v>Reazzjoni tar-Rebbiegħa</v>
      </c>
    </row>
    <row r="3006" ht="15.75" customHeight="1">
      <c r="A3006" s="2" t="s">
        <v>3006</v>
      </c>
      <c r="B3006" s="2" t="str">
        <f>IFERROR(__xludf.DUMMYFUNCTION("GOOGLETRANSLATE(A3006, ""en"", ""mt"")"),"30 ° C.")</f>
        <v>30 ° C.</v>
      </c>
    </row>
    <row r="3007" ht="15.75" customHeight="1">
      <c r="A3007" s="2" t="s">
        <v>3007</v>
      </c>
      <c r="B3007" s="2" t="str">
        <f>IFERROR(__xludf.DUMMYFUNCTION("GOOGLETRANSLATE(A3007, ""en"", ""mt"")"),"F'liema sena Warszowa saret il-kapitali uffiċjali tad-Dukat Masovjan?")</f>
        <v>F'liema sena Warszowa saret il-kapitali uffiċjali tad-Dukat Masovjan?</v>
      </c>
    </row>
    <row r="3008" ht="15.75" customHeight="1">
      <c r="A3008" s="2" t="s">
        <v>3008</v>
      </c>
      <c r="B3008" s="2" t="str">
        <f>IFERROR(__xludf.DUMMYFUNCTION("GOOGLETRANSLATE(A3008, ""en"", ""mt"")"),"Liema xmara tmur flimkien ma 'Jacksonville?")</f>
        <v>Liema xmara tmur flimkien ma 'Jacksonville?</v>
      </c>
    </row>
    <row r="3009" ht="15.75" customHeight="1">
      <c r="A3009" s="2" t="s">
        <v>3009</v>
      </c>
      <c r="B3009" s="2" t="str">
        <f>IFERROR(__xludf.DUMMYFUNCTION("GOOGLETRANSLATE(A3009, ""en"", ""mt"")"),"Fejn jista 'jinstab ramel Eoljan b'numru ta' duni?")</f>
        <v>Fejn jista 'jinstab ramel Eoljan b'numru ta' duni?</v>
      </c>
    </row>
    <row r="3010" ht="15.75" customHeight="1">
      <c r="A3010" s="2" t="s">
        <v>3010</v>
      </c>
      <c r="B3010" s="2" t="str">
        <f>IFERROR(__xludf.DUMMYFUNCTION("GOOGLETRANSLATE(A3010, ""en"", ""mt"")"),"Metodu Slash and Burn")</f>
        <v>Metodu Slash and Burn</v>
      </c>
    </row>
    <row r="3011" ht="15.75" customHeight="1">
      <c r="A3011" s="2" t="s">
        <v>3011</v>
      </c>
      <c r="B3011" s="2" t="str">
        <f>IFERROR(__xludf.DUMMYFUNCTION("GOOGLETRANSLATE(A3011, ""en"", ""mt"")"),"Netwerking avvanzat ta 'riċerka u edukazzjoni")</f>
        <v>Netwerking avvanzat ta 'riċerka u edukazzjoni</v>
      </c>
    </row>
    <row r="3012" ht="15.75" customHeight="1">
      <c r="A3012" s="2" t="s">
        <v>3012</v>
      </c>
      <c r="B3012" s="2" t="str">
        <f>IFERROR(__xludf.DUMMYFUNCTION("GOOGLETRANSLATE(A3012, ""en"", ""mt"")"),"1677–1683")</f>
        <v>1677–1683</v>
      </c>
    </row>
    <row r="3013" ht="15.75" customHeight="1">
      <c r="A3013" s="2" t="s">
        <v>3013</v>
      </c>
      <c r="B3013" s="2" t="str">
        <f>IFERROR(__xludf.DUMMYFUNCTION("GOOGLETRANSLATE(A3013, ""en"", ""mt"")"),"""Kont ta 'skoperti oħra fl-ajru"" ġie ppubblikat minn min fl-1775?")</f>
        <v>"Kont ta 'skoperti oħra fl-ajru" ġie ppubblikat minn min fl-1775?</v>
      </c>
    </row>
    <row r="3014" ht="15.75" customHeight="1">
      <c r="A3014" s="2" t="s">
        <v>3014</v>
      </c>
      <c r="B3014" s="2" t="str">
        <f>IFERROR(__xludf.DUMMYFUNCTION("GOOGLETRANSLATE(A3014, ""en"", ""mt"")"),"Prototip għall-Konfederazzjoni")</f>
        <v>Prototip għall-Konfederazzjoni</v>
      </c>
    </row>
    <row r="3015" ht="15.75" customHeight="1">
      <c r="A3015" s="2" t="s">
        <v>3015</v>
      </c>
      <c r="B3015" s="2" t="str">
        <f>IFERROR(__xludf.DUMMYFUNCTION("GOOGLETRANSLATE(A3015, ""en"", ""mt"")"),"Visa Inc.")</f>
        <v>Visa Inc.</v>
      </c>
    </row>
    <row r="3016" ht="15.75" customHeight="1">
      <c r="A3016" s="2" t="s">
        <v>3016</v>
      </c>
      <c r="B3016" s="2" t="str">
        <f>IFERROR(__xludf.DUMMYFUNCTION("GOOGLETRANSLATE(A3016, ""en"", ""mt"")"),"Bankiera, accountants u inġiniera tal-ispejjeż ipoteki x'aktarx huma parteċipanti fil-ħolqien ta 'pjan ġenerali għall-ġestjoni finanzjarja tal-proġett tal-kostruzzjoni tal-bini. Il-preżenza tal-bankier tal-ipoteki hija probabbli ħafna, anke fi proġetti re"&amp;"lattivament żgħar peress li l-ekwità tas-sid fil-propjetà hija l-iktar sors ovvju ta 'finanzjament għal proġett ta' bini. Il-kontabilisti jaġixxu biex jistudjaw il-fluss monetarju mistenni matul il-ħajja tal-proġett u jimmonitorja l-ħlasijiet matul il-pro"&amp;"ċess. Inġiniera tal-ispejjeż u estimaturi japplikaw għarfien espert biex jirrelataw ix-xogħol u l-materjali involuti ma 'valutazzjoni xierqa. L-ispejjeż żejda ma 'proġetti tal-gvern seħħew meta l-kuntrattur identifika ordnijiet ta' bidla jew bidliet fil-p"&amp;"roġett li żiedu l-ispejjeż, li mhumiex soġġetti għal kompetizzjoni minn ditti oħra peress li diġà ġew eliminati mill-konsiderazzjoni wara l-offerta inizjali.")</f>
        <v>Bankiera, accountants u inġiniera tal-ispejjeż ipoteki x'aktarx huma parteċipanti fil-ħolqien ta 'pjan ġenerali għall-ġestjoni finanzjarja tal-proġett tal-kostruzzjoni tal-bini. Il-preżenza tal-bankier tal-ipoteki hija probabbli ħafna, anke fi proġetti relattivament żgħar peress li l-ekwità tas-sid fil-propjetà hija l-iktar sors ovvju ta 'finanzjament għal proġett ta' bini. Il-kontabilisti jaġixxu biex jistudjaw il-fluss monetarju mistenni matul il-ħajja tal-proġett u jimmonitorja l-ħlasijiet matul il-proċess. Inġiniera tal-ispejjeż u estimaturi japplikaw għarfien espert biex jirrelataw ix-xogħol u l-materjali involuti ma 'valutazzjoni xierqa. L-ispejjeż żejda ma 'proġetti tal-gvern seħħew meta l-kuntrattur identifika ordnijiet ta' bidla jew bidliet fil-proġett li żiedu l-ispejjeż, li mhumiex soġġetti għal kompetizzjoni minn ditti oħra peress li diġà ġew eliminati mill-konsiderazzjoni wara l-offerta inizjali.</v>
      </c>
    </row>
    <row r="3017" ht="15.75" customHeight="1">
      <c r="A3017" s="2" t="s">
        <v>3017</v>
      </c>
      <c r="B3017" s="2" t="str">
        <f>IFERROR(__xludf.DUMMYFUNCTION("GOOGLETRANSLATE(A3017, ""en"", ""mt"")"),"X'inhu ma jistax jevadi s-sistema immuni?")</f>
        <v>X'inhu ma jistax jevadi s-sistema immuni?</v>
      </c>
    </row>
    <row r="3018" ht="15.75" customHeight="1">
      <c r="A3018" s="2" t="s">
        <v>3018</v>
      </c>
      <c r="B3018" s="2" t="str">
        <f>IFERROR(__xludf.DUMMYFUNCTION("GOOGLETRANSLATE(A3018, ""en"", ""mt"")"),"Meta twieled Otto von Bismarck?")</f>
        <v>Meta twieled Otto von Bismarck?</v>
      </c>
    </row>
    <row r="3019" ht="15.75" customHeight="1">
      <c r="A3019" s="2" t="s">
        <v>3019</v>
      </c>
      <c r="B3019" s="2" t="str">
        <f>IFERROR(__xludf.DUMMYFUNCTION("GOOGLETRANSLATE(A3019, ""en"", ""mt"")"),"Kalvinista")</f>
        <v>Kalvinista</v>
      </c>
    </row>
    <row r="3020" ht="15.75" customHeight="1">
      <c r="A3020" s="2" t="s">
        <v>3020</v>
      </c>
      <c r="B3020" s="2" t="str">
        <f>IFERROR(__xludf.DUMMYFUNCTION("GOOGLETRANSLATE(A3020, ""en"", ""mt"")"),"limfokini")</f>
        <v>limfokini</v>
      </c>
    </row>
    <row r="3021" ht="15.75" customHeight="1">
      <c r="A3021" s="2" t="s">
        <v>3021</v>
      </c>
      <c r="B3021" s="2" t="str">
        <f>IFERROR(__xludf.DUMMYFUNCTION("GOOGLETRANSLATE(A3021, ""en"", ""mt"")"),"Ersatzschulen huma skejjel primarji jew sekondarji ordinarji, li huma mmexxija minn individwi privati, organizzazzjonijiet privati ​​jew gruppi reliġjużi. Dawn l-iskejjel joffru l-istess tipi ta ’diplomi bħall-iskejjel pubbliċi. Ersatzschulen m'għandux il"&amp;"-libertà li jopera kompletament barra mir-regolament tal-gvern. L-għalliema fl-Ersatzschulen irid ikollhom mill-inqas l-istess edukazzjoni u għall-inqas l-istess pagi bħall-għalliema fl-iskejjel pubbliċi, ersatzschule għandu jkollhom mill-inqas l-istess s"&amp;"tandards akkademiċi bħal skola pubblika u l-Artikolu 7, paragrafu 4 tal-Grundgesetz, jipprojbixxi wkoll is-segregazzjoni ta ' studenti skont il-mezzi tal-ġenituri tagħhom (l-hekk imsejħa Sonderungsverbot). Għalhekk, il-biċċa l-kbira tal-ersatzschulen għan"&amp;"dhom ħlasijiet ta 'tagħlim baxxi ħafna u / jew joffru boroż ta' studju, meta mqabbla ma 'ħafna pajjiżi oħra tal-Ewropa tal-Punent. Madankollu, mhuwiex possibbli li dawn l-iskejjel jiffinanzjaw bi ħlasijiet ta 'tagħlim daqshekk baxxi, u huwa għalhekk li l-"&amp;"ersatzschulen Ġermaniż kollu huwa ffinanzjat ukoll b'fondi pubbliċi. Il-perċentwali tal-flus pubbliċi jistgħu jilħqu 100% tan-nefqiet tal-persunal. Madankollu, l-iskejjel privati ​​saru insolventi fil-passat fil-Ġermanja.")</f>
        <v>Ersatzschulen huma skejjel primarji jew sekondarji ordinarji, li huma mmexxija minn individwi privati, organizzazzjonijiet privati ​​jew gruppi reliġjużi. Dawn l-iskejjel joffru l-istess tipi ta ’diplomi bħall-iskejjel pubbliċi. Ersatzschulen m'għandux il-libertà li jopera kompletament barra mir-regolament tal-gvern. L-għalliema fl-Ersatzschulen irid ikollhom mill-inqas l-istess edukazzjoni u għall-inqas l-istess pagi bħall-għalliema fl-iskejjel pubbliċi, ersatzschule għandu jkollhom mill-inqas l-istess standards akkademiċi bħal skola pubblika u l-Artikolu 7, paragrafu 4 tal-Grundgesetz, jipprojbixxi wkoll is-segregazzjoni ta ' studenti skont il-mezzi tal-ġenituri tagħhom (l-hekk imsejħa Sonderungsverbot). Għalhekk, il-biċċa l-kbira tal-ersatzschulen għandhom ħlasijiet ta 'tagħlim baxxi ħafna u / jew joffru boroż ta' studju, meta mqabbla ma 'ħafna pajjiżi oħra tal-Ewropa tal-Punent. Madankollu, mhuwiex possibbli li dawn l-iskejjel jiffinanzjaw bi ħlasijiet ta 'tagħlim daqshekk baxxi, u huwa għalhekk li l-ersatzschulen Ġermaniż kollu huwa ffinanzjat ukoll b'fondi pubbliċi. Il-perċentwali tal-flus pubbliċi jistgħu jilħqu 100% tan-nefqiet tal-persunal. Madankollu, l-iskejjel privati ​​saru insolventi fil-passat fil-Ġermanja.</v>
      </c>
    </row>
    <row r="3022" ht="15.75" customHeight="1">
      <c r="A3022" s="2" t="s">
        <v>3022</v>
      </c>
      <c r="B3022" s="2" t="str">
        <f>IFERROR(__xludf.DUMMYFUNCTION("GOOGLETRANSLATE(A3022, ""en"", ""mt"")"),"Era pre-Kolumbjana")</f>
        <v>Era pre-Kolumbjana</v>
      </c>
    </row>
    <row r="3023" ht="15.75" customHeight="1">
      <c r="A3023" s="2" t="s">
        <v>3023</v>
      </c>
      <c r="B3023" s="2" t="str">
        <f>IFERROR(__xludf.DUMMYFUNCTION("GOOGLETRANSLATE(A3023, ""en"", ""mt"")"),"Att dwar il-Kostituzzjoni tar-Rabat 185")</f>
        <v>Att dwar il-Kostituzzjoni tar-Rabat 185</v>
      </c>
    </row>
    <row r="3024" ht="15.75" customHeight="1">
      <c r="A3024" s="2" t="s">
        <v>3024</v>
      </c>
      <c r="B3024" s="2" t="str">
        <f>IFERROR(__xludf.DUMMYFUNCTION("GOOGLETRANSLATE(A3024, ""en"", ""mt"")"),"X'kien falliment kbir, speċjalment fil-bini ta 'Varsavja?")</f>
        <v>X'kien falliment kbir, speċjalment fil-bini ta 'Varsavja?</v>
      </c>
    </row>
    <row r="3025" ht="15.75" customHeight="1">
      <c r="A3025" s="2" t="s">
        <v>3025</v>
      </c>
      <c r="B3025" s="2" t="str">
        <f>IFERROR(__xludf.DUMMYFUNCTION("GOOGLETRANSLATE(A3025, ""en"", ""mt"")"),"Liema għawwiema aktar dgħajfa iżgħar jagħmlu l-anfipods?")</f>
        <v>Liema għawwiema aktar dgħajfa iżgħar jagħmlu l-anfipods?</v>
      </c>
    </row>
    <row r="3026" ht="15.75" customHeight="1">
      <c r="A3026" s="2" t="s">
        <v>3026</v>
      </c>
      <c r="B3026" s="2" t="str">
        <f>IFERROR(__xludf.DUMMYFUNCTION("GOOGLETRANSLATE(A3026, ""en"", ""mt"")"),"bejn wieħed u ieħor 60,000 kolonizzatur Ewropew")</f>
        <v>bejn wieħed u ieħor 60,000 kolonizzatur Ewropew</v>
      </c>
    </row>
    <row r="3027" ht="15.75" customHeight="1">
      <c r="A3027" s="2" t="s">
        <v>3027</v>
      </c>
      <c r="B3027" s="2" t="str">
        <f>IFERROR(__xludf.DUMMYFUNCTION("GOOGLETRANSLATE(A3027, ""en"", ""mt"")"),"komposti ta 'ossiġenu b'ossidattiv għoli")</f>
        <v>komposti ta 'ossiġenu b'ossidattiv għoli</v>
      </c>
    </row>
    <row r="3028" ht="15.75" customHeight="1">
      <c r="A3028" s="2" t="s">
        <v>3028</v>
      </c>
      <c r="B3028" s="2" t="str">
        <f>IFERROR(__xludf.DUMMYFUNCTION("GOOGLETRANSLATE(A3028, ""en"", ""mt"")"),"daqs 50%")</f>
        <v>daqs 50%</v>
      </c>
    </row>
    <row r="3029" ht="15.75" customHeight="1">
      <c r="A3029" s="2" t="s">
        <v>3029</v>
      </c>
      <c r="B3029" s="2" t="str">
        <f>IFERROR(__xludf.DUMMYFUNCTION("GOOGLETRANSLATE(A3029, ""en"", ""mt"")")," Meta kien l-għoli tan-nazzjonaliżmu sekulari mhux Għarbi?")</f>
        <v> Meta kien l-għoli tan-nazzjonaliżmu sekulari mhux Għarbi?</v>
      </c>
    </row>
    <row r="3030" ht="15.75" customHeight="1">
      <c r="A3030" s="2" t="s">
        <v>3030</v>
      </c>
      <c r="B3030" s="2" t="str">
        <f>IFERROR(__xludf.DUMMYFUNCTION("GOOGLETRANSLATE(A3030, ""en"", ""mt"")"),"X'tip ta 'radar intuża biex jikklassifika s-siġar f'erba' kategoriji?")</f>
        <v>X'tip ta 'radar intuża biex jikklassifika s-siġar f'erba' kategoriji?</v>
      </c>
    </row>
    <row r="3031" ht="15.75" customHeight="1">
      <c r="A3031" s="2" t="s">
        <v>3031</v>
      </c>
      <c r="B3031" s="2" t="str">
        <f>IFERROR(__xludf.DUMMYFUNCTION("GOOGLETRANSLATE(A3031, ""en"", ""mt"")"),"Aveo")</f>
        <v>Aveo</v>
      </c>
    </row>
    <row r="3032" ht="15.75" customHeight="1">
      <c r="A3032" s="2" t="s">
        <v>3032</v>
      </c>
      <c r="B3032" s="2" t="str">
        <f>IFERROR(__xludf.DUMMYFUNCTION("GOOGLETRANSLATE(A3032, ""en"", ""mt"")"),"Min hu l-ewwel amministratur tal-Uffiċċju Federali tal-Enerġija?")</f>
        <v>Min hu l-ewwel amministratur tal-Uffiċċju Federali tal-Enerġija?</v>
      </c>
    </row>
    <row r="3033" ht="15.75" customHeight="1">
      <c r="A3033" s="2" t="s">
        <v>3033</v>
      </c>
      <c r="B3033" s="2" t="str">
        <f>IFERROR(__xludf.DUMMYFUNCTION("GOOGLETRANSLATE(A3033, ""en"", ""mt"")"),"Sewqan ix-xaft")</f>
        <v>Sewqan ix-xaft</v>
      </c>
    </row>
    <row r="3034" ht="15.75" customHeight="1">
      <c r="A3034" s="2" t="s">
        <v>3034</v>
      </c>
      <c r="B3034" s="2" t="str">
        <f>IFERROR(__xludf.DUMMYFUNCTION("GOOGLETRANSLATE(A3034, ""en"", ""mt"")"),"X’għamel l-OPEC biex tikseb sehem mis-suq fl-1979?")</f>
        <v>X’għamel l-OPEC biex tikseb sehem mis-suq fl-1979?</v>
      </c>
    </row>
    <row r="3035" ht="15.75" customHeight="1">
      <c r="A3035" s="2" t="s">
        <v>3035</v>
      </c>
      <c r="B3035" s="2" t="str">
        <f>IFERROR(__xludf.DUMMYFUNCTION("GOOGLETRANSLATE(A3035, ""en"", ""mt"")"),"L-Iskola Harris tal-Istudji tal-Politika Pubblika")</f>
        <v>L-Iskola Harris tal-Istudji tal-Politika Pubblika</v>
      </c>
    </row>
    <row r="3036" ht="15.75" customHeight="1">
      <c r="A3036" s="2" t="s">
        <v>3036</v>
      </c>
      <c r="B3036" s="2" t="str">
        <f>IFERROR(__xludf.DUMMYFUNCTION("GOOGLETRANSLATE(A3036, ""en"", ""mt"")"),"Jitlob mhux ħati")</f>
        <v>Jitlob mhux ħati</v>
      </c>
    </row>
    <row r="3037" ht="15.75" customHeight="1">
      <c r="A3037" s="2" t="s">
        <v>3037</v>
      </c>
      <c r="B3037" s="2" t="str">
        <f>IFERROR(__xludf.DUMMYFUNCTION("GOOGLETRANSLATE(A3037, ""en"", ""mt"")"),"Dak li ma jistax jiġi definit billi tillimita l-ħin jew l-ispazju użat l-algoritmu?")</f>
        <v>Dak li ma jistax jiġi definit billi tillimita l-ħin jew l-ispazju użat l-algoritmu?</v>
      </c>
    </row>
    <row r="3038" ht="15.75" customHeight="1">
      <c r="A3038" s="2" t="s">
        <v>3038</v>
      </c>
      <c r="B3038" s="2" t="str">
        <f>IFERROR(__xludf.DUMMYFUNCTION("GOOGLETRANSLATE(A3038, ""en"", ""mt"")"),"Fejn għandha l-Iskola tan-Negozju ta 'Pariġi?")</f>
        <v>Fejn għandha l-Iskola tan-Negozju ta 'Pariġi?</v>
      </c>
    </row>
    <row r="3039" ht="15.75" customHeight="1">
      <c r="A3039" s="2" t="s">
        <v>3039</v>
      </c>
      <c r="B3039" s="2" t="str">
        <f>IFERROR(__xludf.DUMMYFUNCTION("GOOGLETRANSLATE(A3039, ""en"", ""mt"")"),"forza tal-gravità")</f>
        <v>forza tal-gravità</v>
      </c>
    </row>
    <row r="3040" ht="15.75" customHeight="1">
      <c r="A3040" s="2" t="s">
        <v>3040</v>
      </c>
      <c r="B3040" s="2" t="str">
        <f>IFERROR(__xludf.DUMMYFUNCTION("GOOGLETRANSLATE(A3040, ""en"", ""mt"")"),"raġġ")</f>
        <v>raġġ</v>
      </c>
    </row>
    <row r="3041" ht="15.75" customHeight="1">
      <c r="A3041" s="2" t="s">
        <v>3041</v>
      </c>
      <c r="B3041" s="2" t="str">
        <f>IFERROR(__xludf.DUMMYFUNCTION("GOOGLETRANSLATE(A3041, ""en"", ""mt"")"),"Liema uffiċjal jirrappreżenta l-forza tal-pulizija Skoċċiża fid-dar u barra?")</f>
        <v>Liema uffiċjal jirrappreżenta l-forza tal-pulizija Skoċċiża fid-dar u barra?</v>
      </c>
    </row>
    <row r="3042" ht="15.75" customHeight="1">
      <c r="A3042" s="2" t="s">
        <v>3042</v>
      </c>
      <c r="B3042" s="2" t="str">
        <f>IFERROR(__xludf.DUMMYFUNCTION("GOOGLETRANSLATE(A3042, ""en"", ""mt"")"),"Ġew stabbiliti bosta pedamenti")</f>
        <v>Ġew stabbiliti bosta pedamenti</v>
      </c>
    </row>
    <row r="3043" ht="15.75" customHeight="1">
      <c r="A3043" s="2" t="s">
        <v>3043</v>
      </c>
      <c r="B3043" s="2" t="str">
        <f>IFERROR(__xludf.DUMMYFUNCTION("GOOGLETRANSLATE(A3043, ""en"", ""mt"")"),"X'inhuma t-tliet subsetturi tal-bini?")</f>
        <v>X'inhuma t-tliet subsetturi tal-bini?</v>
      </c>
    </row>
    <row r="3044" ht="15.75" customHeight="1">
      <c r="A3044" s="2" t="s">
        <v>3044</v>
      </c>
      <c r="B3044" s="2" t="str">
        <f>IFERROR(__xludf.DUMMYFUNCTION("GOOGLETRANSLATE(A3044, ""en"", ""mt"")"),"55 mph")</f>
        <v>55 mph</v>
      </c>
    </row>
    <row r="3045" ht="15.75" customHeight="1">
      <c r="A3045" s="2" t="s">
        <v>3045</v>
      </c>
      <c r="B3045" s="2" t="str">
        <f>IFERROR(__xludf.DUMMYFUNCTION("GOOGLETRANSLATE(A3045, ""en"", ""mt"")"),"Liema paleontologi bħalissa jinsabu fil-fakultà tal-università?")</f>
        <v>Liema paleontologi bħalissa jinsabu fil-fakultà tal-università?</v>
      </c>
    </row>
    <row r="3046" ht="15.75" customHeight="1">
      <c r="A3046" s="2" t="s">
        <v>3046</v>
      </c>
      <c r="B3046" s="2" t="str">
        <f>IFERROR(__xludf.DUMMYFUNCTION("GOOGLETRANSLATE(A3046, ""en"", ""mt"")"),"Liema teorija tiġġustifika l-imperjalizmu parzjalment?")</f>
        <v>Liema teorija tiġġustifika l-imperjalizmu parzjalment?</v>
      </c>
    </row>
    <row r="3047" ht="15.75" customHeight="1">
      <c r="A3047" s="2" t="s">
        <v>3047</v>
      </c>
      <c r="B3047" s="2" t="str">
        <f>IFERROR(__xludf.DUMMYFUNCTION("GOOGLETRANSLATE(A3047, ""en"", ""mt"")"),"Min ħa l-kmand tal-Franċiż fir-rebbiegħa tal-1753?")</f>
        <v>Min ħa l-kmand tal-Franċiż fir-rebbiegħa tal-1753?</v>
      </c>
    </row>
    <row r="3048" ht="15.75" customHeight="1">
      <c r="A3048" s="2" t="s">
        <v>3048</v>
      </c>
      <c r="B3048" s="2" t="str">
        <f>IFERROR(__xludf.DUMMYFUNCTION("GOOGLETRANSLATE(A3048, ""en"", ""mt"")"),"Kif jistgħu s-soċjetajiet ġeografiċi fl-Ewropa jirrifjutaw ċerti vjaġġaturi?")</f>
        <v>Kif jistgħu s-soċjetajiet ġeografiċi fl-Ewropa jirrifjutaw ċerti vjaġġaturi?</v>
      </c>
    </row>
    <row r="3049" ht="15.75" customHeight="1">
      <c r="A3049" s="2" t="s">
        <v>3049</v>
      </c>
      <c r="B3049" s="2" t="str">
        <f>IFERROR(__xludf.DUMMYFUNCTION("GOOGLETRANSLATE(A3049, ""en"", ""mt"")"),"Liema lista kienet il-belt il-qadima ta 'Varsavja miktuba fl-1980?")</f>
        <v>Liema lista kienet il-belt il-qadima ta 'Varsavja miktuba fl-1980?</v>
      </c>
    </row>
    <row r="3050" ht="15.75" customHeight="1">
      <c r="A3050" s="2" t="s">
        <v>3050</v>
      </c>
      <c r="B3050" s="2" t="str">
        <f>IFERROR(__xludf.DUMMYFUNCTION("GOOGLETRANSLATE(A3050, ""en"", ""mt"")"),"ctenophores u cnidarians")</f>
        <v>ctenophores u cnidarians</v>
      </c>
    </row>
    <row r="3051" ht="15.75" customHeight="1">
      <c r="A3051" s="2" t="s">
        <v>3051</v>
      </c>
      <c r="B3051" s="2" t="str">
        <f>IFERROR(__xludf.DUMMYFUNCTION("GOOGLETRANSLATE(A3051, ""en"", ""mt"")"),"tqajjem il-produttività ta 'kull ħaddiem,")</f>
        <v>tqajjem il-produttività ta 'kull ħaddiem,</v>
      </c>
    </row>
    <row r="3052" ht="15.75" customHeight="1">
      <c r="A3052" s="2" t="s">
        <v>3052</v>
      </c>
      <c r="B3052" s="2" t="str">
        <f>IFERROR(__xludf.DUMMYFUNCTION("GOOGLETRANSLATE(A3052, ""en"", ""mt"")"),"Liema sena kienet Setanta Sports li ngħataw id-drittijiet ta 'Primeier Leage li jxandru?")</f>
        <v>Liema sena kienet Setanta Sports li ngħataw id-drittijiet ta 'Primeier Leage li jxandru?</v>
      </c>
    </row>
    <row r="3053" ht="15.75" customHeight="1">
      <c r="A3053" s="2" t="s">
        <v>3053</v>
      </c>
      <c r="B3053" s="2" t="str">
        <f>IFERROR(__xludf.DUMMYFUNCTION("GOOGLETRANSLATE(A3053, ""en"", ""mt"")"),"L-iktar dak li fl-Amażonja ddefinixxew b'mod ċar il-konfini?")</f>
        <v>L-iktar dak li fl-Amażonja ddefinixxew b'mod ċar il-konfini?</v>
      </c>
    </row>
    <row r="3054" ht="15.75" customHeight="1">
      <c r="A3054" s="2" t="s">
        <v>3054</v>
      </c>
      <c r="B3054" s="2" t="str">
        <f>IFERROR(__xludf.DUMMYFUNCTION("GOOGLETRANSLATE(A3054, ""en"", ""mt"")"),"Bejn wieħed u ieħor kontemporanju ma 'Maududi kien il-fondazzjoni tal-Fratellanza Musulmana f'Ismailiyah, l-Eġittu fl-1928 minn Hassan Al Banna. Huwa bla dubju tiegħu l-ewwel, l-akbar u l-iktar influwenti organizzazzjoni politika / reliġjuża moderna. Taħt"&amp;" il-motto ""Il-Koran huwa l-Kostituzzjoni tagħna,"" fittex qawmien mill-ġdid Iżlamiku permezz tal-predikazzjoni u wkoll billi pprovda servizzi bażiċi tal-komunità inklużi skejjel, moskej, u workshops. Bħal Maududi, Al Banna emmen fil-ħtieġa ta ’regola tal"&amp;"-gvern ibbażata fuq il-liġi tax-Shariah implimentat gradwalment u bil-persważjoni, u li telimina l-influwenza imperjalista kollha fid-dinja Musulmana.")</f>
        <v>Bejn wieħed u ieħor kontemporanju ma 'Maududi kien il-fondazzjoni tal-Fratellanza Musulmana f'Ismailiyah, l-Eġittu fl-1928 minn Hassan Al Banna. Huwa bla dubju tiegħu l-ewwel, l-akbar u l-iktar influwenti organizzazzjoni politika / reliġjuża moderna. Taħt il-motto "Il-Koran huwa l-Kostituzzjoni tagħna," fittex qawmien mill-ġdid Iżlamiku permezz tal-predikazzjoni u wkoll billi pprovda servizzi bażiċi tal-komunità inklużi skejjel, moskej, u workshops. Bħal Maududi, Al Banna emmen fil-ħtieġa ta ’regola tal-gvern ibbażata fuq il-liġi tax-Shariah implimentat gradwalment u bil-persważjoni, u li telimina l-influwenza imperjalista kollha fid-dinja Musulmana.</v>
      </c>
    </row>
    <row r="3055" ht="15.75" customHeight="1">
      <c r="A3055" s="2" t="s">
        <v>3055</v>
      </c>
      <c r="B3055" s="2" t="str">
        <f>IFERROR(__xludf.DUMMYFUNCTION("GOOGLETRANSLATE(A3055, ""en"", ""mt"")"),"Dawn l-attakki rreżonjaw mal-Musulmani konservattivi u l-problema ma marrux bit-telfa ta 'Saddam, peress li t-truppi Amerikani baqgħu stazzjonati fir-renju, u kooperazzjoni de facto mal-proċess ta' paċi Palestinjan-Iżraeljan żviluppat. L-Arabja Sawdita pp"&amp;"ruvat tikkumpensa għat-telf tagħha ta 'prestiġju fost dawn il-gruppi billi rażżan dawk l-Iżlamisti domestiċi li attakkawha (bin Laden bħala eżempju ewlieni), u żżid l-għajnuna għal gruppi Iżlamiċi (madrassas Iżlamisti madwar id-dinja u anke għenet xi grup"&amp;"pi Iżlamiċi vjolenti) Dak ma kienx, iżda l-influwenza ta 'qabel il-gwerra tagħha f'isem il-moderazzjoni tnaqqset ħafna. Riżultat ta ’dan kien kampanja ta’ attakki fuq uffiċjali tal-gvern u turisti fl-Eġittu, gwerra ċivili mdemmi fl-Alġerija u l-attakki ta"&amp;" ’terrur ta’ Osama Bin Laden li qegħdin fil-qofol fl-attakk tad-9/11.")</f>
        <v>Dawn l-attakki rreżonjaw mal-Musulmani konservattivi u l-problema ma marrux bit-telfa ta 'Saddam, peress li t-truppi Amerikani baqgħu stazzjonati fir-renju, u kooperazzjoni de facto mal-proċess ta' paċi Palestinjan-Iżraeljan żviluppat. L-Arabja Sawdita ppruvat tikkumpensa għat-telf tagħha ta 'prestiġju fost dawn il-gruppi billi rażżan dawk l-Iżlamisti domestiċi li attakkawha (bin Laden bħala eżempju ewlieni), u żżid l-għajnuna għal gruppi Iżlamiċi (madrassas Iżlamisti madwar id-dinja u anke għenet xi gruppi Iżlamiċi vjolenti) Dak ma kienx, iżda l-influwenza ta 'qabel il-gwerra tagħha f'isem il-moderazzjoni tnaqqset ħafna. Riżultat ta ’dan kien kampanja ta’ attakki fuq uffiċjali tal-gvern u turisti fl-Eġittu, gwerra ċivili mdemmi fl-Alġerija u l-attakki ta ’terrur ta’ Osama Bin Laden li qegħdin fil-qofol fl-attakk tad-9/11.</v>
      </c>
    </row>
    <row r="3056" ht="15.75" customHeight="1">
      <c r="A3056" s="2" t="s">
        <v>3056</v>
      </c>
      <c r="B3056" s="2" t="str">
        <f>IFERROR(__xludf.DUMMYFUNCTION("GOOGLETRANSLATE(A3056, ""en"", ""mt"")"),"Ir-riżorsi huma limitati mit-teoremi tal-ġerarkija biex jipproduċu xiex?")</f>
        <v>Ir-riżorsi huma limitati mit-teoremi tal-ġerarkija biex jipproduċu xiex?</v>
      </c>
    </row>
    <row r="3057" ht="15.75" customHeight="1">
      <c r="A3057" s="2" t="s">
        <v>3057</v>
      </c>
      <c r="B3057" s="2" t="str">
        <f>IFERROR(__xludf.DUMMYFUNCTION("GOOGLETRANSLATE(A3057, ""en"", ""mt"")"),"toroq militari għaż-żona")</f>
        <v>toroq militari għaż-żona</v>
      </c>
    </row>
    <row r="3058" ht="15.75" customHeight="1">
      <c r="A3058" s="2" t="s">
        <v>3058</v>
      </c>
      <c r="B3058" s="2" t="str">
        <f>IFERROR(__xludf.DUMMYFUNCTION("GOOGLETRANSLATE(A3058, ""en"", ""mt"")"),"Liema żewġ nazzjonijiet membri tal-Imperu Ruman Qaddis irċevew refuġjati Huguenot?")</f>
        <v>Liema żewġ nazzjonijiet membri tal-Imperu Ruman Qaddis irċevew refuġjati Huguenot?</v>
      </c>
    </row>
    <row r="3059" ht="15.75" customHeight="1">
      <c r="A3059" s="2" t="s">
        <v>3059</v>
      </c>
      <c r="B3059" s="2" t="str">
        <f>IFERROR(__xludf.DUMMYFUNCTION("GOOGLETRANSLATE(A3059, ""en"", ""mt"")"),"Dawk li diġà għandhom il-ġid")</f>
        <v>Dawk li diġà għandhom il-ġid</v>
      </c>
    </row>
    <row r="3060" ht="15.75" customHeight="1">
      <c r="A3060" s="2" t="s">
        <v>3060</v>
      </c>
      <c r="B3060" s="2" t="str">
        <f>IFERROR(__xludf.DUMMYFUNCTION("GOOGLETRANSLATE(A3060, ""en"", ""mt"")")," Meta Iqbal ippromwova ideat ta 'għaqda politika Iżlamika akbar, x'jiskoraġġixxi li jispiċċa?")</f>
        <v> Meta Iqbal ippromwova ideat ta 'għaqda politika Iżlamika akbar, x'jiskoraġġixxi li jispiċċa?</v>
      </c>
    </row>
    <row r="3061" ht="15.75" customHeight="1">
      <c r="A3061" s="2" t="s">
        <v>3061</v>
      </c>
      <c r="B3061" s="2" t="str">
        <f>IFERROR(__xludf.DUMMYFUNCTION("GOOGLETRANSLATE(A3061, ""en"", ""mt"")"),"Liema żvilupp, flimkien ma 'l-ilbies, jagħmilha diffiċli li tissiġilla r-rotors f'magna li hija nieqsa mill-fwar?")</f>
        <v>Liema żvilupp, flimkien ma 'l-ilbies, jagħmilha diffiċli li tissiġilla r-rotors f'magna li hija nieqsa mill-fwar?</v>
      </c>
    </row>
    <row r="3062" ht="15.75" customHeight="1">
      <c r="A3062" s="2" t="s">
        <v>3062</v>
      </c>
      <c r="B3062" s="2" t="str">
        <f>IFERROR(__xludf.DUMMYFUNCTION("GOOGLETRANSLATE(A3062, ""en"", ""mt"")"),"Kemm art tuża l-irziezet fir-Rabat?")</f>
        <v>Kemm art tuża l-irziezet fir-Rabat?</v>
      </c>
    </row>
    <row r="3063" ht="15.75" customHeight="1">
      <c r="A3063" s="2" t="s">
        <v>3063</v>
      </c>
      <c r="B3063" s="2" t="str">
        <f>IFERROR(__xludf.DUMMYFUNCTION("GOOGLETRANSLATE(A3063, ""en"", ""mt"")"),"Politifact")</f>
        <v>Politifact</v>
      </c>
    </row>
    <row r="3064" ht="15.75" customHeight="1">
      <c r="A3064" s="2" t="s">
        <v>3064</v>
      </c>
      <c r="B3064" s="2" t="str">
        <f>IFERROR(__xludf.DUMMYFUNCTION("GOOGLETRANSLATE(A3064, ""en"", ""mt"")"),"X'kienet il-Parliment tar-Renju Unit li smajt li kienet abbonament għal BSKYB?")</f>
        <v>X'kienet il-Parliment tar-Renju Unit li smajt li kienet abbonament għal BSKYB?</v>
      </c>
    </row>
    <row r="3065" ht="15.75" customHeight="1">
      <c r="A3065" s="2" t="s">
        <v>3065</v>
      </c>
      <c r="B3065" s="2" t="str">
        <f>IFERROR(__xludf.DUMMYFUNCTION("GOOGLETRANSLATE(A3065, ""en"", ""mt"")"),"Kemm hi wiesgħa r-Renu fil-Ġermanja bejn Emmrich u Cleves?")</f>
        <v>Kemm hi wiesgħa r-Renu fil-Ġermanja bejn Emmrich u Cleves?</v>
      </c>
    </row>
    <row r="3066" ht="15.75" customHeight="1">
      <c r="A3066" s="2" t="s">
        <v>3066</v>
      </c>
      <c r="B3066" s="2" t="str">
        <f>IFERROR(__xludf.DUMMYFUNCTION("GOOGLETRANSLATE(A3066, ""en"", ""mt"")"),"Ossiġenu ħieles iseħħ ukoll f'soluzzjoni fil-korpi tal-ilma tad-dinja. Is-solubilità miżjuda ta 'o
2 F'temperaturi aktar baxxi (ara l-proprjetajiet fiżiċi) għandu implikazzjonijiet importanti għall-ħajja tal-oċean, billi l-oċeani polari jappoġġjaw densità"&amp;" tal-ħajja ferm ogħla minħabba l-kontenut ogħla ta 'ossiġnu tagħhom. Ilma mniġġes b'nutrijenti tal-pjanti bħal nitrati jew fosfati jista 'jistimula t-tkabbir ta' l-alka permezz ta 'proċess imsejjaħ ewtrofikazzjoni u t-tħassir ta' dawn l-organiżmi u bijoma"&amp;"terjali oħra jistgħu jnaqqsu l-ammonti ta 'o
2 Fil-korpi tal-ilma ewtrofiċi. Ix-xjentisti jivvalutaw dan l-aspett tal-kwalità tal-ilma billi jkejlu d-domanda bijokimika tal-ilma tal-ilma, jew l-ammont ta 'o
2 meħtieġa biex terġa 'tinkisebha għal konċentra"&amp;"zzjoni normali.")</f>
        <v>Ossiġenu ħieles iseħħ ukoll f'soluzzjoni fil-korpi tal-ilma tad-dinja. Is-solubilità miżjuda ta 'o
2 F'temperaturi aktar baxxi (ara l-proprjetajiet fiżiċi) għandu implikazzjonijiet importanti għall-ħajja tal-oċean, billi l-oċeani polari jappoġġjaw densità tal-ħajja ferm ogħla minħabba l-kontenut ogħla ta 'ossiġnu tagħhom. Ilma mniġġes b'nutrijenti tal-pjanti bħal nitrati jew fosfati jista 'jistimula t-tkabbir ta' l-alka permezz ta 'proċess imsejjaħ ewtrofikazzjoni u t-tħassir ta' dawn l-organiżmi u bijomaterjali oħra jistgħu jnaqqsu l-ammonti ta 'o
2 Fil-korpi tal-ilma ewtrofiċi. Ix-xjentisti jivvalutaw dan l-aspett tal-kwalità tal-ilma billi jkejlu d-domanda bijokimika tal-ilma tal-ilma, jew l-ammont ta 'o
2 meħtieġa biex terġa 'tinkisebha għal konċentrazzjoni normali.</v>
      </c>
    </row>
    <row r="3067" ht="15.75" customHeight="1">
      <c r="A3067" s="2" t="s">
        <v>3067</v>
      </c>
      <c r="B3067" s="2" t="str">
        <f>IFERROR(__xludf.DUMMYFUNCTION("GOOGLETRANSLATE(A3067, ""en"", ""mt"")"),"Nevada")</f>
        <v>Nevada</v>
      </c>
    </row>
    <row r="3068" ht="15.75" customHeight="1">
      <c r="A3068" s="2" t="s">
        <v>3068</v>
      </c>
      <c r="B3068" s="2" t="str">
        <f>IFERROR(__xludf.DUMMYFUNCTION("GOOGLETRANSLATE(A3068, ""en"", ""mt"")"),"Min likwifika l-ossiġnu fi stat stabbli fit-22 ta 'Marzu, 1883?")</f>
        <v>Min likwifika l-ossiġnu fi stat stabbli fit-22 ta 'Marzu, 1883?</v>
      </c>
    </row>
    <row r="3069" ht="15.75" customHeight="1">
      <c r="A3069" s="2" t="s">
        <v>3069</v>
      </c>
      <c r="B3069" s="2" t="str">
        <f>IFERROR(__xludf.DUMMYFUNCTION("GOOGLETRANSLATE(A3069, ""en"", ""mt"")"),"$ 38,000")</f>
        <v>$ 38,000</v>
      </c>
    </row>
    <row r="3070" ht="15.75" customHeight="1">
      <c r="A3070" s="2" t="s">
        <v>3070</v>
      </c>
      <c r="B3070" s="2" t="str">
        <f>IFERROR(__xludf.DUMMYFUNCTION("GOOGLETRANSLATE(A3070, ""en"", ""mt"")"),"Soċjaliżmu f’pajjiż wieħed")</f>
        <v>Soċjaliżmu f’pajjiż wieħed</v>
      </c>
    </row>
    <row r="3071" ht="15.75" customHeight="1">
      <c r="A3071" s="2" t="s">
        <v>3071</v>
      </c>
      <c r="B3071" s="2" t="str">
        <f>IFERROR(__xludf.DUMMYFUNCTION("GOOGLETRANSLATE(A3071, ""en"", ""mt"")"),"Huma ġew aċċettati u tħallew jaduraw liberament")</f>
        <v>Huma ġew aċċettati u tħallew jaduraw liberament</v>
      </c>
    </row>
    <row r="3072" ht="15.75" customHeight="1">
      <c r="A3072" s="2" t="s">
        <v>3072</v>
      </c>
      <c r="B3072" s="2" t="str">
        <f>IFERROR(__xludf.DUMMYFUNCTION("GOOGLETRANSLATE(A3072, ""en"", ""mt"")"),"Xi jagħtu xi uffiċjali tal-gvern bħala tweġiba għal azzjonijiet illegali?")</f>
        <v>Xi jagħtu xi uffiċjali tal-gvern bħala tweġiba għal azzjonijiet illegali?</v>
      </c>
    </row>
    <row r="3073" ht="15.75" customHeight="1">
      <c r="A3073" s="2" t="s">
        <v>3073</v>
      </c>
      <c r="B3073" s="2" t="str">
        <f>IFERROR(__xludf.DUMMYFUNCTION("GOOGLETRANSLATE(A3073, ""en"", ""mt"")"),"il-problema ta 'ħabta np-kompluta")</f>
        <v>il-problema ta 'ħabta np-kompluta</v>
      </c>
    </row>
    <row r="3074" ht="15.75" customHeight="1">
      <c r="A3074" s="2" t="s">
        <v>3074</v>
      </c>
      <c r="B3074" s="2" t="str">
        <f>IFERROR(__xludf.DUMMYFUNCTION("GOOGLETRANSLATE(A3074, ""en"", ""mt"")"),"iċċattjat")</f>
        <v>iċċattjat</v>
      </c>
    </row>
    <row r="3075" ht="15.75" customHeight="1">
      <c r="A3075" s="2" t="s">
        <v>3075</v>
      </c>
      <c r="B3075" s="2" t="str">
        <f>IFERROR(__xludf.DUMMYFUNCTION("GOOGLETRANSLATE(A3075, ""en"", ""mt"")"),"in-nar tal-element klassiku")</f>
        <v>in-nar tal-element klassiku</v>
      </c>
    </row>
    <row r="3076" ht="15.75" customHeight="1">
      <c r="A3076" s="2" t="s">
        <v>3076</v>
      </c>
      <c r="B3076" s="2" t="str">
        <f>IFERROR(__xludf.DUMMYFUNCTION("GOOGLETRANSLATE(A3076, ""en"", ""mt"")"),"Pre-Kolumbjan")</f>
        <v>Pre-Kolumbjan</v>
      </c>
    </row>
    <row r="3077" ht="15.75" customHeight="1">
      <c r="A3077" s="2" t="s">
        <v>3077</v>
      </c>
      <c r="B3077" s="2" t="str">
        <f>IFERROR(__xludf.DUMMYFUNCTION("GOOGLETRANSLATE(A3077, ""en"", ""mt"")"),"Toyota Hilux")</f>
        <v>Toyota Hilux</v>
      </c>
    </row>
    <row r="3078" ht="15.75" customHeight="1">
      <c r="A3078" s="2" t="s">
        <v>3078</v>
      </c>
      <c r="B3078" s="2" t="str">
        <f>IFERROR(__xludf.DUMMYFUNCTION("GOOGLETRANSLATE(A3078, ""en"", ""mt"")"),"Meta kienu jeżistu s-sitt ministeri?")</f>
        <v>Meta kienu jeżistu s-sitt ministeri?</v>
      </c>
    </row>
    <row r="3079" ht="15.75" customHeight="1">
      <c r="A3079" s="2" t="s">
        <v>3079</v>
      </c>
      <c r="B3079" s="2" t="str">
        <f>IFERROR(__xludf.DUMMYFUNCTION("GOOGLETRANSLATE(A3079, ""en"", ""mt"")"),"Fejn Aristotile kien jemmen il-post naturali għall-elementi tad-dinja u tal-ilma?")</f>
        <v>Fejn Aristotile kien jemmen il-post naturali għall-elementi tad-dinja u tal-ilma?</v>
      </c>
    </row>
    <row r="3080" ht="15.75" customHeight="1">
      <c r="A3080" s="2" t="s">
        <v>3080</v>
      </c>
      <c r="B3080" s="2" t="str">
        <f>IFERROR(__xludf.DUMMYFUNCTION("GOOGLETRANSLATE(A3080, ""en"", ""mt"")"),"Min jagħmlu skejjel preparatorji fl-Iskozja jippreparaw biex jidħlu fl-iskejjel pubbliċi?")</f>
        <v>Min jagħmlu skejjel preparatorji fl-Iskozja jippreparaw biex jidħlu fl-iskejjel pubbliċi?</v>
      </c>
    </row>
    <row r="3081" ht="15.75" customHeight="1">
      <c r="A3081" s="2" t="s">
        <v>3081</v>
      </c>
      <c r="B3081" s="2" t="str">
        <f>IFERROR(__xludf.DUMMYFUNCTION("GOOGLETRANSLATE(A3081, ""en"", ""mt"")"),"Meta waqfet id-Delta ta 'Rhine-Meuse Holocene?")</f>
        <v>Meta waqfet id-Delta ta 'Rhine-Meuse Holocene?</v>
      </c>
    </row>
    <row r="3082" ht="15.75" customHeight="1">
      <c r="A3082" s="2" t="s">
        <v>3082</v>
      </c>
      <c r="B3082" s="2" t="str">
        <f>IFERROR(__xludf.DUMMYFUNCTION("GOOGLETRANSLATE(A3082, ""en"", ""mt"")"),"X'kien issuġġerit fl-immunoloġija qabel is-seklu 19?")</f>
        <v>X'kien issuġġerit fl-immunoloġija qabel is-seklu 19?</v>
      </c>
    </row>
    <row r="3083" ht="15.75" customHeight="1">
      <c r="A3083" s="2" t="s">
        <v>3083</v>
      </c>
      <c r="B3083" s="2" t="str">
        <f>IFERROR(__xludf.DUMMYFUNCTION("GOOGLETRANSLATE(A3083, ""en"", ""mt"")"),"X'inhu notevoli dwar il-foresta tal-Amażonja meta tidher mill-ispazju?")</f>
        <v>X'inhu notevoli dwar il-foresta tal-Amażonja meta tidher mill-ispazju?</v>
      </c>
    </row>
    <row r="3084" ht="15.75" customHeight="1">
      <c r="A3084" s="2" t="s">
        <v>3084</v>
      </c>
      <c r="B3084" s="2" t="str">
        <f>IFERROR(__xludf.DUMMYFUNCTION("GOOGLETRANSLATE(A3084, ""en"", ""mt"")"),"Liema ċittadin jew kumpanija ma jinvokawx?")</f>
        <v>Liema ċittadin jew kumpanija ma jinvokawx?</v>
      </c>
    </row>
    <row r="3085" ht="15.75" customHeight="1">
      <c r="A3085" s="2" t="s">
        <v>3085</v>
      </c>
      <c r="B3085" s="2" t="str">
        <f>IFERROR(__xludf.DUMMYFUNCTION("GOOGLETRANSLATE(A3085, ""en"", ""mt"")"),"Liema belt għandha popolazzjoni ta '3,792,261?")</f>
        <v>Liema belt għandha popolazzjoni ta '3,792,261?</v>
      </c>
    </row>
    <row r="3086" ht="15.75" customHeight="1">
      <c r="A3086" s="2" t="s">
        <v>3086</v>
      </c>
      <c r="B3086" s="2" t="str">
        <f>IFERROR(__xludf.DUMMYFUNCTION("GOOGLETRANSLATE(A3086, ""en"", ""mt"")"),"barrani")</f>
        <v>barrani</v>
      </c>
    </row>
    <row r="3087" ht="15.75" customHeight="1">
      <c r="A3087" s="2" t="s">
        <v>3087</v>
      </c>
      <c r="B3087" s="2" t="str">
        <f>IFERROR(__xludf.DUMMYFUNCTION("GOOGLETRANSLATE(A3087, ""en"", ""mt"")"),"Tip ieħor ta 'kumitat huwa normalment imwaqqaf biex jifli l-kontijiet privati ​​sottomessi lill-Parlament Skoċċiż minn partit estern jew promotur li mhux membru tal-Parlament Skoċċiż jew tal-gvern Skoċċiż. Il-kontijiet privati ​​normalment jirrelataw ma '"&amp;"proġetti ta' żvilupp fuq skala kbira bħal proġetti ta 'infrastruttura li jeħtieġu l-użu ta' art jew proprjetà. Ġew stabbiliti kumitati ta 'abbozzi privati ​​biex jikkunsidraw leġiżlazzjoni dwar kwistjonijiet bħall-iżvilupp tan-Netwerk tat-Tram ta' Edinbur"&amp;"gu, il-Link Ferrovjarju tal-Ajruport ta 'Glasgow, il-link tal-ferrovija Airdrie-Bathgate u estensjonijiet għall-Gallerija Nazzjonali tal-Iskozja.")</f>
        <v>Tip ieħor ta 'kumitat huwa normalment imwaqqaf biex jifli l-kontijiet privati ​​sottomessi lill-Parlament Skoċċiż minn partit estern jew promotur li mhux membru tal-Parlament Skoċċiż jew tal-gvern Skoċċiż. Il-kontijiet privati ​​normalment jirrelataw ma 'proġetti ta' żvilupp fuq skala kbira bħal proġetti ta 'infrastruttura li jeħtieġu l-użu ta' art jew proprjetà. Ġew stabbiliti kumitati ta 'abbozzi privati ​​biex jikkunsidraw leġiżlazzjoni dwar kwistjonijiet bħall-iżvilupp tan-Netwerk tat-Tram ta' Edinburgu, il-Link Ferrovjarju tal-Ajruport ta 'Glasgow, il-link tal-ferrovija Airdrie-Bathgate u estensjonijiet għall-Gallerija Nazzjonali tal-Iskozja.</v>
      </c>
    </row>
    <row r="3088" ht="15.75" customHeight="1">
      <c r="A3088" s="2" t="s">
        <v>3088</v>
      </c>
      <c r="B3088" s="2" t="str">
        <f>IFERROR(__xludf.DUMMYFUNCTION("GOOGLETRANSLATE(A3088, ""en"", ""mt"")"),"X'inhu l-fjuwil tas-sors ta '?")</f>
        <v>X'inhu l-fjuwil tas-sors ta '?</v>
      </c>
    </row>
    <row r="3089" ht="15.75" customHeight="1">
      <c r="A3089" s="2" t="s">
        <v>3089</v>
      </c>
      <c r="B3089" s="2" t="str">
        <f>IFERROR(__xludf.DUMMYFUNCTION("GOOGLETRANSLATE(A3089, ""en"", ""mt"")"),"X'inhi ċ-ċavetta biex tinkiseb il-ħiliet meħtieġa għal impjiegi ta 'domanda baxxa?")</f>
        <v>X'inhi ċ-ċavetta biex tinkiseb il-ħiliet meħtieġa għal impjiegi ta 'domanda baxxa?</v>
      </c>
    </row>
    <row r="3090" ht="15.75" customHeight="1">
      <c r="A3090" s="2" t="s">
        <v>3090</v>
      </c>
      <c r="B3090" s="2" t="str">
        <f>IFERROR(__xludf.DUMMYFUNCTION("GOOGLETRANSLATE(A3090, ""en"", ""mt"")"),"X'jistedu studji ta 'isotopi instabbli?")</f>
        <v>X'jistedu studji ta 'isotopi instabbli?</v>
      </c>
    </row>
    <row r="3091" ht="15.75" customHeight="1">
      <c r="A3091" s="2" t="s">
        <v>3091</v>
      </c>
      <c r="B3091" s="2" t="str">
        <f>IFERROR(__xludf.DUMMYFUNCTION("GOOGLETRANSLATE(A3091, ""en"", ""mt"")"),"jista 'jkun b'saħħtu imma mhux neċessarjament it-tajjeb")</f>
        <v>jista 'jkun b'saħħtu imma mhux neċessarjament it-tajjeb</v>
      </c>
    </row>
    <row r="3092" ht="15.75" customHeight="1">
      <c r="A3092" s="2" t="s">
        <v>3092</v>
      </c>
      <c r="B3092" s="2" t="str">
        <f>IFERROR(__xludf.DUMMYFUNCTION("GOOGLETRANSLATE(A3092, ""en"", ""mt"")"),"Battalja ta 'Jumonville Glen f'Mejju 1754,")</f>
        <v>Battalja ta 'Jumonville Glen f'Mejju 1754,</v>
      </c>
    </row>
    <row r="3093" ht="15.75" customHeight="1">
      <c r="A3093" s="2" t="s">
        <v>3093</v>
      </c>
      <c r="B3093" s="2" t="str">
        <f>IFERROR(__xludf.DUMMYFUNCTION("GOOGLETRANSLATE(A3093, ""en"", ""mt"")"),"X’irrappreżentat Vilenski aħjar minn ħaddieħor?")</f>
        <v>X’irrappreżentat Vilenski aħjar minn ħaddieħor?</v>
      </c>
    </row>
    <row r="3094" ht="15.75" customHeight="1">
      <c r="A3094" s="2" t="s">
        <v>3094</v>
      </c>
      <c r="B3094" s="2" t="str">
        <f>IFERROR(__xludf.DUMMYFUNCTION("GOOGLETRANSLATE(A3094, ""en"", ""mt"")"),"Fl-Istati Uniti, l-industrija fl-2014 għandha madwar $ 960 biljun fi dħul annwali skont l-istatistiċi segwiti mill-Uffiċċju taċ-Ċensiment, li $ 680 biljun huwa privat (maqsum indaqs bejn residenzjali u mhux residenzjali) u l-bqija huwa l-gvern. Mill-2005,"&amp;" kien hemm madwar 667,000 ditta li jimpjegaw 1 miljun kuntrattur (200,000 kuntrattur ġenerali, 38,000 tqil, u 432,000 speċjalità); Il-kuntrattur medju impjegat inqas minn 10 impjegati. B'mod ġenerali, l-industrija impjegat stima ta '5.8 miljun minn April "&amp;"2013, b'rata ta' qgħad ta '13.2%. Fl-Istati Uniti, madwar 828,000 mara kienu impjegati fl-industrija tal-kostruzzjoni mill-2011.")</f>
        <v>Fl-Istati Uniti, l-industrija fl-2014 għandha madwar $ 960 biljun fi dħul annwali skont l-istatistiċi segwiti mill-Uffiċċju taċ-Ċensiment, li $ 680 biljun huwa privat (maqsum indaqs bejn residenzjali u mhux residenzjali) u l-bqija huwa l-gvern. Mill-2005, kien hemm madwar 667,000 ditta li jimpjegaw 1 miljun kuntrattur (200,000 kuntrattur ġenerali, 38,000 tqil, u 432,000 speċjalità); Il-kuntrattur medju impjegat inqas minn 10 impjegati. B'mod ġenerali, l-industrija impjegat stima ta '5.8 miljun minn April 2013, b'rata ta' qgħad ta '13.2%. Fl-Istati Uniti, madwar 828,000 mara kienu impjegati fl-industrija tal-kostruzzjoni mill-2011.</v>
      </c>
    </row>
    <row r="3095" ht="15.75" customHeight="1">
      <c r="A3095" s="2" t="s">
        <v>3095</v>
      </c>
      <c r="B3095" s="2" t="str">
        <f>IFERROR(__xludf.DUMMYFUNCTION("GOOGLETRANSLATE(A3095, ""en"", ""mt"")"),"X'għandhom bżonn ix-xandiriet kriptati?")</f>
        <v>X'għandhom bżonn ix-xandiriet kriptati?</v>
      </c>
    </row>
    <row r="3096" ht="15.75" customHeight="1">
      <c r="A3096" s="2" t="s">
        <v>3096</v>
      </c>
      <c r="B3096" s="2" t="str">
        <f>IFERROR(__xludf.DUMMYFUNCTION("GOOGLETRANSLATE(A3096, ""en"", ""mt"")"),"Epte")</f>
        <v>Epte</v>
      </c>
    </row>
    <row r="3097" ht="15.75" customHeight="1">
      <c r="A3097" s="2" t="s">
        <v>3097</v>
      </c>
      <c r="B3097" s="2" t="str">
        <f>IFERROR(__xludf.DUMMYFUNCTION("GOOGLETRANSLATE(A3097, ""en"", ""mt"")"),"Victoria")</f>
        <v>Victoria</v>
      </c>
    </row>
    <row r="3098" ht="15.75" customHeight="1">
      <c r="A3098" s="2" t="s">
        <v>3098</v>
      </c>
      <c r="B3098" s="2" t="str">
        <f>IFERROR(__xludf.DUMMYFUNCTION("GOOGLETRANSLATE(A3098, ""en"", ""mt"")"),"X'kien l-isem tal-leġiżlazzjoni mgħoddija fl-1850?")</f>
        <v>X'kien l-isem tal-leġiżlazzjoni mgħoddija fl-1850?</v>
      </c>
    </row>
    <row r="3099" ht="15.75" customHeight="1">
      <c r="A3099" s="2" t="s">
        <v>3099</v>
      </c>
      <c r="B3099" s="2" t="str">
        <f>IFERROR(__xludf.DUMMYFUNCTION("GOOGLETRANSLATE(A3099, ""en"", ""mt"")"),"Tessut tal-pulmun")</f>
        <v>Tessut tal-pulmun</v>
      </c>
    </row>
    <row r="3100" ht="15.75" customHeight="1">
      <c r="A3100" s="2" t="s">
        <v>3100</v>
      </c>
      <c r="B3100" s="2" t="str">
        <f>IFERROR(__xludf.DUMMYFUNCTION("GOOGLETRANSLATE(A3100, ""en"", ""mt"")"),"Kif ġie ppremjat Sadat mill-Iżlamisti għat-tentattivi tiegħu biex iżomm lill-Eġittu milli jkun fi żminijiet moderni u ċiviltà?")</f>
        <v>Kif ġie ppremjat Sadat mill-Iżlamisti għat-tentattivi tiegħu biex iżomm lill-Eġittu milli jkun fi żminijiet moderni u ċiviltà?</v>
      </c>
    </row>
    <row r="3101" ht="15.75" customHeight="1">
      <c r="A3101" s="2" t="s">
        <v>3101</v>
      </c>
      <c r="B3101" s="2" t="str">
        <f>IFERROR(__xludf.DUMMYFUNCTION("GOOGLETRANSLATE(A3101, ""en"", ""mt"")"),"Orange County")</f>
        <v>Orange County</v>
      </c>
    </row>
    <row r="3102" ht="15.75" customHeight="1">
      <c r="A3102" s="2" t="s">
        <v>3102</v>
      </c>
      <c r="B3102" s="2" t="str">
        <f>IFERROR(__xludf.DUMMYFUNCTION("GOOGLETRANSLATE(A3102, ""en"", ""mt"")"),"rata tat-taxxa")</f>
        <v>rata tat-taxxa</v>
      </c>
    </row>
    <row r="3103" ht="15.75" customHeight="1">
      <c r="A3103" s="2" t="s">
        <v>3103</v>
      </c>
      <c r="B3103" s="2" t="str">
        <f>IFERROR(__xludf.DUMMYFUNCTION("GOOGLETRANSLATE(A3103, ""en"", ""mt"")"),"skola sekondarja")</f>
        <v>skola sekondarja</v>
      </c>
    </row>
    <row r="3104" ht="15.75" customHeight="1">
      <c r="A3104" s="2" t="s">
        <v>3104</v>
      </c>
      <c r="B3104" s="2" t="str">
        <f>IFERROR(__xludf.DUMMYFUNCTION("GOOGLETRANSLATE(A3104, ""en"", ""mt"")"),"Konsolidazzjoni ta 'Jacksonville")</f>
        <v>Konsolidazzjoni ta 'Jacksonville</v>
      </c>
    </row>
    <row r="3105" ht="15.75" customHeight="1">
      <c r="A3105" s="2" t="s">
        <v>3105</v>
      </c>
      <c r="B3105" s="2" t="str">
        <f>IFERROR(__xludf.DUMMYFUNCTION("GOOGLETRANSLATE(A3105, ""en"", ""mt"")"),"X'inhuma l-erba 'klassijiet l-oħra ta' kumplessità importanti?")</f>
        <v>X'inhuma l-erba 'klassijiet l-oħra ta' kumplessità importanti?</v>
      </c>
    </row>
    <row r="3106" ht="15.75" customHeight="1">
      <c r="A3106" s="2" t="s">
        <v>3106</v>
      </c>
      <c r="B3106" s="2" t="str">
        <f>IFERROR(__xludf.DUMMYFUNCTION("GOOGLETRANSLATE(A3106, ""en"", ""mt"")"),"Fiċ-ċiklu ta 'Rankine, x'jista' tinbidel l-enerġija nukleari meta tissaħħan?")</f>
        <v>Fiċ-ċiklu ta 'Rankine, x'jista' tinbidel l-enerġija nukleari meta tissaħħan?</v>
      </c>
    </row>
    <row r="3107" ht="15.75" customHeight="1">
      <c r="A3107" s="2" t="s">
        <v>3107</v>
      </c>
      <c r="B3107" s="2" t="str">
        <f>IFERROR(__xludf.DUMMYFUNCTION("GOOGLETRANSLATE(A3107, ""en"", ""mt"")"),"kważi 10,000")</f>
        <v>kważi 10,000</v>
      </c>
    </row>
    <row r="3108" ht="15.75" customHeight="1">
      <c r="A3108" s="2" t="s">
        <v>3108</v>
      </c>
      <c r="B3108" s="2" t="str">
        <f>IFERROR(__xludf.DUMMYFUNCTION("GOOGLETRANSLATE(A3108, ""en"", ""mt"")"),"X'tip ta 'ċelloli T umani jirrispondu għal molekuli komuni prodotti mill-mikrobi?")</f>
        <v>X'tip ta 'ċelloli T umani jirrispondu għal molekuli komuni prodotti mill-mikrobi?</v>
      </c>
    </row>
    <row r="3109" ht="15.75" customHeight="1">
      <c r="A3109" s="2" t="s">
        <v>3109</v>
      </c>
      <c r="B3109" s="2" t="str">
        <f>IFERROR(__xludf.DUMMYFUNCTION("GOOGLETRANSLATE(A3109, ""en"", ""mt"")"),"Min kiteb dwar il-pestilenza l-kbira fl-1893?")</f>
        <v>Min kiteb dwar il-pestilenza l-kbira fl-1893?</v>
      </c>
    </row>
    <row r="3110" ht="15.75" customHeight="1">
      <c r="A3110" s="2" t="s">
        <v>3110</v>
      </c>
      <c r="B3110" s="2" t="str">
        <f>IFERROR(__xludf.DUMMYFUNCTION("GOOGLETRANSLATE(A3110, ""en"", ""mt"")"),"Il-mewġa tas-sħana tal-Awstralja tax-Xlokk tal-2009")</f>
        <v>Il-mewġa tas-sħana tal-Awstralja tax-Xlokk tal-2009</v>
      </c>
    </row>
    <row r="3111" ht="15.75" customHeight="1">
      <c r="A3111" s="2" t="s">
        <v>3111</v>
      </c>
      <c r="B3111" s="2" t="str">
        <f>IFERROR(__xludf.DUMMYFUNCTION("GOOGLETRANSLATE(A3111, ""en"", ""mt"")"),"mużika")</f>
        <v>mużika</v>
      </c>
    </row>
    <row r="3112" ht="15.75" customHeight="1">
      <c r="A3112" s="2" t="s">
        <v>3112</v>
      </c>
      <c r="B3112" s="2" t="str">
        <f>IFERROR(__xludf.DUMMYFUNCTION("GOOGLETRANSLATE(A3112, ""en"", ""mt"")"),"trattament ħażin")</f>
        <v>trattament ħażin</v>
      </c>
    </row>
    <row r="3113" ht="15.75" customHeight="1">
      <c r="A3113" s="2" t="s">
        <v>3113</v>
      </c>
      <c r="B3113" s="2" t="str">
        <f>IFERROR(__xludf.DUMMYFUNCTION("GOOGLETRANSLATE(A3113, ""en"", ""mt"")"),"Min stieden lil Washington biex tiekol miegħu?")</f>
        <v>Min stieden lil Washington biex tiekol miegħu?</v>
      </c>
    </row>
    <row r="3114" ht="15.75" customHeight="1">
      <c r="A3114" s="2" t="s">
        <v>3114</v>
      </c>
      <c r="B3114" s="2" t="str">
        <f>IFERROR(__xludf.DUMMYFUNCTION("GOOGLETRANSLATE(A3114, ""en"", ""mt"")"),"Xi ngħidu zooplankton normalment priża?")</f>
        <v>Xi ngħidu zooplankton normalment priża?</v>
      </c>
    </row>
    <row r="3115" ht="15.75" customHeight="1">
      <c r="A3115" s="2" t="s">
        <v>3115</v>
      </c>
      <c r="B3115" s="2" t="str">
        <f>IFERROR(__xludf.DUMMYFUNCTION("GOOGLETRANSLATE(A3115, ""en"", ""mt"")"),"Jekk id-dispożizzjonijiet tat-trattati għandhom effett dirett u huma ċari biżżejjed, preċiżi u inkondizzjonati")</f>
        <v>Jekk id-dispożizzjonijiet tat-trattati għandhom effett dirett u huma ċari biżżejjed, preċiżi u inkondizzjonati</v>
      </c>
    </row>
    <row r="3116" ht="15.75" customHeight="1">
      <c r="A3116" s="2" t="s">
        <v>3116</v>
      </c>
      <c r="B3116" s="2" t="str">
        <f>IFERROR(__xludf.DUMMYFUNCTION("GOOGLETRANSLATE(A3116, ""en"", ""mt"")"),"X'tagħmel l-iffokar fuq il-moralità jgħin lil imħallef biex jikseb?")</f>
        <v>X'tagħmel l-iffokar fuq il-moralità jgħin lil imħallef biex jikseb?</v>
      </c>
    </row>
    <row r="3117" ht="15.75" customHeight="1">
      <c r="A3117" s="2" t="s">
        <v>3117</v>
      </c>
      <c r="B3117" s="2" t="str">
        <f>IFERROR(__xludf.DUMMYFUNCTION("GOOGLETRANSLATE(A3117, ""en"", ""mt"")"),"Ir-Renu jġib kemm ilma mill-AARE?")</f>
        <v>Ir-Renu jġib kemm ilma mill-AARE?</v>
      </c>
    </row>
    <row r="3118" ht="15.75" customHeight="1">
      <c r="A3118" s="2" t="s">
        <v>3118</v>
      </c>
      <c r="B3118" s="2" t="str">
        <f>IFERROR(__xludf.DUMMYFUNCTION("GOOGLETRANSLATE(A3118, ""en"", ""mt"")"),"Ramifikazzjoni fil-ġeometrija")</f>
        <v>Ramifikazzjoni fil-ġeometrija</v>
      </c>
    </row>
    <row r="3119" ht="15.75" customHeight="1">
      <c r="A3119" s="2" t="s">
        <v>3119</v>
      </c>
      <c r="B3119" s="2" t="str">
        <f>IFERROR(__xludf.DUMMYFUNCTION("GOOGLETRANSLATE(A3119, ""en"", ""mt"")"),"Proġetti ewlenin ta 'informazzjoni nazzjonali u internazzjonali tal-pazjenti u għanijiet ta' interoperabilità tas-sistema tas-saħħa")</f>
        <v>Proġetti ewlenin ta 'informazzjoni nazzjonali u internazzjonali tal-pazjenti u għanijiet ta' interoperabilità tas-sistema tas-saħħa</v>
      </c>
    </row>
    <row r="3120" ht="15.75" customHeight="1">
      <c r="A3120" s="2" t="s">
        <v>3120</v>
      </c>
      <c r="B3120" s="2" t="str">
        <f>IFERROR(__xludf.DUMMYFUNCTION("GOOGLETRANSLATE(A3120, ""en"", ""mt"")"),"F'liema sena Lavoisier ippubblika x-xogħol tiegħu fuq il-kombustjoni?")</f>
        <v>F'liema sena Lavoisier ippubblika x-xogħol tiegħu fuq il-kombustjoni?</v>
      </c>
    </row>
    <row r="3121" ht="15.75" customHeight="1">
      <c r="A3121" s="2" t="s">
        <v>3121</v>
      </c>
      <c r="B3121" s="2" t="str">
        <f>IFERROR(__xludf.DUMMYFUNCTION("GOOGLETRANSLATE(A3121, ""en"", ""mt"")"),"F'liema perjodu ta 'żmien saru l-Lobata, Cestida u Thalassocalycida?")</f>
        <v>F'liema perjodu ta 'żmien saru l-Lobata, Cestida u Thalassocalycida?</v>
      </c>
    </row>
    <row r="3122" ht="15.75" customHeight="1">
      <c r="A3122" s="2" t="s">
        <v>3122</v>
      </c>
      <c r="B3122" s="2" t="str">
        <f>IFERROR(__xludf.DUMMYFUNCTION("GOOGLETRANSLATE(A3122, ""en"", ""mt"")"),"X’kienu l-veterani mhux Afgani li rritornaw id-dar ma kellhomx minbarra l-prestiġju tagħhom?")</f>
        <v>X’kienu l-veterani mhux Afgani li rritornaw id-dar ma kellhomx minbarra l-prestiġju tagħhom?</v>
      </c>
    </row>
    <row r="3123" ht="15.75" customHeight="1">
      <c r="A3123" s="2" t="s">
        <v>3123</v>
      </c>
      <c r="B3123" s="2" t="str">
        <f>IFERROR(__xludf.DUMMYFUNCTION("GOOGLETRANSLATE(A3123, ""en"", ""mt"")"),"X'inhi l-medja tal-pjanti tal-bijosmass?")</f>
        <v>X'inhi l-medja tal-pjanti tal-bijosmass?</v>
      </c>
    </row>
    <row r="3124" ht="15.75" customHeight="1">
      <c r="A3124" s="2" t="s">
        <v>3124</v>
      </c>
      <c r="B3124" s="2" t="str">
        <f>IFERROR(__xludf.DUMMYFUNCTION("GOOGLETRANSLATE(A3124, ""en"", ""mt"")"),"F'liema teorija hija l-idea ta 'numru skambjat ma' dik ta 'ideal?")</f>
        <v>F'liema teorija hija l-idea ta 'numru skambjat ma' dik ta 'ideal?</v>
      </c>
    </row>
    <row r="3125" ht="15.75" customHeight="1">
      <c r="A3125" s="2" t="s">
        <v>3125</v>
      </c>
      <c r="B3125" s="2" t="str">
        <f>IFERROR(__xludf.DUMMYFUNCTION("GOOGLETRANSLATE(A3125, ""en"", ""mt"")"),"Il-Fondazzjoni Elettronika tal-Fruntiera")</f>
        <v>Il-Fondazzjoni Elettronika tal-Fruntiera</v>
      </c>
    </row>
    <row r="3126" ht="15.75" customHeight="1">
      <c r="A3126" s="2" t="s">
        <v>3126</v>
      </c>
      <c r="B3126" s="2" t="str">
        <f>IFERROR(__xludf.DUMMYFUNCTION("GOOGLETRANSLATE(A3126, ""en"", ""mt"")"),"Kemm jista 'jkun hemm tkabbir ekonomiku potenzjali l-Istati Uniti jekk kulħadd jgħaddi minn aktar skola?")</f>
        <v>Kemm jista 'jkun hemm tkabbir ekonomiku potenzjali l-Istati Uniti jekk kulħadd jgħaddi minn aktar skola?</v>
      </c>
    </row>
    <row r="3127" ht="15.75" customHeight="1">
      <c r="A3127" s="2" t="s">
        <v>3127</v>
      </c>
      <c r="B3127" s="2" t="str">
        <f>IFERROR(__xludf.DUMMYFUNCTION("GOOGLETRANSLATE(A3127, ""en"", ""mt"")"),"bagħat lil John Bradstreet fuq spedizzjoni li qered b'suċċess Fort Frontenac")</f>
        <v>bagħat lil John Bradstreet fuq spedizzjoni li qered b'suċċess Fort Frontenac</v>
      </c>
    </row>
    <row r="3128" ht="15.75" customHeight="1">
      <c r="A3128" s="2" t="s">
        <v>3128</v>
      </c>
      <c r="B3128" s="2" t="str">
        <f>IFERROR(__xludf.DUMMYFUNCTION("GOOGLETRANSLATE(A3128, ""en"", ""mt"")"),"Gruppi tat-Turiżmu Reġjonali")</f>
        <v>Gruppi tat-Turiżmu Reġjonali</v>
      </c>
    </row>
    <row r="3129" ht="15.75" customHeight="1">
      <c r="A3129" s="2" t="s">
        <v>3129</v>
      </c>
      <c r="B3129" s="2" t="str">
        <f>IFERROR(__xludf.DUMMYFUNCTION("GOOGLETRANSLATE(A3129, ""en"", ""mt"")"),"katalitiku")</f>
        <v>katalitiku</v>
      </c>
    </row>
    <row r="3130" ht="15.75" customHeight="1">
      <c r="A3130" s="2" t="s">
        <v>3130</v>
      </c>
      <c r="B3130" s="2" t="str">
        <f>IFERROR(__xludf.DUMMYFUNCTION("GOOGLETRANSLATE(A3130, ""en"", ""mt"")"),"9 seklu")</f>
        <v>9 seklu</v>
      </c>
    </row>
    <row r="3131" ht="15.75" customHeight="1">
      <c r="A3131" s="2" t="s">
        <v>3131</v>
      </c>
      <c r="B3131" s="2" t="str">
        <f>IFERROR(__xludf.DUMMYFUNCTION("GOOGLETRANSLATE(A3131, ""en"", ""mt"")"),"X'kontribwixxiet il-Huguenots li stabbilixxew f'Dublin?")</f>
        <v>X'kontribwixxiet il-Huguenots li stabbilixxew f'Dublin?</v>
      </c>
    </row>
    <row r="3132" ht="15.75" customHeight="1">
      <c r="A3132" s="2" t="s">
        <v>3132</v>
      </c>
      <c r="B3132" s="2" t="str">
        <f>IFERROR(__xludf.DUMMYFUNCTION("GOOGLETRANSLATE(A3132, ""en"", ""mt"")"),"Minbarra Beibniz, liema matematiku ieħor wera l-validità tat-teorema żgħira ta 'Euler?")</f>
        <v>Minbarra Beibniz, liema matematiku ieħor wera l-validità tat-teorema żgħira ta 'Euler?</v>
      </c>
    </row>
    <row r="3133" ht="15.75" customHeight="1">
      <c r="A3133" s="2" t="s">
        <v>3133</v>
      </c>
      <c r="B3133" s="2" t="str">
        <f>IFERROR(__xludf.DUMMYFUNCTION("GOOGLETRANSLATE(A3133, ""en"", ""mt"")"),"Min jista 'jiddubita dikjarazzjonijiet tal-ewwel ministru jew membri tal-kabinett?")</f>
        <v>Min jista 'jiddubita dikjarazzjonijiet tal-ewwel ministru jew membri tal-kabinett?</v>
      </c>
    </row>
    <row r="3134" ht="15.75" customHeight="1">
      <c r="A3134" s="2" t="s">
        <v>3134</v>
      </c>
      <c r="B3134" s="2" t="str">
        <f>IFERROR(__xludf.DUMMYFUNCTION("GOOGLETRANSLATE(A3134, ""en"", ""mt"")"),"John D. Rockefeller")</f>
        <v>John D. Rockefeller</v>
      </c>
    </row>
    <row r="3135" ht="15.75" customHeight="1">
      <c r="A3135" s="2" t="s">
        <v>3135</v>
      </c>
      <c r="B3135" s="2" t="str">
        <f>IFERROR(__xludf.DUMMYFUNCTION("GOOGLETRANSLATE(A3135, ""en"", ""mt"")"),"36%")</f>
        <v>36%</v>
      </c>
    </row>
    <row r="3136" ht="15.75" customHeight="1">
      <c r="A3136" s="2" t="s">
        <v>3136</v>
      </c>
      <c r="B3136" s="2" t="str">
        <f>IFERROR(__xludf.DUMMYFUNCTION("GOOGLETRANSLATE(A3136, ""en"", ""mt"")"),"Biex tillegalizza l-importazzjoni ta 'mediċini mill-Kanada u pajjiżi oħra")</f>
        <v>Biex tillegalizza l-importazzjoni ta 'mediċini mill-Kanada u pajjiżi oħra</v>
      </c>
    </row>
    <row r="3137" ht="15.75" customHeight="1">
      <c r="A3137" s="2" t="s">
        <v>3137</v>
      </c>
      <c r="B3137" s="2" t="str">
        <f>IFERROR(__xludf.DUMMYFUNCTION("GOOGLETRANSLATE(A3137, ""en"", ""mt"")"),"X'għandhom jirrappurtaw id-ditti globali għall-industrija tal-kostruzzjoni?")</f>
        <v>X'għandhom jirrappurtaw id-ditti globali għall-industrija tal-kostruzzjoni?</v>
      </c>
    </row>
    <row r="3138" ht="15.75" customHeight="1">
      <c r="A3138" s="2" t="s">
        <v>3138</v>
      </c>
      <c r="B3138" s="2" t="str">
        <f>IFERROR(__xludf.DUMMYFUNCTION("GOOGLETRANSLATE(A3138, ""en"", ""mt"")"),"livelli aktar baxxi ta 'inugwaljanza")</f>
        <v>livelli aktar baxxi ta 'inugwaljanza</v>
      </c>
    </row>
    <row r="3139" ht="15.75" customHeight="1">
      <c r="A3139" s="2" t="s">
        <v>3139</v>
      </c>
      <c r="B3139" s="2" t="str">
        <f>IFERROR(__xludf.DUMMYFUNCTION("GOOGLETRANSLATE(A3139, ""en"", ""mt"")"),"Kif in-nies tal-bniedem jinġabru tul il-banek tal-vistula għall-festival ta 'Wianki?")</f>
        <v>Kif in-nies tal-bniedem jinġabru tul il-banek tal-vistula għall-festival ta 'Wianki?</v>
      </c>
    </row>
    <row r="3140" ht="15.75" customHeight="1">
      <c r="A3140" s="2" t="s">
        <v>3140</v>
      </c>
      <c r="B3140" s="2" t="str">
        <f>IFERROR(__xludf.DUMMYFUNCTION("GOOGLETRANSLATE(A3140, ""en"", ""mt"")"),"Perjodu Jurassic")</f>
        <v>Perjodu Jurassic</v>
      </c>
    </row>
    <row r="3141" ht="15.75" customHeight="1">
      <c r="A3141" s="2" t="s">
        <v>3141</v>
      </c>
      <c r="B3141" s="2" t="str">
        <f>IFERROR(__xludf.DUMMYFUNCTION("GOOGLETRANSLATE(A3141, ""en"", ""mt"")"),"Z")</f>
        <v>Z</v>
      </c>
    </row>
    <row r="3142" ht="15.75" customHeight="1">
      <c r="A3142" s="2" t="s">
        <v>3142</v>
      </c>
      <c r="B3142" s="2" t="str">
        <f>IFERROR(__xludf.DUMMYFUNCTION("GOOGLETRANSLATE(A3142, ""en"", ""mt"")"),"X'inhi kritika tal-ispiżeriji onlajn li joħorġu drogi mingħajr riċetta?")</f>
        <v>X'inhi kritika tal-ispiżeriji onlajn li joħorġu drogi mingħajr riċetta?</v>
      </c>
    </row>
    <row r="3143" ht="15.75" customHeight="1">
      <c r="A3143" s="2" t="s">
        <v>3143</v>
      </c>
      <c r="B3143" s="2" t="str">
        <f>IFERROR(__xludf.DUMMYFUNCTION("GOOGLETRANSLATE(A3143, ""en"", ""mt"")"),"Austpac kien netwerk pubbliku Awstraljan X.25 imħaddem minn Telstra")</f>
        <v>Austpac kien netwerk pubbliku Awstraljan X.25 imħaddem minn Telstra</v>
      </c>
    </row>
    <row r="3144" ht="15.75" customHeight="1">
      <c r="A3144" s="2" t="s">
        <v>3144</v>
      </c>
      <c r="B3144" s="2" t="str">
        <f>IFERROR(__xludf.DUMMYFUNCTION("GOOGLETRANSLATE(A3144, ""en"", ""mt"")"),"Distribuzzjoni bla sintomi")</f>
        <v>Distribuzzjoni bla sintomi</v>
      </c>
    </row>
    <row r="3145" ht="15.75" customHeight="1">
      <c r="A3145" s="2" t="s">
        <v>3145</v>
      </c>
      <c r="B3145" s="2" t="str">
        <f>IFERROR(__xludf.DUMMYFUNCTION("GOOGLETRANSLATE(A3145, ""en"", ""mt"")"),"X'inhu Twin Prime?")</f>
        <v>X'inhu Twin Prime?</v>
      </c>
    </row>
    <row r="3146" ht="15.75" customHeight="1">
      <c r="A3146" s="2" t="s">
        <v>3146</v>
      </c>
      <c r="B3146" s="2" t="str">
        <f>IFERROR(__xludf.DUMMYFUNCTION("GOOGLETRANSLATE(A3146, ""en"", ""mt"")"),"Dak li jgħin il-proċess tal-moviment liberu tal-merkanzija?")</f>
        <v>Dak li jgħin il-proċess tal-moviment liberu tal-merkanzija?</v>
      </c>
    </row>
    <row r="3147" ht="15.75" customHeight="1">
      <c r="A3147" s="2" t="s">
        <v>3147</v>
      </c>
      <c r="B3147" s="2" t="str">
        <f>IFERROR(__xludf.DUMMYFUNCTION("GOOGLETRANSLATE(A3147, ""en"", ""mt"")"),"Ċentru Ekonomiku")</f>
        <v>Ċentru Ekonomiku</v>
      </c>
    </row>
    <row r="3148" ht="15.75" customHeight="1">
      <c r="A3148" s="2" t="s">
        <v>3148</v>
      </c>
      <c r="B3148" s="2" t="str">
        <f>IFERROR(__xludf.DUMMYFUNCTION("GOOGLETRANSLATE(A3148, ""en"", ""mt"")"),"Liema belt Ingliża kellha l-akbar knisja refuġjata?")</f>
        <v>Liema belt Ingliża kellha l-akbar knisja refuġjata?</v>
      </c>
    </row>
    <row r="3149" ht="15.75" customHeight="1">
      <c r="A3149" s="2" t="s">
        <v>3149</v>
      </c>
      <c r="B3149" s="2" t="str">
        <f>IFERROR(__xludf.DUMMYFUNCTION("GOOGLETRANSLATE(A3149, ""en"", ""mt"")"),"Kemm mill-fluss tar-Renu jġorr l-ijssel?")</f>
        <v>Kemm mill-fluss tar-Renu jġorr l-ijssel?</v>
      </c>
    </row>
    <row r="3150" ht="15.75" customHeight="1">
      <c r="A3150" s="2" t="s">
        <v>3150</v>
      </c>
      <c r="B3150" s="2" t="str">
        <f>IFERROR(__xludf.DUMMYFUNCTION("GOOGLETRANSLATE(A3150, ""en"", ""mt"")"),"Tatiana Kuplich")</f>
        <v>Tatiana Kuplich</v>
      </c>
    </row>
    <row r="3151" ht="15.75" customHeight="1">
      <c r="A3151" s="2" t="s">
        <v>3151</v>
      </c>
      <c r="B3151" s="2" t="str">
        <f>IFERROR(__xludf.DUMMYFUNCTION("GOOGLETRANSLATE(A3151, ""en"", ""mt"")"),"X'tista 'tgħid dwar tort li jippenetra l-aqwa blat iżda mhux il-formazzjonijiet aktar baxxi?")</f>
        <v>X'tista 'tgħid dwar tort li jippenetra l-aqwa blat iżda mhux il-formazzjonijiet aktar baxxi?</v>
      </c>
    </row>
    <row r="3152" ht="15.75" customHeight="1">
      <c r="A3152" s="2" t="s">
        <v>3152</v>
      </c>
      <c r="B3152" s="2" t="str">
        <f>IFERROR(__xludf.DUMMYFUNCTION("GOOGLETRANSLATE(A3152, ""en"", ""mt"")"),"Terrestri diġitali")</f>
        <v>Terrestri diġitali</v>
      </c>
    </row>
    <row r="3153" ht="15.75" customHeight="1">
      <c r="A3153" s="2" t="s">
        <v>3153</v>
      </c>
      <c r="B3153" s="2" t="str">
        <f>IFERROR(__xludf.DUMMYFUNCTION("GOOGLETRANSLATE(A3153, ""en"", ""mt"")"),"Mediċini li jgħaqqdu / iqassmu")</f>
        <v>Mediċini li jgħaqqdu / iqassmu</v>
      </c>
    </row>
    <row r="3154" ht="15.75" customHeight="1">
      <c r="A3154" s="2" t="s">
        <v>3154</v>
      </c>
      <c r="B3154" s="2" t="str">
        <f>IFERROR(__xludf.DUMMYFUNCTION("GOOGLETRANSLATE(A3154, ""en"", ""mt"")")," Liema xjenzi spiss kienu pprattikati flimkien mill-istess artisti?")</f>
        <v> Liema xjenzi spiss kienu pprattikati flimkien mill-istess artisti?</v>
      </c>
    </row>
    <row r="3155" ht="15.75" customHeight="1">
      <c r="A3155" s="2" t="s">
        <v>3155</v>
      </c>
      <c r="B3155" s="2" t="str">
        <f>IFERROR(__xludf.DUMMYFUNCTION("GOOGLETRANSLATE(A3155, ""en"", ""mt"")"),"jikkoordina l-awtur ewlieni tal-ħames rapport ta 'valutazzjoni")</f>
        <v>jikkoordina l-awtur ewlieni tal-ħames rapport ta 'valutazzjoni</v>
      </c>
    </row>
    <row r="3156" ht="15.75" customHeight="1">
      <c r="A3156" s="2" t="s">
        <v>3156</v>
      </c>
      <c r="B3156" s="2" t="str">
        <f>IFERROR(__xludf.DUMMYFUNCTION("GOOGLETRANSLATE(A3156, ""en"", ""mt"")"),"Fejn il-fluss tan-nofs tar-Rhine bejn Bingen u Bonn?")</f>
        <v>Fejn il-fluss tan-nofs tar-Rhine bejn Bingen u Bonn?</v>
      </c>
    </row>
    <row r="3157" ht="15.75" customHeight="1">
      <c r="A3157" s="2" t="s">
        <v>3157</v>
      </c>
      <c r="B3157" s="2" t="str">
        <f>IFERROR(__xludf.DUMMYFUNCTION("GOOGLETRANSLATE(A3157, ""en"", ""mt"")"),"F'liema perjodu ta 'żmien instabu l-ewwel darba Lagerstatten?")</f>
        <v>F'liema perjodu ta 'żmien instabu l-ewwel darba Lagerstatten?</v>
      </c>
    </row>
    <row r="3158" ht="15.75" customHeight="1">
      <c r="A3158" s="2" t="s">
        <v>3158</v>
      </c>
      <c r="B3158" s="2" t="str">
        <f>IFERROR(__xludf.DUMMYFUNCTION("GOOGLETRANSLATE(A3158, ""en"", ""mt"")"),"X’ħeġġeġ id-direttiva tal-Kunsill tax-Xogħlijiet?")</f>
        <v>X’ħeġġeġ id-direttiva tal-Kunsill tax-Xogħlijiet?</v>
      </c>
    </row>
    <row r="3159" ht="15.75" customHeight="1">
      <c r="A3159" s="2" t="s">
        <v>3159</v>
      </c>
      <c r="B3159" s="2" t="str">
        <f>IFERROR(__xludf.DUMMYFUNCTION("GOOGLETRANSLATE(A3159, ""en"", ""mt"")"),"Liema funzjoni twettaq l-ożonu għall-pjaneta?")</f>
        <v>Liema funzjoni twettaq l-ożonu għall-pjaneta?</v>
      </c>
    </row>
    <row r="3160" ht="15.75" customHeight="1">
      <c r="A3160" s="2" t="s">
        <v>3160</v>
      </c>
      <c r="B3160" s="2" t="str">
        <f>IFERROR(__xludf.DUMMYFUNCTION("GOOGLETRANSLATE(A3160, ""en"", ""mt"")"),"X'tipi ta 'responsabbiltajiet jista' jkollu tekniku tal-ispiżerija?")</f>
        <v>X'tipi ta 'responsabbiltajiet jista' jkollu tekniku tal-ispiżerija?</v>
      </c>
    </row>
    <row r="3161" ht="15.75" customHeight="1">
      <c r="A3161" s="2" t="s">
        <v>3161</v>
      </c>
      <c r="B3161" s="2" t="str">
        <f>IFERROR(__xludf.DUMMYFUNCTION("GOOGLETRANSLATE(A3161, ""en"", ""mt"")"),"Liema mekkaniżmu jista 'jintuża biex jagħmel l-ossiġnu?")</f>
        <v>Liema mekkaniżmu jista 'jintuża biex jagħmel l-ossiġnu?</v>
      </c>
    </row>
    <row r="3162" ht="15.75" customHeight="1">
      <c r="A3162" s="2" t="s">
        <v>3162</v>
      </c>
      <c r="B3162" s="2" t="str">
        <f>IFERROR(__xludf.DUMMYFUNCTION("GOOGLETRANSLATE(A3162, ""en"", ""mt"")"),"il-mehrież u l-lida u l-karattru ℞ (reċipjent)")</f>
        <v>il-mehrież u l-lida u l-karattru ℞ (reċipjent)</v>
      </c>
    </row>
    <row r="3163" ht="15.75" customHeight="1">
      <c r="A3163" s="2" t="s">
        <v>3163</v>
      </c>
      <c r="B3163" s="2" t="str">
        <f>IFERROR(__xludf.DUMMYFUNCTION("GOOGLETRANSLATE(A3163, ""en"", ""mt"")"),"Xi jkun fih l-ogħla livell tad-duna tal-vistula?")</f>
        <v>Xi jkun fih l-ogħla livell tad-duna tal-vistula?</v>
      </c>
    </row>
    <row r="3164" ht="15.75" customHeight="1">
      <c r="A3164" s="2" t="s">
        <v>3164</v>
      </c>
      <c r="B3164" s="2" t="str">
        <f>IFERROR(__xludf.DUMMYFUNCTION("GOOGLETRANSLATE(A3164, ""en"", ""mt"")"),"Għaliex Pedro Menendez de Aviles sejjaħ ix-xmara San Ġwann ix-xmara ta 'Mejju?")</f>
        <v>Għaliex Pedro Menendez de Aviles sejjaħ ix-xmara San Ġwann ix-xmara ta 'Mejju?</v>
      </c>
    </row>
    <row r="3165" ht="15.75" customHeight="1">
      <c r="A3165" s="2" t="s">
        <v>3165</v>
      </c>
      <c r="B3165" s="2" t="str">
        <f>IFERROR(__xludf.DUMMYFUNCTION("GOOGLETRANSLATE(A3165, ""en"", ""mt"")"),"X'tagħmel l-algoritmu ta 'qligħ deterministiku?")</f>
        <v>X'tagħmel l-algoritmu ta 'qligħ deterministiku?</v>
      </c>
    </row>
    <row r="3166" ht="15.75" customHeight="1">
      <c r="A3166" s="2" t="s">
        <v>3166</v>
      </c>
      <c r="B3166" s="2" t="str">
        <f>IFERROR(__xludf.DUMMYFUNCTION("GOOGLETRANSLATE(A3166, ""en"", ""mt"")")," Meta t-tribujiet Ġermaniċi ma talbux territorju fl-Ewropa tat-Tramuntana u tal-Punent?")</f>
        <v> Meta t-tribujiet Ġermaniċi ma talbux territorju fl-Ewropa tat-Tramuntana u tal-Punent?</v>
      </c>
    </row>
    <row r="3167" ht="15.75" customHeight="1">
      <c r="A3167" s="2" t="s">
        <v>3167</v>
      </c>
      <c r="B3167" s="2" t="str">
        <f>IFERROR(__xludf.DUMMYFUNCTION("GOOGLETRANSLATE(A3167, ""en"", ""mt"")"),"Flimkien ma 'muturi elettriċi, x'tip ta' magni ħadu post magni tal-fwar tal-pistuni?")</f>
        <v>Flimkien ma 'muturi elettriċi, x'tip ta' magni ħadu post magni tal-fwar tal-pistuni?</v>
      </c>
    </row>
    <row r="3168" ht="15.75" customHeight="1">
      <c r="A3168" s="2" t="s">
        <v>3168</v>
      </c>
      <c r="B3168" s="2" t="str">
        <f>IFERROR(__xludf.DUMMYFUNCTION("GOOGLETRANSLATE(A3168, ""en"", ""mt"")"),"Min kien l-ewwel president tal-IPCC?")</f>
        <v>Min kien l-ewwel president tal-IPCC?</v>
      </c>
    </row>
    <row r="3169" ht="15.75" customHeight="1">
      <c r="A3169" s="2" t="s">
        <v>3169</v>
      </c>
      <c r="B3169" s="2" t="str">
        <f>IFERROR(__xludf.DUMMYFUNCTION("GOOGLETRANSLATE(A3169, ""en"", ""mt"")"),"1294 sa 1307")</f>
        <v>1294 sa 1307</v>
      </c>
    </row>
    <row r="3170" ht="15.75" customHeight="1">
      <c r="A3170" s="2" t="s">
        <v>3170</v>
      </c>
      <c r="B3170" s="2" t="str">
        <f>IFERROR(__xludf.DUMMYFUNCTION("GOOGLETRANSLATE(A3170, ""en"", ""mt"")"),"Ma 'liema pretensjoni qablet il-BSKYB?")</f>
        <v>Ma 'liema pretensjoni qablet il-BSKYB?</v>
      </c>
    </row>
    <row r="3171" ht="15.75" customHeight="1">
      <c r="A3171" s="2" t="s">
        <v>3171</v>
      </c>
      <c r="B3171" s="2" t="str">
        <f>IFERROR(__xludf.DUMMYFUNCTION("GOOGLETRANSLATE(A3171, ""en"", ""mt"")"),"Fejn jinsabu l-Harvard Medical, Dentali u l-Iskola tas-Saħħa Pubblika?")</f>
        <v>Fejn jinsabu l-Harvard Medical, Dentali u l-Iskola tas-Saħħa Pubblika?</v>
      </c>
    </row>
    <row r="3172" ht="15.75" customHeight="1">
      <c r="A3172" s="2" t="s">
        <v>3172</v>
      </c>
      <c r="B3172" s="2" t="str">
        <f>IFERROR(__xludf.DUMMYFUNCTION("GOOGLETRANSLATE(A3172, ""en"", ""mt"")"),"2p + 1 bi P prim")</f>
        <v>2p + 1 bi P prim</v>
      </c>
    </row>
    <row r="3173" ht="15.75" customHeight="1">
      <c r="A3173" s="2" t="s">
        <v>3173</v>
      </c>
      <c r="B3173" s="2" t="str">
        <f>IFERROR(__xludf.DUMMYFUNCTION("GOOGLETRANSLATE(A3173, ""en"", ""mt"")"),"Fuq liema kienet il-Mewt l-Iswed oriġinarjament akkużat?")</f>
        <v>Fuq liema kienet il-Mewt l-Iswed oriġinarjament akkużat?</v>
      </c>
    </row>
    <row r="3174" ht="15.75" customHeight="1">
      <c r="A3174" s="2" t="s">
        <v>3174</v>
      </c>
      <c r="B3174" s="2" t="str">
        <f>IFERROR(__xludf.DUMMYFUNCTION("GOOGLETRANSLATE(A3174, ""en"", ""mt"")"),"kuntratti ta 'relazzjoni")</f>
        <v>kuntratti ta 'relazzjoni</v>
      </c>
    </row>
    <row r="3175" ht="15.75" customHeight="1">
      <c r="A3175" s="2" t="s">
        <v>3175</v>
      </c>
      <c r="B3175" s="2" t="str">
        <f>IFERROR(__xludf.DUMMYFUNCTION("GOOGLETRANSLATE(A3175, ""en"", ""mt"")"),"X'inhu l-iktar eżempju reċenti ta 'linji ta' difetti finanzjarji?")</f>
        <v>X'inhu l-iktar eżempju reċenti ta 'linji ta' difetti finanzjarji?</v>
      </c>
    </row>
    <row r="3176" ht="15.75" customHeight="1">
      <c r="A3176" s="2" t="s">
        <v>3176</v>
      </c>
      <c r="B3176" s="2" t="str">
        <f>IFERROR(__xludf.DUMMYFUNCTION("GOOGLETRANSLATE(A3176, ""en"", ""mt"")"),"X'inhu tort tal-imbottatura?")</f>
        <v>X'inhu tort tal-imbottatura?</v>
      </c>
    </row>
    <row r="3177" ht="15.75" customHeight="1">
      <c r="A3177" s="2" t="s">
        <v>3177</v>
      </c>
      <c r="B3177" s="2" t="str">
        <f>IFERROR(__xludf.DUMMYFUNCTION("GOOGLETRANSLATE(A3177, ""en"", ""mt"")"),"X'inhu deċiż ukoll mill-uffiċjal li jippresiedi?")</f>
        <v>X'inhu deċiż ukoll mill-uffiċjal li jippresiedi?</v>
      </c>
    </row>
    <row r="3178" ht="15.75" customHeight="1">
      <c r="A3178" s="2" t="s">
        <v>3178</v>
      </c>
      <c r="B3178" s="2" t="str">
        <f>IFERROR(__xludf.DUMMYFUNCTION("GOOGLETRANSLATE(A3178, ""en"", ""mt"")"),"X'inhu Janjaap Ruijssenaar se jibni fl-2013?")</f>
        <v>X'inhu Janjaap Ruijssenaar se jibni fl-2013?</v>
      </c>
    </row>
    <row r="3179" ht="15.75" customHeight="1">
      <c r="A3179" s="2" t="s">
        <v>3179</v>
      </c>
      <c r="B3179" s="2" t="str">
        <f>IFERROR(__xludf.DUMMYFUNCTION("GOOGLETRANSLATE(A3179, ""en"", ""mt"")"),"pajjiżi jew powiats")</f>
        <v>pajjiżi jew powiats</v>
      </c>
    </row>
    <row r="3180" ht="15.75" customHeight="1">
      <c r="A3180" s="2" t="s">
        <v>3180</v>
      </c>
      <c r="B3180" s="2" t="str">
        <f>IFERROR(__xludf.DUMMYFUNCTION("GOOGLETRANSLATE(A3180, ""en"", ""mt"")"),"simboli")</f>
        <v>simboli</v>
      </c>
    </row>
    <row r="3181" ht="15.75" customHeight="1">
      <c r="A3181" s="2" t="s">
        <v>3181</v>
      </c>
      <c r="B3181" s="2" t="str">
        <f>IFERROR(__xludf.DUMMYFUNCTION("GOOGLETRANSLATE(A3181, ""en"", ""mt"")"),"Liema forma ġeometrika tintuża fl-ekwazzjonijiet biex tiddetermina l-forza netta?")</f>
        <v>Liema forma ġeometrika tintuża fl-ekwazzjonijiet biex tiddetermina l-forza netta?</v>
      </c>
    </row>
    <row r="3182" ht="15.75" customHeight="1">
      <c r="A3182" s="2" t="s">
        <v>3182</v>
      </c>
      <c r="B3182" s="2" t="str">
        <f>IFERROR(__xludf.DUMMYFUNCTION("GOOGLETRANSLATE(A3182, ""en"", ""mt"")"),"Fuq liema kwistjonijiet jgħidu l-Istati Membri li l-Qorti tal-Ġustizzja m'għandhiex l-aħħar kelma?")</f>
        <v>Fuq liema kwistjonijiet jgħidu l-Istati Membri li l-Qorti tal-Ġustizzja m'għandhiex l-aħħar kelma?</v>
      </c>
    </row>
    <row r="3183" ht="15.75" customHeight="1">
      <c r="A3183" s="2" t="s">
        <v>3183</v>
      </c>
      <c r="B3183" s="2" t="str">
        <f>IFERROR(__xludf.DUMMYFUNCTION("GOOGLETRANSLATE(A3183, ""en"", ""mt"")"),"X'jiġri meta tivvjaġġa f'wiċċ b'veloċità kostanti fir-rigward tal-frizzjoni?")</f>
        <v>X'jiġri meta tivvjaġġa f'wiċċ b'veloċità kostanti fir-rigward tal-frizzjoni?</v>
      </c>
    </row>
    <row r="3184" ht="15.75" customHeight="1">
      <c r="A3184" s="2" t="s">
        <v>3184</v>
      </c>
      <c r="B3184" s="2" t="str">
        <f>IFERROR(__xludf.DUMMYFUNCTION("GOOGLETRANSLATE(A3184, ""en"", ""mt"")"),"X'inhu ogħla f'pajjiżi b'aktar inugwaljanza għall-aqwa 21 pajjiż industrijalizzat?")</f>
        <v>X'inhu ogħla f'pajjiżi b'aktar inugwaljanza għall-aqwa 21 pajjiż industrijalizzat?</v>
      </c>
    </row>
    <row r="3185" ht="15.75" customHeight="1">
      <c r="A3185" s="2" t="s">
        <v>3185</v>
      </c>
      <c r="B3185" s="2" t="str">
        <f>IFERROR(__xludf.DUMMYFUNCTION("GOOGLETRANSLATE(A3185, ""en"", ""mt"")"),"Ġeografija immaġinattiva")</f>
        <v>Ġeografija immaġinattiva</v>
      </c>
    </row>
    <row r="3186" ht="15.75" customHeight="1">
      <c r="A3186" s="2" t="s">
        <v>3186</v>
      </c>
      <c r="B3186" s="2" t="str">
        <f>IFERROR(__xludf.DUMMYFUNCTION("GOOGLETRANSLATE(A3186, ""en"", ""mt"")"),"Artiku")</f>
        <v>Artiku</v>
      </c>
    </row>
    <row r="3187" ht="15.75" customHeight="1">
      <c r="A3187" s="2" t="s">
        <v>3187</v>
      </c>
      <c r="B3187" s="2" t="str">
        <f>IFERROR(__xludf.DUMMYFUNCTION("GOOGLETRANSLATE(A3187, ""en"", ""mt"")"),"X'tip ta 'distribuzzjoni żero jipproponi l-ipoteżi Riemann hija vera wkoll għal intervalli qosra qrib X?")</f>
        <v>X'tip ta 'distribuzzjoni żero jipproponi l-ipoteżi Riemann hija vera wkoll għal intervalli qosra qrib X?</v>
      </c>
    </row>
    <row r="3188" ht="15.75" customHeight="1">
      <c r="A3188" s="2" t="s">
        <v>3188</v>
      </c>
      <c r="B3188" s="2" t="str">
        <f>IFERROR(__xludf.DUMMYFUNCTION("GOOGLETRANSLATE(A3188, ""en"", ""mt"")"),"Meta twaqqfet il-kolonja Franċiża fil-ġurnata moderna l-Brażil?")</f>
        <v>Meta twaqqfet il-kolonja Franċiża fil-ġurnata moderna l-Brażil?</v>
      </c>
    </row>
    <row r="3189" ht="15.75" customHeight="1">
      <c r="A3189" s="2" t="s">
        <v>3189</v>
      </c>
      <c r="B3189" s="2" t="str">
        <f>IFERROR(__xludf.DUMMYFUNCTION("GOOGLETRANSLATE(A3189, ""en"", ""mt"")"),"Kif jissejjaħ il-famuż blat li r-Rhine joħroġ?")</f>
        <v>Kif jissejjaħ il-famuż blat li r-Rhine joħroġ?</v>
      </c>
    </row>
    <row r="3190" ht="15.75" customHeight="1">
      <c r="A3190" s="2" t="s">
        <v>3190</v>
      </c>
      <c r="B3190" s="2" t="str">
        <f>IFERROR(__xludf.DUMMYFUNCTION("GOOGLETRANSLATE(A3190, ""en"", ""mt"")"),"Villes de sûreté")</f>
        <v>Villes de sûreté</v>
      </c>
    </row>
    <row r="3191" ht="15.75" customHeight="1">
      <c r="A3191" s="2" t="s">
        <v>3191</v>
      </c>
      <c r="B3191" s="2" t="str">
        <f>IFERROR(__xludf.DUMMYFUNCTION("GOOGLETRANSLATE(A3191, ""en"", ""mt"")"),"Għalf l-ilma")</f>
        <v>Għalf l-ilma</v>
      </c>
    </row>
    <row r="3192" ht="15.75" customHeight="1">
      <c r="A3192" s="2" t="s">
        <v>3192</v>
      </c>
      <c r="B3192" s="2" t="str">
        <f>IFERROR(__xludf.DUMMYFUNCTION("GOOGLETRANSLATE(A3192, ""en"", ""mt"")"),"Kemm għandhom lobi cilia?")</f>
        <v>Kemm għandhom lobi cilia?</v>
      </c>
    </row>
    <row r="3193" ht="15.75" customHeight="1">
      <c r="A3193" s="2" t="s">
        <v>3193</v>
      </c>
      <c r="B3193" s="2" t="str">
        <f>IFERROR(__xludf.DUMMYFUNCTION("GOOGLETRANSLATE(A3193, ""en"", ""mt"")"),"Viking")</f>
        <v>Viking</v>
      </c>
    </row>
    <row r="3194" ht="15.75" customHeight="1">
      <c r="A3194" s="2" t="s">
        <v>3194</v>
      </c>
      <c r="B3194" s="2" t="str">
        <f>IFERROR(__xludf.DUMMYFUNCTION("GOOGLETRANSLATE(A3194, ""en"", ""mt"")"),"Kif jissejħu wkoll flagella?")</f>
        <v>Kif jissejħu wkoll flagella?</v>
      </c>
    </row>
    <row r="3195" ht="15.75" customHeight="1">
      <c r="A3195" s="2" t="s">
        <v>3195</v>
      </c>
      <c r="B3195" s="2" t="str">
        <f>IFERROR(__xludf.DUMMYFUNCTION("GOOGLETRANSLATE(A3195, ""en"", ""mt"")"),"Imnissel minn Italo-Norman jismu Raoul")</f>
        <v>Imnissel minn Italo-Norman jismu Raoul</v>
      </c>
    </row>
    <row r="3196" ht="15.75" customHeight="1">
      <c r="A3196" s="2" t="s">
        <v>3196</v>
      </c>
      <c r="B3196" s="2" t="str">
        <f>IFERROR(__xludf.DUMMYFUNCTION("GOOGLETRANSLATE(A3196, ""en"", ""mt"")"),"X'kienet in-netwerk imħaddem mit-Telecom PTT DUCT?")</f>
        <v>X'kienet in-netwerk imħaddem mit-Telecom PTT DUCT?</v>
      </c>
    </row>
    <row r="3197" ht="15.75" customHeight="1">
      <c r="A3197" s="2" t="s">
        <v>3197</v>
      </c>
      <c r="B3197" s="2" t="str">
        <f>IFERROR(__xludf.DUMMYFUNCTION("GOOGLETRANSLATE(A3197, ""en"", ""mt"")"),"numru ta 'kwalifiki")</f>
        <v>numru ta 'kwalifiki</v>
      </c>
    </row>
    <row r="3198" ht="15.75" customHeight="1">
      <c r="A3198" s="2" t="s">
        <v>3198</v>
      </c>
      <c r="B3198" s="2" t="str">
        <f>IFERROR(__xludf.DUMMYFUNCTION("GOOGLETRANSLATE(A3198, ""en"", ""mt"")"),"It-tieni liġi")</f>
        <v>It-tieni liġi</v>
      </c>
    </row>
    <row r="3199" ht="15.75" customHeight="1">
      <c r="A3199" s="2" t="s">
        <v>3199</v>
      </c>
      <c r="B3199" s="2" t="str">
        <f>IFERROR(__xludf.DUMMYFUNCTION("GOOGLETRANSLATE(A3199, ""en"", ""mt"")"),"X'ġara mid-dħul ta 'Bretton Woods minħabba prezzijiet li ma jkunux sinkronizzati mas-suq?")</f>
        <v>X'ġara mid-dħul ta 'Bretton Woods minħabba prezzijiet li ma jkunux sinkronizzati mas-suq?</v>
      </c>
    </row>
    <row r="3200" ht="15.75" customHeight="1">
      <c r="A3200" s="2" t="s">
        <v>3200</v>
      </c>
      <c r="B3200" s="2" t="str">
        <f>IFERROR(__xludf.DUMMYFUNCTION("GOOGLETRANSLATE(A3200, ""en"", ""mt"")"),"hemicycle")</f>
        <v>hemicycle</v>
      </c>
    </row>
    <row r="3201" ht="15.75" customHeight="1">
      <c r="A3201" s="2" t="s">
        <v>3201</v>
      </c>
      <c r="B3201" s="2" t="str">
        <f>IFERROR(__xludf.DUMMYFUNCTION("GOOGLETRANSLATE(A3201, ""en"", ""mt"")"),"Fl-iskejjel privati, f'liema lingwa huma mgħallma l-klassijiet?")</f>
        <v>Fl-iskejjel privati, f'liema lingwa huma mgħallma l-klassijiet?</v>
      </c>
    </row>
    <row r="3202" ht="15.75" customHeight="1">
      <c r="A3202" s="2" t="s">
        <v>3202</v>
      </c>
      <c r="B3202" s="2" t="str">
        <f>IFERROR(__xludf.DUMMYFUNCTION("GOOGLETRANSLATE(A3202, ""en"", ""mt"")"),"Is-sid")</f>
        <v>Is-sid</v>
      </c>
    </row>
    <row r="3203" ht="15.75" customHeight="1">
      <c r="A3203" s="2" t="s">
        <v>3203</v>
      </c>
      <c r="B3203" s="2" t="str">
        <f>IFERROR(__xludf.DUMMYFUNCTION("GOOGLETRANSLATE(A3203, ""en"", ""mt"")"),"X’sar matul il-Gwerra Messjana?")</f>
        <v>X’sar matul il-Gwerra Messjana?</v>
      </c>
    </row>
    <row r="3204" ht="15.75" customHeight="1">
      <c r="A3204" s="2" t="s">
        <v>3204</v>
      </c>
      <c r="B3204" s="2" t="str">
        <f>IFERROR(__xludf.DUMMYFUNCTION("GOOGLETRANSLATE(A3204, ""en"", ""mt"")"),"X'tip ta 'arkitettura huwa l-Palazz tal-Bank eżempju impressjonanti ta'?")</f>
        <v>X'tip ta 'arkitettura huwa l-Palazz tal-Bank eżempju impressjonanti ta'?</v>
      </c>
    </row>
    <row r="3205" ht="15.75" customHeight="1">
      <c r="A3205" s="2" t="s">
        <v>3205</v>
      </c>
      <c r="B3205" s="2" t="str">
        <f>IFERROR(__xludf.DUMMYFUNCTION("GOOGLETRANSLATE(A3205, ""en"", ""mt"")"),"Basel")</f>
        <v>Basel</v>
      </c>
    </row>
    <row r="3206" ht="15.75" customHeight="1">
      <c r="A3206" s="2" t="s">
        <v>3206</v>
      </c>
      <c r="B3206" s="2" t="str">
        <f>IFERROR(__xludf.DUMMYFUNCTION("GOOGLETRANSLATE(A3206, ""en"", ""mt"")"),"Studs Terkel")</f>
        <v>Studs Terkel</v>
      </c>
    </row>
    <row r="3207" ht="15.75" customHeight="1">
      <c r="A3207" s="2" t="s">
        <v>3207</v>
      </c>
      <c r="B3207" s="2" t="str">
        <f>IFERROR(__xludf.DUMMYFUNCTION("GOOGLETRANSLATE(A3207, ""en"", ""mt"")"),"X'jiġri mill-fluwidu tax-xogħol f'sistema ta 'linja magħluqa?")</f>
        <v>X'jiġri mill-fluwidu tax-xogħol f'sistema ta 'linja magħluqa?</v>
      </c>
    </row>
    <row r="3208" ht="15.75" customHeight="1">
      <c r="A3208" s="2" t="s">
        <v>3208</v>
      </c>
      <c r="B3208" s="2" t="str">
        <f>IFERROR(__xludf.DUMMYFUNCTION("GOOGLETRANSLATE(A3208, ""en"", ""mt"")"),"Uża datagrammi mhux affidabbli u mekkaniżmi ta 'protokoll end-to-end assoċjati")</f>
        <v>Uża datagrammi mhux affidabbli u mekkaniżmi ta 'protokoll end-to-end assoċjati</v>
      </c>
    </row>
    <row r="3209" ht="15.75" customHeight="1">
      <c r="A3209" s="2" t="s">
        <v>3209</v>
      </c>
      <c r="B3209" s="2" t="str">
        <f>IFERROR(__xludf.DUMMYFUNCTION("GOOGLETRANSLATE(A3209, ""en"", ""mt"")"),"Il-Kurunell Monckton, fl-uniku suċċess Ingliż ta ’dik is-sena, qabad lil Fort Beauséjour f’Ġunju 1755, billi qata’ l-fortizza Franċiża fi Louisbourg barra minn rinforzi bbażati fuq l-art. Biex tnaqqas il-provvisti vitali lil Louisbourg, il-gvernatur tan-N"&amp;"ova Scotia Charles Lawrence ordna d-deportazzjoni tal-popolazzjoni Akkadjana li titkellem bil-Franċiż miż-żona. Il-forzi ta 'Monckton, inklużi kumpaniji ta' Rogers 'Rangers, neħħew bil-forza eluf ta' Akkadjani, jiġru wara ħafna li rreżistew, u xi kultant "&amp;"wettqu atroċitajiet. Aktar minn kwalunkwe fattur ieħor, il-qtugħ tal-provvisti lil Louisbourg wassal għall-mewt tiegħu. Ir-reżistenza Akkadjana, f'kunċert ma 'alleati indiġeni, inkluż il-Mi'kmaq, xi kultant kienet pjuttost iebsa, b'attakki tal-fruntiera k"&amp;"ontinwi (kontra Dartmouth u Lunenburg fost oħrajn). Minbarra l-kampanji biex jitkeċċew lill-Akkadjani (li jvarjaw madwar il-Bajja ta 'Fundy, fuq ix-Xmajjar Petitcodiac u San Ġwann, u l-Île Saint-Jean), l-uniċi ġlied ta' kull daqs kienu f'Petitodiac fl-175"&amp;"5 u fi Bloody Creek qrib Annapolis Royal fl-1757.")</f>
        <v>Il-Kurunell Monckton, fl-uniku suċċess Ingliż ta ’dik is-sena, qabad lil Fort Beauséjour f’Ġunju 1755, billi qata’ l-fortizza Franċiża fi Louisbourg barra minn rinforzi bbażati fuq l-art. Biex tnaqqas il-provvisti vitali lil Louisbourg, il-gvernatur tan-Nova Scotia Charles Lawrence ordna d-deportazzjoni tal-popolazzjoni Akkadjana li titkellem bil-Franċiż miż-żona. Il-forzi ta 'Monckton, inklużi kumpaniji ta' Rogers 'Rangers, neħħew bil-forza eluf ta' Akkadjani, jiġru wara ħafna li rreżistew, u xi kultant wettqu atroċitajiet. Aktar minn kwalunkwe fattur ieħor, il-qtugħ tal-provvisti lil Louisbourg wassal għall-mewt tiegħu. Ir-reżistenza Akkadjana, f'kunċert ma 'alleati indiġeni, inkluż il-Mi'kmaq, xi kultant kienet pjuttost iebsa, b'attakki tal-fruntiera kontinwi (kontra Dartmouth u Lunenburg fost oħrajn). Minbarra l-kampanji biex jitkeċċew lill-Akkadjani (li jvarjaw madwar il-Bajja ta 'Fundy, fuq ix-Xmajjar Petitcodiac u San Ġwann, u l-Île Saint-Jean), l-uniċi ġlied ta' kull daqs kienu f'Petitodiac fl-1755 u fi Bloody Creek qrib Annapolis Royal fl-1757.</v>
      </c>
    </row>
    <row r="3210" ht="15.75" customHeight="1">
      <c r="A3210" s="2" t="s">
        <v>3210</v>
      </c>
      <c r="B3210" s="2" t="str">
        <f>IFERROR(__xludf.DUMMYFUNCTION("GOOGLETRANSLATE(A3210, ""en"", ""mt"")"),"Evita t-talbiet ta 'dota li jiswew ħafna flus")</f>
        <v>Evita t-talbiet ta 'dota li jiswew ħafna flus</v>
      </c>
    </row>
    <row r="3211" ht="15.75" customHeight="1">
      <c r="A3211" s="2" t="s">
        <v>3211</v>
      </c>
      <c r="B3211" s="2" t="str">
        <f>IFERROR(__xludf.DUMMYFUNCTION("GOOGLETRANSLATE(A3211, ""en"", ""mt"")"),"F'liema varjabbli hija Lon Lestriined skond it-Teorema tal-Ġerarkija tal-Ispazju?")</f>
        <v>F'liema varjabbli hija Lon Lestriined skond it-Teorema tal-Ġerarkija tal-Ispazju?</v>
      </c>
    </row>
    <row r="3212" ht="15.75" customHeight="1">
      <c r="A3212" s="2" t="s">
        <v>3212</v>
      </c>
      <c r="B3212" s="2" t="str">
        <f>IFERROR(__xludf.DUMMYFUNCTION("GOOGLETRANSLATE(A3212, ""en"", ""mt"")"),"L-attivitajiet ta 'min kienu l-Franċiżi kapaċi jitilfu l-għarfien?")</f>
        <v>L-attivitajiet ta 'min kienu l-Franċiżi kapaċi jitilfu l-għarfien?</v>
      </c>
    </row>
    <row r="3213" ht="15.75" customHeight="1">
      <c r="A3213" s="2" t="s">
        <v>3213</v>
      </c>
      <c r="B3213" s="2" t="str">
        <f>IFERROR(__xludf.DUMMYFUNCTION("GOOGLETRANSLATE(A3213, ""en"", ""mt"")"),"Forza tal-bilanċ taċċellera xiex?")</f>
        <v>Forza tal-bilanċ taċċellera xiex?</v>
      </c>
    </row>
    <row r="3214" ht="15.75" customHeight="1">
      <c r="A3214" s="2" t="s">
        <v>3214</v>
      </c>
      <c r="B3214" s="2" t="str">
        <f>IFERROR(__xludf.DUMMYFUNCTION("GOOGLETRANSLATE(A3214, ""en"", ""mt"")"),"Liema storiċi tad-dinastiji ġew dokumentati uffiċjalment matul ir-renju ta 'Toghun?")</f>
        <v>Liema storiċi tad-dinastiji ġew dokumentati uffiċjalment matul ir-renju ta 'Toghun?</v>
      </c>
    </row>
    <row r="3215" ht="15.75" customHeight="1">
      <c r="A3215" s="2" t="s">
        <v>3215</v>
      </c>
      <c r="B3215" s="2" t="str">
        <f>IFERROR(__xludf.DUMMYFUNCTION("GOOGLETRANSLATE(A3215, ""en"", ""mt"")"),"F’liema seklu ġie abolit l-apartheid?")</f>
        <v>F’liema seklu ġie abolit l-apartheid?</v>
      </c>
    </row>
    <row r="3216" ht="15.75" customHeight="1">
      <c r="A3216" s="2" t="s">
        <v>3216</v>
      </c>
      <c r="B3216" s="2" t="str">
        <f>IFERROR(__xludf.DUMMYFUNCTION("GOOGLETRANSLATE(A3216, ""en"", ""mt"")"),"X'qal Houghton huwa meħtieġ għal xi tibdil fl-SPM?")</f>
        <v>X'qal Houghton huwa meħtieġ għal xi tibdil fl-SPM?</v>
      </c>
    </row>
    <row r="3217" ht="15.75" customHeight="1">
      <c r="A3217" s="2" t="s">
        <v>3217</v>
      </c>
      <c r="B3217" s="2" t="str">
        <f>IFERROR(__xludf.DUMMYFUNCTION("GOOGLETRANSLATE(A3217, ""en"", ""mt"")")," Meta Franza bdiet bla heda biex tibni l-imperu globali tagħha għall-ewwel darba?")</f>
        <v> Meta Franza bdiet bla heda biex tibni l-imperu globali tagħha għall-ewwel darba?</v>
      </c>
    </row>
    <row r="3218" ht="15.75" customHeight="1">
      <c r="A3218" s="2" t="s">
        <v>3218</v>
      </c>
      <c r="B3218" s="2" t="str">
        <f>IFERROR(__xludf.DUMMYFUNCTION("GOOGLETRANSLATE(A3218, ""en"", ""mt"")"),"Fejn tinsab Visa Inc.?")</f>
        <v>Fejn tinsab Visa Inc.?</v>
      </c>
    </row>
    <row r="3219" ht="15.75" customHeight="1">
      <c r="A3219" s="2" t="s">
        <v>3219</v>
      </c>
      <c r="B3219" s="2" t="str">
        <f>IFERROR(__xludf.DUMMYFUNCTION("GOOGLETRANSLATE(A3219, ""en"", ""mt"")"),"Min stabbilixxa l-Konfederazzjoni tar-Renu?")</f>
        <v>Min stabbilixxa l-Konfederazzjoni tar-Renu?</v>
      </c>
    </row>
    <row r="3220" ht="15.75" customHeight="1">
      <c r="A3220" s="2" t="s">
        <v>3220</v>
      </c>
      <c r="B3220" s="2" t="str">
        <f>IFERROR(__xludf.DUMMYFUNCTION("GOOGLETRANSLATE(A3220, ""en"", ""mt"")"),"il-gwerer orribbli kollha")</f>
        <v>il-gwerer orribbli kollha</v>
      </c>
    </row>
    <row r="3221" ht="15.75" customHeight="1">
      <c r="A3221" s="2" t="s">
        <v>3221</v>
      </c>
      <c r="B3221" s="2" t="str">
        <f>IFERROR(__xludf.DUMMYFUNCTION("GOOGLETRANSLATE(A3221, ""en"", ""mt"")"),"X'inhu eżempju ta 'mudell ta' magna li jiddevja minn magna b'ħafna tape aċċettata ġeneralment?")</f>
        <v>X'inhu eżempju ta 'mudell ta' magna li jiddevja minn magna b'ħafna tape aċċettata ġeneralment?</v>
      </c>
    </row>
    <row r="3222" ht="15.75" customHeight="1">
      <c r="A3222" s="2" t="s">
        <v>3222</v>
      </c>
      <c r="B3222" s="2" t="str">
        <f>IFERROR(__xludf.DUMMYFUNCTION("GOOGLETRANSLATE(A3222, ""en"", ""mt"")"),"Liema ġibjun ta 'ossiġnu huwa l-fattur tas-sewqan taċ-ċiklu ta' ossiġnu?")</f>
        <v>Liema ġibjun ta 'ossiġnu huwa l-fattur tas-sewqan taċ-ċiklu ta' ossiġnu?</v>
      </c>
    </row>
    <row r="3223" ht="15.75" customHeight="1">
      <c r="A3223" s="2" t="s">
        <v>3223</v>
      </c>
      <c r="B3223" s="2" t="str">
        <f>IFERROR(__xludf.DUMMYFUNCTION("GOOGLETRANSLATE(A3223, ""en"", ""mt"")"),"triplu")</f>
        <v>triplu</v>
      </c>
    </row>
    <row r="3224" ht="15.75" customHeight="1">
      <c r="A3224" s="2" t="s">
        <v>3224</v>
      </c>
      <c r="B3224" s="2" t="str">
        <f>IFERROR(__xludf.DUMMYFUNCTION("GOOGLETRANSLATE(A3224, ""en"", ""mt"")"),"Id-deċiżjoni ta 'min kienet li ssemmi l-belt il-ġdida New Rochelle?")</f>
        <v>Id-deċiżjoni ta 'min kienet li ssemmi l-belt il-ġdida New Rochelle?</v>
      </c>
    </row>
    <row r="3225" ht="15.75" customHeight="1">
      <c r="A3225" s="2" t="s">
        <v>3225</v>
      </c>
      <c r="B3225" s="2" t="str">
        <f>IFERROR(__xludf.DUMMYFUNCTION("GOOGLETRANSLATE(A3225, ""en"", ""mt"")"),"L-ekwazzjoni ta 'Schrödinger")</f>
        <v>L-ekwazzjoni ta 'Schrödinger</v>
      </c>
    </row>
    <row r="3226" ht="15.75" customHeight="1">
      <c r="A3226" s="2" t="s">
        <v>3226</v>
      </c>
      <c r="B3226" s="2" t="str">
        <f>IFERROR(__xludf.DUMMYFUNCTION("GOOGLETRANSLATE(A3226, ""en"", ""mt"")"),"barriera tad-demm-moħħ, barriera ta 'fluwidu tad-demm-cerebrospinali, u ostakli simili ta' fluwidu-moħħ")</f>
        <v>barriera tad-demm-moħħ, barriera ta 'fluwidu tad-demm-cerebrospinali, u ostakli simili ta' fluwidu-moħħ</v>
      </c>
    </row>
    <row r="3227" ht="15.75" customHeight="1">
      <c r="A3227" s="2" t="s">
        <v>3227</v>
      </c>
      <c r="B3227" s="2" t="str">
        <f>IFERROR(__xludf.DUMMYFUNCTION("GOOGLETRANSLATE(A3227, ""en"", ""mt"")"),"Suite proprjetarja ta 'protokolli ta' netwerking żviluppati minn Apple Inc")</f>
        <v>Suite proprjetarja ta 'protokolli ta' netwerking żviluppati minn Apple Inc</v>
      </c>
    </row>
    <row r="3228" ht="15.75" customHeight="1">
      <c r="A3228" s="2" t="s">
        <v>3228</v>
      </c>
      <c r="B3228" s="2" t="str">
        <f>IFERROR(__xludf.DUMMYFUNCTION("GOOGLETRANSLATE(A3228, ""en"", ""mt"")"),"F'liema taqsam il-Kunsill tas-Sindku?")</f>
        <v>F'liema taqsam il-Kunsill tas-Sindku?</v>
      </c>
    </row>
    <row r="3229" ht="15.75" customHeight="1">
      <c r="A3229" s="2" t="s">
        <v>3229</v>
      </c>
      <c r="B3229" s="2" t="str">
        <f>IFERROR(__xludf.DUMMYFUNCTION("GOOGLETRANSLATE(A3229, ""en"", ""mt"")"),"Liema raġuni tingħata xi kultant biex tinvoka li mhux ħati li tinvolvi dawn il-kwistjonijiet?")</f>
        <v>Liema raġuni tingħata xi kultant biex tinvoka li mhux ħati li tinvolvi dawn il-kwistjonijiet?</v>
      </c>
    </row>
    <row r="3230" ht="15.75" customHeight="1">
      <c r="A3230" s="2" t="s">
        <v>3230</v>
      </c>
      <c r="B3230" s="2" t="str">
        <f>IFERROR(__xludf.DUMMYFUNCTION("GOOGLETRANSLATE(A3230, ""en"", ""mt"")"),"Fiż-żona ta 'Los Angeles hemm id-distretti kummerċjali ewlenin ta' Downtown Burbank, Downtown Santa Monica, Downtown Glendale u Downtown Long Beach. Los Angeles innifsu għandu bosta distretti tan-negozju fosthom id-Distrett tan-Negozju Ċentrali ta ’Los An"&amp;"geles kif ukoll dawk li kisbu l-Wilshire Boulevard Miracle Mile inkluż Century City, Westwood u Warner Centre fil-Wied ta’ San Fernando.")</f>
        <v>Fiż-żona ta 'Los Angeles hemm id-distretti kummerċjali ewlenin ta' Downtown Burbank, Downtown Santa Monica, Downtown Glendale u Downtown Long Beach. Los Angeles innifsu għandu bosta distretti tan-negozju fosthom id-Distrett tan-Negozju Ċentrali ta ’Los Angeles kif ukoll dawk li kisbu l-Wilshire Boulevard Miracle Mile inkluż Century City, Westwood u Warner Centre fil-Wied ta’ San Fernando.</v>
      </c>
    </row>
    <row r="3231" ht="15.75" customHeight="1">
      <c r="A3231" s="2" t="s">
        <v>3231</v>
      </c>
      <c r="B3231" s="2" t="str">
        <f>IFERROR(__xludf.DUMMYFUNCTION("GOOGLETRANSLATE(A3231, ""en"", ""mt"")"),"Fejn fagoċita titwaħħal f'patoġen?")</f>
        <v>Fejn fagoċita titwaħħal f'patoġen?</v>
      </c>
    </row>
    <row r="3232" ht="15.75" customHeight="1">
      <c r="A3232" s="2" t="s">
        <v>3232</v>
      </c>
      <c r="B3232" s="2" t="str">
        <f>IFERROR(__xludf.DUMMYFUNCTION("GOOGLETRANSLATE(A3232, ""en"", ""mt"")"),"Agħmel pjanijiet dettaljati u żżomm sorveljanza bir-reqqa")</f>
        <v>Agħmel pjanijiet dettaljati u żżomm sorveljanza bir-reqqa</v>
      </c>
    </row>
    <row r="3233" ht="15.75" customHeight="1">
      <c r="A3233" s="2" t="s">
        <v>3233</v>
      </c>
      <c r="B3233" s="2" t="str">
        <f>IFERROR(__xludf.DUMMYFUNCTION("GOOGLETRANSLATE(A3233, ""en"", ""mt"")"),"Kemm huma għoljin ir-reġjuni tax-Xmara Victoria?")</f>
        <v>Kemm huma għoljin ir-reġjuni tax-Xmara Victoria?</v>
      </c>
    </row>
    <row r="3234" ht="15.75" customHeight="1">
      <c r="A3234" s="2" t="s">
        <v>3234</v>
      </c>
      <c r="B3234" s="2" t="str">
        <f>IFERROR(__xludf.DUMMYFUNCTION("GOOGLETRANSLATE(A3234, ""en"", ""mt"")"),"X'jistgħu jaġixxu l-forzi gravitazzjonali?")</f>
        <v>X'jistgħu jaġixxu l-forzi gravitazzjonali?</v>
      </c>
    </row>
    <row r="3235" ht="15.75" customHeight="1">
      <c r="A3235" s="2" t="s">
        <v>3235</v>
      </c>
      <c r="B3235" s="2" t="str">
        <f>IFERROR(__xludf.DUMMYFUNCTION("GOOGLETRANSLATE(A3235, ""en"", ""mt"")"),"Kemm hemm megaregions fl-Istati Uniti?")</f>
        <v>Kemm hemm megaregions fl-Istati Uniti?</v>
      </c>
    </row>
    <row r="3236" ht="15.75" customHeight="1">
      <c r="A3236" s="2" t="s">
        <v>3236</v>
      </c>
      <c r="B3236" s="2" t="str">
        <f>IFERROR(__xludf.DUMMYFUNCTION("GOOGLETRANSLATE(A3236, ""en"", ""mt"")"),"bla tagħlim")</f>
        <v>bla tagħlim</v>
      </c>
    </row>
    <row r="3237" ht="15.75" customHeight="1">
      <c r="A3237" s="2" t="s">
        <v>3237</v>
      </c>
      <c r="B3237" s="2" t="str">
        <f>IFERROR(__xludf.DUMMYFUNCTION("GOOGLETRANSLATE(A3237, ""en"", ""mt"")")," Meta spiċċat l-età tal-imperjalizmu?")</f>
        <v> Meta spiċċat l-età tal-imperjalizmu?</v>
      </c>
    </row>
    <row r="3238" ht="15.75" customHeight="1">
      <c r="A3238" s="2" t="s">
        <v>3238</v>
      </c>
      <c r="B3238" s="2" t="str">
        <f>IFERROR(__xludf.DUMMYFUNCTION("GOOGLETRANSLATE(A3238, ""en"", ""mt"")"),"Ċentru Ekonomiku Maġġuri")</f>
        <v>Ċentru Ekonomiku Maġġuri</v>
      </c>
    </row>
    <row r="3239" ht="15.75" customHeight="1">
      <c r="A3239" s="2" t="s">
        <v>3239</v>
      </c>
      <c r="B3239" s="2" t="str">
        <f>IFERROR(__xludf.DUMMYFUNCTION("GOOGLETRANSLATE(A3239, ""en"", ""mt"")"),"X'inhi l-akbar fergħa ewlenija tar-Renu?")</f>
        <v>X'inhi l-akbar fergħa ewlenija tar-Renu?</v>
      </c>
    </row>
    <row r="3240" ht="15.75" customHeight="1">
      <c r="A3240" s="2" t="s">
        <v>3240</v>
      </c>
      <c r="B3240" s="2" t="str">
        <f>IFERROR(__xludf.DUMMYFUNCTION("GOOGLETRANSLATE(A3240, ""en"", ""mt"")"),"Fil-preżent, il-fergħat ta 'Waal u Nederrijn-Lek jeħilsu lejn il-Baħar tat-Tramuntana, permezz tal-Estwarju ta' Meuse ta 'qabel, qrib Rotterdam. Il-fergħa tax-Xmara IJSSel tgħaddi lejn it-tramuntana u tidħol fl-IJsselmeer, li qabel kienet il-Laguna Zuider"&amp;" Zee Brackish; Madankollu, mill-1932, lag tal-ilma ħelu. Il-kwittanza tar-Rhine hija maqsuma bejn tliet fergħat: ix-xmara waal (6/9 ta 'kwittanza totali), ix-xmara Nederrijn - Lek (2/9 ta' kwittanza totali) u l-ijssel tax-xmara (1/9 ta 'kwittanza totali)."&amp;" Din id-distribuzzjoni tal-kwittanza ilha tinżamm mill-1709, permezz ta 'xogħlijiet ta' inġinerija tax-xmajjar, inkluż it-tħaffir tal-kanal Pannerdens u sa mis-seklu 20, bl-għajnuna ta 'weirs fix-xmara Nederrijn.")</f>
        <v>Fil-preżent, il-fergħat ta 'Waal u Nederrijn-Lek jeħilsu lejn il-Baħar tat-Tramuntana, permezz tal-Estwarju ta' Meuse ta 'qabel, qrib Rotterdam. Il-fergħa tax-Xmara IJSSel tgħaddi lejn it-tramuntana u tidħol fl-IJsselmeer, li qabel kienet il-Laguna Zuider Zee Brackish; Madankollu, mill-1932, lag tal-ilma ħelu. Il-kwittanza tar-Rhine hija maqsuma bejn tliet fergħat: ix-xmara waal (6/9 ta 'kwittanza totali), ix-xmara Nederrijn - Lek (2/9 ta' kwittanza totali) u l-ijssel tax-xmara (1/9 ta 'kwittanza totali). Din id-distribuzzjoni tal-kwittanza ilha tinżamm mill-1709, permezz ta 'xogħlijiet ta' inġinerija tax-xmajjar, inkluż it-tħaffir tal-kanal Pannerdens u sa mis-seklu 20, bl-għajnuna ta 'weirs fix-xmara Nederrijn.</v>
      </c>
    </row>
    <row r="3241" ht="15.75" customHeight="1">
      <c r="A3241" s="2" t="s">
        <v>3241</v>
      </c>
      <c r="B3241" s="2" t="str">
        <f>IFERROR(__xludf.DUMMYFUNCTION("GOOGLETRANSLATE(A3241, ""en"", ""mt"")"),"Orjentaliżmu")</f>
        <v>Orjentaliżmu</v>
      </c>
    </row>
    <row r="3242" ht="15.75" customHeight="1">
      <c r="A3242" s="2" t="s">
        <v>3242</v>
      </c>
      <c r="B3242" s="2" t="str">
        <f>IFERROR(__xludf.DUMMYFUNCTION("GOOGLETRANSLATE(A3242, ""en"", ""mt"")"),"uffiċċji ċivili, militari u ċensuri")</f>
        <v>uffiċċji ċivili, militari u ċensuri</v>
      </c>
    </row>
    <row r="3243" ht="15.75" customHeight="1">
      <c r="A3243" s="2" t="s">
        <v>3243</v>
      </c>
      <c r="B3243" s="2" t="str">
        <f>IFERROR(__xludf.DUMMYFUNCTION("GOOGLETRANSLATE(A3243, ""en"", ""mt"")"),"Is-setturi ekonomiċi dominanti fiż-żona tan-nofs tar-Renu huma l-vinikultura u t-turiżmu. Il-Gorge Rhine bejn Rüdesheim Am Rhein u Koblenz huwa elenkat bħala Sit tal-Wirt Dinji tal-UNESCO. Ħdejn Sankt Goarshausen, ir-Rhine joħroġ madwar il-famuż rock lore"&amp;"lei. Bil-monumenti arkitettoniċi pendenti tagħha, l-għoljiet mimlijin dwieli, insedjamenti iffullati fuq ix-xmajjar dojoq u punteġġi ta 'kastelli allinjati tul il-parti ta' fuq tal-għoljiet weqfin, il-Wied tar-Renu Nofsani jista 'jitqies bħala l-epitome t"&amp;"ar-Rhine Romanticism.")</f>
        <v>Is-setturi ekonomiċi dominanti fiż-żona tan-nofs tar-Renu huma l-vinikultura u t-turiżmu. Il-Gorge Rhine bejn Rüdesheim Am Rhein u Koblenz huwa elenkat bħala Sit tal-Wirt Dinji tal-UNESCO. Ħdejn Sankt Goarshausen, ir-Rhine joħroġ madwar il-famuż rock lorelei. Bil-monumenti arkitettoniċi pendenti tagħha, l-għoljiet mimlijin dwieli, insedjamenti iffullati fuq ix-xmajjar dojoq u punteġġi ta 'kastelli allinjati tul il-parti ta' fuq tal-għoljiet weqfin, il-Wied tar-Renu Nofsani jista 'jitqies bħala l-epitome tar-Rhine Romanticism.</v>
      </c>
    </row>
    <row r="3244" ht="15.75" customHeight="1">
      <c r="A3244" s="2" t="s">
        <v>3244</v>
      </c>
      <c r="B3244" s="2" t="str">
        <f>IFERROR(__xludf.DUMMYFUNCTION("GOOGLETRANSLATE(A3244, ""en"", ""mt"")"),"0.2")</f>
        <v>0.2</v>
      </c>
    </row>
    <row r="3245" ht="15.75" customHeight="1">
      <c r="A3245" s="2" t="s">
        <v>3245</v>
      </c>
      <c r="B3245" s="2" t="str">
        <f>IFERROR(__xludf.DUMMYFUNCTION("GOOGLETRANSLATE(A3245, ""en"", ""mt"")"),"28")</f>
        <v>28</v>
      </c>
    </row>
    <row r="3246" ht="15.75" customHeight="1">
      <c r="A3246" s="2" t="s">
        <v>3246</v>
      </c>
      <c r="B3246" s="2" t="str">
        <f>IFERROR(__xludf.DUMMYFUNCTION("GOOGLETRANSLATE(A3246, ""en"", ""mt"")"),"indaqs")</f>
        <v>indaqs</v>
      </c>
    </row>
    <row r="3247" ht="15.75" customHeight="1">
      <c r="A3247" s="2" t="s">
        <v>3247</v>
      </c>
      <c r="B3247" s="2" t="str">
        <f>IFERROR(__xludf.DUMMYFUNCTION("GOOGLETRANSLATE(A3247, ""en"", ""mt"")"),"Għaliex iċ-ċelloli effetturi differenzjati jżidu matul il-perjodi ta 'qawmien?")</f>
        <v>Għaliex iċ-ċelloli effetturi differenzjati jżidu matul il-perjodi ta 'qawmien?</v>
      </c>
    </row>
    <row r="3248" ht="15.75" customHeight="1">
      <c r="A3248" s="2" t="s">
        <v>3248</v>
      </c>
      <c r="B3248" s="2" t="str">
        <f>IFERROR(__xludf.DUMMYFUNCTION("GOOGLETRANSLATE(A3248, ""en"", ""mt"")"),"X'inhu mod wieħed kif jistgħu jiġu kkodifikati graffs?")</f>
        <v>X'inhu mod wieħed kif jistgħu jiġu kkodifikati graffs?</v>
      </c>
    </row>
    <row r="3249" ht="15.75" customHeight="1">
      <c r="A3249" s="2" t="s">
        <v>3249</v>
      </c>
      <c r="B3249" s="2" t="str">
        <f>IFERROR(__xludf.DUMMYFUNCTION("GOOGLETRANSLATE(A3249, ""en"", ""mt"")"),"Liema komponenti jgħollu t-temperatura tal-fwar 'il fuq mill-punt saturat tal-firebox tagħha?")</f>
        <v>Liema komponenti jgħollu t-temperatura tal-fwar 'il fuq mill-punt saturat tal-firebox tagħha?</v>
      </c>
    </row>
    <row r="3250" ht="15.75" customHeight="1">
      <c r="A3250" s="2" t="s">
        <v>3250</v>
      </c>
      <c r="B3250" s="2" t="str">
        <f>IFERROR(__xludf.DUMMYFUNCTION("GOOGLETRANSLATE(A3250, ""en"", ""mt"")"),"60%")</f>
        <v>60%</v>
      </c>
    </row>
    <row r="3251" ht="15.75" customHeight="1">
      <c r="A3251" s="2" t="s">
        <v>3251</v>
      </c>
      <c r="B3251" s="2" t="str">
        <f>IFERROR(__xludf.DUMMYFUNCTION("GOOGLETRANSLATE(A3251, ""en"", ""mt"")"),"Min influwenza Bismark minbarra l-ġirien tiegħu?")</f>
        <v>Min influwenza Bismark minbarra l-ġirien tiegħu?</v>
      </c>
    </row>
    <row r="3252" ht="15.75" customHeight="1">
      <c r="A3252" s="2" t="s">
        <v>3252</v>
      </c>
      <c r="B3252" s="2" t="str">
        <f>IFERROR(__xludf.DUMMYFUNCTION("GOOGLETRANSLATE(A3252, ""en"", ""mt"")"),"Huguenots ipprovda żewġ reġimenti ġodda")</f>
        <v>Huguenots ipprovda żewġ reġimenti ġodda</v>
      </c>
    </row>
    <row r="3253" ht="15.75" customHeight="1">
      <c r="A3253" s="2" t="s">
        <v>3253</v>
      </c>
      <c r="B3253" s="2" t="str">
        <f>IFERROR(__xludf.DUMMYFUNCTION("GOOGLETRANSLATE(A3253, ""en"", ""mt"")"),"Organiżmi anerobiċi obbligati")</f>
        <v>Organiżmi anerobiċi obbligati</v>
      </c>
    </row>
    <row r="3254" ht="15.75" customHeight="1">
      <c r="A3254" s="2" t="s">
        <v>3254</v>
      </c>
      <c r="B3254" s="2" t="str">
        <f>IFERROR(__xludf.DUMMYFUNCTION("GOOGLETRANSLATE(A3254, ""en"", ""mt"")"),"Liema nar ħalla 2000 persuna bla dar?")</f>
        <v>Liema nar ħalla 2000 persuna bla dar?</v>
      </c>
    </row>
    <row r="3255" ht="15.75" customHeight="1">
      <c r="A3255" s="2" t="s">
        <v>3255</v>
      </c>
      <c r="B3255" s="2" t="str">
        <f>IFERROR(__xludf.DUMMYFUNCTION("GOOGLETRANSLATE(A3255, ""en"", ""mt"")"),"repulsjoni ta 'ħlasijiet simili")</f>
        <v>repulsjoni ta 'ħlasijiet simili</v>
      </c>
    </row>
    <row r="3256" ht="15.75" customHeight="1">
      <c r="A3256" s="2" t="s">
        <v>3256</v>
      </c>
      <c r="B3256" s="2" t="str">
        <f>IFERROR(__xludf.DUMMYFUNCTION("GOOGLETRANSLATE(A3256, ""en"", ""mt"")"),"X’taħseb li kienet il-pesta Gasquet?")</f>
        <v>X’taħseb li kienet il-pesta Gasquet?</v>
      </c>
    </row>
    <row r="3257" ht="15.75" customHeight="1">
      <c r="A3257" s="2" t="s">
        <v>3257</v>
      </c>
      <c r="B3257" s="2" t="str">
        <f>IFERROR(__xludf.DUMMYFUNCTION("GOOGLETRANSLATE(A3257, ""en"", ""mt"")"),"Il-popolazzjoni tal-far ma kinitx biżżejjed")</f>
        <v>Il-popolazzjoni tal-far ma kinitx biżżejjed</v>
      </c>
    </row>
    <row r="3258" ht="15.75" customHeight="1">
      <c r="A3258" s="2" t="s">
        <v>3258</v>
      </c>
      <c r="B3258" s="2" t="str">
        <f>IFERROR(__xludf.DUMMYFUNCTION("GOOGLETRANSLATE(A3258, ""en"", ""mt"")"),"L-ispiżjara kif qatt ma huma rregolati?")</f>
        <v>L-ispiżjara kif qatt ma huma rregolati?</v>
      </c>
    </row>
    <row r="3259" ht="15.75" customHeight="1">
      <c r="A3259" s="2" t="s">
        <v>3259</v>
      </c>
      <c r="B3259" s="2" t="str">
        <f>IFERROR(__xludf.DUMMYFUNCTION("GOOGLETRANSLATE(A3259, ""en"", ""mt"")"),"Liema persuna għenet biex tistabbilixxi l-iskola b'donazzjoni?")</f>
        <v>Liema persuna għenet biex tistabbilixxi l-iskola b'donazzjoni?</v>
      </c>
    </row>
    <row r="3260" ht="15.75" customHeight="1">
      <c r="A3260" s="2" t="s">
        <v>3260</v>
      </c>
      <c r="B3260" s="2" t="str">
        <f>IFERROR(__xludf.DUMMYFUNCTION("GOOGLETRANSLATE(A3260, ""en"", ""mt"")"),"Teorija tal-Kompjuter")</f>
        <v>Teorija tal-Kompjuter</v>
      </c>
    </row>
    <row r="3261" ht="15.75" customHeight="1">
      <c r="A3261" s="2" t="s">
        <v>3261</v>
      </c>
      <c r="B3261" s="2" t="str">
        <f>IFERROR(__xludf.DUMMYFUNCTION("GOOGLETRANSLATE(A3261, ""en"", ""mt"")"),"Meta għamlet il-y. pestis jilħqu l-Ingilterra?")</f>
        <v>Meta għamlet il-y. pestis jilħqu l-Ingilterra?</v>
      </c>
    </row>
    <row r="3262" ht="15.75" customHeight="1">
      <c r="A3262" s="2" t="s">
        <v>3262</v>
      </c>
      <c r="B3262" s="2" t="str">
        <f>IFERROR(__xludf.DUMMYFUNCTION("GOOGLETRANSLATE(A3262, ""en"", ""mt"")"),"X'inhu l-premju offrut biex tinstab soluzzjoni għal P = NP?")</f>
        <v>X'inhu l-premju offrut biex tinstab soluzzjoni għal P = NP?</v>
      </c>
    </row>
    <row r="3263" ht="15.75" customHeight="1">
      <c r="A3263" s="2" t="s">
        <v>3263</v>
      </c>
      <c r="B3263" s="2" t="str">
        <f>IFERROR(__xludf.DUMMYFUNCTION("GOOGLETRANSLATE(A3263, ""en"", ""mt"")"),"L-Amazon")</f>
        <v>L-Amazon</v>
      </c>
    </row>
    <row r="3264" ht="15.75" customHeight="1">
      <c r="A3264" s="2" t="s">
        <v>3264</v>
      </c>
      <c r="B3264" s="2" t="str">
        <f>IFERROR(__xludf.DUMMYFUNCTION("GOOGLETRANSLATE(A3264, ""en"", ""mt"")"),"tikkomunika mal-pazjenti")</f>
        <v>tikkomunika mal-pazjenti</v>
      </c>
    </row>
    <row r="3265" ht="15.75" customHeight="1">
      <c r="A3265" s="2" t="s">
        <v>3265</v>
      </c>
      <c r="B3265" s="2" t="str">
        <f>IFERROR(__xludf.DUMMYFUNCTION("GOOGLETRANSLATE(A3265, ""en"", ""mt"")"),"Min ifforma t-teorija universali tal-gravitazzjoni?")</f>
        <v>Min ifforma t-teorija universali tal-gravitazzjoni?</v>
      </c>
    </row>
    <row r="3266" ht="15.75" customHeight="1">
      <c r="A3266" s="2" t="s">
        <v>3266</v>
      </c>
      <c r="B3266" s="2" t="str">
        <f>IFERROR(__xludf.DUMMYFUNCTION("GOOGLETRANSLATE(A3266, ""en"", ""mt"")"),"F'liema belt għex ir-Re ta 'Franza?")</f>
        <v>F'liema belt għex ir-Re ta 'Franza?</v>
      </c>
    </row>
    <row r="3267" ht="15.75" customHeight="1">
      <c r="A3267" s="2" t="s">
        <v>3267</v>
      </c>
      <c r="B3267" s="2" t="str">
        <f>IFERROR(__xludf.DUMMYFUNCTION("GOOGLETRANSLATE(A3267, ""en"", ""mt"")"),"Kemm mill-elettorat Skoċċiż għandu bżonn għalih fuq ir-referendum?")</f>
        <v>Kemm mill-elettorat Skoċċiż għandu bżonn għalih fuq ir-referendum?</v>
      </c>
    </row>
    <row r="3268" ht="15.75" customHeight="1">
      <c r="A3268" s="2" t="s">
        <v>3268</v>
      </c>
      <c r="B3268" s="2" t="str">
        <f>IFERROR(__xludf.DUMMYFUNCTION("GOOGLETRANSLATE(A3268, ""en"", ""mt"")"),"Blat sedimentarji")</f>
        <v>Blat sedimentarji</v>
      </c>
    </row>
    <row r="3269" ht="15.75" customHeight="1">
      <c r="A3269" s="2" t="s">
        <v>3269</v>
      </c>
      <c r="B3269" s="2" t="str">
        <f>IFERROR(__xludf.DUMMYFUNCTION("GOOGLETRANSLATE(A3269, ""en"", ""mt"")"),"Liema terremot ikkawża $ 20 miljun fi ħsara?")</f>
        <v>Liema terremot ikkawża $ 20 miljun fi ħsara?</v>
      </c>
    </row>
    <row r="3270" ht="15.75" customHeight="1">
      <c r="A3270" s="2" t="s">
        <v>3270</v>
      </c>
      <c r="B3270" s="2" t="str">
        <f>IFERROR(__xludf.DUMMYFUNCTION("GOOGLETRANSLATE(A3270, ""en"", ""mt"")"),"Perjodu ta ’nofs il-Kambrian")</f>
        <v>Perjodu ta ’nofs il-Kambrian</v>
      </c>
    </row>
    <row r="3271" ht="15.75" customHeight="1">
      <c r="A3271" s="2" t="s">
        <v>3271</v>
      </c>
      <c r="B3271" s="2" t="str">
        <f>IFERROR(__xludf.DUMMYFUNCTION("GOOGLETRANSLATE(A3271, ""en"", ""mt"")"),"fix-xatt tal-lemin tal-Vistula, mill-fruntiera tal-Lvant ta 'Varsavja")</f>
        <v>fix-xatt tal-lemin tal-Vistula, mill-fruntiera tal-Lvant ta 'Varsavja</v>
      </c>
    </row>
    <row r="3272" ht="15.75" customHeight="1">
      <c r="A3272" s="2" t="s">
        <v>3272</v>
      </c>
      <c r="B3272" s="2" t="str">
        <f>IFERROR(__xludf.DUMMYFUNCTION("GOOGLETRANSLATE(A3272, ""en"", ""mt"")"),"356 ± 47 tunnellata għal kull ettaru")</f>
        <v>356 ± 47 tunnellata għal kull ettaru</v>
      </c>
    </row>
    <row r="3273" ht="15.75" customHeight="1">
      <c r="A3273" s="2" t="s">
        <v>3273</v>
      </c>
      <c r="B3273" s="2" t="str">
        <f>IFERROR(__xludf.DUMMYFUNCTION("GOOGLETRANSLATE(A3273, ""en"", ""mt"")"),"skart ta 'riżorsi")</f>
        <v>skart ta 'riżorsi</v>
      </c>
    </row>
    <row r="3274" ht="15.75" customHeight="1">
      <c r="A3274" s="2" t="s">
        <v>3274</v>
      </c>
      <c r="B3274" s="2" t="str">
        <f>IFERROR(__xludf.DUMMYFUNCTION("GOOGLETRANSLATE(A3274, ""en"", ""mt"")"),"Meta nħarġet id-dikjarazzjoni konġunta dwar it-tibdil fil-klima?")</f>
        <v>Meta nħarġet id-dikjarazzjoni konġunta dwar it-tibdil fil-klima?</v>
      </c>
    </row>
    <row r="3275" ht="15.75" customHeight="1">
      <c r="A3275" s="2" t="s">
        <v>3275</v>
      </c>
      <c r="B3275" s="2" t="str">
        <f>IFERROR(__xludf.DUMMYFUNCTION("GOOGLETRANSLATE(A3275, ""en"", ""mt"")"),"X'jiera r-rapport ASER dwar kif iħossu n-nies dwar skejjel privati?")</f>
        <v>X'jiera r-rapport ASER dwar kif iħossu n-nies dwar skejjel privati?</v>
      </c>
    </row>
    <row r="3276" ht="15.75" customHeight="1">
      <c r="A3276" s="2" t="s">
        <v>3276</v>
      </c>
      <c r="B3276" s="2" t="str">
        <f>IFERROR(__xludf.DUMMYFUNCTION("GOOGLETRANSLATE(A3276, ""en"", ""mt"")"),"aktar malajr")</f>
        <v>aktar malajr</v>
      </c>
    </row>
    <row r="3277" ht="15.75" customHeight="1">
      <c r="A3277" s="2" t="s">
        <v>3277</v>
      </c>
      <c r="B3277" s="2" t="str">
        <f>IFERROR(__xludf.DUMMYFUNCTION("GOOGLETRANSLATE(A3277, ""en"", ""mt"")"),"Dak li jippermetti li s-sistema immuni adatta tirreaġixxi aktar malajr u b'mod aktar qawwi kull ħin sussegwenti li jkun hemm patoġen?")</f>
        <v>Dak li jippermetti li s-sistema immuni adatta tirreaġixxi aktar malajr u b'mod aktar qawwi kull ħin sussegwenti li jkun hemm patoġen?</v>
      </c>
    </row>
    <row r="3278" ht="15.75" customHeight="1">
      <c r="A3278" s="2" t="s">
        <v>3278</v>
      </c>
      <c r="B3278" s="2" t="str">
        <f>IFERROR(__xludf.DUMMYFUNCTION("GOOGLETRANSLATE(A3278, ""en"", ""mt"")"),"Wara li Huguenots ħarbu minn Franza, l-aħħar bastjun li fadal tagħhom kien fejn?")</f>
        <v>Wara li Huguenots ħarbu minn Franza, l-aħħar bastjun li fadal tagħhom kien fejn?</v>
      </c>
    </row>
    <row r="3279" ht="15.75" customHeight="1">
      <c r="A3279" s="2" t="s">
        <v>3279</v>
      </c>
      <c r="B3279" s="2" t="str">
        <f>IFERROR(__xludf.DUMMYFUNCTION("GOOGLETRANSLATE(A3279, ""en"", ""mt"")"),"Kunflitt ferm akbar bejn Franza u l-Gran Brittanja")</f>
        <v>Kunflitt ferm akbar bejn Franza u l-Gran Brittanja</v>
      </c>
    </row>
    <row r="3280" ht="15.75" customHeight="1">
      <c r="A3280" s="2" t="s">
        <v>3280</v>
      </c>
      <c r="B3280" s="2" t="str">
        <f>IFERROR(__xludf.DUMMYFUNCTION("GOOGLETRANSLATE(A3280, ""en"", ""mt"")"),"L-użu ta 'ilma jagħli biex jipproduċi moviment mekkaniku jmur lura aktar minn 2000 sena, iżda l-apparati bikrija ma kinux prattiċi. L-inventur Spanjol Jerónimo de Ayanz y Beaumont kiseb l-ewwel brevett għal magna tal-fwar fl-1606. Fl-1698 Thomas Savery br"&amp;"evettat pompa tal-fwar li użat il-fwar f'kuntatt dirett ma 'l-ilma li qed jiġi ppumpjat. Il-pompa tal-fwar ta 'Savery użat il-fwar tal-kondensazzjoni biex toħloq vakwu u tiġbed l-ilma f'kamra, u mbagħad applikat bil-fwar taħt pressjoni biex tkompli tippom"&amp;"pja l-ilma. Il-magna atmosferika ta 'Thomas Newcomen kienet l-ewwel magna kummerċjali vera tal-fwar bl-użu ta' pistun, u ntużat fl-1712 għall-ippumpjar f'minjiera.")</f>
        <v>L-użu ta 'ilma jagħli biex jipproduċi moviment mekkaniku jmur lura aktar minn 2000 sena, iżda l-apparati bikrija ma kinux prattiċi. L-inventur Spanjol Jerónimo de Ayanz y Beaumont kiseb l-ewwel brevett għal magna tal-fwar fl-1606. Fl-1698 Thomas Savery brevettat pompa tal-fwar li użat il-fwar f'kuntatt dirett ma 'l-ilma li qed jiġi ppumpjat. Il-pompa tal-fwar ta 'Savery użat il-fwar tal-kondensazzjoni biex toħloq vakwu u tiġbed l-ilma f'kamra, u mbagħad applikat bil-fwar taħt pressjoni biex tkompli tippompja l-ilma. Il-magna atmosferika ta 'Thomas Newcomen kienet l-ewwel magna kummerċjali vera tal-fwar bl-użu ta' pistun, u ntużat fl-1712 għall-ippumpjar f'minjiera.</v>
      </c>
    </row>
    <row r="3281" ht="15.75" customHeight="1">
      <c r="A3281" s="2" t="s">
        <v>3281</v>
      </c>
      <c r="B3281" s="2" t="str">
        <f>IFERROR(__xludf.DUMMYFUNCTION("GOOGLETRANSLATE(A3281, ""en"", ""mt"")"),"sistema umoristika")</f>
        <v>sistema umoristika</v>
      </c>
    </row>
    <row r="3282" ht="15.75" customHeight="1">
      <c r="A3282" s="2" t="s">
        <v>3282</v>
      </c>
      <c r="B3282" s="2" t="str">
        <f>IFERROR(__xludf.DUMMYFUNCTION("GOOGLETRANSLATE(A3282, ""en"", ""mt"")"),"Fejn għadu veru x-xejra ta 'ħajja baxxa ta' dħul aktar baxx?")</f>
        <v>Fejn għadu veru x-xejra ta 'ħajja baxxa ta' dħul aktar baxx?</v>
      </c>
    </row>
    <row r="3283" ht="15.75" customHeight="1">
      <c r="A3283" s="2" t="s">
        <v>3283</v>
      </c>
      <c r="B3283" s="2" t="str">
        <f>IFERROR(__xludf.DUMMYFUNCTION("GOOGLETRANSLATE(A3283, ""en"", ""mt"")"),"Sal-199 kemm kienu konnessi universitajiet")</f>
        <v>Sal-199 kemm kienu konnessi universitajiet</v>
      </c>
    </row>
    <row r="3284" ht="15.75" customHeight="1">
      <c r="A3284" s="2" t="s">
        <v>3284</v>
      </c>
      <c r="B3284" s="2" t="str">
        <f>IFERROR(__xludf.DUMMYFUNCTION("GOOGLETRANSLATE(A3284, ""en"", ""mt"")"),"X'kien il-Fecamp Abby iċ-ċentru ta '?")</f>
        <v>X'kien il-Fecamp Abby iċ-ċentru ta '?</v>
      </c>
    </row>
    <row r="3285" ht="15.75" customHeight="1">
      <c r="A3285" s="2" t="s">
        <v>3285</v>
      </c>
      <c r="B3285" s="2" t="str">
        <f>IFERROR(__xludf.DUMMYFUNCTION("GOOGLETRANSLATE(A3285, ""en"", ""mt"")"),"X'għandu Vrisovci?")</f>
        <v>X'għandu Vrisovci?</v>
      </c>
    </row>
    <row r="3286" ht="15.75" customHeight="1">
      <c r="A3286" s="2" t="s">
        <v>3286</v>
      </c>
      <c r="B3286" s="2" t="str">
        <f>IFERROR(__xludf.DUMMYFUNCTION("GOOGLETRANSLATE(A3286, ""en"", ""mt"")"),"Meta kien l-għoli tan-nazzjonaliżmu Għarbi sekulari?")</f>
        <v>Meta kien l-għoli tan-nazzjonaliżmu Għarbi sekulari?</v>
      </c>
    </row>
    <row r="3287" ht="15.75" customHeight="1">
      <c r="A3287" s="2" t="s">
        <v>3287</v>
      </c>
      <c r="B3287" s="2" t="str">
        <f>IFERROR(__xludf.DUMMYFUNCTION("GOOGLETRANSLATE(A3287, ""en"", ""mt"")"),"imqassam")</f>
        <v>imqassam</v>
      </c>
    </row>
    <row r="3288" ht="15.75" customHeight="1">
      <c r="A3288" s="2" t="s">
        <v>3288</v>
      </c>
      <c r="B3288" s="2" t="str">
        <f>IFERROR(__xludf.DUMMYFUNCTION("GOOGLETRANSLATE(A3288, ""en"", ""mt"")"),"L'église Française à la nouvelle-amsterdam")</f>
        <v>L'église Française à la nouvelle-amsterdam</v>
      </c>
    </row>
    <row r="3289" ht="15.75" customHeight="1">
      <c r="A3289" s="2" t="s">
        <v>3289</v>
      </c>
      <c r="B3289" s="2" t="str">
        <f>IFERROR(__xludf.DUMMYFUNCTION("GOOGLETRANSLATE(A3289, ""en"", ""mt"")"),"F'liema sena tas-seklu 20, Harvard ħareġ dokument importanti dwar l-edukazzjoni fl-Amerika?")</f>
        <v>F'liema sena tas-seklu 20, Harvard ħareġ dokument importanti dwar l-edukazzjoni fl-Amerika?</v>
      </c>
    </row>
    <row r="3290" ht="15.75" customHeight="1">
      <c r="A3290" s="2" t="s">
        <v>3290</v>
      </c>
      <c r="B3290" s="2" t="str">
        <f>IFERROR(__xludf.DUMMYFUNCTION("GOOGLETRANSLATE(A3290, ""en"", ""mt"")"),"1997 Trattat ta 'Amsterdam")</f>
        <v>1997 Trattat ta 'Amsterdam</v>
      </c>
    </row>
    <row r="3291" ht="15.75" customHeight="1">
      <c r="A3291" s="2" t="s">
        <v>3291</v>
      </c>
      <c r="B3291" s="2" t="str">
        <f>IFERROR(__xludf.DUMMYFUNCTION("GOOGLETRANSLATE(A3291, ""en"", ""mt"")"),"Kemm kilometru huwa Varsavja mill-Muntanji tal-Karpazji?")</f>
        <v>Kemm kilometru huwa Varsavja mill-Muntanji tal-Karpazji?</v>
      </c>
    </row>
    <row r="3292" ht="15.75" customHeight="1">
      <c r="A3292" s="2" t="s">
        <v>3292</v>
      </c>
      <c r="B3292" s="2" t="str">
        <f>IFERROR(__xludf.DUMMYFUNCTION("GOOGLETRANSLATE(A3292, ""en"", ""mt"")"),"Min feraħ lill-SNP waqt li wegħdet li tagħmel kampanja kontra r-referendum tagħhom?")</f>
        <v>Min feraħ lill-SNP waqt li wegħdet li tagħmel kampanja kontra r-referendum tagħhom?</v>
      </c>
    </row>
    <row r="3293" ht="15.75" customHeight="1">
      <c r="A3293" s="2" t="s">
        <v>3293</v>
      </c>
      <c r="B3293" s="2" t="str">
        <f>IFERROR(__xludf.DUMMYFUNCTION("GOOGLETRANSLATE(A3293, ""en"", ""mt"")"),"X'jista 'jitqies bħala artifact tal-qasam potenzjali?")</f>
        <v>X'jista 'jitqies bħala artifact tal-qasam potenzjali?</v>
      </c>
    </row>
    <row r="3294" ht="15.75" customHeight="1">
      <c r="A3294" s="2" t="s">
        <v>3294</v>
      </c>
      <c r="B3294" s="2" t="str">
        <f>IFERROR(__xludf.DUMMYFUNCTION("GOOGLETRANSLATE(A3294, ""en"", ""mt"")"),"X'jistgħu joħolqu l-impjanti tal-enerġija nukleari biex joħolqu l-elettriku?")</f>
        <v>X'jistgħu joħolqu l-impjanti tal-enerġija nukleari biex joħolqu l-elettriku?</v>
      </c>
    </row>
    <row r="3295" ht="15.75" customHeight="1">
      <c r="A3295" s="2" t="s">
        <v>3295</v>
      </c>
      <c r="B3295" s="2" t="str">
        <f>IFERROR(__xludf.DUMMYFUNCTION("GOOGLETRANSLATE(A3295, ""en"", ""mt"")"),"Klassi I MHC")</f>
        <v>Klassi I MHC</v>
      </c>
    </row>
    <row r="3296" ht="15.75" customHeight="1">
      <c r="A3296" s="2" t="s">
        <v>3296</v>
      </c>
      <c r="B3296" s="2" t="str">
        <f>IFERROR(__xludf.DUMMYFUNCTION("GOOGLETRANSLATE(A3296, ""en"", ""mt"")"),"Mużiċisti famużi")</f>
        <v>Mużiċisti famużi</v>
      </c>
    </row>
    <row r="3297" ht="15.75" customHeight="1">
      <c r="A3297" s="2" t="s">
        <v>3297</v>
      </c>
      <c r="B3297" s="2" t="str">
        <f>IFERROR(__xludf.DUMMYFUNCTION("GOOGLETRANSLATE(A3297, ""en"", ""mt"")"),"Buyantu Khan")</f>
        <v>Buyantu Khan</v>
      </c>
    </row>
    <row r="3298" ht="15.75" customHeight="1">
      <c r="A3298" s="2" t="s">
        <v>3298</v>
      </c>
      <c r="B3298" s="2" t="str">
        <f>IFERROR(__xludf.DUMMYFUNCTION("GOOGLETRANSLATE(A3298, ""en"", ""mt"")"),"Liema persentaġġ tal-popolazzjoni ta 'Varsavja kienet Protestanta fl-1901?")</f>
        <v>Liema persentaġġ tal-popolazzjoni ta 'Varsavja kienet Protestanta fl-1901?</v>
      </c>
    </row>
    <row r="3299" ht="15.75" customHeight="1">
      <c r="A3299" s="2" t="s">
        <v>3299</v>
      </c>
      <c r="B3299" s="2" t="str">
        <f>IFERROR(__xludf.DUMMYFUNCTION("GOOGLETRANSLATE(A3299, ""en"", ""mt"")"),"Liema gvernatur inkarigat minn Franza l-ġdida miet fl-1752?")</f>
        <v>Liema gvernatur inkarigat minn Franza l-ġdida miet fl-1752?</v>
      </c>
    </row>
    <row r="3300" ht="15.75" customHeight="1">
      <c r="A3300" s="2" t="s">
        <v>3300</v>
      </c>
      <c r="B3300" s="2" t="str">
        <f>IFERROR(__xludf.DUMMYFUNCTION("GOOGLETRANSLATE(A3300, ""en"", ""mt"")"),"37 ° 9 '58.23 """)</f>
        <v>37 ° 9 '58.23 "</v>
      </c>
    </row>
    <row r="3301" ht="15.75" customHeight="1">
      <c r="A3301" s="2" t="s">
        <v>3301</v>
      </c>
      <c r="B3301" s="2" t="str">
        <f>IFERROR(__xludf.DUMMYFUNCTION("GOOGLETRANSLATE(A3301, ""en"", ""mt"")"),"X'inhu l-isem Latin għall-Ġermanja?")</f>
        <v>X'inhu l-isem Latin għall-Ġermanja?</v>
      </c>
    </row>
    <row r="3302" ht="15.75" customHeight="1">
      <c r="A3302" s="2" t="s">
        <v>3302</v>
      </c>
      <c r="B3302" s="2" t="str">
        <f>IFERROR(__xludf.DUMMYFUNCTION("GOOGLETRANSLATE(A3302, ""en"", ""mt"")"),"Il-komunikazzjoni li taqleb il-pakketti għandha x'tip ta 'rata tal-bit?")</f>
        <v>Il-komunikazzjoni li taqleb il-pakketti għandha x'tip ta 'rata tal-bit?</v>
      </c>
    </row>
    <row r="3303" ht="15.75" customHeight="1">
      <c r="A3303" s="2" t="s">
        <v>3303</v>
      </c>
      <c r="B3303" s="2" t="str">
        <f>IFERROR(__xludf.DUMMYFUNCTION("GOOGLETRANSLATE(A3303, ""en"", ""mt"")"),"Liema suġġetti oħra tista 'tappartjeni d-diżubbidjenza ċivili?")</f>
        <v>Liema suġġetti oħra tista 'tappartjeni d-diżubbidjenza ċivili?</v>
      </c>
    </row>
    <row r="3304" ht="15.75" customHeight="1">
      <c r="A3304" s="2" t="s">
        <v>3304</v>
      </c>
      <c r="B3304" s="2" t="str">
        <f>IFERROR(__xludf.DUMMYFUNCTION("GOOGLETRANSLATE(A3304, ""en"", ""mt"")"),"Jon Corzine")</f>
        <v>Jon Corzine</v>
      </c>
    </row>
    <row r="3305" ht="15.75" customHeight="1">
      <c r="A3305" s="2" t="s">
        <v>3305</v>
      </c>
      <c r="B3305" s="2" t="str">
        <f>IFERROR(__xludf.DUMMYFUNCTION("GOOGLETRANSLATE(A3305, ""en"", ""mt"")"),"Lower Norfolk County")</f>
        <v>Lower Norfolk County</v>
      </c>
    </row>
    <row r="3306" ht="15.75" customHeight="1">
      <c r="A3306" s="2" t="s">
        <v>3306</v>
      </c>
      <c r="B3306" s="2" t="str">
        <f>IFERROR(__xludf.DUMMYFUNCTION("GOOGLETRANSLATE(A3306, ""en"", ""mt"")"),"Is-sediment kif jagħmel il-blat jaqa '?")</f>
        <v>Is-sediment kif jagħmel il-blat jaqa '?</v>
      </c>
    </row>
    <row r="3307" ht="15.75" customHeight="1">
      <c r="A3307" s="2" t="s">
        <v>3307</v>
      </c>
      <c r="B3307" s="2" t="str">
        <f>IFERROR(__xludf.DUMMYFUNCTION("GOOGLETRANSLATE(A3307, ""en"", ""mt"")"),"Meta l-Fratellanza rrinunzjat il-vjolenza bħala mezz biex tilħaq l-għanijiet tagħha?")</f>
        <v>Meta l-Fratellanza rrinunzjat il-vjolenza bħala mezz biex tilħaq l-għanijiet tagħha?</v>
      </c>
    </row>
    <row r="3308" ht="15.75" customHeight="1">
      <c r="A3308" s="2" t="s">
        <v>3308</v>
      </c>
      <c r="B3308" s="2" t="str">
        <f>IFERROR(__xludf.DUMMYFUNCTION("GOOGLETRANSLATE(A3308, ""en"", ""mt"")"),"Proġetti ta 'żvilupp fuq skala kbira")</f>
        <v>Proġetti ta 'żvilupp fuq skala kbira</v>
      </c>
    </row>
    <row r="3309" ht="15.75" customHeight="1">
      <c r="A3309" s="2" t="s">
        <v>3309</v>
      </c>
      <c r="B3309" s="2" t="str">
        <f>IFERROR(__xludf.DUMMYFUNCTION("GOOGLETRANSLATE(A3309, ""en"", ""mt"")"),"Xi fihom il-vestikoli fuq it-tentilla?")</f>
        <v>Xi fihom il-vestikoli fuq it-tentilla?</v>
      </c>
    </row>
    <row r="3310" ht="15.75" customHeight="1">
      <c r="A3310" s="2" t="s">
        <v>3310</v>
      </c>
      <c r="B3310" s="2" t="str">
        <f>IFERROR(__xludf.DUMMYFUNCTION("GOOGLETRANSLATE(A3310, ""en"", ""mt"")"),"X'ipotesi lil John Dalton fl-1805?")</f>
        <v>X'ipotesi lil John Dalton fl-1805?</v>
      </c>
    </row>
    <row r="3311" ht="15.75" customHeight="1">
      <c r="A3311" s="2" t="s">
        <v>3311</v>
      </c>
      <c r="B3311" s="2" t="str">
        <f>IFERROR(__xludf.DUMMYFUNCTION("GOOGLETRANSLATE(A3311, ""en"", ""mt"")"),"rwol ta 'yersinia pestis fil-mewt l-Iswed")</f>
        <v>rwol ta 'yersinia pestis fil-mewt l-Iswed</v>
      </c>
    </row>
    <row r="3312" ht="15.75" customHeight="1">
      <c r="A3312" s="2" t="s">
        <v>3312</v>
      </c>
      <c r="B3312" s="2" t="str">
        <f>IFERROR(__xludf.DUMMYFUNCTION("GOOGLETRANSLATE(A3312, ""en"", ""mt"")"),"Is-sħana meħtieġa għat-togħlija tal-ilma u l-forniment tal-fwar tista 'tiġi derivata minn sorsi varji, l-iktar komunement minn ħruq ta' materjali kombustibbli b'forniment xieraq ta 'arja fi spazju magħluq (imsejjaħ kamra tal-kombustjoni varjament, firebox"&amp;"). F’xi każijiet is-sors tas-sħana huwa reattur nukleari, enerġija ġeotermali, enerġija solari jew sħana tal-iskart minn magna ta ’kombustjoni interna jew proċess industrijali. Fil-każ ta 'magni tal-fwar tal-mudell jew tal-ġugarell, is-sors tas-sħana jist"&amp;"a' jkun element ta 'tisħin elettriku.")</f>
        <v>Is-sħana meħtieġa għat-togħlija tal-ilma u l-forniment tal-fwar tista 'tiġi derivata minn sorsi varji, l-iktar komunement minn ħruq ta' materjali kombustibbli b'forniment xieraq ta 'arja fi spazju magħluq (imsejjaħ kamra tal-kombustjoni varjament, firebox). F’xi każijiet is-sors tas-sħana huwa reattur nukleari, enerġija ġeotermali, enerġija solari jew sħana tal-iskart minn magna ta ’kombustjoni interna jew proċess industrijali. Fil-każ ta 'magni tal-fwar tal-mudell jew tal-ġugarell, is-sors tas-sħana jista' jkun element ta 'tisħin elettriku.</v>
      </c>
    </row>
    <row r="3313" ht="15.75" customHeight="1">
      <c r="A3313" s="2" t="s">
        <v>3313</v>
      </c>
      <c r="B3313" s="2" t="str">
        <f>IFERROR(__xludf.DUMMYFUNCTION("GOOGLETRANSLATE(A3313, ""en"", ""mt"")"),"Gotiku")</f>
        <v>Gotiku</v>
      </c>
    </row>
    <row r="3314" ht="15.75" customHeight="1">
      <c r="A3314" s="2" t="s">
        <v>3314</v>
      </c>
      <c r="B3314" s="2" t="str">
        <f>IFERROR(__xludf.DUMMYFUNCTION("GOOGLETRANSLATE(A3314, ""en"", ""mt"")"),"X’sar biex tiġi miġġielda l-popolazzjoni żejda ta ’mnemiopsis fil-Baħar l-Iswed?")</f>
        <v>X’sar biex tiġi miġġielda l-popolazzjoni żejda ta ’mnemiopsis fil-Baħar l-Iswed?</v>
      </c>
    </row>
    <row r="3315" ht="15.75" customHeight="1">
      <c r="A3315" s="2" t="s">
        <v>3315</v>
      </c>
      <c r="B3315" s="2" t="str">
        <f>IFERROR(__xludf.DUMMYFUNCTION("GOOGLETRANSLATE(A3315, ""en"", ""mt"")"),"Liema politiki tal-wan jħobbu l-Musulmani?")</f>
        <v>Liema politiki tal-wan jħobbu l-Musulmani?</v>
      </c>
    </row>
    <row r="3316" ht="15.75" customHeight="1">
      <c r="A3316" s="2" t="s">
        <v>3316</v>
      </c>
      <c r="B3316" s="2" t="str">
        <f>IFERROR(__xludf.DUMMYFUNCTION("GOOGLETRANSLATE(A3316, ""en"", ""mt"")"),"Slug metrika")</f>
        <v>Slug metrika</v>
      </c>
    </row>
    <row r="3317" ht="15.75" customHeight="1">
      <c r="A3317" s="2" t="s">
        <v>3317</v>
      </c>
      <c r="B3317" s="2" t="str">
        <f>IFERROR(__xludf.DUMMYFUNCTION("GOOGLETRANSLATE(A3317, ""en"", ""mt"")"),"X’kontradikkejt dan il-kunċett")</f>
        <v>X’kontradikkejt dan il-kunċett</v>
      </c>
    </row>
    <row r="3318" ht="15.75" customHeight="1">
      <c r="A3318" s="2" t="s">
        <v>3318</v>
      </c>
      <c r="B3318" s="2" t="str">
        <f>IFERROR(__xludf.DUMMYFUNCTION("GOOGLETRANSLATE(A3318, ""en"", ""mt"")"),"Liema snin studji sabu li t-tisħin kien eċċezzjonali?")</f>
        <v>Liema snin studji sabu li t-tisħin kien eċċezzjonali?</v>
      </c>
    </row>
    <row r="3319" ht="15.75" customHeight="1">
      <c r="A3319" s="2" t="s">
        <v>3319</v>
      </c>
      <c r="B3319" s="2" t="str">
        <f>IFERROR(__xludf.DUMMYFUNCTION("GOOGLETRANSLATE(A3319, ""en"", ""mt"")"),"Aristotile")</f>
        <v>Aristotile</v>
      </c>
    </row>
    <row r="3320" ht="15.75" customHeight="1">
      <c r="A3320" s="2" t="s">
        <v>3320</v>
      </c>
      <c r="B3320" s="2" t="str">
        <f>IFERROR(__xludf.DUMMYFUNCTION("GOOGLETRANSLATE(A3320, ""en"", ""mt"")"),"Għal xiex iwassal li tkun kuxjenzjuż lejn il-liġi?")</f>
        <v>Għal xiex iwassal li tkun kuxjenzjuż lejn il-liġi?</v>
      </c>
    </row>
    <row r="3321" ht="15.75" customHeight="1">
      <c r="A3321" s="2" t="s">
        <v>3321</v>
      </c>
      <c r="B3321" s="2" t="str">
        <f>IFERROR(__xludf.DUMMYFUNCTION("GOOGLETRANSLATE(A3321, ""en"", ""mt"")"),"Studji riċenti jemmnu li Ctenophores huma n-nisel ta 'xi ħadd?")</f>
        <v>Studji riċenti jemmnu li Ctenophores huma n-nisel ta 'xi ħadd?</v>
      </c>
    </row>
    <row r="3322" ht="15.75" customHeight="1">
      <c r="A3322" s="2" t="s">
        <v>3322</v>
      </c>
      <c r="B3322" s="2" t="str">
        <f>IFERROR(__xludf.DUMMYFUNCTION("GOOGLETRANSLATE(A3322, ""en"", ""mt"")"),"output wieħed")</f>
        <v>output wieħed</v>
      </c>
    </row>
    <row r="3323" ht="15.75" customHeight="1">
      <c r="A3323" s="2" t="s">
        <v>3323</v>
      </c>
      <c r="B3323" s="2" t="str">
        <f>IFERROR(__xludf.DUMMYFUNCTION("GOOGLETRANSLATE(A3323, ""en"", ""mt"")"),"Id-delta interna fil-ħalq tar-Renu hija ma 'liema lag?")</f>
        <v>Id-delta interna fil-ħalq tar-Renu hija ma 'liema lag?</v>
      </c>
    </row>
    <row r="3324" ht="15.75" customHeight="1">
      <c r="A3324" s="2" t="s">
        <v>3324</v>
      </c>
      <c r="B3324" s="2" t="str">
        <f>IFERROR(__xludf.DUMMYFUNCTION("GOOGLETRANSLATE(A3324, ""en"", ""mt"")"),"Min appoġġa lil Jacksonville bi provvisti matul il-Gwerra Rivoluzzjonarja?")</f>
        <v>Min appoġġa lil Jacksonville bi provvisti matul il-Gwerra Rivoluzzjonarja?</v>
      </c>
    </row>
    <row r="3325" ht="15.75" customHeight="1">
      <c r="A3325" s="2" t="s">
        <v>3325</v>
      </c>
      <c r="B3325" s="2" t="str">
        <f>IFERROR(__xludf.DUMMYFUNCTION("GOOGLETRANSLATE(A3325, ""en"", ""mt"")")," Fuq xiex għamel enfasi fuq il-moviment mhux tas-Salafi?")</f>
        <v> Fuq xiex għamel enfasi fuq il-moviment mhux tas-Salafi?</v>
      </c>
    </row>
    <row r="3326" ht="15.75" customHeight="1">
      <c r="A3326" s="2" t="s">
        <v>3326</v>
      </c>
      <c r="B3326" s="2" t="str">
        <f>IFERROR(__xludf.DUMMYFUNCTION("GOOGLETRANSLATE(A3326, ""en"", ""mt"")"),"Kumpanija Ohio")</f>
        <v>Kumpanija Ohio</v>
      </c>
    </row>
    <row r="3327" ht="15.75" customHeight="1">
      <c r="A3327" s="2" t="s">
        <v>3327</v>
      </c>
      <c r="B3327" s="2" t="str">
        <f>IFERROR(__xludf.DUMMYFUNCTION("GOOGLETRANSLATE(A3327, ""en"", ""mt"")"),"L-Iskola tan-Negozju ta 'Harvard u ħafna mill-faċilitajiet tal-atletika tal-università, inkluż Harvard Stadium, jinsabu fuq kampus ta' 358-acre (145 ha) faċċata tal-kampus ta 'Cambridge f'Allston. Il-Pont John W. Weeks huwa pont pedonali fuq ix-Xmara Char"&amp;"les li jgħaqqad iż-żewġ kampus. L-Iskola Medika ta 'Harvard, l-Iskola ta' Harvard tal-Mediċina Dentali, u l-Iskola tas-Saħħa Pubblika ta 'Harvard jinsabu fuq kampus ta' 21-acre (8.5 ha) fiż-żona medika u akkademika ta 'Longwood madwar 3.3 mili (5.3 km) fi"&amp;"l-Lbiċ ta' Downtown Boston u 3.3 Miles (5.3 km) fin-nofsinhar tal-kampus ta ’Cambridge.")</f>
        <v>L-Iskola tan-Negozju ta 'Harvard u ħafna mill-faċilitajiet tal-atletika tal-università, inkluż Harvard Stadium, jinsabu fuq kampus ta' 358-acre (145 ha) faċċata tal-kampus ta 'Cambridge f'Allston. Il-Pont John W. Weeks huwa pont pedonali fuq ix-Xmara Charles li jgħaqqad iż-żewġ kampus. L-Iskola Medika ta 'Harvard, l-Iskola ta' Harvard tal-Mediċina Dentali, u l-Iskola tas-Saħħa Pubblika ta 'Harvard jinsabu fuq kampus ta' 21-acre (8.5 ha) fiż-żona medika u akkademika ta 'Longwood madwar 3.3 mili (5.3 km) fil-Lbiċ ta' Downtown Boston u 3.3 Miles (5.3 km) fin-nofsinhar tal-kampus ta ’Cambridge.</v>
      </c>
    </row>
    <row r="3328" ht="15.75" customHeight="1">
      <c r="A3328" s="2" t="s">
        <v>3328</v>
      </c>
      <c r="B3328" s="2" t="str">
        <f>IFERROR(__xludf.DUMMYFUNCTION("GOOGLETRANSLATE(A3328, ""en"", ""mt"")"),"X'hemm bżonn li jinstab biex issir taf jekk il-blat humiex relatati?")</f>
        <v>X'hemm bżonn li jinstab biex issir taf jekk il-blat humiex relatati?</v>
      </c>
    </row>
    <row r="3329" ht="15.75" customHeight="1">
      <c r="A3329" s="2" t="s">
        <v>3329</v>
      </c>
      <c r="B3329" s="2" t="str">
        <f>IFERROR(__xludf.DUMMYFUNCTION("GOOGLETRANSLATE(A3329, ""en"", ""mt"")"),"Fl-Iżvezja, l-istudenti huma liberi li jagħżlu skola privata u l-iskola privata titħallas l-istess ammont bħall-iskejjel muniċipali. Aktar minn 10% tal-istudenti Żvediżi ġew irreġistrati fi skejjel privati ​​fl-2008. L-Iżvezja hija magħrufa internazzjonal"&amp;"ment għal dan il-mudell innovattiv tal-vawċer tal-iskola li jipprovdi lill-istudenti Żvediżi l-opportunità li jagħżlu l-iskola li jippreferu. Pereżempju, l-akbar katina tal-iskejjel, Kunskapskolan (“The Glowaning School”), toffri 30 skola u ambjent ibbaża"&amp;"t fuq il-web, għandha 700 impjegat u tgħallem kważi 10,000 student. Is-sistema Żvediża ġiet irrakkomandata lil Barack Obama.")</f>
        <v>Fl-Iżvezja, l-istudenti huma liberi li jagħżlu skola privata u l-iskola privata titħallas l-istess ammont bħall-iskejjel muniċipali. Aktar minn 10% tal-istudenti Żvediżi ġew irreġistrati fi skejjel privati ​​fl-2008. L-Iżvezja hija magħrufa internazzjonalment għal dan il-mudell innovattiv tal-vawċer tal-iskola li jipprovdi lill-istudenti Żvediżi l-opportunità li jagħżlu l-iskola li jippreferu. Pereżempju, l-akbar katina tal-iskejjel, Kunskapskolan (“The Glowaning School”), toffri 30 skola u ambjent ibbażat fuq il-web, għandha 700 impjegat u tgħallem kważi 10,000 student. Is-sistema Żvediża ġiet irrakkomandata lil Barack Obama.</v>
      </c>
    </row>
    <row r="3330" ht="15.75" customHeight="1">
      <c r="A3330" s="2" t="s">
        <v>3330</v>
      </c>
      <c r="B3330" s="2" t="str">
        <f>IFERROR(__xludf.DUMMYFUNCTION("GOOGLETRANSLATE(A3330, ""en"", ""mt"")"),"Ara l-ebda ħtieġa li taċċetta kastig għal ksur tal-liġi kriminali li ma tikserx id-drittijiet ta 'ħaddieħor")</f>
        <v>Ara l-ebda ħtieġa li taċċetta kastig għal ksur tal-liġi kriminali li ma tikserx id-drittijiet ta 'ħaddieħor</v>
      </c>
    </row>
    <row r="3331" ht="15.75" customHeight="1">
      <c r="A3331" s="2" t="s">
        <v>3331</v>
      </c>
      <c r="B3331" s="2" t="str">
        <f>IFERROR(__xludf.DUMMYFUNCTION("GOOGLETRANSLATE(A3331, ""en"", ""mt"")"),"Fl-artijiet attribwiti għal liema tribù jinstabu fdalijiet ta 'insedjamenti kbar?")</f>
        <v>Fl-artijiet attribwiti għal liema tribù jinstabu fdalijiet ta 'insedjamenti kbar?</v>
      </c>
    </row>
    <row r="3332" ht="15.75" customHeight="1">
      <c r="A3332" s="2" t="s">
        <v>3332</v>
      </c>
      <c r="B3332" s="2" t="str">
        <f>IFERROR(__xludf.DUMMYFUNCTION("GOOGLETRANSLATE(A3332, ""en"", ""mt"")"),"il-kisi tat-turbina")</f>
        <v>il-kisi tat-turbina</v>
      </c>
    </row>
    <row r="3333" ht="15.75" customHeight="1">
      <c r="A3333" s="2" t="s">
        <v>3333</v>
      </c>
      <c r="B3333" s="2" t="str">
        <f>IFERROR(__xludf.DUMMYFUNCTION("GOOGLETRANSLATE(A3333, ""en"", ""mt"")"),"F'liema qasam kienu komuni magni ta 'espansjoni doppja u tripla?")</f>
        <v>F'liema qasam kienu komuni magni ta 'espansjoni doppja u tripla?</v>
      </c>
    </row>
    <row r="3334" ht="15.75" customHeight="1">
      <c r="A3334" s="2" t="s">
        <v>3334</v>
      </c>
      <c r="B3334" s="2" t="str">
        <f>IFERROR(__xludf.DUMMYFUNCTION("GOOGLETRANSLATE(A3334, ""en"", ""mt"")"),"Għaliex l-OPEC żied il-prezz taż-żejt għal $ 5.11?")</f>
        <v>Għaliex l-OPEC żied il-prezz taż-żejt għal $ 5.11?</v>
      </c>
    </row>
    <row r="3335" ht="15.75" customHeight="1">
      <c r="A3335" s="2" t="s">
        <v>3335</v>
      </c>
      <c r="B3335" s="2" t="str">
        <f>IFERROR(__xludf.DUMMYFUNCTION("GOOGLETRANSLATE(A3335, ""en"", ""mt"")"),"Thomas Piketty")</f>
        <v>Thomas Piketty</v>
      </c>
    </row>
    <row r="3336" ht="15.75" customHeight="1">
      <c r="A3336" s="2" t="s">
        <v>3336</v>
      </c>
      <c r="B3336" s="2" t="str">
        <f>IFERROR(__xludf.DUMMYFUNCTION("GOOGLETRANSLATE(A3336, ""en"", ""mt"")"),"Saħħa aħjar u ħajja itwal")</f>
        <v>Saħħa aħjar u ħajja itwal</v>
      </c>
    </row>
    <row r="3337" ht="15.75" customHeight="1">
      <c r="A3337" s="2" t="s">
        <v>3337</v>
      </c>
      <c r="B3337" s="2" t="str">
        <f>IFERROR(__xludf.DUMMYFUNCTION("GOOGLETRANSLATE(A3337, ""en"", ""mt"")"),"Spiżjara li jipprattikaw fl-isptarijiet")</f>
        <v>Spiżjara li jipprattikaw fl-isptarijiet</v>
      </c>
    </row>
    <row r="3338" ht="15.75" customHeight="1">
      <c r="A3338" s="2" t="s">
        <v>3338</v>
      </c>
      <c r="B3338" s="2" t="str">
        <f>IFERROR(__xludf.DUMMYFUNCTION("GOOGLETRANSLATE(A3338, ""en"", ""mt"")"),"Ukrajna")</f>
        <v>Ukrajna</v>
      </c>
    </row>
    <row r="3339" ht="15.75" customHeight="1">
      <c r="A3339" s="2" t="s">
        <v>3339</v>
      </c>
      <c r="B3339" s="2" t="str">
        <f>IFERROR(__xludf.DUMMYFUNCTION("GOOGLETRANSLATE(A3339, ""en"", ""mt"")"),"ippeżat invers għad-daqs tal-istat membru")</f>
        <v>ippeżat invers għad-daqs tal-istat membru</v>
      </c>
    </row>
    <row r="3340" ht="15.75" customHeight="1">
      <c r="A3340" s="2" t="s">
        <v>3340</v>
      </c>
      <c r="B3340" s="2" t="str">
        <f>IFERROR(__xludf.DUMMYFUNCTION("GOOGLETRANSLATE(A3340, ""en"", ""mt"")")," X'tip ta 'mediċina użaw ix-xamani mhux Mongol?")</f>
        <v> X'tip ta 'mediċina użaw ix-xamani mhux Mongol?</v>
      </c>
    </row>
    <row r="3341" ht="15.75" customHeight="1">
      <c r="A3341" s="2" t="s">
        <v>3341</v>
      </c>
      <c r="B3341" s="2" t="str">
        <f>IFERROR(__xludf.DUMMYFUNCTION("GOOGLETRANSLATE(A3341, ""en"", ""mt"")"),"Lactobacilli")</f>
        <v>Lactobacilli</v>
      </c>
    </row>
    <row r="3342" ht="15.75" customHeight="1">
      <c r="A3342" s="2" t="s">
        <v>3342</v>
      </c>
      <c r="B3342" s="2" t="str">
        <f>IFERROR(__xludf.DUMMYFUNCTION("GOOGLETRANSLATE(A3342, ""en"", ""mt"")"),"L-elezzjoni pproduċiet gvern ta 'SNP b'maġġoranza, u għamel dan l-ewwel darba fil-Parlament Skoċċiż fejn partit ikkmanda maġġoranza parlamentari. L-SNP ħa 16-il siġġu mix-xogħol, b'ħafna mill-figuri ewlenin tagħhom ma rritornawx lill-Parlament, għalkemm i"&amp;"l-Mexxej Laburista Iain Gray żamm Lvant Lothian bi 151 vot. L-SNP ħa tmien siġġijiet oħra mid-Demokratiċi Liberali u siġġu wieħed mill-Konservattivi. Il-maġġoranza ġenerali tal-SNP fissret li kien hemm biżżejjed appoġġ fil-Parlament Skoċċiż biex iżomm ref"&amp;"erendum dwar l-indipendenza Skoċċiża.")</f>
        <v>L-elezzjoni pproduċiet gvern ta 'SNP b'maġġoranza, u għamel dan l-ewwel darba fil-Parlament Skoċċiż fejn partit ikkmanda maġġoranza parlamentari. L-SNP ħa 16-il siġġu mix-xogħol, b'ħafna mill-figuri ewlenin tagħhom ma rritornawx lill-Parlament, għalkemm il-Mexxej Laburista Iain Gray żamm Lvant Lothian bi 151 vot. L-SNP ħa tmien siġġijiet oħra mid-Demokratiċi Liberali u siġġu wieħed mill-Konservattivi. Il-maġġoranza ġenerali tal-SNP fissret li kien hemm biżżejjed appoġġ fil-Parlament Skoċċiż biex iżomm referendum dwar l-indipendenza Skoċċiża.</v>
      </c>
    </row>
    <row r="3343" ht="15.75" customHeight="1">
      <c r="A3343" s="2" t="s">
        <v>3343</v>
      </c>
      <c r="B3343" s="2" t="str">
        <f>IFERROR(__xludf.DUMMYFUNCTION("GOOGLETRANSLATE(A3343, ""en"", ""mt"")"),"X'kien l-isem tal-lokomottiva li ddebutta fl-1825?")</f>
        <v>X'kien l-isem tal-lokomottiva li ddebutta fl-1825?</v>
      </c>
    </row>
    <row r="3344" ht="15.75" customHeight="1">
      <c r="A3344" s="2" t="s">
        <v>3344</v>
      </c>
      <c r="B3344" s="2" t="str">
        <f>IFERROR(__xludf.DUMMYFUNCTION("GOOGLETRANSLATE(A3344, ""en"", ""mt"")"),"Xi jfisser is-sid biex juri kif jista 'jilħaq l-għanijiet?")</f>
        <v>Xi jfisser is-sid biex juri kif jista 'jilħaq l-għanijiet?</v>
      </c>
    </row>
    <row r="3345" ht="15.75" customHeight="1">
      <c r="A3345" s="2" t="s">
        <v>3345</v>
      </c>
      <c r="B3345" s="2" t="str">
        <f>IFERROR(__xludf.DUMMYFUNCTION("GOOGLETRANSLATE(A3345, ""en"", ""mt"")"),"1606")</f>
        <v>1606</v>
      </c>
    </row>
    <row r="3346" ht="15.75" customHeight="1">
      <c r="A3346" s="2" t="s">
        <v>3346</v>
      </c>
      <c r="B3346" s="2" t="str">
        <f>IFERROR(__xludf.DUMMYFUNCTION("GOOGLETRANSLATE(A3346, ""en"", ""mt"")"),"Liema ċelloli jgħinu ċ-ċelloli tal-helper B?")</f>
        <v>Liema ċelloli jgħinu ċ-ċelloli tal-helper B?</v>
      </c>
    </row>
    <row r="3347" ht="15.75" customHeight="1">
      <c r="A3347" s="2" t="s">
        <v>3347</v>
      </c>
      <c r="B3347" s="2" t="str">
        <f>IFERROR(__xludf.DUMMYFUNCTION("GOOGLETRANSLATE(A3347, ""en"", ""mt"")"),"il-korpi artab u ġelatinuż tagħhom")</f>
        <v>il-korpi artab u ġelatinuż tagħhom</v>
      </c>
    </row>
    <row r="3348" ht="15.75" customHeight="1">
      <c r="A3348" s="2" t="s">
        <v>3348</v>
      </c>
      <c r="B3348" s="2" t="str">
        <f>IFERROR(__xludf.DUMMYFUNCTION("GOOGLETRANSLATE(A3348, ""en"", ""mt"")"),"Liema professjoni kienet Nathan Gorska?")</f>
        <v>Liema professjoni kienet Nathan Gorska?</v>
      </c>
    </row>
    <row r="3349" ht="15.75" customHeight="1">
      <c r="A3349" s="2" t="s">
        <v>3349</v>
      </c>
      <c r="B3349" s="2" t="str">
        <f>IFERROR(__xludf.DUMMYFUNCTION("GOOGLETRANSLATE(A3349, ""en"", ""mt"")"),"In-nies indiġeni tal-Amazon Peruvjani qed jitħabtu fl-Amażonja, x'inhu grupp ieħor?")</f>
        <v>In-nies indiġeni tal-Amazon Peruvjani qed jitħabtu fl-Amażonja, x'inhu grupp ieħor?</v>
      </c>
    </row>
    <row r="3350" ht="15.75" customHeight="1">
      <c r="A3350" s="2" t="s">
        <v>3350</v>
      </c>
      <c r="B3350" s="2" t="str">
        <f>IFERROR(__xludf.DUMMYFUNCTION("GOOGLETRANSLATE(A3350, ""en"", ""mt"")"),"Min allegatament haunted il-bieb?")</f>
        <v>Min allegatament haunted il-bieb?</v>
      </c>
    </row>
    <row r="3351" ht="15.75" customHeight="1">
      <c r="A3351" s="2" t="s">
        <v>3351</v>
      </c>
      <c r="B3351" s="2" t="str">
        <f>IFERROR(__xludf.DUMMYFUNCTION("GOOGLETRANSLATE(A3351, ""en"", ""mt"")"),"Iddisinjat biex jarma lill-istudenti b'settijiet ta 'ħiliet meħtieġa biex ikunu jistgħu jwettqu fuq ix-xogħol")</f>
        <v>Iddisinjat biex jarma lill-istudenti b'settijiet ta 'ħiliet meħtieġa biex ikunu jistgħu jwettqu fuq ix-xogħol</v>
      </c>
    </row>
    <row r="3352" ht="15.75" customHeight="1">
      <c r="A3352" s="2" t="s">
        <v>3352</v>
      </c>
      <c r="B3352" s="2" t="str">
        <f>IFERROR(__xludf.DUMMYFUNCTION("GOOGLETRANSLATE(A3352, ""en"", ""mt"")"),"Liema teorema tibqa 'valida fil-primes uniċi Gaussjani?")</f>
        <v>Liema teorema tibqa 'valida fil-primes uniċi Gaussjani?</v>
      </c>
    </row>
    <row r="3353" ht="15.75" customHeight="1">
      <c r="A3353" s="2" t="s">
        <v>3353</v>
      </c>
      <c r="B3353" s="2" t="str">
        <f>IFERROR(__xludf.DUMMYFUNCTION("GOOGLETRANSLATE(A3353, ""en"", ""mt"")"),"sid tal-proprjetà")</f>
        <v>sid tal-proprjetà</v>
      </c>
    </row>
    <row r="3354" ht="15.75" customHeight="1">
      <c r="A3354" s="2" t="s">
        <v>3354</v>
      </c>
      <c r="B3354" s="2" t="str">
        <f>IFERROR(__xludf.DUMMYFUNCTION("GOOGLETRANSLATE(A3354, ""en"", ""mt"")"),"Għal min ħadmu l-istudjużi ġeografiċi?")</f>
        <v>Għal min ħadmu l-istudjużi ġeografiċi?</v>
      </c>
    </row>
    <row r="3355" ht="15.75" customHeight="1">
      <c r="A3355" s="2" t="s">
        <v>3355</v>
      </c>
      <c r="B3355" s="2" t="str">
        <f>IFERROR(__xludf.DUMMYFUNCTION("GOOGLETRANSLATE(A3355, ""en"", ""mt"")"),"repulsjoni ta 'piżijiet simili taħt l-influwenza tal-forza elettromanjetika")</f>
        <v>repulsjoni ta 'piżijiet simili taħt l-influwenza tal-forza elettromanjetika</v>
      </c>
    </row>
    <row r="3356" ht="15.75" customHeight="1">
      <c r="A3356" s="2" t="s">
        <v>3356</v>
      </c>
      <c r="B3356" s="2" t="str">
        <f>IFERROR(__xludf.DUMMYFUNCTION("GOOGLETRANSLATE(A3356, ""en"", ""mt"")"),"Hemm kritika li l-politiki dwar l-enerġija huma soluzzjonijiet ta 'malajr għaljin li jinjoraw liema fatti?")</f>
        <v>Hemm kritika li l-politiki dwar l-enerġija huma soluzzjonijiet ta 'malajr għaljin li jinjoraw liema fatti?</v>
      </c>
    </row>
    <row r="3357" ht="15.75" customHeight="1">
      <c r="A3357" s="2" t="s">
        <v>3357</v>
      </c>
      <c r="B3357" s="2" t="str">
        <f>IFERROR(__xludf.DUMMYFUNCTION("GOOGLETRANSLATE(A3357, ""en"", ""mt"")"),"Fiċ-Ċina tal-Yuan, jew l-era tal-Mongolja, diversi żviluppi importanti fl-arti seħħew jew komplew fl-iżvilupp tagħhom, inklużi l-oqsma tal-pittura, il-matematika, il-kaligrafija, il-poeżija, u t-teatru, b’ħafna artisti u kittieba kbar huma famużi llum. Mi"&amp;"nħabba l-għaqda flimkien ta 'pittura, poeżija, u kaligrafija f'dan il-ħin ħafna mill-artisti li jipprattikaw dawn l-insegwiment differenti kienu l-istess individwi, għalkemm forsi aktar famużi għal qasam wieħed tal-kisbiet tagħhom minn oħrajn. Ħafna drabi"&amp;" f'termini tal-iżvilupp ulterjuri tal-pittura tal-pajsaġġ kif ukoll tal-għaqda klassika flimkien tal-arti tal-pittura, tal-poeżija, u tal-kaligrafija, id-dinastija tal-kanzunetta u d-dinastija Yuan huma marbuta flimkien. Fil-qasam tal-pittura Ċiniża matul"&amp;" id-dinastija Yuan kien hemm ħafna pitturi famużi. Fil-qasam tal-kaligrafija ħafna mill-kaligrafi l-kbar kienu mill-era tad-dinastija Yuan. Fil-poeżija tal-wan, l-iżvilupp ewlieni kien il-QU, li ntuża fost forom poetiċi oħra mill-biċċa l-kbira tal-poeti t"&amp;"al-Yuan famużi. Ħafna mill-poeti kienu involuti wkoll fl-iżviluppi ewlenin fit-teatru matul dan iż-żmien, u bil-maqlub, b'nies importanti fit-teatru jsiru famużi permezz tal-iżvilupp tat-tip Sanqu ta 'Qu. Wieħed mill-fatturi ewlenin fit-taħlita ta 'The Za"&amp;"ju Variety Show kien l-inkorporazzjoni tal-poeżija kemm klassika kif ukoll tal-forma Qu l-aktar ġdida. Wieħed mill-iżviluppi kulturali importanti matul l-era tal-wan kien il-konsolidazzjoni tal-poeżija, il-pittura, u l-kaligrafija f'biċċa unifikata tat-ti"&amp;"p li għandha t-tendenza li tiġi f'moħħna meta n-nies jaħsbu dwar l-arti Ċiniża klassika. Aspett importanti ieħor taż-żminijiet tal-wan huwa l-inkorporazzjoni dejjem tiżdied taċ-Ċiniż kurrenti u vernakolari kemm fil-forma Qu tal-poeżija kif ukoll fil-varji"&amp;" Zaju. Konsiderazzjoni importanti oħra rigward l-arti u l-kultura tad-dinastija Yuan hija li tant minnha baqgħet ħajja fiċ-Ċina, relattivament għal xogħlijiet mid-dinastija Tang u d-dinastija tal-kanzunetti, li ħafna drabi ġew ippreservati aħjar f'postiji"&amp;"et bħal Shōsōin, fil-Ġappun.")</f>
        <v>Fiċ-Ċina tal-Yuan, jew l-era tal-Mongolja, diversi żviluppi importanti fl-arti seħħew jew komplew fl-iżvilupp tagħhom, inklużi l-oqsma tal-pittura, il-matematika, il-kaligrafija, il-poeżija, u t-teatru, b’ħafna artisti u kittieba kbar huma famużi llum. Minħabba l-għaqda flimkien ta 'pittura, poeżija, u kaligrafija f'dan il-ħin ħafna mill-artisti li jipprattikaw dawn l-insegwiment differenti kienu l-istess individwi, għalkemm forsi aktar famużi għal qasam wieħed tal-kisbiet tagħhom minn oħrajn. Ħafna drabi f'termini tal-iżvilupp ulterjuri tal-pittura tal-pajsaġġ kif ukoll tal-għaqda klassika flimkien tal-arti tal-pittura, tal-poeżija, u tal-kaligrafija, id-dinastija tal-kanzunetta u d-dinastija Yuan huma marbuta flimkien. Fil-qasam tal-pittura Ċiniża matul id-dinastija Yuan kien hemm ħafna pitturi famużi. Fil-qasam tal-kaligrafija ħafna mill-kaligrafi l-kbar kienu mill-era tad-dinastija Yuan. Fil-poeżija tal-wan, l-iżvilupp ewlieni kien il-QU, li ntuża fost forom poetiċi oħra mill-biċċa l-kbira tal-poeti tal-Yuan famużi. Ħafna mill-poeti kienu involuti wkoll fl-iżviluppi ewlenin fit-teatru matul dan iż-żmien, u bil-maqlub, b'nies importanti fit-teatru jsiru famużi permezz tal-iżvilupp tat-tip Sanqu ta 'Qu. Wieħed mill-fatturi ewlenin fit-taħlita ta 'The Zaju Variety Show kien l-inkorporazzjoni tal-poeżija kemm klassika kif ukoll tal-forma Qu l-aktar ġdida. Wieħed mill-iżviluppi kulturali importanti matul l-era tal-wan kien il-konsolidazzjoni tal-poeżija, il-pittura, u l-kaligrafija f'biċċa unifikata tat-tip li għandha t-tendenza li tiġi f'moħħna meta n-nies jaħsbu dwar l-arti Ċiniża klassika. Aspett importanti ieħor taż-żminijiet tal-wan huwa l-inkorporazzjoni dejjem tiżdied taċ-Ċiniż kurrenti u vernakolari kemm fil-forma Qu tal-poeżija kif ukoll fil-varji Zaju. Konsiderazzjoni importanti oħra rigward l-arti u l-kultura tad-dinastija Yuan hija li tant minnha baqgħet ħajja fiċ-Ċina, relattivament għal xogħlijiet mid-dinastija Tang u d-dinastija tal-kanzunetti, li ħafna drabi ġew ippreservati aħjar f'postijiet bħal Shōsōin, fil-Ġappun.</v>
      </c>
    </row>
    <row r="3358" ht="15.75" customHeight="1">
      <c r="A3358" s="2" t="s">
        <v>3358</v>
      </c>
      <c r="B3358" s="2" t="str">
        <f>IFERROR(__xludf.DUMMYFUNCTION("GOOGLETRANSLATE(A3358, ""en"", ""mt"")"),"diversi")</f>
        <v>diversi</v>
      </c>
    </row>
    <row r="3359" ht="15.75" customHeight="1">
      <c r="A3359" s="2" t="s">
        <v>3359</v>
      </c>
      <c r="B3359" s="2" t="str">
        <f>IFERROR(__xludf.DUMMYFUNCTION("GOOGLETRANSLATE(A3359, ""en"", ""mt"")"),"X'jistgħu jaħdmu n-nies jekk jiġu miċħuda l-funzjonijiet, il-kapaċitajiet u l-aġenzija tagħhom?")</f>
        <v>X'jistgħu jaħdmu n-nies jekk jiġu miċħuda l-funzjonijiet, il-kapaċitajiet u l-aġenzija tagħhom?</v>
      </c>
    </row>
    <row r="3360" ht="15.75" customHeight="1">
      <c r="A3360" s="2" t="s">
        <v>3360</v>
      </c>
      <c r="B3360" s="2" t="str">
        <f>IFERROR(__xludf.DUMMYFUNCTION("GOOGLETRANSLATE(A3360, ""en"", ""mt"")"),"inugwaljanza")</f>
        <v>inugwaljanza</v>
      </c>
    </row>
    <row r="3361" ht="15.75" customHeight="1">
      <c r="A3361" s="2" t="s">
        <v>3361</v>
      </c>
      <c r="B3361" s="2" t="str">
        <f>IFERROR(__xludf.DUMMYFUNCTION("GOOGLETRANSLATE(A3361, ""en"", ""mt"")"),"Baħar tat-Tramuntana")</f>
        <v>Baħar tat-Tramuntana</v>
      </c>
    </row>
    <row r="3362" ht="15.75" customHeight="1">
      <c r="A3362" s="2" t="s">
        <v>3362</v>
      </c>
      <c r="B3362" s="2" t="str">
        <f>IFERROR(__xludf.DUMMYFUNCTION("GOOGLETRANSLATE(A3362, ""en"", ""mt"")"),"in-numri kollha sa n = 2 · 1017")</f>
        <v>in-numri kollha sa n = 2 · 1017</v>
      </c>
    </row>
    <row r="3363" ht="15.75" customHeight="1">
      <c r="A3363" s="2" t="s">
        <v>3363</v>
      </c>
      <c r="B3363" s="2" t="str">
        <f>IFERROR(__xludf.DUMMYFUNCTION("GOOGLETRANSLATE(A3363, ""en"", ""mt"")"),"Id-dilemma ffaċċjata minn ċittadini Ġermaniżi meta l-pulizija sigrieta ta ’Hitler talbet biex tkun taf jekk kinux qed jaħbu Lhudi fid-dar tagħhom")</f>
        <v>Id-dilemma ffaċċjata minn ċittadini Ġermaniżi meta l-pulizija sigrieta ta ’Hitler talbet biex tkun taf jekk kinux qed jaħbu Lhudi fid-dar tagħhom</v>
      </c>
    </row>
    <row r="3364" ht="15.75" customHeight="1">
      <c r="A3364" s="2" t="s">
        <v>3364</v>
      </c>
      <c r="B3364" s="2" t="str">
        <f>IFERROR(__xludf.DUMMYFUNCTION("GOOGLETRANSLATE(A3364, ""en"", ""mt"")"),"L-ipoteżi atomika oriġinali ta 'John Dalton assumiet li l-elementi kollha kienu monatomiċi u li l-atomi fil-komposti normalment ikollhom il-proporzjonijiet atomiċi l-aktar sempliċi fir-rigward ta' xulxin. Pereżempju, Dalton assuma li l-formula tal-ilma ki"&amp;"enet HO, li tagħti l-massa atomika ta 'ossiġnu bħala 8 darbiet dik ta' l-idroġenu, minflok il-valur modern ta 'madwar 16. Fl-1805, Joseph Louis Gay-Lussac u Alexander von Humboldt wera li l-ilma huwa ffurmat ta 'żewġ volumi ta' idroġenu u volum wieħed ta "&amp;"'ossiġnu; u sal-1811 Amedeo Avogadro kien wasal għall-interpretazzjoni t-tajba tal-kompożizzjoni tal-ilma, ibbażat fuq dak li issa jissejjaħ il-liġi ta 'Avogadro u l-assunzjoni ta' molekuli elementali diatomiċi. [A]")</f>
        <v>L-ipoteżi atomika oriġinali ta 'John Dalton assumiet li l-elementi kollha kienu monatomiċi u li l-atomi fil-komposti normalment ikollhom il-proporzjonijiet atomiċi l-aktar sempliċi fir-rigward ta' xulxin. Pereżempju, Dalton assuma li l-formula tal-ilma kienet HO, li tagħti l-massa atomika ta 'ossiġnu bħala 8 darbiet dik ta' l-idroġenu, minflok il-valur modern ta 'madwar 16. Fl-1805, Joseph Louis Gay-Lussac u Alexander von Humboldt wera li l-ilma huwa ffurmat ta 'żewġ volumi ta' idroġenu u volum wieħed ta 'ossiġnu; u sal-1811 Amedeo Avogadro kien wasal għall-interpretazzjoni t-tajba tal-kompożizzjoni tal-ilma, ibbażat fuq dak li issa jissejjaħ il-liġi ta 'Avogadro u l-assunzjoni ta' molekuli elementali diatomiċi. [A]</v>
      </c>
    </row>
    <row r="3365" ht="15.75" customHeight="1">
      <c r="A3365" s="2" t="s">
        <v>3365</v>
      </c>
      <c r="B3365" s="2" t="str">
        <f>IFERROR(__xludf.DUMMYFUNCTION("GOOGLETRANSLATE(A3365, ""en"", ""mt"")"),"Liema srevice addizzjonali offra BSKYB minbarra l-kanali HD li huma ddikjaraw offruti ""sostanzjalment aktar valur""?")</f>
        <v>Liema srevice addizzjonali offra BSKYB minbarra l-kanali HD li huma ddikjaraw offruti "sostanzjalment aktar valur"?</v>
      </c>
    </row>
    <row r="3366" ht="15.75" customHeight="1">
      <c r="A3366" s="2" t="s">
        <v>3366</v>
      </c>
      <c r="B3366" s="2" t="str">
        <f>IFERROR(__xludf.DUMMYFUNCTION("GOOGLETRANSLATE(A3366, ""en"", ""mt"")"),"X'kien ċentru ta 'l-avorju fl-1100s?")</f>
        <v>X'kien ċentru ta 'l-avorju fl-1100s?</v>
      </c>
    </row>
    <row r="3367" ht="15.75" customHeight="1">
      <c r="A3367" s="2" t="s">
        <v>3367</v>
      </c>
      <c r="B3367" s="2" t="str">
        <f>IFERROR(__xludf.DUMMYFUNCTION("GOOGLETRANSLATE(A3367, ""en"", ""mt"")"),"L-ispettaklu globu")</f>
        <v>L-ispettaklu globu</v>
      </c>
    </row>
    <row r="3368" ht="15.75" customHeight="1">
      <c r="A3368" s="2" t="s">
        <v>3368</v>
      </c>
      <c r="B3368" s="2" t="str">
        <f>IFERROR(__xludf.DUMMYFUNCTION("GOOGLETRANSLATE(A3368, ""en"", ""mt"")"),"Il-Bord Intergovernattiv dwar it-Tibdil fil-Klima (IPCC) huwa korp intergovernattiv xjentifiku taħt il-patroċinju tan-Nazzjonijiet Uniti, imwaqqaf fuq talba tal-gvernijiet membri. L-ewwel ġie stabbilit fl-1988 minn żewġ organizzazzjonijiet tan-Nazzjonijie"&amp;"t Uniti, l-Organizzazzjoni Meteoroloġika Dinjija (WMO) u l-Programm ta 'l-Ambjent tan-Nazzjonijiet Uniti (UNEP), u aktar tard approvat mill-Assemblea Ġenerali tan-Nazzjonijiet Uniti permezz tar-Riżoluzzjoni 43/53. Is-sħubija fl-IPCC hija miftuħa għall-mem"&amp;"bri kollha tal-WMO u l-UNEP. L-IPCC jipproduċi rapporti li jappoġġjaw il-Konvenzjoni Qafas tan-Nazzjonijiet Uniti dwar it-Tibdil fil-Klima (UNFCCC), li huwa t-Trattat Internazzjonali ewlieni dwar it-Tibdil fil-Klima. L-għan aħħari tal-UNFCCC huwa li ""tis"&amp;"tabbilizza l-konċentrazzjonijiet tal-gass serra fl-atmosfera f'livell li jipprevjeni interferenza antropoġenika perikoluża [i.e., indotta mill-bniedem] fis-sistema klimatika"". Ir-rapporti tal-IPCC ikopru ""l-informazzjoni xjentifika, teknika u soċjo-ekon"&amp;"omika rilevanti biex tifhem il-bażi xjentifika tar-riskju ta 'bidla fil-klima indotta mill-bniedem, l-impatti potenzjali u l-għażliet tagħha għall-adattament u l-mitigazzjoni.""")</f>
        <v>Il-Bord Intergovernattiv dwar it-Tibdil fil-Klima (IPCC) huwa korp intergovernattiv xjentifiku taħt il-patroċinju tan-Nazzjonijiet Uniti, imwaqqaf fuq talba tal-gvernijiet membri. L-ewwel ġie stabbilit fl-1988 minn żewġ organizzazzjonijiet tan-Nazzjonijiet Uniti, l-Organizzazzjoni Meteoroloġika Dinjija (WMO) u l-Programm ta 'l-Ambjent tan-Nazzjonijiet Uniti (UNEP), u aktar tard approvat mill-Assemblea Ġenerali tan-Nazzjonijiet Uniti permezz tar-Riżoluzzjoni 43/53. Is-sħubija fl-IPCC hija miftuħa għall-membri kollha tal-WMO u l-UNEP. L-IPCC jipproduċi rapporti li jappoġġjaw il-Konvenzjoni Qafas tan-Nazzjonijiet Uniti dwar it-Tibdil fil-Klima (UNFCCC), li huwa t-Trattat Internazzjonali ewlieni dwar it-Tibdil fil-Klima. L-għan aħħari tal-UNFCCC huwa li "tistabbilizza l-konċentrazzjonijiet tal-gass serra fl-atmosfera f'livell li jipprevjeni interferenza antropoġenika perikoluża [i.e., indotta mill-bniedem] fis-sistema klimatika". Ir-rapporti tal-IPCC ikopru "l-informazzjoni xjentifika, teknika u soċjo-ekonomika rilevanti biex tifhem il-bażi xjentifika tar-riskju ta 'bidla fil-klima indotta mill-bniedem, l-impatti potenzjali u l-għażliet tagħha għall-adattament u l-mitigazzjoni."</v>
      </c>
    </row>
    <row r="3369" ht="15.75" customHeight="1">
      <c r="A3369" s="2" t="s">
        <v>3369</v>
      </c>
      <c r="B3369" s="2" t="str">
        <f>IFERROR(__xludf.DUMMYFUNCTION("GOOGLETRANSLATE(A3369, ""en"", ""mt"")"),"F'liema sena twieled il-Prinċep Louis de Conde?")</f>
        <v>F'liema sena twieled il-Prinċep Louis de Conde?</v>
      </c>
    </row>
    <row r="3370" ht="15.75" customHeight="1">
      <c r="A3370" s="2" t="s">
        <v>3370</v>
      </c>
      <c r="B3370" s="2" t="str">
        <f>IFERROR(__xludf.DUMMYFUNCTION("GOOGLETRANSLATE(A3370, ""en"", ""mt"")"),"L-Arabja Sawdita u l-Iran")</f>
        <v>L-Arabja Sawdita u l-Iran</v>
      </c>
    </row>
    <row r="3371" ht="15.75" customHeight="1">
      <c r="A3371" s="2" t="s">
        <v>3371</v>
      </c>
      <c r="B3371" s="2" t="str">
        <f>IFERROR(__xludf.DUMMYFUNCTION("GOOGLETRANSLATE(A3371, ""en"", ""mt"")"),"Kemm tunnellata metrika ta 'karbonju huma maħsuba li huma maħżuna fil-foresta tal-Amażonja?")</f>
        <v>Kemm tunnellata metrika ta 'karbonju huma maħsuba li huma maħżuna fil-foresta tal-Amażonja?</v>
      </c>
    </row>
    <row r="3372" ht="15.75" customHeight="1">
      <c r="A3372" s="2" t="s">
        <v>3372</v>
      </c>
      <c r="B3372" s="2" t="str">
        <f>IFERROR(__xludf.DUMMYFUNCTION("GOOGLETRANSLATE(A3372, ""en"", ""mt"")"),"Meta ġiet miġġielda l-gwerra tal-Ġermanja Pitsudski?")</f>
        <v>Meta ġiet miġġielda l-gwerra tal-Ġermanja Pitsudski?</v>
      </c>
    </row>
    <row r="3373" ht="15.75" customHeight="1">
      <c r="A3373" s="2" t="s">
        <v>3373</v>
      </c>
      <c r="B3373" s="2" t="str">
        <f>IFERROR(__xludf.DUMMYFUNCTION("GOOGLETRANSLATE(A3373, ""en"", ""mt"")"),"Orbitali molekulari")</f>
        <v>Orbitali molekulari</v>
      </c>
    </row>
    <row r="3374" ht="15.75" customHeight="1">
      <c r="A3374" s="2" t="s">
        <v>3374</v>
      </c>
      <c r="B3374" s="2" t="str">
        <f>IFERROR(__xludf.DUMMYFUNCTION("GOOGLETRANSLATE(A3374, ""en"", ""mt"")"),"Min għandu r-responsabbiltà għall-pubblikazzjoni ta 'materjali?")</f>
        <v>Min għandu r-responsabbiltà għall-pubblikazzjoni ta 'materjali?</v>
      </c>
    </row>
    <row r="3375" ht="15.75" customHeight="1">
      <c r="A3375" s="2" t="s">
        <v>3375</v>
      </c>
      <c r="B3375" s="2" t="str">
        <f>IFERROR(__xludf.DUMMYFUNCTION("GOOGLETRANSLATE(A3375, ""en"", ""mt"")"),"proċess edukattiv jew da'wah")</f>
        <v>proċess edukattiv jew da'wah</v>
      </c>
    </row>
    <row r="3376" ht="15.75" customHeight="1">
      <c r="A3376" s="2" t="s">
        <v>3376</v>
      </c>
      <c r="B3376" s="2" t="str">
        <f>IFERROR(__xludf.DUMMYFUNCTION("GOOGLETRANSLATE(A3376, ""en"", ""mt"")"),"Liema responsabbiltajiet huma l-ispiżjara li jemmnu li qed jieħdu inqas fil-futur?")</f>
        <v>Liema responsabbiltajiet huma l-ispiżjara li jemmnu li qed jieħdu inqas fil-futur?</v>
      </c>
    </row>
    <row r="3377" ht="15.75" customHeight="1">
      <c r="A3377" s="2" t="s">
        <v>3377</v>
      </c>
      <c r="B3377" s="2" t="str">
        <f>IFERROR(__xludf.DUMMYFUNCTION("GOOGLETRANSLATE(A3377, ""en"", ""mt"")"),"għaxar miljun")</f>
        <v>għaxar miljun</v>
      </c>
    </row>
    <row r="3378" ht="15.75" customHeight="1">
      <c r="A3378" s="2" t="s">
        <v>3378</v>
      </c>
      <c r="B3378" s="2" t="str">
        <f>IFERROR(__xludf.DUMMYFUNCTION("GOOGLETRANSLATE(A3378, ""en"", ""mt"")"),"Fejn ir-Renu jagħmel dawra distintiva lejn it-tramuntana?")</f>
        <v>Fejn ir-Renu jagħmel dawra distintiva lejn it-tramuntana?</v>
      </c>
    </row>
    <row r="3379" ht="15.75" customHeight="1">
      <c r="A3379" s="2" t="s">
        <v>3379</v>
      </c>
      <c r="B3379" s="2" t="str">
        <f>IFERROR(__xludf.DUMMYFUNCTION("GOOGLETRANSLATE(A3379, ""en"", ""mt"")"),"Kemm nies ipprotestaw il-programm ta 'assimilazzjoni tal-iskola fil-Malasja?")</f>
        <v>Kemm nies ipprotestaw il-programm ta 'assimilazzjoni tal-iskola fil-Malasja?</v>
      </c>
    </row>
    <row r="3380" ht="15.75" customHeight="1">
      <c r="A3380" s="2" t="s">
        <v>3380</v>
      </c>
      <c r="B3380" s="2" t="str">
        <f>IFERROR(__xludf.DUMMYFUNCTION("GOOGLETRANSLATE(A3380, ""en"", ""mt"")"),"allegatament makkinarji korrotti ta 'François bigot")</f>
        <v>allegatament makkinarji korrotti ta 'François bigot</v>
      </c>
    </row>
    <row r="3381" ht="15.75" customHeight="1">
      <c r="A3381" s="2" t="s">
        <v>3381</v>
      </c>
      <c r="B3381" s="2" t="str">
        <f>IFERROR(__xludf.DUMMYFUNCTION("GOOGLETRANSLATE(A3381, ""en"", ""mt"")"),"Il-Knisja Kattolika fir-reġjun")</f>
        <v>Il-Knisja Kattolika fir-reġjun</v>
      </c>
    </row>
    <row r="3382" ht="15.75" customHeight="1">
      <c r="A3382" s="2" t="s">
        <v>3382</v>
      </c>
      <c r="B3382" s="2" t="str">
        <f>IFERROR(__xludf.DUMMYFUNCTION("GOOGLETRANSLATE(A3382, ""en"", ""mt"")"),"L-Iżlamiżmu huwa kunċett kontroversjali mhux biss minħabba li huwa rwol politiku għall-Iżlam iżda wkoll minħabba li l-partitarji tiegħu jemmnu li l-fehmiet tagħhom jirriflettu biss l-Islam, filwaqt li l-idea kuntrarja li l-Islam huwa, jew jista 'jkun, Apo"&amp;"litical huwa żball. Studjużi u osservaturi li ma jemmnux li l-Iżlam huwa sempliċement ideoloġija politika jinkludu Fred Halliday, John Esposito u intellettwali Musulmani bħal Javed Ahmad Ghamidi. Hayri Abaza jargumenta li n-nuqqas ta ’distinzjoni bejn l-I"&amp;"żlam u l-Iżlamiżmu jwassal ħafna fil-Punent biex jappoġġjaw reġimi Iżlamiċi illiberali, għad-detriment ta’ moderati progressivi li jfittxu li jisseparaw ir-reliġjon mill-politika.")</f>
        <v>L-Iżlamiżmu huwa kunċett kontroversjali mhux biss minħabba li huwa rwol politiku għall-Iżlam iżda wkoll minħabba li l-partitarji tiegħu jemmnu li l-fehmiet tagħhom jirriflettu biss l-Islam, filwaqt li l-idea kuntrarja li l-Islam huwa, jew jista 'jkun, Apolitical huwa żball. Studjużi u osservaturi li ma jemmnux li l-Iżlam huwa sempliċement ideoloġija politika jinkludu Fred Halliday, John Esposito u intellettwali Musulmani bħal Javed Ahmad Ghamidi. Hayri Abaza jargumenta li n-nuqqas ta ’distinzjoni bejn l-Iżlam u l-Iżlamiżmu jwassal ħafna fil-Punent biex jappoġġjaw reġimi Iżlamiċi illiberali, għad-detriment ta’ moderati progressivi li jfittxu li jisseparaw ir-reliġjon mill-politika.</v>
      </c>
    </row>
    <row r="3383" ht="15.75" customHeight="1">
      <c r="A3383" s="2" t="s">
        <v>3383</v>
      </c>
      <c r="B3383" s="2" t="str">
        <f>IFERROR(__xludf.DUMMYFUNCTION("GOOGLETRANSLATE(A3383, ""en"", ""mt"")"),"Dak li jiżdied maż-żieda fl-inugwaljanza tad-dħul?")</f>
        <v>Dak li jiżdied maż-żieda fl-inugwaljanza tad-dħul?</v>
      </c>
    </row>
    <row r="3384" ht="15.75" customHeight="1">
      <c r="A3384" s="2" t="s">
        <v>3384</v>
      </c>
      <c r="B3384" s="2" t="str">
        <f>IFERROR(__xludf.DUMMYFUNCTION("GOOGLETRANSLATE(A3384, ""en"", ""mt"")"),"Min hu l-qaddis patrun tal-Huguenots?")</f>
        <v>Min hu l-qaddis patrun tal-Huguenots?</v>
      </c>
    </row>
    <row r="3385" ht="15.75" customHeight="1">
      <c r="A3385" s="2" t="s">
        <v>3385</v>
      </c>
      <c r="B3385" s="2" t="str">
        <f>IFERROR(__xludf.DUMMYFUNCTION("GOOGLETRANSLATE(A3385, ""en"", ""mt"")"),"L-eqdem triq fl-Istati Uniti tal-Amerika")</f>
        <v>L-eqdem triq fl-Istati Uniti tal-Amerika</v>
      </c>
    </row>
    <row r="3386" ht="15.75" customHeight="1">
      <c r="A3386" s="2" t="s">
        <v>3386</v>
      </c>
      <c r="B3386" s="2" t="str">
        <f>IFERROR(__xludf.DUMMYFUNCTION("GOOGLETRANSLATE(A3386, ""en"", ""mt"")"),"il-chao")</f>
        <v>il-chao</v>
      </c>
    </row>
    <row r="3387" ht="15.75" customHeight="1">
      <c r="A3387" s="2" t="s">
        <v>3387</v>
      </c>
      <c r="B3387" s="2" t="str">
        <f>IFERROR(__xludf.DUMMYFUNCTION("GOOGLETRANSLATE(A3387, ""en"", ""mt"")")," Meta ġiet aċċettata l-Fratellanza l-ewwel fl-Eġittu?")</f>
        <v> Meta ġiet aċċettata l-Fratellanza l-ewwel fl-Eġittu?</v>
      </c>
    </row>
    <row r="3388" ht="15.75" customHeight="1">
      <c r="A3388" s="2" t="s">
        <v>3388</v>
      </c>
      <c r="B3388" s="2" t="str">
        <f>IFERROR(__xludf.DUMMYFUNCTION("GOOGLETRANSLATE(A3388, ""en"", ""mt"")"),"Kostruzzjoni")</f>
        <v>Kostruzzjoni</v>
      </c>
    </row>
    <row r="3389" ht="15.75" customHeight="1">
      <c r="A3389" s="2" t="s">
        <v>3389</v>
      </c>
      <c r="B3389" s="2" t="str">
        <f>IFERROR(__xludf.DUMMYFUNCTION("GOOGLETRANSLATE(A3389, ""en"", ""mt"")"),"Minn liema sena l-università offriet dottorat fil-kompożizzjoni tal-mużika?")</f>
        <v>Minn liema sena l-università offriet dottorat fil-kompożizzjoni tal-mużika?</v>
      </c>
    </row>
    <row r="3390" ht="15.75" customHeight="1">
      <c r="A3390" s="2" t="s">
        <v>3390</v>
      </c>
      <c r="B3390" s="2" t="str">
        <f>IFERROR(__xludf.DUMMYFUNCTION("GOOGLETRANSLATE(A3390, ""en"", ""mt"")"),"Liema rwol prattiku jiddefinixxi l-kumplessità tal-problemi fil-kompjuters ta 'kuljum?")</f>
        <v>Liema rwol prattiku jiddefinixxi l-kumplessità tal-problemi fil-kompjuters ta 'kuljum?</v>
      </c>
    </row>
    <row r="3391" ht="15.75" customHeight="1">
      <c r="A3391" s="2" t="s">
        <v>3391</v>
      </c>
      <c r="B3391" s="2" t="str">
        <f>IFERROR(__xludf.DUMMYFUNCTION("GOOGLETRANSLATE(A3391, ""en"", ""mt"")"),"Meta l-ISIL irrifjuta li jwiegħed lealtà ma 'al-Qaeda?")</f>
        <v>Meta l-ISIL irrifjuta li jwiegħed lealtà ma 'al-Qaeda?</v>
      </c>
    </row>
    <row r="3392" ht="15.75" customHeight="1">
      <c r="A3392" s="2" t="s">
        <v>3392</v>
      </c>
      <c r="B3392" s="2" t="str">
        <f>IFERROR(__xludf.DUMMYFUNCTION("GOOGLETRANSLATE(A3392, ""en"", ""mt"")"),"Min kien l-ewwel ġeologu?")</f>
        <v>Min kien l-ewwel ġeologu?</v>
      </c>
    </row>
    <row r="3393" ht="15.75" customHeight="1">
      <c r="A3393" s="2" t="s">
        <v>3393</v>
      </c>
      <c r="B3393" s="2" t="str">
        <f>IFERROR(__xludf.DUMMYFUNCTION("GOOGLETRANSLATE(A3393, ""en"", ""mt"")"),"Min x'aktarx parteċipanti fil-ħolqien ta 'pjan ġenerali għall-ġestjoni finanzjarja tal-proġett tal-kostruzzjoni tal-bini?")</f>
        <v>Min x'aktarx parteċipanti fil-ħolqien ta 'pjan ġenerali għall-ġestjoni finanzjarja tal-proġett tal-kostruzzjoni tal-bini?</v>
      </c>
    </row>
    <row r="3394" ht="15.75" customHeight="1">
      <c r="A3394" s="2" t="s">
        <v>3394</v>
      </c>
      <c r="B3394" s="2" t="str">
        <f>IFERROR(__xludf.DUMMYFUNCTION("GOOGLETRANSLATE(A3394, ""en"", ""mt"")"),"Liema t-tieni parti ta 'l-arja kienet meqjusa bla ħajja minn Lavoisier?")</f>
        <v>Liema t-tieni parti ta 'l-arja kienet meqjusa bla ħajja minn Lavoisier?</v>
      </c>
    </row>
    <row r="3395" ht="15.75" customHeight="1">
      <c r="A3395" s="2" t="s">
        <v>3395</v>
      </c>
      <c r="B3395" s="2" t="str">
        <f>IFERROR(__xludf.DUMMYFUNCTION("GOOGLETRANSLATE(A3395, ""en"", ""mt"")"),"L-angoli kollha jibqgħu l-istess")</f>
        <v>L-angoli kollha jibqgħu l-istess</v>
      </c>
    </row>
    <row r="3396" ht="15.75" customHeight="1">
      <c r="A3396" s="2" t="s">
        <v>3396</v>
      </c>
      <c r="B3396" s="2" t="str">
        <f>IFERROR(__xludf.DUMMYFUNCTION("GOOGLETRANSLATE(A3396, ""en"", ""mt"")"),"X'tip ta 'familja jibagħtu lil uliedhom qabel l-iskola?")</f>
        <v>X'tip ta 'familja jibagħtu lil uliedhom qabel l-iskola?</v>
      </c>
    </row>
    <row r="3397" ht="15.75" customHeight="1">
      <c r="A3397" s="2" t="s">
        <v>3397</v>
      </c>
      <c r="B3397" s="2" t="str">
        <f>IFERROR(__xludf.DUMMYFUNCTION("GOOGLETRANSLATE(A3397, ""en"", ""mt"")"),"L-oqsma kompluti (jew lokali)")</f>
        <v>L-oqsma kompluti (jew lokali)</v>
      </c>
    </row>
    <row r="3398" ht="15.75" customHeight="1">
      <c r="A3398" s="2" t="s">
        <v>3398</v>
      </c>
      <c r="B3398" s="2" t="str">
        <f>IFERROR(__xludf.DUMMYFUNCTION("GOOGLETRANSLATE(A3398, ""en"", ""mt"")"),"is-sistema Iżlamika vera")</f>
        <v>is-sistema Iżlamika vera</v>
      </c>
    </row>
    <row r="3399" ht="15.75" customHeight="1">
      <c r="A3399" s="2" t="s">
        <v>3399</v>
      </c>
      <c r="B3399" s="2" t="str">
        <f>IFERROR(__xludf.DUMMYFUNCTION("GOOGLETRANSLATE(A3399, ""en"", ""mt"")"),"Dak li tipikament joqgħod it-Tlieta, l-Erbgħa, u l-Ġimgħa?")</f>
        <v>Dak li tipikament joqgħod it-Tlieta, l-Erbgħa, u l-Ġimgħa?</v>
      </c>
    </row>
    <row r="3400" ht="15.75" customHeight="1">
      <c r="A3400" s="2" t="s">
        <v>3400</v>
      </c>
      <c r="B3400" s="2" t="str">
        <f>IFERROR(__xludf.DUMMYFUNCTION("GOOGLETRANSLATE(A3400, ""en"", ""mt"")"),"il-movimenti tan-natura, movimenti ta 'tul ta' żmien ħieles u mhux ugwali")</f>
        <v>il-movimenti tan-natura, movimenti ta 'tul ta' żmien ħieles u mhux ugwali</v>
      </c>
    </row>
    <row r="3401" ht="15.75" customHeight="1">
      <c r="A3401" s="2" t="s">
        <v>3401</v>
      </c>
      <c r="B3401" s="2" t="str">
        <f>IFERROR(__xludf.DUMMYFUNCTION("GOOGLETRANSLATE(A3401, ""en"", ""mt"")"),"Ċiklu Prattiku tal-Carnot")</f>
        <v>Ċiklu Prattiku tal-Carnot</v>
      </c>
    </row>
    <row r="3402" ht="15.75" customHeight="1">
      <c r="A3402" s="2" t="s">
        <v>3402</v>
      </c>
      <c r="B3402" s="2" t="str">
        <f>IFERROR(__xludf.DUMMYFUNCTION("GOOGLETRANSLATE(A3402, ""en"", ""mt"")"),"Kien hemm ħafna Mongoli b'dak l-istatus mistenni?")</f>
        <v>Kien hemm ħafna Mongoli b'dak l-istatus mistenni?</v>
      </c>
    </row>
    <row r="3403" ht="15.75" customHeight="1">
      <c r="A3403" s="2" t="s">
        <v>3403</v>
      </c>
      <c r="B3403" s="2" t="str">
        <f>IFERROR(__xludf.DUMMYFUNCTION("GOOGLETRANSLATE(A3403, ""en"", ""mt"")"),"X'jista 'biegħ Pharma?")</f>
        <v>X'jista 'biegħ Pharma?</v>
      </c>
    </row>
    <row r="3404" ht="15.75" customHeight="1">
      <c r="A3404" s="2" t="s">
        <v>3404</v>
      </c>
      <c r="B3404" s="2" t="str">
        <f>IFERROR(__xludf.DUMMYFUNCTION("GOOGLETRANSLATE(A3404, ""en"", ""mt"")"),"Liema antiġeni ma jagħrfux iċ-ċelloli T helper?")</f>
        <v>Liema antiġeni ma jagħrfux iċ-ċelloli T helper?</v>
      </c>
    </row>
    <row r="3405" ht="15.75" customHeight="1">
      <c r="A3405" s="2" t="s">
        <v>3405</v>
      </c>
      <c r="B3405" s="2" t="str">
        <f>IFERROR(__xludf.DUMMYFUNCTION("GOOGLETRANSLATE(A3405, ""en"", ""mt"")"),"Abercrombie ġie mfakkar u mibdul")</f>
        <v>Abercrombie ġie mfakkar u mibdul</v>
      </c>
    </row>
    <row r="3406" ht="15.75" customHeight="1">
      <c r="A3406" s="2" t="s">
        <v>3406</v>
      </c>
      <c r="B3406" s="2" t="str">
        <f>IFERROR(__xludf.DUMMYFUNCTION("GOOGLETRANSLATE(A3406, ""en"", ""mt"")"),"Meta kien hemm protesta armata f'Ballarat dwar it-taxxi tal-minjieri?")</f>
        <v>Meta kien hemm protesta armata f'Ballarat dwar it-taxxi tal-minjieri?</v>
      </c>
    </row>
    <row r="3407" ht="15.75" customHeight="1">
      <c r="A3407" s="2" t="s">
        <v>3407</v>
      </c>
      <c r="B3407" s="2" t="str">
        <f>IFERROR(__xludf.DUMMYFUNCTION("GOOGLETRANSLATE(A3407, ""en"", ""mt"")"),"X'kienet interessata l-Air Force tal-Istati Uniti?")</f>
        <v>X'kienet interessata l-Air Force tal-Istati Uniti?</v>
      </c>
    </row>
    <row r="3408" ht="15.75" customHeight="1">
      <c r="A3408" s="2" t="s">
        <v>3408</v>
      </c>
      <c r="B3408" s="2" t="str">
        <f>IFERROR(__xludf.DUMMYFUNCTION("GOOGLETRANSLATE(A3408, ""en"", ""mt"")"),"żidiet")</f>
        <v>żidiet</v>
      </c>
    </row>
    <row r="3409" ht="15.75" customHeight="1">
      <c r="A3409" s="2" t="s">
        <v>3409</v>
      </c>
      <c r="B3409" s="2" t="str">
        <f>IFERROR(__xludf.DUMMYFUNCTION("GOOGLETRANSLATE(A3409, ""en"", ""mt"")"),"Kontej tal-baqar")</f>
        <v>Kontej tal-baqar</v>
      </c>
    </row>
    <row r="3410" ht="15.75" customHeight="1">
      <c r="A3410" s="2" t="s">
        <v>3410</v>
      </c>
      <c r="B3410" s="2" t="str">
        <f>IFERROR(__xludf.DUMMYFUNCTION("GOOGLETRANSLATE(A3410, ""en"", ""mt"")"),"Timijiet sportivi professjonali fin-Nofsinhar tal-Kalifornja jinkludu timijiet mill-NFL (Los Angeles Rams, San Diego Chargers); NBA (Los Angeles Lakers, Los Angeles Clippers); MLB (Los Angeles Dodgers, Los Angeles Angels ta 'Anaheim, San Diego Padres); NH"&amp;"L (Los Angeles Kings, Anaheim Ducks); u MLS (La Galaxy).")</f>
        <v>Timijiet sportivi professjonali fin-Nofsinhar tal-Kalifornja jinkludu timijiet mill-NFL (Los Angeles Rams, San Diego Chargers); NBA (Los Angeles Lakers, Los Angeles Clippers); MLB (Los Angeles Dodgers, Los Angeles Angels ta 'Anaheim, San Diego Padres); NHL (Los Angeles Kings, Anaheim Ducks); u MLS (La Galaxy).</v>
      </c>
    </row>
    <row r="3411" ht="15.75" customHeight="1">
      <c r="A3411" s="2" t="s">
        <v>3411</v>
      </c>
      <c r="B3411" s="2" t="str">
        <f>IFERROR(__xludf.DUMMYFUNCTION("GOOGLETRANSLATE(A3411, ""en"", ""mt"")"),"Meta Zhu Shijie ħa xogħol ġdid?")</f>
        <v>Meta Zhu Shijie ħa xogħol ġdid?</v>
      </c>
    </row>
    <row r="3412" ht="15.75" customHeight="1">
      <c r="A3412" s="2" t="s">
        <v>3412</v>
      </c>
      <c r="B3412" s="2" t="str">
        <f>IFERROR(__xludf.DUMMYFUNCTION("GOOGLETRANSLATE(A3412, ""en"", ""mt"")"),"fi pressjonijiet parzjali aktar minn 50 kilopascals")</f>
        <v>fi pressjonijiet parzjali aktar minn 50 kilopascals</v>
      </c>
    </row>
    <row r="3413" ht="15.75" customHeight="1">
      <c r="A3413" s="2" t="s">
        <v>3413</v>
      </c>
      <c r="B3413" s="2" t="str">
        <f>IFERROR(__xludf.DUMMYFUNCTION("GOOGLETRANSLATE(A3413, ""en"", ""mt"")"),"Westminster")</f>
        <v>Westminster</v>
      </c>
    </row>
    <row r="3414" ht="15.75" customHeight="1">
      <c r="A3414" s="2" t="s">
        <v>3414</v>
      </c>
      <c r="B3414" s="2" t="str">
        <f>IFERROR(__xludf.DUMMYFUNCTION("GOOGLETRANSLATE(A3414, ""en"", ""mt"")"),"Fuq fejn huma ffokati ħafna mill-attrazzjonijiet turistiċi fir-Rabat?")</f>
        <v>Fuq fejn huma ffokati ħafna mill-attrazzjonijiet turistiċi fir-Rabat?</v>
      </c>
    </row>
    <row r="3415" ht="15.75" customHeight="1">
      <c r="A3415" s="2" t="s">
        <v>3415</v>
      </c>
      <c r="B3415" s="2" t="str">
        <f>IFERROR(__xludf.DUMMYFUNCTION("GOOGLETRANSLATE(A3415, ""en"", ""mt"")"),"Pspace")</f>
        <v>Pspace</v>
      </c>
    </row>
    <row r="3416" ht="15.75" customHeight="1">
      <c r="A3416" s="2" t="s">
        <v>3416</v>
      </c>
      <c r="B3416" s="2" t="str">
        <f>IFERROR(__xludf.DUMMYFUNCTION("GOOGLETRANSLATE(A3416, ""en"", ""mt"")"),"X'inhu l-isem ta 'algoritmu wieħed utli għall-ittestjar b'mod konvenjenti tal-primalità ta' numri kbar?")</f>
        <v>X'inhu l-isem ta 'algoritmu wieħed utli għall-ittestjar b'mod konvenjenti tal-primalità ta' numri kbar?</v>
      </c>
    </row>
    <row r="3417" ht="15.75" customHeight="1">
      <c r="A3417" s="2" t="s">
        <v>3417</v>
      </c>
      <c r="B3417" s="2" t="str">
        <f>IFERROR(__xludf.DUMMYFUNCTION("GOOGLETRANSLATE(A3417, ""en"", ""mt"")"),"X'għandha tifforma l-bażi għal ħafna riżultati ta 'separazzjoni ta' klassijiet ta 'kumplessità?")</f>
        <v>X'għandha tifforma l-bażi għal ħafna riżultati ta 'separazzjoni ta' klassijiet ta 'kumplessità?</v>
      </c>
    </row>
    <row r="3418" ht="15.75" customHeight="1">
      <c r="A3418" s="2" t="s">
        <v>3418</v>
      </c>
      <c r="B3418" s="2" t="str">
        <f>IFERROR(__xludf.DUMMYFUNCTION("GOOGLETRANSLATE(A3418, ""en"", ""mt"")"),"22 darba bejn l-1361 u l-1528")</f>
        <v>22 darba bejn l-1361 u l-1528</v>
      </c>
    </row>
    <row r="3419" ht="15.75" customHeight="1">
      <c r="A3419" s="2" t="s">
        <v>3419</v>
      </c>
      <c r="B3419" s="2" t="str">
        <f>IFERROR(__xludf.DUMMYFUNCTION("GOOGLETRANSLATE(A3419, ""en"", ""mt"")"),"X'inhu l-isem ta 'ġeneralizzazzjoni alġebrika waħda li n-numri primarji ispiraw?")</f>
        <v>X'inhu l-isem ta 'ġeneralizzazzjoni alġebrika waħda li n-numri primarji ispiraw?</v>
      </c>
    </row>
    <row r="3420" ht="15.75" customHeight="1">
      <c r="A3420" s="2" t="s">
        <v>3420</v>
      </c>
      <c r="B3420" s="2" t="str">
        <f>IFERROR(__xludf.DUMMYFUNCTION("GOOGLETRANSLATE(A3420, ""en"", ""mt"")"),"Xi jħossu Rosenfield għandu l-iktar rwol sinifikanti fl-espansjoni tad-distakk fid-dħul?")</f>
        <v>Xi jħossu Rosenfield għandu l-iktar rwol sinifikanti fl-espansjoni tad-distakk fid-dħul?</v>
      </c>
    </row>
    <row r="3421" ht="15.75" customHeight="1">
      <c r="A3421" s="2" t="s">
        <v>3421</v>
      </c>
      <c r="B3421" s="2" t="str">
        <f>IFERROR(__xludf.DUMMYFUNCTION("GOOGLETRANSLATE(A3421, ""en"", ""mt"")"),"Volum tal-passiġġieri")</f>
        <v>Volum tal-passiġġieri</v>
      </c>
    </row>
    <row r="3422" ht="15.75" customHeight="1">
      <c r="A3422" s="2" t="s">
        <v>3422</v>
      </c>
      <c r="B3422" s="2" t="str">
        <f>IFERROR(__xludf.DUMMYFUNCTION("GOOGLETRANSLATE(A3422, ""en"", ""mt"")"),"Dokumenti li jakkumpanjawhom")</f>
        <v>Dokumenti li jakkumpanjawhom</v>
      </c>
    </row>
    <row r="3423" ht="15.75" customHeight="1">
      <c r="A3423" s="2" t="s">
        <v>3423</v>
      </c>
      <c r="B3423" s="2" t="str">
        <f>IFERROR(__xludf.DUMMYFUNCTION("GOOGLETRANSLATE(A3423, ""en"", ""mt"")"),"Ipprovdi operazzjonijiet orjentati lejn il-konnessjoni")</f>
        <v>Ipprovdi operazzjonijiet orjentati lejn il-konnessjoni</v>
      </c>
    </row>
    <row r="3424" ht="15.75" customHeight="1">
      <c r="A3424" s="2" t="s">
        <v>3424</v>
      </c>
      <c r="B3424" s="2" t="str">
        <f>IFERROR(__xludf.DUMMYFUNCTION("GOOGLETRANSLATE(A3424, ""en"", ""mt"")"),"applikat")</f>
        <v>applikat</v>
      </c>
    </row>
    <row r="3425" ht="15.75" customHeight="1">
      <c r="A3425" s="2" t="s">
        <v>3425</v>
      </c>
      <c r="B3425" s="2" t="str">
        <f>IFERROR(__xludf.DUMMYFUNCTION("GOOGLETRANSLATE(A3425, ""en"", ""mt"")"),"mogħdijiet multipli bejn kwalunkwe żewġ punti")</f>
        <v>mogħdijiet multipli bejn kwalunkwe żewġ punti</v>
      </c>
    </row>
    <row r="3426" ht="15.75" customHeight="1">
      <c r="A3426" s="2" t="s">
        <v>3426</v>
      </c>
      <c r="B3426" s="2" t="str">
        <f>IFERROR(__xludf.DUMMYFUNCTION("GOOGLETRANSLATE(A3426, ""en"", ""mt"")"),"Is-sitt inqas")</f>
        <v>Is-sitt inqas</v>
      </c>
    </row>
    <row r="3427" ht="15.75" customHeight="1">
      <c r="A3427" s="2" t="s">
        <v>3427</v>
      </c>
      <c r="B3427" s="2" t="str">
        <f>IFERROR(__xludf.DUMMYFUNCTION("GOOGLETRANSLATE(A3427, ""en"", ""mt"")"),"Il-viċinat ta 'Sunnyside jinsab fuq in-naħa tax-Xlokk' il bogħod ta 'Fresno, imdawwar minn Vjal Chestnut lejn il-punent. It-toroq ewlenin tagħha huma Kings Canyon Avenue u Clovis Avenue. Għalkemm partijiet ta 'Sunnyside jinsabu fil-belt ta' Fresno, ħafna "&amp;"mill-viċinat hija ""gżira tal-kontea"" fil-Kontea ta 'Fresno. Żviluppat fil-biċċa l-kbira fis-snin 1950 sas-snin sebgħin, dan l-aħħar esperjenza żieda fil-kostruzzjoni tad-dar il-ġdida. Hija wkoll id-dar ta 'Sunnyside Country Club, li żżomm korsa tal-golf"&amp;" iddisinjata minn William P. Bell.")</f>
        <v>Il-viċinat ta 'Sunnyside jinsab fuq in-naħa tax-Xlokk' il bogħod ta 'Fresno, imdawwar minn Vjal Chestnut lejn il-punent. It-toroq ewlenin tagħha huma Kings Canyon Avenue u Clovis Avenue. Għalkemm partijiet ta 'Sunnyside jinsabu fil-belt ta' Fresno, ħafna mill-viċinat hija "gżira tal-kontea" fil-Kontea ta 'Fresno. Żviluppat fil-biċċa l-kbira fis-snin 1950 sas-snin sebgħin, dan l-aħħar esperjenza żieda fil-kostruzzjoni tad-dar il-ġdida. Hija wkoll id-dar ta 'Sunnyside Country Club, li żżomm korsa tal-golf iddisinjata minn William P. Bell.</v>
      </c>
    </row>
    <row r="3428" ht="15.75" customHeight="1">
      <c r="A3428" s="2" t="s">
        <v>3428</v>
      </c>
      <c r="B3428" s="2" t="str">
        <f>IFERROR(__xludf.DUMMYFUNCTION("GOOGLETRANSLATE(A3428, ""en"", ""mt"")"),"X'inhu dak li jippermetti joni, ilma u tossini biex joħorġu mill-membrana taċ-ċellula fil-mira?")</f>
        <v>X'inhu dak li jippermetti joni, ilma u tossini biex joħorġu mill-membrana taċ-ċellula fil-mira?</v>
      </c>
    </row>
    <row r="3429" ht="15.75" customHeight="1">
      <c r="A3429" s="2" t="s">
        <v>3429</v>
      </c>
      <c r="B3429" s="2" t="str">
        <f>IFERROR(__xludf.DUMMYFUNCTION("GOOGLETRANSLATE(A3429, ""en"", ""mt"")"),"X'kienet is-sede tal-eks mexxej tal-partit David McLetchie?")</f>
        <v>X'kienet is-sede tal-eks mexxej tal-partit David McLetchie?</v>
      </c>
    </row>
    <row r="3430" ht="15.75" customHeight="1">
      <c r="A3430" s="2" t="s">
        <v>3430</v>
      </c>
      <c r="B3430" s="2" t="str">
        <f>IFERROR(__xludf.DUMMYFUNCTION("GOOGLETRANSLATE(A3430, ""en"", ""mt"")"),"leġġenda")</f>
        <v>leġġenda</v>
      </c>
    </row>
    <row r="3431" ht="15.75" customHeight="1">
      <c r="A3431" s="2" t="s">
        <v>3431</v>
      </c>
      <c r="B3431" s="2" t="str">
        <f>IFERROR(__xludf.DUMMYFUNCTION("GOOGLETRANSLATE(A3431, ""en"", ""mt"")"),"Kif jissejħu l-litosfera u l-astenosfera meta akkoppjati flimkien?")</f>
        <v>Kif jissejħu l-litosfera u l-astenosfera meta akkoppjati flimkien?</v>
      </c>
    </row>
    <row r="3432" ht="15.75" customHeight="1">
      <c r="A3432" s="2" t="s">
        <v>3432</v>
      </c>
      <c r="B3432" s="2" t="str">
        <f>IFERROR(__xludf.DUMMYFUNCTION("GOOGLETRANSLATE(A3432, ""en"", ""mt"")"),"Liema gwerer ġlieda Franza fl-1600s?")</f>
        <v>Liema gwerer ġlieda Franza fl-1600s?</v>
      </c>
    </row>
    <row r="3433" ht="15.75" customHeight="1">
      <c r="A3433" s="2" t="s">
        <v>3433</v>
      </c>
      <c r="B3433" s="2" t="str">
        <f>IFERROR(__xludf.DUMMYFUNCTION("GOOGLETRANSLATE(A3433, ""en"", ""mt"")"),"Liema partijiet tad-dinja huma inklużi fil-litosfera?")</f>
        <v>Liema partijiet tad-dinja huma inklużi fil-litosfera?</v>
      </c>
    </row>
    <row r="3434" ht="15.75" customHeight="1">
      <c r="A3434" s="2" t="s">
        <v>3434</v>
      </c>
      <c r="B3434" s="2" t="str">
        <f>IFERROR(__xludf.DUMMYFUNCTION("GOOGLETRANSLATE(A3434, ""en"", ""mt"")"),"Drogi narkotiċi")</f>
        <v>Drogi narkotiċi</v>
      </c>
    </row>
    <row r="3435" ht="15.75" customHeight="1">
      <c r="A3435" s="2" t="s">
        <v>3435</v>
      </c>
      <c r="B3435" s="2" t="str">
        <f>IFERROR(__xludf.DUMMYFUNCTION("GOOGLETRANSLATE(A3435, ""en"", ""mt"")"),"Halford Mackinder u Friedrich Ratzel fejn x'tip ta 'ġeografi?")</f>
        <v>Halford Mackinder u Friedrich Ratzel fejn x'tip ta 'ġeografi?</v>
      </c>
    </row>
    <row r="3436" ht="15.75" customHeight="1">
      <c r="A3436" s="2" t="s">
        <v>3436</v>
      </c>
      <c r="B3436" s="2" t="str">
        <f>IFERROR(__xludf.DUMMYFUNCTION("GOOGLETRANSLATE(A3436, ""en"", ""mt"")"),"Fl-1979, matul il-kriżi taż-żejt, liema kien l-ogħla prezz taż-żejt?")</f>
        <v>Fl-1979, matul il-kriżi taż-żejt, liema kien l-ogħla prezz taż-żejt?</v>
      </c>
    </row>
    <row r="3437" ht="15.75" customHeight="1">
      <c r="A3437" s="2" t="s">
        <v>3437</v>
      </c>
      <c r="B3437" s="2" t="str">
        <f>IFERROR(__xludf.DUMMYFUNCTION("GOOGLETRANSLATE(A3437, ""en"", ""mt"")"),"Gradjent tal-potenzjal.")</f>
        <v>Gradjent tal-potenzjal.</v>
      </c>
    </row>
    <row r="3438" ht="15.75" customHeight="1">
      <c r="A3438" s="2" t="s">
        <v>3438</v>
      </c>
      <c r="B3438" s="2" t="str">
        <f>IFERROR(__xludf.DUMMYFUNCTION("GOOGLETRANSLATE(A3438, ""en"", ""mt"")"),"uffiċjal pubbliku")</f>
        <v>uffiċjal pubbliku</v>
      </c>
    </row>
    <row r="3439" ht="15.75" customHeight="1">
      <c r="A3439" s="2" t="s">
        <v>3439</v>
      </c>
      <c r="B3439" s="2" t="str">
        <f>IFERROR(__xludf.DUMMYFUNCTION("GOOGLETRANSLATE(A3439, ""en"", ""mt"")"),"popolazzjoni mxerrda u distanza")</f>
        <v>popolazzjoni mxerrda u distanza</v>
      </c>
    </row>
    <row r="3440" ht="15.75" customHeight="1">
      <c r="A3440" s="2" t="s">
        <v>3440</v>
      </c>
      <c r="B3440" s="2" t="str">
        <f>IFERROR(__xludf.DUMMYFUNCTION("GOOGLETRANSLATE(A3440, ""en"", ""mt"")"),"X'kien il-prezz taż-żejt f'Marzu tal-1974?")</f>
        <v>X'kien il-prezz taż-żejt f'Marzu tal-1974?</v>
      </c>
    </row>
    <row r="3441" ht="15.75" customHeight="1">
      <c r="A3441" s="2" t="s">
        <v>3441</v>
      </c>
      <c r="B3441" s="2" t="str">
        <f>IFERROR(__xludf.DUMMYFUNCTION("GOOGLETRANSLATE(A3441, ""en"", ""mt"")"),"Phagolysosome")</f>
        <v>Phagolysosome</v>
      </c>
    </row>
    <row r="3442" ht="15.75" customHeight="1">
      <c r="A3442" s="2" t="s">
        <v>3442</v>
      </c>
      <c r="B3442" s="2" t="str">
        <f>IFERROR(__xludf.DUMMYFUNCTION("GOOGLETRANSLATE(A3442, ""en"", ""mt"")"),"Liema persentaġġ ta 'siġġijiet identifikaw il-partiti politiċi hekk kif irbaħ l-Iżlamisti fl-elezzjoni Parlamentari Eġizzjana tal-2012-2013?")</f>
        <v>Liema persentaġġ ta 'siġġijiet identifikaw il-partiti politiċi hekk kif irbaħ l-Iżlamisti fl-elezzjoni Parlamentari Eġizzjana tal-2012-2013?</v>
      </c>
    </row>
    <row r="3443" ht="15.75" customHeight="1">
      <c r="A3443" s="2" t="s">
        <v>3443</v>
      </c>
      <c r="B3443" s="2" t="str">
        <f>IFERROR(__xludf.DUMMYFUNCTION("GOOGLETRANSLATE(A3443, ""en"", ""mt"")"),"Istanbul")</f>
        <v>Istanbul</v>
      </c>
    </row>
    <row r="3444" ht="15.75" customHeight="1">
      <c r="A3444" s="2" t="s">
        <v>3444</v>
      </c>
      <c r="B3444" s="2" t="str">
        <f>IFERROR(__xludf.DUMMYFUNCTION("GOOGLETRANSLATE(A3444, ""en"", ""mt"")"),"5.3%")</f>
        <v>5.3%</v>
      </c>
    </row>
    <row r="3445" ht="15.75" customHeight="1">
      <c r="A3445" s="2" t="s">
        <v>3445</v>
      </c>
      <c r="B3445" s="2" t="str">
        <f>IFERROR(__xludf.DUMMYFUNCTION("GOOGLETRANSLATE(A3445, ""en"", ""mt"")"),"Kif jissejjaħ il-kondensatur taċ-ċiklu?")</f>
        <v>Kif jissejjaħ il-kondensatur taċ-ċiklu?</v>
      </c>
    </row>
    <row r="3446" ht="15.75" customHeight="1">
      <c r="A3446" s="2" t="s">
        <v>3446</v>
      </c>
      <c r="B3446" s="2" t="str">
        <f>IFERROR(__xludf.DUMMYFUNCTION("GOOGLETRANSLATE(A3446, ""en"", ""mt"")"),"Marzu 2011")</f>
        <v>Marzu 2011</v>
      </c>
    </row>
    <row r="3447" ht="15.75" customHeight="1">
      <c r="A3447" s="2" t="s">
        <v>3447</v>
      </c>
      <c r="B3447" s="2" t="str">
        <f>IFERROR(__xludf.DUMMYFUNCTION("GOOGLETRANSLATE(A3447, ""en"", ""mt"")"),"66–34 Mya")</f>
        <v>66–34 Mya</v>
      </c>
    </row>
    <row r="3448" ht="15.75" customHeight="1">
      <c r="A3448" s="2" t="s">
        <v>3448</v>
      </c>
      <c r="B3448" s="2" t="str">
        <f>IFERROR(__xludf.DUMMYFUNCTION("GOOGLETRANSLATE(A3448, ""en"", ""mt"")"),"Liema hija waħda mill-karatteristiċi tal-park li jinsabu fit-Tramuntana ta 'Fresno?")</f>
        <v>Liema hija waħda mill-karatteristiċi tal-park li jinsabu fit-Tramuntana ta 'Fresno?</v>
      </c>
    </row>
    <row r="3449" ht="15.75" customHeight="1">
      <c r="A3449" s="2" t="s">
        <v>3449</v>
      </c>
      <c r="B3449" s="2" t="str">
        <f>IFERROR(__xludf.DUMMYFUNCTION("GOOGLETRANSLATE(A3449, ""en"", ""mt"")"),"Informazzjoni disponibbli dwar it-tibdil fil-klima bbażat fuq sorsi ppubblikati")</f>
        <v>Informazzjoni disponibbli dwar it-tibdil fil-klima bbażat fuq sorsi ppubblikati</v>
      </c>
    </row>
    <row r="3450" ht="15.75" customHeight="1">
      <c r="A3450" s="2" t="s">
        <v>3450</v>
      </c>
      <c r="B3450" s="2" t="str">
        <f>IFERROR(__xludf.DUMMYFUNCTION("GOOGLETRANSLATE(A3450, ""en"", ""mt"")"),"Meta Kublai mexxiet il-kapitali Mongolja?")</f>
        <v>Meta Kublai mexxiet il-kapitali Mongolja?</v>
      </c>
    </row>
    <row r="3451" ht="15.75" customHeight="1">
      <c r="A3451" s="2" t="s">
        <v>3451</v>
      </c>
      <c r="B3451" s="2" t="str">
        <f>IFERROR(__xludf.DUMMYFUNCTION("GOOGLETRANSLATE(A3451, ""en"", ""mt"")"),"Min il-ktajjen kienu magħmula mir-ram?")</f>
        <v>Min il-ktajjen kienu magħmula mir-ram?</v>
      </c>
    </row>
    <row r="3452" ht="15.75" customHeight="1">
      <c r="A3452" s="2" t="s">
        <v>3452</v>
      </c>
      <c r="B3452" s="2" t="str">
        <f>IFERROR(__xludf.DUMMYFUNCTION("GOOGLETRANSLATE(A3452, ""en"", ""mt"")"),"Minn fejn ix-xjenzati jaħsbu li l-pesti kollha oriġinaw?")</f>
        <v>Minn fejn ix-xjenzati jaħsbu li l-pesti kollha oriġinaw?</v>
      </c>
    </row>
    <row r="3453" ht="15.75" customHeight="1">
      <c r="A3453" s="2" t="s">
        <v>3453</v>
      </c>
      <c r="B3453" s="2" t="str">
        <f>IFERROR(__xludf.DUMMYFUNCTION("GOOGLETRANSLATE(A3453, ""en"", ""mt"")"),"imċaħħad milli jaqla 'daqs kemm kienu mod ieħor")</f>
        <v>imċaħħad milli jaqla 'daqs kemm kienu mod ieħor</v>
      </c>
    </row>
    <row r="3454" ht="15.75" customHeight="1">
      <c r="A3454" s="2" t="s">
        <v>3454</v>
      </c>
      <c r="B3454" s="2" t="str">
        <f>IFERROR(__xludf.DUMMYFUNCTION("GOOGLETRANSLATE(A3454, ""en"", ""mt"")"),"Liema aġġustament maġġuri sar għat-trattati fl-1960?")</f>
        <v>Liema aġġustament maġġuri sar għat-trattati fl-1960?</v>
      </c>
    </row>
    <row r="3455" ht="15.75" customHeight="1">
      <c r="A3455" s="2" t="s">
        <v>3455</v>
      </c>
      <c r="B3455" s="2" t="str">
        <f>IFERROR(__xludf.DUMMYFUNCTION("GOOGLETRANSLATE(A3455, ""en"", ""mt"")"),"160 kPa")</f>
        <v>160 kPa</v>
      </c>
    </row>
    <row r="3456" ht="15.75" customHeight="1">
      <c r="A3456" s="2" t="s">
        <v>3456</v>
      </c>
      <c r="B3456" s="2" t="str">
        <f>IFERROR(__xludf.DUMMYFUNCTION("GOOGLETRANSLATE(A3456, ""en"", ""mt"")"),"Beroe")</f>
        <v>Beroe</v>
      </c>
    </row>
    <row r="3457" ht="15.75" customHeight="1">
      <c r="A3457" s="2" t="s">
        <v>3457</v>
      </c>
      <c r="B3457" s="2" t="str">
        <f>IFERROR(__xludf.DUMMYFUNCTION("GOOGLETRANSLATE(A3457, ""en"", ""mt"")"),"X'inhu kważi identiku bejn in-nazzjonijiet u l-ġurisdizzjonijiet kollha?")</f>
        <v>X'inhu kważi identiku bejn in-nazzjonijiet u l-ġurisdizzjonijiet kollha?</v>
      </c>
    </row>
    <row r="3458" ht="15.75" customHeight="1">
      <c r="A3458" s="2" t="s">
        <v>3458</v>
      </c>
      <c r="B3458" s="2" t="str">
        <f>IFERROR(__xludf.DUMMYFUNCTION("GOOGLETRANSLATE(A3458, ""en"", ""mt"")"),"Meta ġiet ippubblikata t-teorija tal-evoluzzjoni ta 'Charles Darwin?")</f>
        <v>Meta ġiet ippubblikata t-teorija tal-evoluzzjoni ta 'Charles Darwin?</v>
      </c>
    </row>
    <row r="3459" ht="15.75" customHeight="1">
      <c r="A3459" s="2" t="s">
        <v>3459</v>
      </c>
      <c r="B3459" s="2" t="str">
        <f>IFERROR(__xludf.DUMMYFUNCTION("GOOGLETRANSLATE(A3459, ""en"", ""mt"")"),"ċelloli")</f>
        <v>ċelloli</v>
      </c>
    </row>
    <row r="3460" ht="15.75" customHeight="1">
      <c r="A3460" s="2" t="s">
        <v>3460</v>
      </c>
      <c r="B3460" s="2" t="str">
        <f>IFERROR(__xludf.DUMMYFUNCTION("GOOGLETRANSLATE(A3460, ""en"", ""mt"")"),"Liema isem ingħata lin-nofs tal-punent tal-kolonja?")</f>
        <v>Liema isem ingħata lin-nofs tal-punent tal-kolonja?</v>
      </c>
    </row>
    <row r="3461" ht="15.75" customHeight="1">
      <c r="A3461" s="2" t="s">
        <v>3461</v>
      </c>
      <c r="B3461" s="2" t="str">
        <f>IFERROR(__xludf.DUMMYFUNCTION("GOOGLETRANSLATE(A3461, ""en"", ""mt"")"),"Reviżjoni tar-Reġim tal-Medikazzjoni")</f>
        <v>Reviżjoni tar-Reġim tal-Medikazzjoni</v>
      </c>
    </row>
    <row r="3462" ht="15.75" customHeight="1">
      <c r="A3462" s="2" t="s">
        <v>3462</v>
      </c>
      <c r="B3462" s="2" t="str">
        <f>IFERROR(__xludf.DUMMYFUNCTION("GOOGLETRANSLATE(A3462, ""en"", ""mt"")"),"Park Roeding")</f>
        <v>Park Roeding</v>
      </c>
    </row>
    <row r="3463" ht="15.75" customHeight="1">
      <c r="A3463" s="2" t="s">
        <v>3463</v>
      </c>
      <c r="B3463" s="2" t="str">
        <f>IFERROR(__xludf.DUMMYFUNCTION("GOOGLETRANSLATE(A3463, ""en"", ""mt"")"),"(~ 11,600 bp")</f>
        <v>(~ 11,600 bp</v>
      </c>
    </row>
    <row r="3464" ht="15.75" customHeight="1">
      <c r="A3464" s="2" t="s">
        <v>3464</v>
      </c>
      <c r="B3464" s="2" t="str">
        <f>IFERROR(__xludf.DUMMYFUNCTION("GOOGLETRANSLATE(A3464, ""en"", ""mt"")"),"Liema hu anzjan l-Imperu Brittaniku jew l-Imperu Etjopjan?")</f>
        <v>Liema hu anzjan l-Imperu Brittaniku jew l-Imperu Etjopjan?</v>
      </c>
    </row>
    <row r="3465" ht="15.75" customHeight="1">
      <c r="A3465" s="2" t="s">
        <v>3465</v>
      </c>
      <c r="B3465" s="2" t="str">
        <f>IFERROR(__xludf.DUMMYFUNCTION("GOOGLETRANSLATE(A3465, ""en"", ""mt"")"),"Min ħa l-kmand tal-Franċiż fir-rebbiegħa tal-1735?")</f>
        <v>Min ħa l-kmand tal-Franċiż fir-rebbiegħa tal-1735?</v>
      </c>
    </row>
    <row r="3466" ht="15.75" customHeight="1">
      <c r="A3466" s="2" t="s">
        <v>3466</v>
      </c>
      <c r="B3466" s="2" t="str">
        <f>IFERROR(__xludf.DUMMYFUNCTION("GOOGLETRANSLATE(A3466, ""en"", ""mt"")"),"Il-Mustang I tal-1974")</f>
        <v>Il-Mustang I tal-1974</v>
      </c>
    </row>
    <row r="3467" ht="15.75" customHeight="1">
      <c r="A3467" s="2" t="s">
        <v>3467</v>
      </c>
      <c r="B3467" s="2" t="str">
        <f>IFERROR(__xludf.DUMMYFUNCTION("GOOGLETRANSLATE(A3467, ""en"", ""mt"")"),"prestiġjuż")</f>
        <v>prestiġjuż</v>
      </c>
    </row>
    <row r="3468" ht="15.75" customHeight="1">
      <c r="A3468" s="2" t="s">
        <v>3468</v>
      </c>
      <c r="B3468" s="2" t="str">
        <f>IFERROR(__xludf.DUMMYFUNCTION("GOOGLETRANSLATE(A3468, ""en"", ""mt"")"),"Fuq liema kien ibbażat l-ewwel imperu Ingliż?")</f>
        <v>Fuq liema kien ibbażat l-ewwel imperu Ingliż?</v>
      </c>
    </row>
    <row r="3469" ht="15.75" customHeight="1">
      <c r="A3469" s="2" t="s">
        <v>3469</v>
      </c>
      <c r="B3469" s="2" t="str">
        <f>IFERROR(__xludf.DUMMYFUNCTION("GOOGLETRANSLATE(A3469, ""en"", ""mt"")"),"Lil min jirrappurtaw l-awturi ewlenin li jikkoordinaw?")</f>
        <v>Lil min jirrappurtaw l-awturi ewlenin li jikkoordinaw?</v>
      </c>
    </row>
    <row r="3470" ht="15.75" customHeight="1">
      <c r="A3470" s="2" t="s">
        <v>3470</v>
      </c>
      <c r="B3470" s="2" t="str">
        <f>IFERROR(__xludf.DUMMYFUNCTION("GOOGLETRANSLATE(A3470, ""en"", ""mt"")"),"Liema espressjoni normalment ma tinkludix dtime (n)?")</f>
        <v>Liema espressjoni normalment ma tinkludix dtime (n)?</v>
      </c>
    </row>
    <row r="3471" ht="15.75" customHeight="1">
      <c r="A3471" s="2" t="s">
        <v>3471</v>
      </c>
      <c r="B3471" s="2" t="str">
        <f>IFERROR(__xludf.DUMMYFUNCTION("GOOGLETRANSLATE(A3471, ""en"", ""mt"")"),"immuntat mill-ġdid")</f>
        <v>immuntat mill-ġdid</v>
      </c>
    </row>
    <row r="3472" ht="15.75" customHeight="1">
      <c r="A3472" s="2" t="s">
        <v>3472</v>
      </c>
      <c r="B3472" s="2" t="str">
        <f>IFERROR(__xludf.DUMMYFUNCTION("GOOGLETRANSLATE(A3472, ""en"", ""mt"")")," Min Kublai ċaħad bħala ħakkiem tal-Korea?")</f>
        <v> Min Kublai ċaħad bħala ħakkiem tal-Korea?</v>
      </c>
    </row>
    <row r="3473" ht="15.75" customHeight="1">
      <c r="A3473" s="2" t="s">
        <v>3473</v>
      </c>
      <c r="B3473" s="2" t="str">
        <f>IFERROR(__xludf.DUMMYFUNCTION("GOOGLETRANSLATE(A3473, ""en"", ""mt"")"),"Franza ħadet il-kontroll tal-Alġerija fl-1830 iżda bdiet bla heda biex tibni mill-ġdid l-imperu dinji tagħha wara l-1850, billi kkonċentrat prinċipalment fl-Afrika tat-Tramuntana u tal-Punent, kif ukoll fl-Asja tax-Xlokk, b'konkwisti oħra fl-Afrika Ċentra"&amp;"li u tal-Lvant, kif ukoll il-Paċifiku t'Isfel - Ir-Repubblikani, għall-ewwel ostili għall-Imperu, saru biss ta ’appoġġ meta l-Ġermanja bdiet tibni l-imperu kolonjali tagħha stess. Kif żviluppa, l-imperu l-ġdid ħa rwoli ta 'kummerċ ma' Franza, ipprovda mat"&amp;"erja prima u xiri ta 'oġġetti manifatturati, kif ukoll isellef prestiġju lill-patrija u xerred iċ-ċiviltà u l-lingwa Franċiża kif ukoll il-Kattoliċiżmu. Ipprovda wkoll ħaddiema kruċjali fiż-żewġ gwerer dinjija.")</f>
        <v>Franza ħadet il-kontroll tal-Alġerija fl-1830 iżda bdiet bla heda biex tibni mill-ġdid l-imperu dinji tagħha wara l-1850, billi kkonċentrat prinċipalment fl-Afrika tat-Tramuntana u tal-Punent, kif ukoll fl-Asja tax-Xlokk, b'konkwisti oħra fl-Afrika Ċentrali u tal-Lvant, kif ukoll il-Paċifiku t'Isfel - Ir-Repubblikani, għall-ewwel ostili għall-Imperu, saru biss ta ’appoġġ meta l-Ġermanja bdiet tibni l-imperu kolonjali tagħha stess. Kif żviluppa, l-imperu l-ġdid ħa rwoli ta 'kummerċ ma' Franza, ipprovda materja prima u xiri ta 'oġġetti manifatturati, kif ukoll isellef prestiġju lill-patrija u xerred iċ-ċiviltà u l-lingwa Franċiża kif ukoll il-Kattoliċiżmu. Ipprovda wkoll ħaddiema kruċjali fiż-żewġ gwerer dinjija.</v>
      </c>
    </row>
    <row r="3474" ht="15.75" customHeight="1">
      <c r="A3474" s="2" t="s">
        <v>3474</v>
      </c>
      <c r="B3474" s="2" t="str">
        <f>IFERROR(__xludf.DUMMYFUNCTION("GOOGLETRANSLATE(A3474, ""en"", ""mt"")"),"Il-funzjoni zeta")</f>
        <v>Il-funzjoni zeta</v>
      </c>
    </row>
    <row r="3475" ht="15.75" customHeight="1">
      <c r="A3475" s="2" t="s">
        <v>3475</v>
      </c>
      <c r="B3475" s="2" t="str">
        <f>IFERROR(__xludf.DUMMYFUNCTION("GOOGLETRANSLATE(A3475, ""en"", ""mt"")"),"Il-forza dgħajfa taġixxi fuq xiex?")</f>
        <v>Il-forza dgħajfa taġixxi fuq xiex?</v>
      </c>
    </row>
    <row r="3476" ht="15.75" customHeight="1">
      <c r="A3476" s="2" t="s">
        <v>3476</v>
      </c>
      <c r="B3476" s="2" t="str">
        <f>IFERROR(__xludf.DUMMYFUNCTION("GOOGLETRANSLATE(A3476, ""en"", ""mt"")")," Liema organizzazzjoni hija ddedikata għall-jihad kontra l-Iraq?")</f>
        <v> Liema organizzazzjoni hija ddedikata għall-jihad kontra l-Iraq?</v>
      </c>
    </row>
    <row r="3477" ht="15.75" customHeight="1">
      <c r="A3477" s="2" t="s">
        <v>3477</v>
      </c>
      <c r="B3477" s="2" t="str">
        <f>IFERROR(__xludf.DUMMYFUNCTION("GOOGLETRANSLATE(A3477, ""en"", ""mt"")"),"Min ikkredita lil Paul Baran għall-iżvilupp tiegħu?")</f>
        <v>Min ikkredita lil Paul Baran għall-iżvilupp tiegħu?</v>
      </c>
    </row>
    <row r="3478" ht="15.75" customHeight="1">
      <c r="A3478" s="2" t="s">
        <v>3478</v>
      </c>
      <c r="B3478" s="2" t="str">
        <f>IFERROR(__xludf.DUMMYFUNCTION("GOOGLETRANSLATE(A3478, ""en"", ""mt"")"),"X'kien żviluppat fis-snin 1980 mir-rappreżentanti tal-Imsieħba Soċjali?")</f>
        <v>X'kien żviluppat fis-snin 1980 mir-rappreżentanti tal-Imsieħba Soċjali?</v>
      </c>
    </row>
    <row r="3479" ht="15.75" customHeight="1">
      <c r="A3479" s="2" t="s">
        <v>3479</v>
      </c>
      <c r="B3479" s="2" t="str">
        <f>IFERROR(__xludf.DUMMYFUNCTION("GOOGLETRANSLATE(A3479, ""en"", ""mt"")"),"Il-prinċipju ta 'relazzjonijiet ta' qtugħ ta 'qtugħ jappartjeni għall-formazzjoni ta' ħsarat u l-età tas-sekwenzi li minnhom jinqatgħu. Ħsarat huma iżgħar mill-blat li qatgħu; Għaldaqstant, jekk jinstab tort li jippenetra xi formazzjonijiet iżda mhux dawk"&amp;" fuqha, allura l-formazzjonijiet li kienu maqtugħin huma eqdem mill-ħsara, u dawk li mhumiex maqtugħin għandhom ikunu iżgħar mill-ħsara. Is-sejba tas-sodda ewlenija f'dawn is-sitwazzjonijiet tista 'tgħin tiddetermina jekk it-tort huwiex difett normali jew"&amp;" tort tal-ġibda.")</f>
        <v>Il-prinċipju ta 'relazzjonijiet ta' qtugħ ta 'qtugħ jappartjeni għall-formazzjoni ta' ħsarat u l-età tas-sekwenzi li minnhom jinqatgħu. Ħsarat huma iżgħar mill-blat li qatgħu; Għaldaqstant, jekk jinstab tort li jippenetra xi formazzjonijiet iżda mhux dawk fuqha, allura l-formazzjonijiet li kienu maqtugħin huma eqdem mill-ħsara, u dawk li mhumiex maqtugħin għandhom ikunu iżgħar mill-ħsara. Is-sejba tas-sodda ewlenija f'dawn is-sitwazzjonijiet tista 'tgħin tiddetermina jekk it-tort huwiex difett normali jew tort tal-ġibda.</v>
      </c>
    </row>
    <row r="3480" ht="15.75" customHeight="1">
      <c r="A3480" s="2" t="s">
        <v>3480</v>
      </c>
      <c r="B3480" s="2" t="str">
        <f>IFERROR(__xludf.DUMMYFUNCTION("GOOGLETRANSLATE(A3480, ""en"", ""mt"")"),"Petitcodiac fl-1755 u fi Bloody Creek")</f>
        <v>Petitcodiac fl-1755 u fi Bloody Creek</v>
      </c>
    </row>
    <row r="3481" ht="15.75" customHeight="1">
      <c r="A3481" s="2" t="s">
        <v>3481</v>
      </c>
      <c r="B3481" s="2" t="str">
        <f>IFERROR(__xludf.DUMMYFUNCTION("GOOGLETRANSLATE(A3481, ""en"", ""mt"")"),"In-Nofsinhar ta ’California kellha popolazzjoni ta’ 22,680,010 skont iċ-ċensiment minn liema sena?")</f>
        <v>In-Nofsinhar ta ’California kellha popolazzjoni ta’ 22,680,010 skont iċ-ċensiment minn liema sena?</v>
      </c>
    </row>
    <row r="3482" ht="15.75" customHeight="1">
      <c r="A3482" s="2" t="s">
        <v>3482</v>
      </c>
      <c r="B3482" s="2" t="str">
        <f>IFERROR(__xludf.DUMMYFUNCTION("GOOGLETRANSLATE(A3482, ""en"", ""mt"")"),"L-ebda soluzzjoni magħrufa fil-ħin polinomjali")</f>
        <v>L-ebda soluzzjoni magħrufa fil-ħin polinomjali</v>
      </c>
    </row>
    <row r="3483" ht="15.75" customHeight="1">
      <c r="A3483" s="2" t="s">
        <v>3483</v>
      </c>
      <c r="B3483" s="2" t="str">
        <f>IFERROR(__xludf.DUMMYFUNCTION("GOOGLETRANSLATE(A3483, ""en"", ""mt"")"),"Meta l-Istati Uniti rtiraw mill-Bretton Woods?")</f>
        <v>Meta l-Istati Uniti rtiraw mill-Bretton Woods?</v>
      </c>
    </row>
    <row r="3484" ht="15.75" customHeight="1">
      <c r="A3484" s="2" t="s">
        <v>3484</v>
      </c>
      <c r="B3484" s="2" t="str">
        <f>IFERROR(__xludf.DUMMYFUNCTION("GOOGLETRANSLATE(A3484, ""en"", ""mt"")"),"L-iktar offerent effiċjenti fl-infiq")</f>
        <v>L-iktar offerent effiċjenti fl-infiq</v>
      </c>
    </row>
    <row r="3485" ht="15.75" customHeight="1">
      <c r="A3485" s="2" t="s">
        <v>3485</v>
      </c>
      <c r="B3485" s="2" t="str">
        <f>IFERROR(__xludf.DUMMYFUNCTION("GOOGLETRANSLATE(A3485, ""en"", ""mt"")"),"Kumitati suġġetti")</f>
        <v>Kumitati suġġetti</v>
      </c>
    </row>
    <row r="3486" ht="15.75" customHeight="1">
      <c r="A3486" s="2" t="s">
        <v>3486</v>
      </c>
      <c r="B3486" s="2" t="str">
        <f>IFERROR(__xludf.DUMMYFUNCTION("GOOGLETRANSLATE(A3486, ""en"", ""mt"")"),"Varsavja tinsab fuq żewġ formazzjonijiet ġeomorfoloġiċi ewlenin: il-plateau tal-moraine sempliċi u l-wied Vistula bil-mudell asimmetriku tagħha ta 'terrazzi differenti. Ix-Xmara Vistula hija l-assi speċifiku ta 'Varsavja, li taqsam il-belt f'żewġ partijie"&amp;"t, xellug u lemin. Ix-xellug jinsab kemm fuq il-plateau Moraine (10 sa 25 m (32.8 sa 82.0 ft) 'il fuq mil-livell ta' vistula) kif ukoll fuq it-terrazzi tal-vistula (max. 6.5 m (21.3 ft) 'il fuq mil-livell ta' Vistula). L-element sinifikanti tas-serħan, f'"&amp;"din il-parti ta 'Varsavja, huwa t-tarf tal-Plateau Moraine imsejjaħ Escarpment ta' Varsavja. Huwa għoli 20 sa 25 m (65.6 sa 82.0 ft) fil-belt il-qadima u d-distrett ċentrali u madwar 10 m (32.8 ft) fit-tramuntana u fin-nofsinhar ta 'Varsavja. Hija tgħaddi"&amp;" mill-belt u għandha rwol importanti bħala monument.")</f>
        <v>Varsavja tinsab fuq żewġ formazzjonijiet ġeomorfoloġiċi ewlenin: il-plateau tal-moraine sempliċi u l-wied Vistula bil-mudell asimmetriku tagħha ta 'terrazzi differenti. Ix-Xmara Vistula hija l-assi speċifiku ta 'Varsavja, li taqsam il-belt f'żewġ partijiet, xellug u lemin. Ix-xellug jinsab kemm fuq il-plateau Moraine (10 sa 25 m (32.8 sa 82.0 ft) 'il fuq mil-livell ta' vistula) kif ukoll fuq it-terrazzi tal-vistula (max. 6.5 m (21.3 ft) 'il fuq mil-livell ta' Vistula). L-element sinifikanti tas-serħan, f'din il-parti ta 'Varsavja, huwa t-tarf tal-Plateau Moraine imsejjaħ Escarpment ta' Varsavja. Huwa għoli 20 sa 25 m (65.6 sa 82.0 ft) fil-belt il-qadima u d-distrett ċentrali u madwar 10 m (32.8 ft) fit-tramuntana u fin-nofsinhar ta 'Varsavja. Hija tgħaddi mill-belt u għandha rwol importanti bħala monument.</v>
      </c>
    </row>
    <row r="3487" ht="15.75" customHeight="1">
      <c r="A3487" s="2" t="s">
        <v>3487</v>
      </c>
      <c r="B3487" s="2" t="str">
        <f>IFERROR(__xludf.DUMMYFUNCTION("GOOGLETRANSLATE(A3487, ""en"", ""mt"")"),"X'inhu statocyst?")</f>
        <v>X'inhu statocyst?</v>
      </c>
    </row>
    <row r="3488" ht="15.75" customHeight="1">
      <c r="A3488" s="2" t="s">
        <v>3488</v>
      </c>
      <c r="B3488" s="2" t="str">
        <f>IFERROR(__xludf.DUMMYFUNCTION("GOOGLETRANSLATE(A3488, ""en"", ""mt"")"),"X'inhu l-obbligu ta 'spiżerija li timla riċetta?")</f>
        <v>X'inhu l-obbligu ta 'spiżerija li timla riċetta?</v>
      </c>
    </row>
    <row r="3489" ht="15.75" customHeight="1">
      <c r="A3489" s="2" t="s">
        <v>3489</v>
      </c>
      <c r="B3489" s="2" t="str">
        <f>IFERROR(__xludf.DUMMYFUNCTION("GOOGLETRANSLATE(A3489, ""en"", ""mt"")"),"Fl-istess ħin il-Mongoli importaw lill-Musulmani tal-Asja Ċentrali biex iservu bħala amministraturi fiċ-Ċina, il-Mongoli bagħtu wkoll lil Han Ċiniżi u Khitans miċ-Ċina biex iservu bħala amministraturi fuq il-popolazzjoni Musulmana f'Bukhara fl-Asja Ċentra"&amp;"li, billi jużaw barranin biex inaqqsu l-poter tal-lokal popli taż-żewġ artijiet. Iċ-Ċiniżi Han ġew imċaqalqa lejn żoni tal-Asja Ċentrali bħal Besh Baliq, AlmalIQ, u Samarqand mill-Mongoli fejn ħadmu bħala artiġjani u bdiewa. Alans ġew ingaġġati fil-forzi "&amp;"tal-Mongolja b'unità waħda msejħa ""Guard Alan Dritt"" li kienet ikkombinata ma 'suldati ""reċentement ċeduti"", Mongoli, u suldati Ċiniżi stazzjonati fl-inħawi ta' l-eks renju ta 'Qocho u f'Besh Balikh il-Mongoli stabbilixxew Ċiniż Kolonja militari mmexx"&amp;"ija mill-Ġeneral Ċiniż Qi Kongzhi (Ch'i Kung-Chih). Wara l-konkwista tal-Mongolja tal-Asja Ċentrali minn Genghis Khan, il-barranin ġew magħżula bħala amministraturi u ko-ġestjoni ma 'Ċiniżi u Qara-Khitays (Khitans) ta' ġonna u għelieqi f'Samarqand tqiegħd"&amp;"u fuq il-Musulmani bħala rekwiżit peress li l-Musulmani ma tħallewx jimmaniġġjaw mingħajrhom. Il-Gvernatur maħtur tal-Mongoljan ta ’Samarqand kien Qara-Khitay (Khitan), kellu t-titlu taishi, familjari mal-kultura Ċiniża li ismu kien Ahai")</f>
        <v>Fl-istess ħin il-Mongoli importaw lill-Musulmani tal-Asja Ċentrali biex iservu bħala amministraturi fiċ-Ċina, il-Mongoli bagħtu wkoll lil Han Ċiniżi u Khitans miċ-Ċina biex iservu bħala amministraturi fuq il-popolazzjoni Musulmana f'Bukhara fl-Asja Ċentrali, billi jużaw barranin biex inaqqsu l-poter tal-lokal popli taż-żewġ artijiet. Iċ-Ċiniżi Han ġew imċaqalqa lejn żoni tal-Asja Ċentrali bħal Besh Baliq, AlmalIQ, u Samarqand mill-Mongoli fejn ħadmu bħala artiġjani u bdiewa. Alans ġew ingaġġati fil-forzi tal-Mongolja b'unità waħda msejħa "Guard Alan Dritt" li kienet ikkombinata ma 'suldati "reċentement ċeduti", Mongoli, u suldati Ċiniżi stazzjonati fl-inħawi ta' l-eks renju ta 'Qocho u f'Besh Balikh il-Mongoli stabbilixxew Ċiniż Kolonja militari mmexxija mill-Ġeneral Ċiniż Qi Kongzhi (Ch'i Kung-Chih). Wara l-konkwista tal-Mongolja tal-Asja Ċentrali minn Genghis Khan, il-barranin ġew magħżula bħala amministraturi u ko-ġestjoni ma 'Ċiniżi u Qara-Khitays (Khitans) ta' ġonna u għelieqi f'Samarqand tqiegħdu fuq il-Musulmani bħala rekwiżit peress li l-Musulmani ma tħallewx jimmaniġġjaw mingħajrhom. Il-Gvernatur maħtur tal-Mongoljan ta ’Samarqand kien Qara-Khitay (Khitan), kellu t-titlu taishi, familjari mal-kultura Ċiniża li ismu kien Ahai</v>
      </c>
    </row>
    <row r="3490" ht="15.75" customHeight="1">
      <c r="A3490" s="2" t="s">
        <v>3490</v>
      </c>
      <c r="B3490" s="2" t="str">
        <f>IFERROR(__xludf.DUMMYFUNCTION("GOOGLETRANSLATE(A3490, ""en"", ""mt"")"),"Downtown San Diego")</f>
        <v>Downtown San Diego</v>
      </c>
    </row>
    <row r="3491" ht="15.75" customHeight="1">
      <c r="A3491" s="2" t="s">
        <v>3491</v>
      </c>
      <c r="B3491" s="2" t="str">
        <f>IFERROR(__xludf.DUMMYFUNCTION("GOOGLETRANSLATE(A3491, ""en"", ""mt"")"),"il-valur assolut")</f>
        <v>il-valur assolut</v>
      </c>
    </row>
    <row r="3492" ht="15.75" customHeight="1">
      <c r="A3492" s="2" t="s">
        <v>3492</v>
      </c>
      <c r="B3492" s="2" t="str">
        <f>IFERROR(__xludf.DUMMYFUNCTION("GOOGLETRANSLATE(A3492, ""en"", ""mt"")"),"Kemm ilha tokkupa l-Ġermanja mill-Polonja?")</f>
        <v>Kemm ilha tokkupa l-Ġermanja mill-Polonja?</v>
      </c>
    </row>
    <row r="3493" ht="15.75" customHeight="1">
      <c r="A3493" s="2" t="s">
        <v>3493</v>
      </c>
      <c r="B3493" s="2" t="str">
        <f>IFERROR(__xludf.DUMMYFUNCTION("GOOGLETRANSLATE(A3493, ""en"", ""mt"")"),"Kemm hemm posters f'Varsavja?")</f>
        <v>Kemm hemm posters f'Varsavja?</v>
      </c>
    </row>
    <row r="3494" ht="15.75" customHeight="1">
      <c r="A3494" s="2" t="s">
        <v>3494</v>
      </c>
      <c r="B3494" s="2" t="str">
        <f>IFERROR(__xludf.DUMMYFUNCTION("GOOGLETRANSLATE(A3494, ""en"", ""mt"")"),"Kemm il-liġi tar-Renju Unit kienet teħtieġ li tibda kumpanija?")</f>
        <v>Kemm il-liġi tar-Renju Unit kienet teħtieġ li tibda kumpanija?</v>
      </c>
    </row>
    <row r="3495" ht="15.75" customHeight="1">
      <c r="A3495" s="2" t="s">
        <v>3495</v>
      </c>
      <c r="B3495" s="2" t="str">
        <f>IFERROR(__xludf.DUMMYFUNCTION("GOOGLETRANSLATE(A3495, ""en"", ""mt"")"),"Stockton u Darlington")</f>
        <v>Stockton u Darlington</v>
      </c>
    </row>
    <row r="3496" ht="15.75" customHeight="1">
      <c r="A3496" s="2" t="s">
        <v>3496</v>
      </c>
      <c r="B3496" s="2" t="str">
        <f>IFERROR(__xludf.DUMMYFUNCTION("GOOGLETRANSLATE(A3496, ""en"", ""mt"")"),"Kemm siġġijiet għandhom partit politiku għandu jkun irrappreżentat fuq il-Bureau Parlamentari?")</f>
        <v>Kemm siġġijiet għandhom partit politiku għandu jkun irrappreżentat fuq il-Bureau Parlamentari?</v>
      </c>
    </row>
    <row r="3497" ht="15.75" customHeight="1">
      <c r="A3497" s="2" t="s">
        <v>3497</v>
      </c>
      <c r="B3497" s="2" t="str">
        <f>IFERROR(__xludf.DUMMYFUNCTION("GOOGLETRANSLATE(A3497, ""en"", ""mt"")"),"Revoluzzjoni industrijali")</f>
        <v>Revoluzzjoni industrijali</v>
      </c>
    </row>
    <row r="3498" ht="15.75" customHeight="1">
      <c r="A3498" s="2" t="s">
        <v>3498</v>
      </c>
      <c r="B3498" s="2" t="str">
        <f>IFERROR(__xludf.DUMMYFUNCTION("GOOGLETRANSLATE(A3498, ""en"", ""mt"")"),"Kif jidentifikaw il-ġeoloġi l-kejl ta 'struttura ġeoloġika?")</f>
        <v>Kif jidentifikaw il-ġeoloġi l-kejl ta 'struttura ġeoloġika?</v>
      </c>
    </row>
    <row r="3499" ht="15.75" customHeight="1">
      <c r="A3499" s="2" t="s">
        <v>3499</v>
      </c>
      <c r="B3499" s="2" t="str">
        <f>IFERROR(__xludf.DUMMYFUNCTION("GOOGLETRANSLATE(A3499, ""en"", ""mt"")"),"L-ekonomija, l-enerġija u t-turiżmu huwa wieħed minn xiex?")</f>
        <v>L-ekonomija, l-enerġija u t-turiżmu huwa wieħed minn xiex?</v>
      </c>
    </row>
    <row r="3500" ht="15.75" customHeight="1">
      <c r="A3500" s="2" t="s">
        <v>3500</v>
      </c>
      <c r="B3500" s="2" t="str">
        <f>IFERROR(__xludf.DUMMYFUNCTION("GOOGLETRANSLATE(A3500, ""en"", ""mt"")"),"Fost l-iżgħar kreaturi predatorji hemm il-Caiman iswed u xiex?")</f>
        <v>Fost l-iżgħar kreaturi predatorji hemm il-Caiman iswed u xiex?</v>
      </c>
    </row>
    <row r="3501" ht="15.75" customHeight="1">
      <c r="A3501" s="2" t="s">
        <v>3501</v>
      </c>
      <c r="B3501" s="2" t="str">
        <f>IFERROR(__xludf.DUMMYFUNCTION("GOOGLETRANSLATE(A3501, ""en"", ""mt"")"),"X’numru tal-Ġappun f’Marzu 1974?")</f>
        <v>X’numru tal-Ġappun f’Marzu 1974?</v>
      </c>
    </row>
    <row r="3502" ht="15.75" customHeight="1">
      <c r="A3502" s="2" t="s">
        <v>3502</v>
      </c>
      <c r="B3502" s="2" t="str">
        <f>IFERROR(__xludf.DUMMYFUNCTION("GOOGLETRANSLATE(A3502, ""en"", ""mt"")"),"Assoċjazzjoni Medika Amerikana (AMA)")</f>
        <v>Assoċjazzjoni Medika Amerikana (AMA)</v>
      </c>
    </row>
    <row r="3503" ht="15.75" customHeight="1">
      <c r="A3503" s="2" t="s">
        <v>3503</v>
      </c>
      <c r="B3503" s="2" t="str">
        <f>IFERROR(__xludf.DUMMYFUNCTION("GOOGLETRANSLATE(A3503, ""en"", ""mt"")"),"Kif huma kklassifikati l-forzi fir-rigward ta 'Push u Pull Strengt?")</f>
        <v>Kif huma kklassifikati l-forzi fir-rigward ta 'Push u Pull Strengt?</v>
      </c>
    </row>
    <row r="3504" ht="15.75" customHeight="1">
      <c r="A3504" s="2" t="s">
        <v>3504</v>
      </c>
      <c r="B3504" s="2" t="str">
        <f>IFERROR(__xludf.DUMMYFUNCTION("GOOGLETRANSLATE(A3504, ""en"", ""mt"")"),"Min ikkummissjona lill-Vikingi Daniżi biex joħolqu l-Bayeux Tapestry?")</f>
        <v>Min ikkummissjona lill-Vikingi Daniżi biex joħolqu l-Bayeux Tapestry?</v>
      </c>
    </row>
    <row r="3505" ht="15.75" customHeight="1">
      <c r="A3505" s="2" t="s">
        <v>3505</v>
      </c>
      <c r="B3505" s="2" t="str">
        <f>IFERROR(__xludf.DUMMYFUNCTION("GOOGLETRANSLATE(A3505, ""en"", ""mt"")"),"Tliet mija")</f>
        <v>Tliet mija</v>
      </c>
    </row>
    <row r="3506" ht="15.75" customHeight="1">
      <c r="A3506" s="2" t="s">
        <v>3506</v>
      </c>
      <c r="B3506" s="2" t="str">
        <f>IFERROR(__xludf.DUMMYFUNCTION("GOOGLETRANSLATE(A3506, ""en"", ""mt"")"),"dmugħ")</f>
        <v>dmugħ</v>
      </c>
    </row>
    <row r="3507" ht="15.75" customHeight="1">
      <c r="A3507" s="2" t="s">
        <v>3507</v>
      </c>
      <c r="B3507" s="2" t="str">
        <f>IFERROR(__xludf.DUMMYFUNCTION("GOOGLETRANSLATE(A3507, ""en"", ""mt"")"),"Minn xiex dejjem sofra l-Viċi President Agnew?")</f>
        <v>Minn xiex dejjem sofra l-Viċi President Agnew?</v>
      </c>
    </row>
    <row r="3508" ht="15.75" customHeight="1">
      <c r="A3508" s="2" t="s">
        <v>3508</v>
      </c>
      <c r="B3508" s="2" t="str">
        <f>IFERROR(__xludf.DUMMYFUNCTION("GOOGLETRANSLATE(A3508, ""en"", ""mt"")"),"Il-ħin parlamentari huwa wkoll imwarrab għal perjodi ta 'mistoqsijiet fil-kamra tad-dibattitu. ""Ħin ta 'Mistoqsija Ġenerali"" iseħħ nhar il-Ħamis bejn il-11: 40 a.m. u t-12 p.m. fejn il-membri jistgħu jidderieġu mistoqsijiet lil kwalunkwe membru tal-gver"&amp;"n Skoċċiż. Fis-2.30pm, iseħħ ""ħin ta 'mistoqsija"" b'tema ta '40 minuta, fejn il-membri jistgħu jistaqsu mistoqsijiet tal-ministri fid-dipartimenti li huma magħżula għall-interrogazzjoni ta' dik il-ġurnata tas-seduta, bħas-saħħa u l-ġustizzja jew l-eduka"&amp;"zzjoni u t-trasport. Bejn it-12 p.m. u 12.30 p.m. Nhar il-Ħamis, meta l-Parlament ikun bilqiegħda, iseħħ il-ħin tal-mistoqsijiet tal-ewwel ministru. Dan jagħti lill-membri l-opportunità li jiddubitaw lill-ewwel ministru direttament fuq kwistjonijiet taħt "&amp;"il-ġurisdizzjoni tagħhom. Il-mexxejja tal-oppożizzjoni jistaqsu mistoqsija ġenerali tal-ewwel ministru u mbagħad mistoqsijiet supplimentari. Prattika bħal din tippermetti ""ċomb"" lill-interpellant, li mbagħad juża l-mistoqsija supplimentari tagħhom biex "&amp;"jistaqsi lill-ewwel ministru kwalunkwe kwistjoni. L-erba 'mistoqsijiet ġenerali disponibbli għall-mexxejja tal-oppożizzjoni huma:")</f>
        <v>Il-ħin parlamentari huwa wkoll imwarrab għal perjodi ta 'mistoqsijiet fil-kamra tad-dibattitu. "Ħin ta 'Mistoqsija Ġenerali" iseħħ nhar il-Ħamis bejn il-11: 40 a.m. u t-12 p.m. fejn il-membri jistgħu jidderieġu mistoqsijiet lil kwalunkwe membru tal-gvern Skoċċiż. Fis-2.30pm, iseħħ "ħin ta 'mistoqsija" b'tema ta '40 minuta, fejn il-membri jistgħu jistaqsu mistoqsijiet tal-ministri fid-dipartimenti li huma magħżula għall-interrogazzjoni ta' dik il-ġurnata tas-seduta, bħas-saħħa u l-ġustizzja jew l-edukazzjoni u t-trasport. Bejn it-12 p.m. u 12.30 p.m. Nhar il-Ħamis, meta l-Parlament ikun bilqiegħda, iseħħ il-ħin tal-mistoqsijiet tal-ewwel ministru. Dan jagħti lill-membri l-opportunità li jiddubitaw lill-ewwel ministru direttament fuq kwistjonijiet taħt il-ġurisdizzjoni tagħhom. Il-mexxejja tal-oppożizzjoni jistaqsu mistoqsija ġenerali tal-ewwel ministru u mbagħad mistoqsijiet supplimentari. Prattika bħal din tippermetti "ċomb" lill-interpellant, li mbagħad juża l-mistoqsija supplimentari tagħhom biex jistaqsi lill-ewwel ministru kwalunkwe kwistjoni. L-erba 'mistoqsijiet ġenerali disponibbli għall-mexxejja tal-oppożizzjoni huma:</v>
      </c>
    </row>
    <row r="3509" ht="15.75" customHeight="1">
      <c r="A3509" s="2" t="s">
        <v>3509</v>
      </c>
      <c r="B3509" s="2" t="str">
        <f>IFERROR(__xludf.DUMMYFUNCTION("GOOGLETRANSLATE(A3509, ""en"", ""mt"")"),"2013")</f>
        <v>2013</v>
      </c>
    </row>
    <row r="3510" ht="15.75" customHeight="1">
      <c r="A3510" s="2" t="s">
        <v>3510</v>
      </c>
      <c r="B3510" s="2" t="str">
        <f>IFERROR(__xludf.DUMMYFUNCTION("GOOGLETRANSLATE(A3510, ""en"", ""mt"")"),"X'effett jiġġeneraw teknoloġiji u riżorsi?")</f>
        <v>X'effett jiġġeneraw teknoloġiji u riżorsi?</v>
      </c>
    </row>
    <row r="3511" ht="15.75" customHeight="1">
      <c r="A3511" s="2" t="s">
        <v>3511</v>
      </c>
      <c r="B3511" s="2" t="str">
        <f>IFERROR(__xludf.DUMMYFUNCTION("GOOGLETRANSLATE(A3511, ""en"", ""mt"")"),"Fin-negozju, alumni notevoli jinkludu l-Kap Eżekuttiv tal-Microsoft Satya Nadella, il-fundatur tal-Oracle Corporation u t-tielet raġel l-aktar sinjur fl-Amerika Larry Ellison, Goldman Sachs u MF Global CEO kif ukoll ex-gvernatur ta ’New Jersey Jon Jon Cor"&amp;"zine, McKinsey &amp; Company Fundatur u l-awtur tal-ewwel Il-ktieb tal-kontabilità tal-ġestjoni James O. McKinsey, Arley D. Cathey, il-Kap Eżekuttiv ta ’Bloomberg L.P. Daniel Doctoroff, il-Kap Eżekuttiv tal-Credit Suisse Brady Dougan, Morningstar, Inc. Fundat"&amp;"ur u CEO Joe Mansueto, sid ta’ Chicago Cubs u President Thomas S. Ricketts, u l-Kummissarju tal-NBA Adam Silver Jonqos")</f>
        <v>Fin-negozju, alumni notevoli jinkludu l-Kap Eżekuttiv tal-Microsoft Satya Nadella, il-fundatur tal-Oracle Corporation u t-tielet raġel l-aktar sinjur fl-Amerika Larry Ellison, Goldman Sachs u MF Global CEO kif ukoll ex-gvernatur ta ’New Jersey Jon Jon Corzine, McKinsey &amp; Company Fundatur u l-awtur tal-ewwel Il-ktieb tal-kontabilità tal-ġestjoni James O. McKinsey, Arley D. Cathey, il-Kap Eżekuttiv ta ’Bloomberg L.P. Daniel Doctoroff, il-Kap Eżekuttiv tal-Credit Suisse Brady Dougan, Morningstar, Inc. Fundatur u CEO Joe Mansueto, sid ta’ Chicago Cubs u President Thomas S. Ricketts, u l-Kummissarju tal-NBA Adam Silver Jonqos</v>
      </c>
    </row>
    <row r="3512" ht="15.75" customHeight="1">
      <c r="A3512" s="2" t="s">
        <v>3512</v>
      </c>
      <c r="B3512" s="2" t="str">
        <f>IFERROR(__xludf.DUMMYFUNCTION("GOOGLETRANSLATE(A3512, ""en"", ""mt"")"),"F'liema sena spiċċa l-programm ta 'affiljat?")</f>
        <v>F'liema sena spiċċa l-programm ta 'affiljat?</v>
      </c>
    </row>
    <row r="3513" ht="15.75" customHeight="1">
      <c r="A3513" s="2" t="s">
        <v>3513</v>
      </c>
      <c r="B3513" s="2" t="str">
        <f>IFERROR(__xludf.DUMMYFUNCTION("GOOGLETRANSLATE(A3513, ""en"", ""mt"")"),"Liema korp jikkostitwixxi l-Leġislatura Suprema tal-Iskozja?")</f>
        <v>Liema korp jikkostitwixxi l-Leġislatura Suprema tal-Iskozja?</v>
      </c>
    </row>
    <row r="3514" ht="15.75" customHeight="1">
      <c r="A3514" s="2" t="s">
        <v>3514</v>
      </c>
      <c r="B3514" s="2" t="str">
        <f>IFERROR(__xludf.DUMMYFUNCTION("GOOGLETRANSLATE(A3514, ""en"", ""mt"")"),"Definizzjonijiet tal-kumplessità tal-ħin u l-ispazju")</f>
        <v>Definizzjonijiet tal-kumplessità tal-ħin u l-ispazju</v>
      </c>
    </row>
    <row r="3515" ht="15.75" customHeight="1">
      <c r="A3515" s="2" t="s">
        <v>3515</v>
      </c>
      <c r="B3515" s="2" t="str">
        <f>IFERROR(__xludf.DUMMYFUNCTION("GOOGLETRANSLATE(A3515, ""en"", ""mt"")"),"miżata għal kull unità ta 'ħin ta' konnessjoni")</f>
        <v>miżata għal kull unità ta 'ħin ta' konnessjoni</v>
      </c>
    </row>
    <row r="3516" ht="15.75" customHeight="1">
      <c r="A3516" s="2" t="s">
        <v>3516</v>
      </c>
      <c r="B3516" s="2" t="str">
        <f>IFERROR(__xludf.DUMMYFUNCTION("GOOGLETRANSLATE(A3516, ""en"", ""mt"")"),"Kemm l-immunità innata kif ukoll dik adatta tiddependi fuq il-kapaċità tas-sistema immunitarja li tiddistingwi bejn molekuli awto u dawk li mhumiex awto. Fl-immunoloġija, l-awto molekuli huma dawk il-komponenti tal-ġisem ta 'organiżmu li jistgħu jiġu dist"&amp;"inti minn sustanzi barranin mis-sistema immuni. Bil-maqlub, molekuli mhux awto huma dawk rikonoxxuti bħala molekuli barranin. Klassi waħda ta 'molekuli mhux awto huma msejħa antiġeni (qosra għall-ġeneraturi tal-antikorpi) u huma definiti bħala sustanzi li"&amp;" jorbtu ma' riċetturi immuni speċifiċi u li jġibu rispons immuni.")</f>
        <v>Kemm l-immunità innata kif ukoll dik adatta tiddependi fuq il-kapaċità tas-sistema immunitarja li tiddistingwi bejn molekuli awto u dawk li mhumiex awto. Fl-immunoloġija, l-awto molekuli huma dawk il-komponenti tal-ġisem ta 'organiżmu li jistgħu jiġu distinti minn sustanzi barranin mis-sistema immuni. Bil-maqlub, molekuli mhux awto huma dawk rikonoxxuti bħala molekuli barranin. Klassi waħda ta 'molekuli mhux awto huma msejħa antiġeni (qosra għall-ġeneraturi tal-antikorpi) u huma definiti bħala sustanzi li jorbtu ma' riċetturi immuni speċifiċi u li jġibu rispons immuni.</v>
      </c>
    </row>
    <row r="3517" ht="15.75" customHeight="1">
      <c r="A3517" s="2" t="s">
        <v>3517</v>
      </c>
      <c r="B3517" s="2" t="str">
        <f>IFERROR(__xludf.DUMMYFUNCTION("GOOGLETRANSLATE(A3517, ""en"", ""mt"")"),"Thoreau jsemmi liema tip ta 'persuna tista' korrott sistema tal-gvern?")</f>
        <v>Thoreau jsemmi liema tip ta 'persuna tista' korrott sistema tal-gvern?</v>
      </c>
    </row>
    <row r="3518" ht="15.75" customHeight="1">
      <c r="A3518" s="2" t="s">
        <v>3518</v>
      </c>
      <c r="B3518" s="2" t="str">
        <f>IFERROR(__xludf.DUMMYFUNCTION("GOOGLETRANSLATE(A3518, ""en"", ""mt"")"),"Minn xiex jiddependi t-test tal-primalità Fermat?")</f>
        <v>Minn xiex jiddependi t-test tal-primalità Fermat?</v>
      </c>
    </row>
    <row r="3519" ht="15.75" customHeight="1">
      <c r="A3519" s="2" t="s">
        <v>3519</v>
      </c>
      <c r="B3519" s="2" t="str">
        <f>IFERROR(__xludf.DUMMYFUNCTION("GOOGLETRANSLATE(A3519, ""en"", ""mt"")"),"Kemm art agrikola Vittorjana hija mrobbija fil-ħaxix tas-segala?")</f>
        <v>Kemm art agrikola Vittorjana hija mrobbija fil-ħaxix tas-segala?</v>
      </c>
    </row>
    <row r="3520" ht="15.75" customHeight="1">
      <c r="A3520" s="2" t="s">
        <v>3520</v>
      </c>
      <c r="B3520" s="2" t="str">
        <f>IFERROR(__xludf.DUMMYFUNCTION("GOOGLETRANSLATE(A3520, ""en"", ""mt"")"),"Fejn huwa identifikat dawl polarizzat inkroċjat mill-petrologi?")</f>
        <v>Fejn huwa identifikat dawl polarizzat inkroċjat mill-petrologi?</v>
      </c>
    </row>
    <row r="3521" ht="15.75" customHeight="1">
      <c r="A3521" s="2" t="s">
        <v>3521</v>
      </c>
      <c r="B3521" s="2" t="str">
        <f>IFERROR(__xludf.DUMMYFUNCTION("GOOGLETRANSLATE(A3521, ""en"", ""mt"")"),"Kemm kienu fl-ispedizzjoni tal-Langlades?")</f>
        <v>Kemm kienu fl-ispedizzjoni tal-Langlades?</v>
      </c>
    </row>
    <row r="3522" ht="15.75" customHeight="1">
      <c r="A3522" s="2" t="s">
        <v>3522</v>
      </c>
      <c r="B3522" s="2" t="str">
        <f>IFERROR(__xludf.DUMMYFUNCTION("GOOGLETRANSLATE(A3522, ""en"", ""mt"")"),"Linda Dessau")</f>
        <v>Linda Dessau</v>
      </c>
    </row>
    <row r="3523" ht="15.75" customHeight="1">
      <c r="A3523" s="2" t="s">
        <v>3523</v>
      </c>
      <c r="B3523" s="2" t="str">
        <f>IFERROR(__xludf.DUMMYFUNCTION("GOOGLETRANSLATE(A3523, ""en"", ""mt"")"),"Regolament Globali Ibbażat fuq il-Protokoll ta 'Montreal")</f>
        <v>Regolament Globali Ibbażat fuq il-Protokoll ta 'Montreal</v>
      </c>
    </row>
    <row r="3524" ht="15.75" customHeight="1">
      <c r="A3524" s="2" t="s">
        <v>3524</v>
      </c>
      <c r="B3524" s="2" t="str">
        <f>IFERROR(__xludf.DUMMYFUNCTION("GOOGLETRANSLATE(A3524, ""en"", ""mt"")"),"Meta twaqqfet il-Brewery Truman il-Qadima?")</f>
        <v>Meta twaqqfet il-Brewery Truman il-Qadima?</v>
      </c>
    </row>
    <row r="3525" ht="15.75" customHeight="1">
      <c r="A3525" s="2" t="s">
        <v>3525</v>
      </c>
      <c r="B3525" s="2" t="str">
        <f>IFERROR(__xludf.DUMMYFUNCTION("GOOGLETRANSLATE(A3525, ""en"", ""mt"")"),"Meta ġie miċħud it-Trattat ta 'Lisbona?")</f>
        <v>Meta ġie miċħud it-Trattat ta 'Lisbona?</v>
      </c>
    </row>
    <row r="3526" ht="15.75" customHeight="1">
      <c r="A3526" s="2" t="s">
        <v>3526</v>
      </c>
      <c r="B3526" s="2" t="str">
        <f>IFERROR(__xludf.DUMMYFUNCTION("GOOGLETRANSLATE(A3526, ""en"", ""mt"")"),"Liema karatteristika ta 'ossiġnu tikkawża li tifforma bonds ma' elementi oħra?")</f>
        <v>Liema karatteristika ta 'ossiġnu tikkawża li tifforma bonds ma' elementi oħra?</v>
      </c>
    </row>
    <row r="3527" ht="15.75" customHeight="1">
      <c r="A3527" s="2" t="s">
        <v>3527</v>
      </c>
      <c r="B3527" s="2" t="str">
        <f>IFERROR(__xludf.DUMMYFUNCTION("GOOGLETRANSLATE(A3527, ""en"", ""mt"")"),"Liema forza twassal għal unità ta 'massa użata b'mod komuni?")</f>
        <v>Liema forza twassal għal unità ta 'massa użata b'mod komuni?</v>
      </c>
    </row>
    <row r="3528" ht="15.75" customHeight="1">
      <c r="A3528" s="2" t="s">
        <v>3528</v>
      </c>
      <c r="B3528" s="2" t="str">
        <f>IFERROR(__xludf.DUMMYFUNCTION("GOOGLETRANSLATE(A3528, ""en"", ""mt"")"),"il-post ċentrali tiegħu")</f>
        <v>il-post ċentrali tiegħu</v>
      </c>
    </row>
    <row r="3529" ht="15.75" customHeight="1">
      <c r="A3529" s="2" t="s">
        <v>3529</v>
      </c>
      <c r="B3529" s="2" t="str">
        <f>IFERROR(__xludf.DUMMYFUNCTION("GOOGLETRANSLATE(A3529, ""en"", ""mt"")"),"massa")</f>
        <v>massa</v>
      </c>
    </row>
    <row r="3530" ht="15.75" customHeight="1">
      <c r="A3530" s="2" t="s">
        <v>3530</v>
      </c>
      <c r="B3530" s="2" t="str">
        <f>IFERROR(__xludf.DUMMYFUNCTION("GOOGLETRANSLATE(A3530, ""en"", ""mt"")"),"X'inhi varjabbli waħda li fuqha jista 'jkun il-ħin ta' tħaddim?")</f>
        <v>X'inhi varjabbli waħda li fuqha jista 'jkun il-ħin ta' tħaddim?</v>
      </c>
    </row>
    <row r="3531" ht="15.75" customHeight="1">
      <c r="A3531" s="2" t="s">
        <v>3531</v>
      </c>
      <c r="B3531" s="2" t="str">
        <f>IFERROR(__xludf.DUMMYFUNCTION("GOOGLETRANSLATE(A3531, ""en"", ""mt"")"),"Kemm jista 'jdum kelliem jindirizza lill-membri matul il-ħin tar-riflessjoni?")</f>
        <v>Kemm jista 'jdum kelliem jindirizza lill-membri matul il-ħin tar-riflessjoni?</v>
      </c>
    </row>
    <row r="3532" ht="15.75" customHeight="1">
      <c r="A3532" s="2" t="s">
        <v>3532</v>
      </c>
      <c r="B3532" s="2" t="str">
        <f>IFERROR(__xludf.DUMMYFUNCTION("GOOGLETRANSLATE(A3532, ""en"", ""mt"")"),"X'inhi t-traduzzjoni ta 'Oude Maas?")</f>
        <v>X'inhi t-traduzzjoni ta 'Oude Maas?</v>
      </c>
    </row>
    <row r="3533" ht="15.75" customHeight="1">
      <c r="A3533" s="2" t="s">
        <v>3533</v>
      </c>
      <c r="B3533" s="2" t="str">
        <f>IFERROR(__xludf.DUMMYFUNCTION("GOOGLETRANSLATE(A3533, ""en"", ""mt"")"),"Cydippid huma tipikament liema forma?")</f>
        <v>Cydippid huma tipikament liema forma?</v>
      </c>
    </row>
    <row r="3534" ht="15.75" customHeight="1">
      <c r="A3534" s="2" t="s">
        <v>3534</v>
      </c>
      <c r="B3534" s="2" t="str">
        <f>IFERROR(__xludf.DUMMYFUNCTION("GOOGLETRANSLATE(A3534, ""en"", ""mt"")"),"9 ta 'Frar, 1832")</f>
        <v>9 ta 'Frar, 1832</v>
      </c>
    </row>
    <row r="3535" ht="15.75" customHeight="1">
      <c r="A3535" s="2" t="s">
        <v>3535</v>
      </c>
      <c r="B3535" s="2" t="str">
        <f>IFERROR(__xludf.DUMMYFUNCTION("GOOGLETRANSLATE(A3535, ""en"", ""mt"")"),"Madwar 3.5 biljun persuna")</f>
        <v>Madwar 3.5 biljun persuna</v>
      </c>
    </row>
    <row r="3536" ht="15.75" customHeight="1">
      <c r="A3536" s="2" t="s">
        <v>3536</v>
      </c>
      <c r="B3536" s="2" t="str">
        <f>IFERROR(__xludf.DUMMYFUNCTION("GOOGLETRANSLATE(A3536, ""en"", ""mt"")"),"(/ ˈFrɛznoʊ / frez-noH)")</f>
        <v>(/ ˈFrɛznoʊ / frez-noH)</v>
      </c>
    </row>
    <row r="3537" ht="15.75" customHeight="1">
      <c r="A3537" s="2" t="s">
        <v>3537</v>
      </c>
      <c r="B3537" s="2" t="str">
        <f>IFERROR(__xludf.DUMMYFUNCTION("GOOGLETRANSLATE(A3537, ""en"", ""mt"")"),"Matul il-Gwerra Ċivili Amerikana, Jacksonville kien punt ta 'provvista ewlieni biex il-qżieqeż u l-baqar jintbagħtu minn Florida biex jgħinu l-kawża Konfederata. Il-belt kienet imblukkata mill-forzi tal-unjoni, li kisbu l-kontroll tal-Fort Clinch fil-qrib"&amp;". Għalkemm ma ġew miġġielda l-ebda battalji f'Jacksonville kif suppost, il-belt biddlet idejh diversi drabi bejn il-forzi tal-Unjoni u l-Konfederati. Ix-xkiel tal-knisja tal-briks fl-1862 eżatt barra Jacksonville kif suppost irriżulta fl-ewwel rebħa Konfe"&amp;"derata fi Florida. Fi Frar tal-1864 il-forzi tal-Unjoni telqu minn Jacksonville u kkonfrontaw armata Konfederata fil-Battalja ta ’Olustee li rriżultat f’rebħa Konfederata. Il-forzi tal-Unjoni mbagħad irtiraw lejn Jacksonville u żammew il-belt għall-bqija "&amp;"tal-gwerra. F'Marzu 1864, kavallerija Konfederata kkonfrontat spedizzjoni tal-Unjoni li rriżultat fil-Battalja ta 'Cedar Creek. Il-gwerra u l-okkupazzjoni twila ħallew il-belt imħarbta wara l-gwerra.")</f>
        <v>Matul il-Gwerra Ċivili Amerikana, Jacksonville kien punt ta 'provvista ewlieni biex il-qżieqeż u l-baqar jintbagħtu minn Florida biex jgħinu l-kawża Konfederata. Il-belt kienet imblukkata mill-forzi tal-unjoni, li kisbu l-kontroll tal-Fort Clinch fil-qrib. Għalkemm ma ġew miġġielda l-ebda battalji f'Jacksonville kif suppost, il-belt biddlet idejh diversi drabi bejn il-forzi tal-Unjoni u l-Konfederati. Ix-xkiel tal-knisja tal-briks fl-1862 eżatt barra Jacksonville kif suppost irriżulta fl-ewwel rebħa Konfederata fi Florida. Fi Frar tal-1864 il-forzi tal-Unjoni telqu minn Jacksonville u kkonfrontaw armata Konfederata fil-Battalja ta ’Olustee li rriżultat f’rebħa Konfederata. Il-forzi tal-Unjoni mbagħad irtiraw lejn Jacksonville u żammew il-belt għall-bqija tal-gwerra. F'Marzu 1864, kavallerija Konfederata kkonfrontat spedizzjoni tal-Unjoni li rriżultat fil-Battalja ta 'Cedar Creek. Il-gwerra u l-okkupazzjoni twila ħallew il-belt imħarbta wara l-gwerra.</v>
      </c>
    </row>
    <row r="3538" ht="15.75" customHeight="1">
      <c r="A3538" s="2" t="s">
        <v>3538</v>
      </c>
      <c r="B3538" s="2" t="str">
        <f>IFERROR(__xludf.DUMMYFUNCTION("GOOGLETRANSLATE(A3538, ""en"", ""mt"")")," Meta Isiah Bowman ma kienx maħtur għall-inkjesta tal-President Wilson?")</f>
        <v> Meta Isiah Bowman ma kienx maħtur għall-inkjesta tal-President Wilson?</v>
      </c>
    </row>
    <row r="3539" ht="15.75" customHeight="1">
      <c r="A3539" s="2" t="s">
        <v>3539</v>
      </c>
      <c r="B3539" s="2" t="str">
        <f>IFERROR(__xludf.DUMMYFUNCTION("GOOGLETRANSLATE(A3539, ""en"", ""mt"")"),"Ma 'liema tipi ta' mard m'għadhomx jintużaw drogi speċjalizzati?")</f>
        <v>Ma 'liema tipi ta' mard m'għadhomx jintużaw drogi speċjalizzati?</v>
      </c>
    </row>
    <row r="3540" ht="15.75" customHeight="1">
      <c r="A3540" s="2" t="s">
        <v>3540</v>
      </c>
      <c r="B3540" s="2" t="str">
        <f>IFERROR(__xludf.DUMMYFUNCTION("GOOGLETRANSLATE(A3540, ""en"", ""mt"")"),"Kif imexxi l-Kulleġġ ta 'St Andrew?")</f>
        <v>Kif imexxi l-Kulleġġ ta 'St Andrew?</v>
      </c>
    </row>
    <row r="3541" ht="15.75" customHeight="1">
      <c r="A3541" s="2" t="s">
        <v>3541</v>
      </c>
      <c r="B3541" s="2" t="str">
        <f>IFERROR(__xludf.DUMMYFUNCTION("GOOGLETRANSLATE(A3541, ""en"", ""mt"")"),"Ctenophora")</f>
        <v>Ctenophora</v>
      </c>
    </row>
    <row r="3542" ht="15.75" customHeight="1">
      <c r="A3542" s="2" t="s">
        <v>3542</v>
      </c>
      <c r="B3542" s="2" t="str">
        <f>IFERROR(__xludf.DUMMYFUNCTION("GOOGLETRANSLATE(A3542, ""en"", ""mt"")"),"Liema belt kif suppost għandha popolazzjoni ta '1,345,596?")</f>
        <v>Liema belt kif suppost għandha popolazzjoni ta '1,345,596?</v>
      </c>
    </row>
    <row r="3543" ht="15.75" customHeight="1">
      <c r="A3543" s="2" t="s">
        <v>3543</v>
      </c>
      <c r="B3543" s="2" t="str">
        <f>IFERROR(__xludf.DUMMYFUNCTION("GOOGLETRANSLATE(A3543, ""en"", ""mt"")"),"2,000")</f>
        <v>2,000</v>
      </c>
    </row>
    <row r="3544" ht="15.75" customHeight="1">
      <c r="A3544" s="2" t="s">
        <v>3544</v>
      </c>
      <c r="B3544" s="2" t="str">
        <f>IFERROR(__xludf.DUMMYFUNCTION("GOOGLETRANSLATE(A3544, ""en"", ""mt"")"),"Fejn l-istandard Megalopolis tan-Nofsinhar ta 'California f'termini ta' popolazzjoni fuq livell nazzjonali?")</f>
        <v>Fejn l-istandard Megalopolis tan-Nofsinhar ta 'California f'termini ta' popolazzjoni fuq livell nazzjonali?</v>
      </c>
    </row>
    <row r="3545" ht="15.75" customHeight="1">
      <c r="A3545" s="2" t="s">
        <v>3545</v>
      </c>
      <c r="B3545" s="2" t="str">
        <f>IFERROR(__xludf.DUMMYFUNCTION("GOOGLETRANSLATE(A3545, ""en"", ""mt"")"),"X'kien l-isem tas-servizz diġitali ta 'BSKYB?")</f>
        <v>X'kien l-isem tas-servizz diġitali ta 'BSKYB?</v>
      </c>
    </row>
    <row r="3546" ht="15.75" customHeight="1">
      <c r="A3546" s="2" t="s">
        <v>3546</v>
      </c>
      <c r="B3546" s="2" t="str">
        <f>IFERROR(__xludf.DUMMYFUNCTION("GOOGLETRANSLATE(A3546, ""en"", ""mt"")"),"Ir-ribelljoni ċivili hija ġġustifikata bl-appell għal difetti kostituzzjonali, ir-ribelljoni hija ħafna iktar")</f>
        <v>Ir-ribelljoni ċivili hija ġġustifikata bl-appell għal difetti kostituzzjonali, ir-ribelljoni hija ħafna iktar</v>
      </c>
    </row>
    <row r="3547" ht="15.75" customHeight="1">
      <c r="A3547" s="2" t="s">
        <v>3547</v>
      </c>
      <c r="B3547" s="2" t="str">
        <f>IFERROR(__xludf.DUMMYFUNCTION("GOOGLETRANSLATE(A3547, ""en"", ""mt"")"),"X'inhi l-kimika li timmedja l-ipersensittività tat-tip 1?")</f>
        <v>X'inhi l-kimika li timmedja l-ipersensittività tat-tip 1?</v>
      </c>
    </row>
    <row r="3548" ht="15.75" customHeight="1">
      <c r="A3548" s="2" t="s">
        <v>3548</v>
      </c>
      <c r="B3548" s="2" t="str">
        <f>IFERROR(__xludf.DUMMYFUNCTION("GOOGLETRANSLATE(A3548, ""en"", ""mt"")"),"Università u Akkademja Militari")</f>
        <v>Università u Akkademja Militari</v>
      </c>
    </row>
    <row r="3549" ht="15.75" customHeight="1">
      <c r="A3549" s="2" t="s">
        <v>3549</v>
      </c>
      <c r="B3549" s="2" t="str">
        <f>IFERROR(__xludf.DUMMYFUNCTION("GOOGLETRANSLATE(A3549, ""en"", ""mt"")"),"X'kien ir-riżultat f'Montpellier ta 'l-Editt ta' Ales fl-1629?")</f>
        <v>X'kien ir-riżultat f'Montpellier ta 'l-Editt ta' Ales fl-1629?</v>
      </c>
    </row>
    <row r="3550" ht="15.75" customHeight="1">
      <c r="A3550" s="2" t="s">
        <v>3550</v>
      </c>
      <c r="B3550" s="2" t="str">
        <f>IFERROR(__xludf.DUMMYFUNCTION("GOOGLETRANSLATE(A3550, ""en"", ""mt"")"),"Biex tikkoordina r-rispons għall-embargo")</f>
        <v>Biex tikkoordina r-rispons għall-embargo</v>
      </c>
    </row>
    <row r="3551" ht="15.75" customHeight="1">
      <c r="A3551" s="2" t="s">
        <v>3551</v>
      </c>
      <c r="B3551" s="2" t="str">
        <f>IFERROR(__xludf.DUMMYFUNCTION("GOOGLETRANSLATE(A3551, ""en"", ""mt"")"),"River Aare")</f>
        <v>River Aare</v>
      </c>
    </row>
    <row r="3552" ht="15.75" customHeight="1">
      <c r="A3552" s="2" t="s">
        <v>3552</v>
      </c>
      <c r="B3552" s="2" t="str">
        <f>IFERROR(__xludf.DUMMYFUNCTION("GOOGLETRANSLATE(A3552, ""en"", ""mt"")"),"X'kien maħsub ir-razzjonar biex jippromwovi fis-suq?")</f>
        <v>X'kien maħsub ir-razzjonar biex jippromwovi fis-suq?</v>
      </c>
    </row>
    <row r="3553" ht="15.75" customHeight="1">
      <c r="A3553" s="2" t="s">
        <v>3553</v>
      </c>
      <c r="B3553" s="2" t="str">
        <f>IFERROR(__xludf.DUMMYFUNCTION("GOOGLETRANSLATE(A3553, ""en"", ""mt"")"),"X’ma kienx il-korp eżekuttiv ewlieni tal-UE?")</f>
        <v>X’ma kienx il-korp eżekuttiv ewlieni tal-UE?</v>
      </c>
    </row>
    <row r="3554" ht="15.75" customHeight="1">
      <c r="A3554" s="2" t="s">
        <v>3554</v>
      </c>
      <c r="B3554" s="2" t="str">
        <f>IFERROR(__xludf.DUMMYFUNCTION("GOOGLETRANSLATE(A3554, ""en"", ""mt"")"),"Liema persentaġġ ta 'studenti tal-iskola primarja Filippina jinsabu fi skejjel privati?")</f>
        <v>Liema persentaġġ ta 'studenti tal-iskola primarja Filippina jinsabu fi skejjel privati?</v>
      </c>
    </row>
    <row r="3555" ht="15.75" customHeight="1">
      <c r="A3555" s="2" t="s">
        <v>3555</v>
      </c>
      <c r="B3555" s="2" t="str">
        <f>IFERROR(__xludf.DUMMYFUNCTION("GOOGLETRANSLATE(A3555, ""en"", ""mt"")"),"Università tad-Difiża Nazzjonali")</f>
        <v>Università tad-Difiża Nazzjonali</v>
      </c>
    </row>
    <row r="3556" ht="15.75" customHeight="1">
      <c r="A3556" s="2" t="s">
        <v>3556</v>
      </c>
      <c r="B3556" s="2" t="str">
        <f>IFERROR(__xludf.DUMMYFUNCTION("GOOGLETRANSLATE(A3556, ""en"", ""mt"")"),"Liema speċi jiċċaqlaq b'moviment ta 'darting?")</f>
        <v>Liema speċi jiċċaqlaq b'moviment ta 'darting?</v>
      </c>
    </row>
    <row r="3557" ht="15.75" customHeight="1">
      <c r="A3557" s="2" t="s">
        <v>3557</v>
      </c>
      <c r="B3557" s="2" t="str">
        <f>IFERROR(__xludf.DUMMYFUNCTION("GOOGLETRANSLATE(A3557, ""en"", ""mt"")"),"121,200")</f>
        <v>121,200</v>
      </c>
    </row>
    <row r="3558" ht="15.75" customHeight="1">
      <c r="A3558" s="2" t="s">
        <v>3558</v>
      </c>
      <c r="B3558" s="2" t="str">
        <f>IFERROR(__xludf.DUMMYFUNCTION("GOOGLETRANSLATE(A3558, ""en"", ""mt"")"),"It-triq tal-vjolenza u l-ġlieda militari mbagħad ġiet meħuda mill-organizzazzjoni tal-jihad Iżlamiku Eġizzjan responsabbli għall-qtil ta 'Anwar Sadat fl-1981. B'differenza mill-movimenti anti-kolonjali preċedenti, il-grupp estremist idderieġa l-attakki ti"&amp;"egħu kontra dak li kien jemmen li kienu mexxejja ""apostati"" tal-Musulmani "" Stati, mexxejja li kellhom tluq sekulari jew li kienu introduċew jew ippromwovu ideat u prattiki tal-Punent / barranin fis-soċjetajiet Iżlamiċi. Il-fehmiet tagħha ġew deskritti"&amp;" fil-fuljett miktub minn Muhammad Abd al-Salaam Farag, li fih jiddikjara:")</f>
        <v>It-triq tal-vjolenza u l-ġlieda militari mbagħad ġiet meħuda mill-organizzazzjoni tal-jihad Iżlamiku Eġizzjan responsabbli għall-qtil ta 'Anwar Sadat fl-1981. B'differenza mill-movimenti anti-kolonjali preċedenti, il-grupp estremist idderieġa l-attakki tiegħu kontra dak li kien jemmen li kienu mexxejja "apostati" tal-Musulmani " Stati, mexxejja li kellhom tluq sekulari jew li kienu introduċew jew ippromwovu ideat u prattiki tal-Punent / barranin fis-soċjetajiet Iżlamiċi. Il-fehmiet tagħha ġew deskritti fil-fuljett miktub minn Muhammad Abd al-Salaam Farag, li fih jiddikjara:</v>
      </c>
    </row>
    <row r="3559" ht="15.75" customHeight="1">
      <c r="A3559" s="2" t="s">
        <v>3559</v>
      </c>
      <c r="B3559" s="2" t="str">
        <f>IFERROR(__xludf.DUMMYFUNCTION("GOOGLETRANSLATE(A3559, ""en"", ""mt"")"),"Meta l-aħħar Gran Brittanja kellha politika imperjalista?")</f>
        <v>Meta l-aħħar Gran Brittanja kellha politika imperjalista?</v>
      </c>
    </row>
    <row r="3560" ht="15.75" customHeight="1">
      <c r="A3560" s="2" t="s">
        <v>3560</v>
      </c>
      <c r="B3560" s="2" t="str">
        <f>IFERROR(__xludf.DUMMYFUNCTION("GOOGLETRANSLATE(A3560, ""en"", ""mt"")"),"Kemm huguenots inqatlu għal kollox fi Franza?")</f>
        <v>Kemm huguenots inqatlu għal kollox fi Franza?</v>
      </c>
    </row>
    <row r="3561" ht="15.75" customHeight="1">
      <c r="A3561" s="2" t="s">
        <v>3561</v>
      </c>
      <c r="B3561" s="2" t="str">
        <f>IFERROR(__xludf.DUMMYFUNCTION("GOOGLETRANSLATE(A3561, ""en"", ""mt"")"),"Bejn l-1960 u l-2000")</f>
        <v>Bejn l-1960 u l-2000</v>
      </c>
    </row>
    <row r="3562" ht="15.75" customHeight="1">
      <c r="A3562" s="2" t="s">
        <v>3562</v>
      </c>
      <c r="B3562" s="2" t="str">
        <f>IFERROR(__xludf.DUMMYFUNCTION("GOOGLETRANSLATE(A3562, ""en"", ""mt"")"),"X'inhu l-qasam tal-istudju tal-immunogeniċità permezz tal-bijoinformatika magħrufa bħala?")</f>
        <v>X'inhu l-qasam tal-istudju tal-immunogeniċità permezz tal-bijoinformatika magħrufa bħala?</v>
      </c>
    </row>
    <row r="3563" ht="15.75" customHeight="1">
      <c r="A3563" s="2" t="s">
        <v>3563</v>
      </c>
      <c r="B3563" s="2" t="str">
        <f>IFERROR(__xludf.DUMMYFUNCTION("GOOGLETRANSLATE(A3563, ""en"", ""mt"")"),"Min għandu l-kompitu li jiżgura li l-membri tal-partit ma jivvutawx skont il-linja tal-partit?")</f>
        <v>Min għandu l-kompitu li jiżgura li l-membri tal-partit ma jivvutawx skont il-linja tal-partit?</v>
      </c>
    </row>
    <row r="3564" ht="15.75" customHeight="1">
      <c r="A3564" s="2" t="s">
        <v>3564</v>
      </c>
      <c r="B3564" s="2" t="str">
        <f>IFERROR(__xludf.DUMMYFUNCTION("GOOGLETRANSLATE(A3564, ""en"", ""mt"")"),"Warszawa")</f>
        <v>Warszawa</v>
      </c>
    </row>
    <row r="3565" ht="15.75" customHeight="1">
      <c r="A3565" s="2" t="s">
        <v>3565</v>
      </c>
      <c r="B3565" s="2" t="str">
        <f>IFERROR(__xludf.DUMMYFUNCTION("GOOGLETRANSLATE(A3565, ""en"", ""mt"")"),"Inġinerija Ċivili jew Tqila Tqila")</f>
        <v>Inġinerija Ċivili jew Tqila Tqila</v>
      </c>
    </row>
    <row r="3566" ht="15.75" customHeight="1">
      <c r="A3566" s="2" t="s">
        <v>3566</v>
      </c>
      <c r="B3566" s="2" t="str">
        <f>IFERROR(__xludf.DUMMYFUNCTION("GOOGLETRANSLATE(A3566, ""en"", ""mt"")"),"18")</f>
        <v>18</v>
      </c>
    </row>
    <row r="3567" ht="15.75" customHeight="1">
      <c r="A3567" s="2" t="s">
        <v>3567</v>
      </c>
      <c r="B3567" s="2" t="str">
        <f>IFERROR(__xludf.DUMMYFUNCTION("GOOGLETRANSLATE(A3567, ""en"", ""mt"")"),"Għal liema ċiviltà kienet il-fuħħar?")</f>
        <v>Għal liema ċiviltà kienet il-fuħħar?</v>
      </c>
    </row>
    <row r="3568" ht="15.75" customHeight="1">
      <c r="A3568" s="2" t="s">
        <v>3568</v>
      </c>
      <c r="B3568" s="2" t="str">
        <f>IFERROR(__xludf.DUMMYFUNCTION("GOOGLETRANSLATE(A3568, ""en"", ""mt"")"),"Flimkien ma 'l-isport u l-arti, x'inhu tip ta' borża ta 'talent?")</f>
        <v>Flimkien ma 'l-isport u l-arti, x'inhu tip ta' borża ta 'talent?</v>
      </c>
    </row>
    <row r="3569" ht="15.75" customHeight="1">
      <c r="A3569" s="2" t="s">
        <v>3569</v>
      </c>
      <c r="B3569" s="2" t="str">
        <f>IFERROR(__xludf.DUMMYFUNCTION("GOOGLETRANSLATE(A3569, ""en"", ""mt"")"),"X'inhu metodu wieħed biex jinkiseb konsum perspirattiv?")</f>
        <v>X'inhu metodu wieħed biex jinkiseb konsum perspirattiv?</v>
      </c>
    </row>
    <row r="3570" ht="15.75" customHeight="1">
      <c r="A3570" s="2" t="s">
        <v>3570</v>
      </c>
      <c r="B3570" s="2" t="str">
        <f>IFERROR(__xludf.DUMMYFUNCTION("GOOGLETRANSLATE(A3570, ""en"", ""mt"")"),"Termokimiku")</f>
        <v>Termokimiku</v>
      </c>
    </row>
    <row r="3571" ht="15.75" customHeight="1">
      <c r="A3571" s="2" t="s">
        <v>3571</v>
      </c>
      <c r="B3571" s="2" t="str">
        <f>IFERROR(__xludf.DUMMYFUNCTION("GOOGLETRANSLATE(A3571, ""en"", ""mt"")"),"Prinċipju ta 'inklużjonijiet u komponenti")</f>
        <v>Prinċipju ta 'inklużjonijiet u komponenti</v>
      </c>
    </row>
    <row r="3572" ht="15.75" customHeight="1">
      <c r="A3572" s="2" t="s">
        <v>3572</v>
      </c>
      <c r="B3572" s="2" t="str">
        <f>IFERROR(__xludf.DUMMYFUNCTION("GOOGLETRANSLATE(A3572, ""en"", ""mt"")"),"Semmi tip ta 'trakkijiet kompatti Toyota?")</f>
        <v>Semmi tip ta 'trakkijiet kompatti Toyota?</v>
      </c>
    </row>
    <row r="3573" ht="15.75" customHeight="1">
      <c r="A3573" s="2" t="s">
        <v>3573</v>
      </c>
      <c r="B3573" s="2" t="str">
        <f>IFERROR(__xludf.DUMMYFUNCTION("GOOGLETRANSLATE(A3573, ""en"", ""mt"")"),"L-użu ta 'telerilevament għall-konservazzjoni tal-Amażonja qed jintuża wkoll mit-tribujiet indiġeni tal-baċin biex jipproteġu l-artijiet tribali tagħhom minn interessi kummerċjali. Bl-użu ta 'apparati u programmi tal-GPS li jinżammu fl-idejn bħal Google E"&amp;"arth, membri tat-Tribe Trio, li jgħixu fil-foresti tropikali tas-Surinam tan-Nofsinhar, mappaw l-artijiet antenati tagħhom biex jgħinu jsaħħu t-talbiet territorjali tagħhom. Bħalissa, il-biċċa l-kbira tat-tribujiet fl-Amażonja m'għandhomx il-konfini defin"&amp;"iti b'mod ċar, li jagħmluha aktar faċli għall-impriżi kummerċjali li jimmiraw it-territorji tagħhom.")</f>
        <v>L-użu ta 'telerilevament għall-konservazzjoni tal-Amażonja qed jintuża wkoll mit-tribujiet indiġeni tal-baċin biex jipproteġu l-artijiet tribali tagħhom minn interessi kummerċjali. Bl-użu ta 'apparati u programmi tal-GPS li jinżammu fl-idejn bħal Google Earth, membri tat-Tribe Trio, li jgħixu fil-foresti tropikali tas-Surinam tan-Nofsinhar, mappaw l-artijiet antenati tagħhom biex jgħinu jsaħħu t-talbiet territorjali tagħhom. Bħalissa, il-biċċa l-kbira tat-tribujiet fl-Amażonja m'għandhomx il-konfini definiti b'mod ċar, li jagħmluha aktar faċli għall-impriżi kummerċjali li jimmiraw it-territorji tagħhom.</v>
      </c>
    </row>
    <row r="3574" ht="15.75" customHeight="1">
      <c r="A3574" s="2" t="s">
        <v>3574</v>
      </c>
      <c r="B3574" s="2" t="str">
        <f>IFERROR(__xludf.DUMMYFUNCTION("GOOGLETRANSLATE(A3574, ""en"", ""mt"")"),"inugwaljanza fil-ġid u d-dħul")</f>
        <v>inugwaljanza fil-ġid u d-dħul</v>
      </c>
    </row>
    <row r="3575" ht="15.75" customHeight="1">
      <c r="A3575" s="2" t="s">
        <v>3575</v>
      </c>
      <c r="B3575" s="2" t="str">
        <f>IFERROR(__xludf.DUMMYFUNCTION("GOOGLETRANSLATE(A3575, ""en"", ""mt"")"),"X'inhu l-isem uffiċjali tad-dinastija Yuan?")</f>
        <v>X'inhu l-isem uffiċjali tad-dinastija Yuan?</v>
      </c>
    </row>
    <row r="3576" ht="15.75" customHeight="1">
      <c r="A3576" s="2" t="s">
        <v>3576</v>
      </c>
      <c r="B3576" s="2" t="str">
        <f>IFERROR(__xludf.DUMMYFUNCTION("GOOGLETRANSLATE(A3576, ""en"", ""mt"")"),"Biża 'ta' tradiment")</f>
        <v>Biża 'ta' tradiment</v>
      </c>
    </row>
    <row r="3577" ht="15.75" customHeight="1">
      <c r="A3577" s="2" t="s">
        <v>3577</v>
      </c>
      <c r="B3577" s="2" t="str">
        <f>IFERROR(__xludf.DUMMYFUNCTION("GOOGLETRANSLATE(A3577, ""en"", ""mt"")"),"Min hu l-Avukat Ġenerali u l-Konsulent tal-Kampanja Obama?")</f>
        <v>Min hu l-Avukat Ġenerali u l-Konsulent tal-Kampanja Obama?</v>
      </c>
    </row>
    <row r="3578" ht="15.75" customHeight="1">
      <c r="A3578" s="2" t="s">
        <v>3578</v>
      </c>
      <c r="B3578" s="2" t="str">
        <f>IFERROR(__xludf.DUMMYFUNCTION("GOOGLETRANSLATE(A3578, ""en"", ""mt"")"),"Għaliex l-O2 jidher aħmar?")</f>
        <v>Għaliex l-O2 jidher aħmar?</v>
      </c>
    </row>
    <row r="3579" ht="15.75" customHeight="1">
      <c r="A3579" s="2" t="s">
        <v>3579</v>
      </c>
      <c r="B3579" s="2" t="str">
        <f>IFERROR(__xludf.DUMMYFUNCTION("GOOGLETRANSLATE(A3579, ""en"", ""mt"")"),"X'inhi d-distribuzzjoni tad-dħul mix-xogħol minħabba d-differenzi ta '?")</f>
        <v>X'inhi d-distribuzzjoni tad-dħul mix-xogħol minħabba d-differenzi ta '?</v>
      </c>
    </row>
    <row r="3580" ht="15.75" customHeight="1">
      <c r="A3580" s="2" t="s">
        <v>3580</v>
      </c>
      <c r="B3580" s="2" t="str">
        <f>IFERROR(__xludf.DUMMYFUNCTION("GOOGLETRANSLATE(A3580, ""en"", ""mt"")"),"1624")</f>
        <v>1624</v>
      </c>
    </row>
    <row r="3581" ht="15.75" customHeight="1">
      <c r="A3581" s="2" t="s">
        <v>3581</v>
      </c>
      <c r="B3581" s="2" t="str">
        <f>IFERROR(__xludf.DUMMYFUNCTION("GOOGLETRANSLATE(A3581, ""en"", ""mt"")"),"Liema mija tal-assi globali fl-2000 kienu proprjetà ta '1% biss tal-adulti?")</f>
        <v>Liema mija tal-assi globali fl-2000 kienu proprjetà ta '1% biss tal-adulti?</v>
      </c>
    </row>
    <row r="3582" ht="15.75" customHeight="1">
      <c r="A3582" s="2" t="s">
        <v>3582</v>
      </c>
      <c r="B3582" s="2" t="str">
        <f>IFERROR(__xludf.DUMMYFUNCTION("GOOGLETRANSLATE(A3582, ""en"", ""mt"")"),"Liema organizzazzjoni hija parti mill-IPCC?")</f>
        <v>Liema organizzazzjoni hija parti mill-IPCC?</v>
      </c>
    </row>
    <row r="3583" ht="15.75" customHeight="1">
      <c r="A3583" s="2" t="s">
        <v>3583</v>
      </c>
      <c r="B3583" s="2" t="str">
        <f>IFERROR(__xludf.DUMMYFUNCTION("GOOGLETRANSLATE(A3583, ""en"", ""mt"")"),"X'tip ta 'lokomottiva kienet Salamanca?")</f>
        <v>X'tip ta 'lokomottiva kienet Salamanca?</v>
      </c>
    </row>
    <row r="3584" ht="15.75" customHeight="1">
      <c r="A3584" s="2" t="s">
        <v>3584</v>
      </c>
      <c r="B3584" s="2" t="str">
        <f>IFERROR(__xludf.DUMMYFUNCTION("GOOGLETRANSLATE(A3584, ""en"", ""mt"")"),"1317")</f>
        <v>1317</v>
      </c>
    </row>
    <row r="3585" ht="15.75" customHeight="1">
      <c r="A3585" s="2" t="s">
        <v>3585</v>
      </c>
      <c r="B3585" s="2" t="str">
        <f>IFERROR(__xludf.DUMMYFUNCTION("GOOGLETRANSLATE(A3585, ""en"", ""mt"")"),"Liema jdaħħal patoġeni mill-passaġġ gastro-intestinali?")</f>
        <v>Liema jdaħħal patoġeni mill-passaġġ gastro-intestinali?</v>
      </c>
    </row>
    <row r="3586" ht="15.75" customHeight="1">
      <c r="A3586" s="2" t="s">
        <v>3586</v>
      </c>
      <c r="B3586" s="2" t="str">
        <f>IFERROR(__xludf.DUMMYFUNCTION("GOOGLETRANSLATE(A3586, ""en"", ""mt"")"),"Is-somma tad-diviżuri tiffunzjona")</f>
        <v>Is-somma tad-diviżuri tiffunzjona</v>
      </c>
    </row>
    <row r="3587" ht="15.75" customHeight="1">
      <c r="A3587" s="2" t="s">
        <v>3587</v>
      </c>
      <c r="B3587" s="2" t="str">
        <f>IFERROR(__xludf.DUMMYFUNCTION("GOOGLETRANSLATE(A3587, ""en"", ""mt"")"),"Minħabba li l-liġi tan-nazzjonalizzazzjoni kienet mill-1962, u t-trattat kien fis-seħħ mill-1958, Costa ma kellha l-ebda talba")</f>
        <v>Minħabba li l-liġi tan-nazzjonalizzazzjoni kienet mill-1962, u t-trattat kien fis-seħħ mill-1958, Costa ma kellha l-ebda talba</v>
      </c>
    </row>
    <row r="3588" ht="15.75" customHeight="1">
      <c r="A3588" s="2" t="s">
        <v>3588</v>
      </c>
      <c r="B3588" s="2" t="str">
        <f>IFERROR(__xludf.DUMMYFUNCTION("GOOGLETRANSLATE(A3588, ""en"", ""mt"")"),"Newtrofili")</f>
        <v>Newtrofili</v>
      </c>
    </row>
    <row r="3589" ht="15.75" customHeight="1">
      <c r="A3589" s="2" t="s">
        <v>3589</v>
      </c>
      <c r="B3589" s="2" t="str">
        <f>IFERROR(__xludf.DUMMYFUNCTION("GOOGLETRANSLATE(A3589, ""en"", ""mt"")"),"sħana u pressjoni")</f>
        <v>sħana u pressjoni</v>
      </c>
    </row>
    <row r="3590" ht="15.75" customHeight="1">
      <c r="A3590" s="2" t="s">
        <v>3590</v>
      </c>
      <c r="B3590" s="2" t="str">
        <f>IFERROR(__xludf.DUMMYFUNCTION("GOOGLETRANSLATE(A3590, ""en"", ""mt"")"),"L-isem Ingliż ""Normans"" ġej mill-kliem Franċiż Normans / Normanz, plural ta 'Normand Normant, modern Franċiż, li huwa nnifsu misluf minn Nortmann Old Low Franconian ""Northman"" jew direttament minn Old Norveġja Norðmaðr, Latinizzat differenti bħala Nor"&amp;"tmannus, Normannus, jew Nordmannus (irreġistrat fil-Latin medjevali, 9 seklu) biex ifisser ""Norseman, Viking"".")</f>
        <v>L-isem Ingliż "Normans" ġej mill-kliem Franċiż Normans / Normanz, plural ta 'Normand Normant, modern Franċiż, li huwa nnifsu misluf minn Nortmann Old Low Franconian "Northman" jew direttament minn Old Norveġja Norðmaðr, Latinizzat differenti bħala Nortmannus, Normannus, jew Nordmannus (irreġistrat fil-Latin medjevali, 9 seklu) biex ifisser "Norseman, Viking".</v>
      </c>
    </row>
    <row r="3591" ht="15.75" customHeight="1">
      <c r="A3591" s="2" t="s">
        <v>3591</v>
      </c>
      <c r="B3591" s="2" t="str">
        <f>IFERROR(__xludf.DUMMYFUNCTION("GOOGLETRANSLATE(A3591, ""en"", ""mt"")"),"imwaqqa '")</f>
        <v>imwaqqa '</v>
      </c>
    </row>
    <row r="3592" ht="15.75" customHeight="1">
      <c r="A3592" s="2" t="s">
        <v>3592</v>
      </c>
      <c r="B3592" s="2" t="str">
        <f>IFERROR(__xludf.DUMMYFUNCTION("GOOGLETRANSLATE(A3592, ""en"", ""mt"")"),"Liema forzi nukleari jaġixxu biss fuq distanzi qosra?")</f>
        <v>Liema forzi nukleari jaġixxu biss fuq distanzi qosra?</v>
      </c>
    </row>
    <row r="3593" ht="15.75" customHeight="1">
      <c r="A3593" s="2" t="s">
        <v>3593</v>
      </c>
      <c r="B3593" s="2" t="str">
        <f>IFERROR(__xludf.DUMMYFUNCTION("GOOGLETRANSLATE(A3593, ""en"", ""mt"")")," Dak li ma kienx maħsub li jiddeċiedi l-imġieba ta 'persuna?")</f>
        <v> Dak li ma kienx maħsub li jiddeċiedi l-imġieba ta 'persuna?</v>
      </c>
    </row>
    <row r="3594" ht="15.75" customHeight="1">
      <c r="A3594" s="2" t="s">
        <v>3594</v>
      </c>
      <c r="B3594" s="2" t="str">
        <f>IFERROR(__xludf.DUMMYFUNCTION("GOOGLETRANSLATE(A3594, ""en"", ""mt"")"),"1760")</f>
        <v>1760</v>
      </c>
    </row>
    <row r="3595" ht="15.75" customHeight="1">
      <c r="A3595" s="2" t="s">
        <v>3595</v>
      </c>
      <c r="B3595" s="2" t="str">
        <f>IFERROR(__xludf.DUMMYFUNCTION("GOOGLETRANSLATE(A3595, ""en"", ""mt"")"),"Xi jridu ħafna nies jixtiequ jintegraw fl-Interstate 5?")</f>
        <v>Xi jridu ħafna nies jixtiequ jintegraw fl-Interstate 5?</v>
      </c>
    </row>
    <row r="3596" ht="15.75" customHeight="1">
      <c r="A3596" s="2" t="s">
        <v>3596</v>
      </c>
      <c r="B3596" s="2" t="str">
        <f>IFERROR(__xludf.DUMMYFUNCTION("GOOGLETRANSLATE(A3596, ""en"", ""mt"")"),"Forza ċentripetali żbilanċjata")</f>
        <v>Forza ċentripetali żbilanċjata</v>
      </c>
    </row>
    <row r="3597" ht="15.75" customHeight="1">
      <c r="A3597" s="2" t="s">
        <v>3597</v>
      </c>
      <c r="B3597" s="2" t="str">
        <f>IFERROR(__xludf.DUMMYFUNCTION("GOOGLETRANSLATE(A3597, ""en"", ""mt"")"),"Il-Premier Mahmud Fami Naqrashi tal-Eġittu")</f>
        <v>Il-Premier Mahmud Fami Naqrashi tal-Eġittu</v>
      </c>
    </row>
    <row r="3598" ht="15.75" customHeight="1">
      <c r="A3598" s="2" t="s">
        <v>3598</v>
      </c>
      <c r="B3598" s="2" t="str">
        <f>IFERROR(__xludf.DUMMYFUNCTION("GOOGLETRANSLATE(A3598, ""en"", ""mt"")"),"Old Meuse")</f>
        <v>Old Meuse</v>
      </c>
    </row>
    <row r="3599" ht="15.75" customHeight="1">
      <c r="A3599" s="2" t="s">
        <v>3599</v>
      </c>
      <c r="B3599" s="2" t="str">
        <f>IFERROR(__xludf.DUMMYFUNCTION("GOOGLETRANSLATE(A3599, ""en"", ""mt"")"),"Stat tal-Mongolja Kbira")</f>
        <v>Stat tal-Mongolja Kbira</v>
      </c>
    </row>
    <row r="3600" ht="15.75" customHeight="1">
      <c r="A3600" s="2" t="s">
        <v>3600</v>
      </c>
      <c r="B3600" s="2" t="str">
        <f>IFERROR(__xludf.DUMMYFUNCTION("GOOGLETRANSLATE(A3600, ""en"", ""mt"")"),"Kemm hemm kontej popolati fl-Istati Uniti?")</f>
        <v>Kemm hemm kontej popolati fl-Istati Uniti?</v>
      </c>
    </row>
    <row r="3601" ht="15.75" customHeight="1">
      <c r="A3601" s="2" t="s">
        <v>3601</v>
      </c>
      <c r="B3601" s="2" t="str">
        <f>IFERROR(__xludf.DUMMYFUNCTION("GOOGLETRANSLATE(A3601, ""en"", ""mt"")"),"1910–1940")</f>
        <v>1910–1940</v>
      </c>
    </row>
    <row r="3602" ht="15.75" customHeight="1">
      <c r="A3602" s="2" t="s">
        <v>3602</v>
      </c>
      <c r="B3602" s="2" t="str">
        <f>IFERROR(__xludf.DUMMYFUNCTION("GOOGLETRANSLATE(A3602, ""en"", ""mt"")"),"Emmerich Rhine Bridge,")</f>
        <v>Emmerich Rhine Bridge,</v>
      </c>
    </row>
    <row r="3603" ht="15.75" customHeight="1">
      <c r="A3603" s="2" t="s">
        <v>3603</v>
      </c>
      <c r="B3603" s="2" t="str">
        <f>IFERROR(__xludf.DUMMYFUNCTION("GOOGLETRANSLATE(A3603, ""en"", ""mt"")"),"Fejn kienet tinfirex il-marda bejn l-1348 u l-1350?")</f>
        <v>Fejn kienet tinfirex il-marda bejn l-1348 u l-1350?</v>
      </c>
    </row>
    <row r="3604" ht="15.75" customHeight="1">
      <c r="A3604" s="2" t="s">
        <v>3604</v>
      </c>
      <c r="B3604" s="2" t="str">
        <f>IFERROR(__xludf.DUMMYFUNCTION("GOOGLETRANSLATE(A3604, ""en"", ""mt"")"),"Huwa mar lejn in-nofsinhar, saq jew qabad negozjanti Ingliżi")</f>
        <v>Huwa mar lejn in-nofsinhar, saq jew qabad negozjanti Ingliżi</v>
      </c>
    </row>
    <row r="3605" ht="15.75" customHeight="1">
      <c r="A3605" s="2" t="s">
        <v>3605</v>
      </c>
      <c r="B3605" s="2" t="str">
        <f>IFERROR(__xludf.DUMMYFUNCTION("GOOGLETRANSLATE(A3605, ""en"", ""mt"")"),"Meta ġie stabbilit ġnien żooloġiku fil-Park Praga?")</f>
        <v>Meta ġie stabbilit ġnien żooloġiku fil-Park Praga?</v>
      </c>
    </row>
    <row r="3606" ht="15.75" customHeight="1">
      <c r="A3606" s="2" t="s">
        <v>3606</v>
      </c>
      <c r="B3606" s="2" t="str">
        <f>IFERROR(__xludf.DUMMYFUNCTION("GOOGLETRANSLATE(A3606, ""en"", ""mt"")"),"F'liema xahar il-votanti tar-reġistru tal-Parlament Vittorjan?")</f>
        <v>F'liema xahar il-votanti tar-reġistru tal-Parlament Vittorjan?</v>
      </c>
    </row>
    <row r="3607" ht="15.75" customHeight="1">
      <c r="A3607" s="2" t="s">
        <v>3607</v>
      </c>
      <c r="B3607" s="2" t="str">
        <f>IFERROR(__xludf.DUMMYFUNCTION("GOOGLETRANSLATE(A3607, ""en"", ""mt"")"),"forza")</f>
        <v>forza</v>
      </c>
    </row>
    <row r="3608" ht="15.75" customHeight="1">
      <c r="A3608" s="2" t="s">
        <v>3608</v>
      </c>
      <c r="B3608" s="2" t="str">
        <f>IFERROR(__xludf.DUMMYFUNCTION("GOOGLETRANSLATE(A3608, ""en"", ""mt"")"),"X'għandhom jagħmlu studenti universitarji jsibu d-data tas-seklu sittax?")</f>
        <v>X'għandhom jagħmlu studenti universitarji jsibu d-data tas-seklu sittax?</v>
      </c>
    </row>
    <row r="3609" ht="15.75" customHeight="1">
      <c r="A3609" s="2" t="s">
        <v>3609</v>
      </c>
      <c r="B3609" s="2" t="str">
        <f>IFERROR(__xludf.DUMMYFUNCTION("GOOGLETRANSLATE(A3609, ""en"", ""mt"")"),"ħafna siġġijiet")</f>
        <v>ħafna siġġijiet</v>
      </c>
    </row>
    <row r="3610" ht="15.75" customHeight="1">
      <c r="A3610" s="2" t="s">
        <v>3610</v>
      </c>
      <c r="B3610" s="2" t="str">
        <f>IFERROR(__xludf.DUMMYFUNCTION("GOOGLETRANSLATE(A3610, ""en"", ""mt"")"),"X'tagħmel l-IPCC?")</f>
        <v>X'tagħmel l-IPCC?</v>
      </c>
    </row>
    <row r="3611" ht="15.75" customHeight="1">
      <c r="A3611" s="2" t="s">
        <v>3611</v>
      </c>
      <c r="B3611" s="2" t="str">
        <f>IFERROR(__xludf.DUMMYFUNCTION("GOOGLETRANSLATE(A3611, ""en"", ""mt"")"),"X'kien l-iskop ta 'NSF?")</f>
        <v>X'kien l-iskop ta 'NSF?</v>
      </c>
    </row>
    <row r="3612" ht="15.75" customHeight="1">
      <c r="A3612" s="2" t="s">
        <v>3612</v>
      </c>
      <c r="B3612" s="2" t="str">
        <f>IFERROR(__xludf.DUMMYFUNCTION("GOOGLETRANSLATE(A3612, ""en"", ""mt"")"),"X'impatt id-distribuzzjoni tal-ġid meta tevalwa x-xogħol?")</f>
        <v>X'impatt id-distribuzzjoni tal-ġid meta tevalwa x-xogħol?</v>
      </c>
    </row>
    <row r="3613" ht="15.75" customHeight="1">
      <c r="A3613" s="2" t="s">
        <v>3613</v>
      </c>
      <c r="B3613" s="2" t="str">
        <f>IFERROR(__xludf.DUMMYFUNCTION("GOOGLETRANSLATE(A3613, ""en"", ""mt"")"),"Accountants")</f>
        <v>Accountants</v>
      </c>
    </row>
    <row r="3614" ht="15.75" customHeight="1">
      <c r="A3614" s="2" t="s">
        <v>3614</v>
      </c>
      <c r="B3614" s="2" t="str">
        <f>IFERROR(__xludf.DUMMYFUNCTION("GOOGLETRANSLATE(A3614, ""en"", ""mt"")"),"Wara l-indipendenza tal-Malasja fl-1957, il-gvern ta struzzjonijiet lill-iskejjel kollha biex iċedu l-proprjetajiet tagħhom u jiġu assimilati fis-sistema tal-iskejjel nazzjonali. Dan ikkawża tħawwil fost iċ-Ċiniżi u nkiseb kompromess billi l-iskejjel minf"&amp;"lok isiru skejjel tat-tip ""nazzjonali"". Taħt sistema bħal din, il-gvern huwa inkarigat biss mill-kurrikulu tal-iskola u l-persunal tat-tagħlim waqt li l-artijiet għadhom jappartjenu għall-iskejjel. Filwaqt li l-iskejjel primarji Ċiniżi tħallew iżommu ċ-"&amp;"Ċiniż bħala l-mezz ta 'struzzjoni, l-iskejjel sekondarji Ċiniżi huma meħtieġa jinbidlu fi skejjel tal-medja Ingliża. Aktar minn 60 skola kkonvertiti biex isiru skejjel tat-tip nazzjonali.")</f>
        <v>Wara l-indipendenza tal-Malasja fl-1957, il-gvern ta struzzjonijiet lill-iskejjel kollha biex iċedu l-proprjetajiet tagħhom u jiġu assimilati fis-sistema tal-iskejjel nazzjonali. Dan ikkawża tħawwil fost iċ-Ċiniżi u nkiseb kompromess billi l-iskejjel minflok isiru skejjel tat-tip "nazzjonali". Taħt sistema bħal din, il-gvern huwa inkarigat biss mill-kurrikulu tal-iskola u l-persunal tat-tagħlim waqt li l-artijiet għadhom jappartjenu għall-iskejjel. Filwaqt li l-iskejjel primarji Ċiniżi tħallew iżommu ċ-Ċiniż bħala l-mezz ta 'struzzjoni, l-iskejjel sekondarji Ċiniżi huma meħtieġa jinbidlu fi skejjel tal-medja Ingliża. Aktar minn 60 skola kkonvertiti biex isiru skejjel tat-tip nazzjonali.</v>
      </c>
    </row>
    <row r="3615" ht="15.75" customHeight="1">
      <c r="A3615" s="2" t="s">
        <v>3615</v>
      </c>
      <c r="B3615" s="2" t="str">
        <f>IFERROR(__xludf.DUMMYFUNCTION("GOOGLETRANSLATE(A3615, ""en"", ""mt"")"),"Studji dwar l-inugwaljanza u t-tkabbir tad-dħul xi kultant sabu evidenza li tikkonferma l-ipoteżi tal-kurva Kuznets, li tiddikjara li bl-iżvilupp ekonomiku, l-inugwaljanza l-ewwel tiżdied, imbagħad tonqos. L-ekonomista Thomas Piketty jikkontesta din il-ku"&amp;"nċett, fejn qal li mill-1914 sal-1945 gwerer u ""xokkijiet ekonomiċi u politiċi vjolenti"" naqqsu l-inugwaljanza. Barra minn hekk, Piketty targumenta li l-ipoteżi tal-kurva Kuznets ""maġika"", bl-enfasi tagħha fuq l-ibbilanċjar tat-tkabbir ekonomiku fit-t"&amp;"ul, ma tistax tirrapreżenta ż-żieda sinifikanti fl-inugwaljanza ekonomika fid-dinja żviluppata mid-dinja mill-1970.")</f>
        <v>Studji dwar l-inugwaljanza u t-tkabbir tad-dħul xi kultant sabu evidenza li tikkonferma l-ipoteżi tal-kurva Kuznets, li tiddikjara li bl-iżvilupp ekonomiku, l-inugwaljanza l-ewwel tiżdied, imbagħad tonqos. L-ekonomista Thomas Piketty jikkontesta din il-kunċett, fejn qal li mill-1914 sal-1945 gwerer u "xokkijiet ekonomiċi u politiċi vjolenti" naqqsu l-inugwaljanza. Barra minn hekk, Piketty targumenta li l-ipoteżi tal-kurva Kuznets "maġika", bl-enfasi tagħha fuq l-ibbilanċjar tat-tkabbir ekonomiku fit-tul, ma tistax tirrapreżenta ż-żieda sinifikanti fl-inugwaljanza ekonomika fid-dinja żviluppata mid-dinja mill-1970.</v>
      </c>
    </row>
    <row r="3616" ht="15.75" customHeight="1">
      <c r="A3616" s="2" t="s">
        <v>3616</v>
      </c>
      <c r="B3616" s="2" t="str">
        <f>IFERROR(__xludf.DUMMYFUNCTION("GOOGLETRANSLATE(A3616, ""en"", ""mt"")"),"91")</f>
        <v>91</v>
      </c>
    </row>
    <row r="3617" ht="15.75" customHeight="1">
      <c r="A3617" s="2" t="s">
        <v>3617</v>
      </c>
      <c r="B3617" s="2" t="str">
        <f>IFERROR(__xludf.DUMMYFUNCTION("GOOGLETRANSLATE(A3617, ""en"", ""mt"")"),"L-avukat tagħhom kif ssuġġerixxa li se jħallu?")</f>
        <v>L-avukat tagħhom kif ssuġġerixxa li se jħallu?</v>
      </c>
    </row>
    <row r="3618" ht="15.75" customHeight="1">
      <c r="A3618" s="2" t="s">
        <v>3618</v>
      </c>
      <c r="B3618" s="2" t="str">
        <f>IFERROR(__xludf.DUMMYFUNCTION("GOOGLETRANSLATE(A3618, ""en"", ""mt"")"),"X'tip ta 'arti n-Normanni kellhom tradizzjoni rikka ta'?")</f>
        <v>X'tip ta 'arti n-Normanni kellhom tradizzjoni rikka ta'?</v>
      </c>
    </row>
    <row r="3619" ht="15.75" customHeight="1">
      <c r="A3619" s="2" t="s">
        <v>3619</v>
      </c>
      <c r="B3619" s="2" t="str">
        <f>IFERROR(__xludf.DUMMYFUNCTION("GOOGLETRANSLATE(A3619, ""en"", ""mt"")"),"Liema żewġ rwoli ewlenin audra McDonald wettqet meta kienet fl-iskola għolja?")</f>
        <v>Liema żewġ rwoli ewlenin audra McDonald wettqet meta kienet fl-iskola għolja?</v>
      </c>
    </row>
    <row r="3620" ht="15.75" customHeight="1">
      <c r="A3620" s="2" t="s">
        <v>3620</v>
      </c>
      <c r="B3620" s="2" t="str">
        <f>IFERROR(__xludf.DUMMYFUNCTION("GOOGLETRANSLATE(A3620, ""en"", ""mt"")"),"Liema proċess jattribwixxi ġid qadim lil dawk li diġà għandhom?")</f>
        <v>Liema proċess jattribwixxi ġid qadim lil dawk li diġà għandhom?</v>
      </c>
    </row>
    <row r="3621" ht="15.75" customHeight="1">
      <c r="A3621" s="2" t="s">
        <v>3621</v>
      </c>
      <c r="B3621" s="2" t="str">
        <f>IFERROR(__xludf.DUMMYFUNCTION("GOOGLETRANSLATE(A3621, ""en"", ""mt"")"),"Fejn hi l-fruntiera tal-Ġermanja?")</f>
        <v>Fejn hi l-fruntiera tal-Ġermanja?</v>
      </c>
    </row>
    <row r="3622" ht="15.75" customHeight="1">
      <c r="A3622" s="2" t="s">
        <v>3622</v>
      </c>
      <c r="B3622" s="2" t="str">
        <f>IFERROR(__xludf.DUMMYFUNCTION("GOOGLETRANSLATE(A3622, ""en"", ""mt"")"),"X'inhu ormon li ma jaffettwax is-sistema immuni?")</f>
        <v>X'inhu ormon li ma jaffettwax is-sistema immuni?</v>
      </c>
    </row>
    <row r="3623" ht="15.75" customHeight="1">
      <c r="A3623" s="2" t="s">
        <v>3623</v>
      </c>
      <c r="B3623" s="2" t="str">
        <f>IFERROR(__xludf.DUMMYFUNCTION("GOOGLETRANSLATE(A3623, ""en"", ""mt"")"),"Liema kastelli nbnew mill-Irlandiż?")</f>
        <v>Liema kastelli nbnew mill-Irlandiż?</v>
      </c>
    </row>
    <row r="3624" ht="15.75" customHeight="1">
      <c r="A3624" s="2" t="s">
        <v>3624</v>
      </c>
      <c r="B3624" s="2" t="str">
        <f>IFERROR(__xludf.DUMMYFUNCTION("GOOGLETRANSLATE(A3624, ""en"", ""mt"")"),"Trioxygen (o
3) ġeneralment huwa magħruf bħala ożonu u huwa allotrope reattiv ħafna ta 'ossiġnu li jagħmel ħsara lit-tessut tal-pulmun. L-ożonu huwa prodott fl-atmosfera ta 'fuq meta o
2 tgħaqqad ma 'ossiġnu atomiku magħmul mill-qsim ta' o
2 minn radjazzj"&amp;"oni ultravjola (UV). Peress li l-ożonu jassorbi b'mod qawwi fir-reġjun UV ta 'l-ispettru, is-saff ta' l-ożonu ta 'l-atmosfera ta' fuq jaħdem bħala tarka ta 'radjazzjoni protettiva għall-pjaneta. Ħdejn il-wiċċ tad-Dinja, huwa tniġġis iffurmat bħala prodott"&amp;" sekondarju tal-egżost tal-karozzi. Il-molekula metastabbli tetraoxygen (o
4) ġie skopert fl-2001, u ġie preżunt li jeżisti f'waħda mis-sitt fażijiet ta 'ossiġnu solidu. Ġie ppruvat fl-2006 li din il-fażi, maħluqa billi tippressa l-O
2 sa 20 GPa, fil-fatt"&amp;" huwa rhombohedral o
8 cluster. Dan il-cluster għandu l-potenzjal li jkun ossidizzatur ferm aktar qawwi minn jew o
2 jew o
3 u għalhekk jista 'jintuża fil-fjuwil tar-rokit. Ġiet skoperta fażi metallika fl-1990 meta ossiġnu solidu huwa soġġett għal pressjo"&amp;"ni ta '' l fuq minn 96 GPa u ntwera fl-1998 li f'temperaturi baxxi ħafna, din il-fażi ssir superkonduttiva.")</f>
        <v>Trioxygen (o
3) ġeneralment huwa magħruf bħala ożonu u huwa allotrope reattiv ħafna ta 'ossiġnu li jagħmel ħsara lit-tessut tal-pulmun. L-ożonu huwa prodott fl-atmosfera ta 'fuq meta o
2 tgħaqqad ma 'ossiġnu atomiku magħmul mill-qsim ta' o
2 minn radjazzjoni ultravjola (UV). Peress li l-ożonu jassorbi b'mod qawwi fir-reġjun UV ta 'l-ispettru, is-saff ta' l-ożonu ta 'l-atmosfera ta' fuq jaħdem bħala tarka ta 'radjazzjoni protettiva għall-pjaneta. Ħdejn il-wiċċ tad-Dinja, huwa tniġġis iffurmat bħala prodott sekondarju tal-egżost tal-karozzi. Il-molekula metastabbli tetraoxygen (o
4) ġie skopert fl-2001, u ġie preżunt li jeżisti f'waħda mis-sitt fażijiet ta 'ossiġnu solidu. Ġie ppruvat fl-2006 li din il-fażi, maħluqa billi tippressa l-O
2 sa 20 GPa, fil-fatt huwa rhombohedral o
8 cluster. Dan il-cluster għandu l-potenzjal li jkun ossidizzatur ferm aktar qawwi minn jew o
2 jew o
3 u għalhekk jista 'jintuża fil-fjuwil tar-rokit. Ġiet skoperta fażi metallika fl-1990 meta ossiġnu solidu huwa soġġett għal pressjoni ta '' l fuq minn 96 GPa u ntwera fl-1998 li f'temperaturi baxxi ħafna, din il-fażi ssir superkonduttiva.</v>
      </c>
    </row>
    <row r="3625" ht="15.75" customHeight="1">
      <c r="A3625" s="2" t="s">
        <v>3625</v>
      </c>
      <c r="B3625" s="2" t="str">
        <f>IFERROR(__xludf.DUMMYFUNCTION("GOOGLETRANSLATE(A3625, ""en"", ""mt"")"),"Kif jiġu rilaxxati l-bajd u l-isperma?")</f>
        <v>Kif jiġu rilaxxati l-bajd u l-isperma?</v>
      </c>
    </row>
    <row r="3626" ht="15.75" customHeight="1">
      <c r="A3626" s="2" t="s">
        <v>3626</v>
      </c>
      <c r="B3626" s="2" t="str">
        <f>IFERROR(__xludf.DUMMYFUNCTION("GOOGLETRANSLATE(A3626, ""en"", ""mt"")"),"X'kienet ir-risposta ta 'New Bricton għal Celeron?")</f>
        <v>X'kienet ir-risposta ta 'New Bricton għal Celeron?</v>
      </c>
    </row>
    <row r="3627" ht="15.75" customHeight="1">
      <c r="A3627" s="2" t="s">
        <v>3627</v>
      </c>
      <c r="B3627" s="2" t="str">
        <f>IFERROR(__xludf.DUMMYFUNCTION("GOOGLETRANSLATE(A3627, ""en"", ""mt"")"),"Min kellu l-għan ewlieni li jattira s-sinjur lejn Harvard?")</f>
        <v>Min kellu l-għan ewlieni li jattira s-sinjur lejn Harvard?</v>
      </c>
    </row>
    <row r="3628" ht="15.75" customHeight="1">
      <c r="A3628" s="2" t="s">
        <v>3628</v>
      </c>
      <c r="B3628" s="2" t="str">
        <f>IFERROR(__xludf.DUMMYFUNCTION("GOOGLETRANSLATE(A3628, ""en"", ""mt"")"),"Meta Washington laħqet Fort Le Boeuf?")</f>
        <v>Meta Washington laħqet Fort Le Boeuf?</v>
      </c>
    </row>
    <row r="3629" ht="15.75" customHeight="1">
      <c r="A3629" s="2" t="s">
        <v>3629</v>
      </c>
      <c r="B3629" s="2" t="str">
        <f>IFERROR(__xludf.DUMMYFUNCTION("GOOGLETRANSLATE(A3629, ""en"", ""mt"")"),"X'jagħmel 49.2% tal-massa tax-xemx?")</f>
        <v>X'jagħmel 49.2% tal-massa tax-xemx?</v>
      </c>
    </row>
    <row r="3630" ht="15.75" customHeight="1">
      <c r="A3630" s="2" t="s">
        <v>3630</v>
      </c>
      <c r="B3630" s="2" t="str">
        <f>IFERROR(__xludf.DUMMYFUNCTION("GOOGLETRANSLATE(A3630, ""en"", ""mt"")"),"siġill")</f>
        <v>siġill</v>
      </c>
    </row>
    <row r="3631" ht="15.75" customHeight="1">
      <c r="A3631" s="2" t="s">
        <v>3631</v>
      </c>
      <c r="B3631" s="2" t="str">
        <f>IFERROR(__xludf.DUMMYFUNCTION("GOOGLETRANSLATE(A3631, ""en"", ""mt"")"),"Dwar xiex kienu qed jinżammu proċeduri tal-qorti lokali?")</f>
        <v>Dwar xiex kienu qed jinżammu proċeduri tal-qorti lokali?</v>
      </c>
    </row>
    <row r="3632" ht="15.75" customHeight="1">
      <c r="A3632" s="2" t="s">
        <v>3632</v>
      </c>
      <c r="B3632" s="2" t="str">
        <f>IFERROR(__xludf.DUMMYFUNCTION("GOOGLETRANSLATE(A3632, ""en"", ""mt"")"),"Fl-2018")</f>
        <v>Fl-2018</v>
      </c>
    </row>
    <row r="3633" ht="15.75" customHeight="1">
      <c r="A3633" s="2" t="s">
        <v>3633</v>
      </c>
      <c r="B3633" s="2" t="str">
        <f>IFERROR(__xludf.DUMMYFUNCTION("GOOGLETRANSLATE(A3633, ""en"", ""mt"")"),"l-awtorità aħħarija tal-istati membri")</f>
        <v>l-awtorità aħħarija tal-istati membri</v>
      </c>
    </row>
    <row r="3634" ht="15.75" customHeight="1">
      <c r="A3634" s="2" t="s">
        <v>3634</v>
      </c>
      <c r="B3634" s="2" t="str">
        <f>IFERROR(__xludf.DUMMYFUNCTION("GOOGLETRANSLATE(A3634, ""en"", ""mt"")"),"Aktar fil-preżent il-prevalenza tad-diżubbidjenza ċivili daret u qalet li hi?")</f>
        <v>Aktar fil-preżent il-prevalenza tad-diżubbidjenza ċivili daret u qalet li hi?</v>
      </c>
    </row>
    <row r="3635" ht="15.75" customHeight="1">
      <c r="A3635" s="2" t="s">
        <v>3635</v>
      </c>
      <c r="B3635" s="2" t="str">
        <f>IFERROR(__xludf.DUMMYFUNCTION("GOOGLETRANSLATE(A3635, ""en"", ""mt"")"),"antropoloġiku")</f>
        <v>antropoloġiku</v>
      </c>
    </row>
    <row r="3636" ht="15.75" customHeight="1">
      <c r="A3636" s="2" t="s">
        <v>3636</v>
      </c>
      <c r="B3636" s="2" t="str">
        <f>IFERROR(__xludf.DUMMYFUNCTION("GOOGLETRANSLATE(A3636, ""en"", ""mt"")"),"X'inhu tip ta 'diżubbidjenza kontra l-gvern federali?")</f>
        <v>X'inhu tip ta 'diżubbidjenza kontra l-gvern federali?</v>
      </c>
    </row>
    <row r="3637" ht="15.75" customHeight="1">
      <c r="A3637" s="2" t="s">
        <v>3637</v>
      </c>
      <c r="B3637" s="2" t="str">
        <f>IFERROR(__xludf.DUMMYFUNCTION("GOOGLETRANSLATE(A3637, ""en"", ""mt"")"),"Seklu 20,")</f>
        <v>Seklu 20,</v>
      </c>
    </row>
    <row r="3638" ht="15.75" customHeight="1">
      <c r="A3638" s="2" t="s">
        <v>3638</v>
      </c>
      <c r="B3638" s="2" t="str">
        <f>IFERROR(__xludf.DUMMYFUNCTION("GOOGLETRANSLATE(A3638, ""en"", ""mt"")"),"Xi jfisser il-kelma komponent ġeneralment?")</f>
        <v>Xi jfisser il-kelma komponent ġeneralment?</v>
      </c>
    </row>
    <row r="3639" ht="15.75" customHeight="1">
      <c r="A3639" s="2" t="s">
        <v>3639</v>
      </c>
      <c r="B3639" s="2" t="str">
        <f>IFERROR(__xludf.DUMMYFUNCTION("GOOGLETRANSLATE(A3639, ""en"", ""mt"")"),"solidarjetà")</f>
        <v>solidarjetà</v>
      </c>
    </row>
    <row r="3640" ht="15.75" customHeight="1">
      <c r="A3640" s="2" t="s">
        <v>3640</v>
      </c>
      <c r="B3640" s="2" t="str">
        <f>IFERROR(__xludf.DUMMYFUNCTION("GOOGLETRANSLATE(A3640, ""en"", ""mt"")"),"Minbarra s-Sala tal-Assemblea Ġenerali, il-Parlament uża wkoll bini mikri mill-Kunsill tal-Belt ta 'Edinburgu. L-ex bini amministrattiv tal-Kunsill Reġjonali Lothian fuq George IV Bridge intuża għall-uffiċċji tal-MSP. Wara l-mixja lejn Holyrood fl-2004 da"&amp;"n il-bini ġie mwaqqa '. L-ex bini tal-Kontea Midlothian li qed jiffaċċja l-Pjazza tal-Parlament, Triq il-Kbira u George IV Bridge f'Edinburgu (oriġinarjament mibni bħala l-kwartieri ġenerali tal-Kunsill tal-Kontea Midlothian ta 'qabel l-1975) alloġġja ċ-Ċ"&amp;"entru u l-Ħanut tal-Viżitaturi tal-Parlament, filwaqt li s-sala ewlenija kienet użata bħala l-Parlament Kamra tal-Kumitat Prinċipali.")</f>
        <v>Minbarra s-Sala tal-Assemblea Ġenerali, il-Parlament uża wkoll bini mikri mill-Kunsill tal-Belt ta 'Edinburgu. L-ex bini amministrattiv tal-Kunsill Reġjonali Lothian fuq George IV Bridge intuża għall-uffiċċji tal-MSP. Wara l-mixja lejn Holyrood fl-2004 dan il-bini ġie mwaqqa '. L-ex bini tal-Kontea Midlothian li qed jiffaċċja l-Pjazza tal-Parlament, Triq il-Kbira u George IV Bridge f'Edinburgu (oriġinarjament mibni bħala l-kwartieri ġenerali tal-Kunsill tal-Kontea Midlothian ta 'qabel l-1975) alloġġja ċ-Ċentru u l-Ħanut tal-Viżitaturi tal-Parlament, filwaqt li s-sala ewlenija kienet użata bħala l-Parlament Kamra tal-Kumitat Prinċipali.</v>
      </c>
    </row>
    <row r="3641" ht="15.75" customHeight="1">
      <c r="A3641" s="2" t="s">
        <v>3641</v>
      </c>
      <c r="B3641" s="2" t="str">
        <f>IFERROR(__xludf.DUMMYFUNCTION("GOOGLETRANSLATE(A3641, ""en"", ""mt"")"),"F'liema belt tinsab l-Iskola Groton?")</f>
        <v>F'liema belt tinsab l-Iskola Groton?</v>
      </c>
    </row>
    <row r="3642" ht="15.75" customHeight="1">
      <c r="A3642" s="2" t="s">
        <v>3642</v>
      </c>
      <c r="B3642" s="2" t="str">
        <f>IFERROR(__xludf.DUMMYFUNCTION("GOOGLETRANSLATE(A3642, ""en"", ""mt"")"),"X'tip ta 'magni użaw is-sistema ta' bilanċ Olimpiku?")</f>
        <v>X'tip ta 'magni użaw is-sistema ta' bilanċ Olimpiku?</v>
      </c>
    </row>
    <row r="3643" ht="15.75" customHeight="1">
      <c r="A3643" s="2" t="s">
        <v>3643</v>
      </c>
      <c r="B3643" s="2" t="str">
        <f>IFERROR(__xludf.DUMMYFUNCTION("GOOGLETRANSLATE(A3643, ""en"", ""mt"")"),"Liema grupp etniku li jinsab f'Jacksonville huwa kklassifikat l-għaxar l-akbar?")</f>
        <v>Liema grupp etniku li jinsab f'Jacksonville huwa kklassifikat l-għaxar l-akbar?</v>
      </c>
    </row>
    <row r="3644" ht="15.75" customHeight="1">
      <c r="A3644" s="2" t="s">
        <v>3644</v>
      </c>
      <c r="B3644" s="2" t="str">
        <f>IFERROR(__xludf.DUMMYFUNCTION("GOOGLETRANSLATE(A3644, ""en"", ""mt"")"),"Liema kienu t-tekniki tal-manifattura użati bħala sors ta '?")</f>
        <v>Liema kienu t-tekniki tal-manifattura użati bħala sors ta '?</v>
      </c>
    </row>
    <row r="3645" ht="15.75" customHeight="1">
      <c r="A3645" s="2" t="s">
        <v>3645</v>
      </c>
      <c r="B3645" s="2" t="str">
        <f>IFERROR(__xludf.DUMMYFUNCTION("GOOGLETRANSLATE(A3645, ""en"", ""mt"")"),"Nofs il-Faħam")</f>
        <v>Nofs il-Faħam</v>
      </c>
    </row>
    <row r="3646" ht="15.75" customHeight="1">
      <c r="A3646" s="2" t="s">
        <v>3646</v>
      </c>
      <c r="B3646" s="2" t="str">
        <f>IFERROR(__xludf.DUMMYFUNCTION("GOOGLETRANSLATE(A3646, ""en"", ""mt"")"),"pjan għal invażjoni tal-Ewropa tal-Punent matul il-Gwerra Bierda")</f>
        <v>pjan għal invażjoni tal-Ewropa tal-Punent matul il-Gwerra Bierda</v>
      </c>
    </row>
    <row r="3647" ht="15.75" customHeight="1">
      <c r="A3647" s="2" t="s">
        <v>3647</v>
      </c>
      <c r="B3647" s="2" t="str">
        <f>IFERROR(__xludf.DUMMYFUNCTION("GOOGLETRANSLATE(A3647, ""en"", ""mt"")"),"Fejn ġew solvuti l-Amerikani tat-Tramuntana Franċiżi?")</f>
        <v>Fejn ġew solvuti l-Amerikani tat-Tramuntana Franċiżi?</v>
      </c>
    </row>
    <row r="3648" ht="15.75" customHeight="1">
      <c r="A3648" s="2" t="s">
        <v>3648</v>
      </c>
      <c r="B3648" s="2" t="str">
        <f>IFERROR(__xludf.DUMMYFUNCTION("GOOGLETRANSLATE(A3648, ""en"", ""mt"")"),"Liema programm jipprovdi għajnuna finanzjarja għal tagħlim u ħlasijiet għal kulleġġ jew edukazzjoni teknika?")</f>
        <v>Liema programm jipprovdi għajnuna finanzjarja għal tagħlim u ħlasijiet għal kulleġġ jew edukazzjoni teknika?</v>
      </c>
    </row>
    <row r="3649" ht="15.75" customHeight="1">
      <c r="A3649" s="2" t="s">
        <v>3649</v>
      </c>
      <c r="B3649" s="2" t="str">
        <f>IFERROR(__xludf.DUMMYFUNCTION("GOOGLETRANSLATE(A3649, ""en"", ""mt"")"),"il-magna wankel")</f>
        <v>il-magna wankel</v>
      </c>
    </row>
    <row r="3650" ht="15.75" customHeight="1">
      <c r="A3650" s="2" t="s">
        <v>3650</v>
      </c>
      <c r="B3650" s="2" t="str">
        <f>IFERROR(__xludf.DUMMYFUNCTION("GOOGLETRANSLATE(A3650, ""en"", ""mt"")"),"Għaliex inħarġu r-rapporti speċjali tal-2011?")</f>
        <v>Għaliex inħarġu r-rapporti speċjali tal-2011?</v>
      </c>
    </row>
    <row r="3651" ht="15.75" customHeight="1">
      <c r="A3651" s="2" t="s">
        <v>3651</v>
      </c>
      <c r="B3651" s="2" t="str">
        <f>IFERROR(__xludf.DUMMYFUNCTION("GOOGLETRANSLATE(A3651, ""en"", ""mt"")"),"DataNet 1 kien in-netwerk tad-dejta tal-pubbliku qalbu mit-telekomunikazzjoni PTT Olandiża (issa magħrufa bħala KPN). Datanet 1 strettament irrefera biss għan-netwerk u l-utenti konnessi permezz ta ’linji mikrija (bl-użu tal-X.121 DNIC 2041), l-isem irref"&amp;"era wkoll għas-servizz tal-kuxxinett pubbliku TelePad (bl-użu tad-DNIC 2049). U minħabba li s-servizz ewlieni tal-vidjotex uża n-netwerk u l-apparati tal-kuxxinett modifikat bħala infrastruttura l-isem Datanet 1 intuża wkoll għal dawn is-servizzi. Għalkem"&amp;"m dan l-użu tal-isem ma kienx korrett dawn is-servizzi kollha kienu ġestiti mill-istess nies fi ħdan dipartiment wieħed tal-KPN ikkontribwew għall-konfużjoni.")</f>
        <v>DataNet 1 kien in-netwerk tad-dejta tal-pubbliku qalbu mit-telekomunikazzjoni PTT Olandiża (issa magħrufa bħala KPN). Datanet 1 strettament irrefera biss għan-netwerk u l-utenti konnessi permezz ta ’linji mikrija (bl-użu tal-X.121 DNIC 2041), l-isem irrefera wkoll għas-servizz tal-kuxxinett pubbliku TelePad (bl-użu tad-DNIC 2049). U minħabba li s-servizz ewlieni tal-vidjotex uża n-netwerk u l-apparati tal-kuxxinett modifikat bħala infrastruttura l-isem Datanet 1 intuża wkoll għal dawn is-servizzi. Għalkemm dan l-użu tal-isem ma kienx korrett dawn is-servizzi kollha kienu ġestiti mill-istess nies fi ħdan dipartiment wieħed tal-KPN ikkontribwew għall-konfużjoni.</v>
      </c>
    </row>
    <row r="3652" ht="15.75" customHeight="1">
      <c r="A3652" s="2" t="s">
        <v>3652</v>
      </c>
      <c r="B3652" s="2" t="str">
        <f>IFERROR(__xludf.DUMMYFUNCTION("GOOGLETRANSLATE(A3652, ""en"", ""mt"")"),"Sydney")</f>
        <v>Sydney</v>
      </c>
    </row>
    <row r="3653" ht="15.75" customHeight="1">
      <c r="A3653" s="2" t="s">
        <v>3653</v>
      </c>
      <c r="B3653" s="2" t="str">
        <f>IFERROR(__xludf.DUMMYFUNCTION("GOOGLETRANSLATE(A3653, ""en"", ""mt"")"),"Meta huma meħtieġa aktar ħaddiema, x'jiġri mis-suq tax-xogħol?")</f>
        <v>Meta huma meħtieġa aktar ħaddiema, x'jiġri mis-suq tax-xogħol?</v>
      </c>
    </row>
    <row r="3654" ht="15.75" customHeight="1">
      <c r="A3654" s="2" t="s">
        <v>3654</v>
      </c>
      <c r="B3654" s="2" t="str">
        <f>IFERROR(__xludf.DUMMYFUNCTION("GOOGLETRANSLATE(A3654, ""en"", ""mt"")"),"Liema sett fiss ta 'fatturi jiddetermina l-azzjonijiet ta' magna tat-Turing deterministika")</f>
        <v>Liema sett fiss ta 'fatturi jiddetermina l-azzjonijiet ta' magna tat-Turing deterministika</v>
      </c>
    </row>
    <row r="3655" ht="15.75" customHeight="1">
      <c r="A3655" s="2" t="s">
        <v>3655</v>
      </c>
      <c r="B3655" s="2" t="str">
        <f>IFERROR(__xludf.DUMMYFUNCTION("GOOGLETRANSLATE(A3655, ""en"", ""mt"")"),"F'liema sena l-isem ""Black Death"" infirex fil-Ġermanja?")</f>
        <v>F'liema sena l-isem "Black Death" infirex fil-Ġermanja?</v>
      </c>
    </row>
    <row r="3656" ht="15.75" customHeight="1">
      <c r="A3656" s="2" t="s">
        <v>3656</v>
      </c>
      <c r="B3656" s="2" t="str">
        <f>IFERROR(__xludf.DUMMYFUNCTION("GOOGLETRANSLATE(A3656, ""en"", ""mt"")"),"Dak li qabad il-Muntanji Vosges?")</f>
        <v>Dak li qabad il-Muntanji Vosges?</v>
      </c>
    </row>
    <row r="3657" ht="15.75" customHeight="1">
      <c r="A3657" s="2" t="s">
        <v>3657</v>
      </c>
      <c r="B3657" s="2" t="str">
        <f>IFERROR(__xludf.DUMMYFUNCTION("GOOGLETRANSLATE(A3657, ""en"", ""mt"")"),"Liema perċentwali kienet iż-żieda tal-prodotti agrikoli fl-2003-04?")</f>
        <v>Liema perċentwali kienet iż-żieda tal-prodotti agrikoli fl-2003-04?</v>
      </c>
    </row>
    <row r="3658" ht="15.75" customHeight="1">
      <c r="A3658" s="2" t="s">
        <v>3658</v>
      </c>
      <c r="B3658" s="2" t="str">
        <f>IFERROR(__xludf.DUMMYFUNCTION("GOOGLETRANSLATE(A3658, ""en"", ""mt"")"),"inkonklussivament, biż-żewġ naħat jirtiraw mill-grawnd")</f>
        <v>inkonklussivament, biż-żewġ naħat jirtiraw mill-grawnd</v>
      </c>
    </row>
    <row r="3659" ht="15.75" customHeight="1">
      <c r="A3659" s="2" t="s">
        <v>3659</v>
      </c>
      <c r="B3659" s="2" t="str">
        <f>IFERROR(__xludf.DUMMYFUNCTION("GOOGLETRANSLATE(A3659, ""en"", ""mt"")"),"Il-gvern tal-istudenti huwa mmexxi mill-president u ppresedut minn min?")</f>
        <v>Il-gvern tal-istudenti huwa mmexxi mill-president u ppresedut minn min?</v>
      </c>
    </row>
    <row r="3660" ht="15.75" customHeight="1">
      <c r="A3660" s="2" t="s">
        <v>3660</v>
      </c>
      <c r="B3660" s="2" t="str">
        <f>IFERROR(__xludf.DUMMYFUNCTION("GOOGLETRANSLATE(A3660, ""en"", ""mt"")"),"X'inhi l-konfini bejn ir-Renu għoli u ta 'fuq?")</f>
        <v>X'inhi l-konfini bejn ir-Renu għoli u ta 'fuq?</v>
      </c>
    </row>
    <row r="3661" ht="15.75" customHeight="1">
      <c r="A3661" s="2" t="s">
        <v>3661</v>
      </c>
      <c r="B3661" s="2" t="str">
        <f>IFERROR(__xludf.DUMMYFUNCTION("GOOGLETRANSLATE(A3661, ""en"", ""mt"")"),"Jekk MSP ta 'kostitwenza hija sfurzata mill-Parlament, x'jista' jqanqal?")</f>
        <v>Jekk MSP ta 'kostitwenza hija sfurzata mill-Parlament, x'jista' jqanqal?</v>
      </c>
    </row>
    <row r="3662" ht="15.75" customHeight="1">
      <c r="A3662" s="2" t="s">
        <v>3662</v>
      </c>
      <c r="B3662" s="2" t="str">
        <f>IFERROR(__xludf.DUMMYFUNCTION("GOOGLETRANSLATE(A3662, ""en"", ""mt"")"),"Kemm MSPs minn 139 huma magħrufa bħala ""kostitwenza MSPs""?")</f>
        <v>Kemm MSPs minn 139 huma magħrufa bħala "kostitwenza MSPs"?</v>
      </c>
    </row>
    <row r="3663" ht="15.75" customHeight="1">
      <c r="A3663" s="2" t="s">
        <v>3663</v>
      </c>
      <c r="B3663" s="2" t="str">
        <f>IFERROR(__xludf.DUMMYFUNCTION("GOOGLETRANSLATE(A3663, ""en"", ""mt"")"),"Keck u Mithouard")</f>
        <v>Keck u Mithouard</v>
      </c>
    </row>
    <row r="3664" ht="15.75" customHeight="1">
      <c r="A3664" s="2" t="s">
        <v>3664</v>
      </c>
      <c r="B3664" s="2" t="str">
        <f>IFERROR(__xludf.DUMMYFUNCTION("GOOGLETRANSLATE(A3664, ""en"", ""mt"")"),"Bejn il-Franċiżi u l-Ingliżi, liema gruppi kkontrollaw art?")</f>
        <v>Bejn il-Franċiżi u l-Ingliżi, liema gruppi kkontrollaw art?</v>
      </c>
    </row>
    <row r="3665" ht="15.75" customHeight="1">
      <c r="A3665" s="2" t="s">
        <v>3665</v>
      </c>
      <c r="B3665" s="2" t="str">
        <f>IFERROR(__xludf.DUMMYFUNCTION("GOOGLETRANSLATE(A3665, ""en"", ""mt"")"),"John Pell, Lord of Pelham Manor")</f>
        <v>John Pell, Lord of Pelham Manor</v>
      </c>
    </row>
    <row r="3666" ht="15.75" customHeight="1">
      <c r="A3666" s="2" t="s">
        <v>3666</v>
      </c>
      <c r="B3666" s="2" t="str">
        <f>IFERROR(__xludf.DUMMYFUNCTION("GOOGLETRANSLATE(A3666, ""en"", ""mt"")"),"Xi tieħu pajjiż b'inugwaljanza għolja itwal biex tinkiseb?")</f>
        <v>Xi tieħu pajjiż b'inugwaljanza għolja itwal biex tinkiseb?</v>
      </c>
    </row>
    <row r="3667" ht="15.75" customHeight="1">
      <c r="A3667" s="2" t="s">
        <v>3667</v>
      </c>
      <c r="B3667" s="2" t="str">
        <f>IFERROR(__xludf.DUMMYFUNCTION("GOOGLETRANSLATE(A3667, ""en"", ""mt"")"),"29.7%")</f>
        <v>29.7%</v>
      </c>
    </row>
    <row r="3668" ht="15.75" customHeight="1">
      <c r="A3668" s="2" t="s">
        <v>3668</v>
      </c>
      <c r="B3668" s="2" t="str">
        <f>IFERROR(__xludf.DUMMYFUNCTION("GOOGLETRANSLATE(A3668, ""en"", ""mt"")"),"Fejn kienet l-għaġla tad-deheb tal-1857?")</f>
        <v>Fejn kienet l-għaġla tad-deheb tal-1857?</v>
      </c>
    </row>
    <row r="3669" ht="15.75" customHeight="1">
      <c r="A3669" s="2" t="s">
        <v>3669</v>
      </c>
      <c r="B3669" s="2" t="str">
        <f>IFERROR(__xludf.DUMMYFUNCTION("GOOGLETRANSLATE(A3669, ""en"", ""mt"")"),"Aspett kontroversjali tal-imperjalizmu huwa d-difiża u l-ġustifikazzjoni tal-bini tal-imperu bbażati fuq raġunijiet apparentement razzjonali. J. A. Hobson jidentifika din il-ġustifikazzjoni għal raġunijiet ġenerali bħala: ""Huwa mixtieq li d-Dinja għandha"&amp;" tkun imqaxxra, regolata u żviluppata, kemm jista 'jkun, mir-razez li jistgħu jagħmlu dan ix-xogħol l-aħjar, i.e. mir-razez tal-ogħla' effiċjenza soċjali ' """". Ħafna oħrajn argumentaw li l-imperjalizmu huwa ġġustifikat għal diversi raġunijiet differenti"&amp;". Friedrich Ratzel kien jemmen li sabiex stat jgħix, kien meħtieġ l-imperjalizmu. Halford Mackinder ħass li l-Gran Brittanja kellha tkun waħda mill-ikbar imperjalisti u għalhekk iġġustifika l-imperjalizmu. In-natura xjentifika li suppost ta '""darwiniżmu "&amp;"soċjali"" u teorija tar-razez iffurmaw ġustifikazzjoni allegatament razzjonali għall-imperjalizmu. Ir-retorika tal-kolonizzaturi li hija razzjalment superjuri tidher li kisbet l-iskop tagħha, pereżempju matul l-Amerika Latina ""Bjuda"" għadha apprezzata l"&amp;"lum u diversi forom ta 'Blanqueamiento (whitening) huma komuni.")</f>
        <v>Aspett kontroversjali tal-imperjalizmu huwa d-difiża u l-ġustifikazzjoni tal-bini tal-imperu bbażati fuq raġunijiet apparentement razzjonali. J. A. Hobson jidentifika din il-ġustifikazzjoni għal raġunijiet ġenerali bħala: "Huwa mixtieq li d-Dinja għandha tkun imqaxxra, regolata u żviluppata, kemm jista 'jkun, mir-razez li jistgħu jagħmlu dan ix-xogħol l-aħjar, i.e. mir-razez tal-ogħla' effiċjenza soċjali ' "". Ħafna oħrajn argumentaw li l-imperjalizmu huwa ġġustifikat għal diversi raġunijiet differenti. Friedrich Ratzel kien jemmen li sabiex stat jgħix, kien meħtieġ l-imperjalizmu. Halford Mackinder ħass li l-Gran Brittanja kellha tkun waħda mill-ikbar imperjalisti u għalhekk iġġustifika l-imperjalizmu. In-natura xjentifika li suppost ta '"darwiniżmu soċjali" u teorija tar-razez iffurmaw ġustifikazzjoni allegatament razzjonali għall-imperjalizmu. Ir-retorika tal-kolonizzaturi li hija razzjalment superjuri tidher li kisbet l-iskop tagħha, pereżempju matul l-Amerika Latina "Bjuda" għadha apprezzata llum u diversi forom ta 'Blanqueamiento (whitening) huma komuni.</v>
      </c>
    </row>
    <row r="3670" ht="15.75" customHeight="1">
      <c r="A3670" s="2" t="s">
        <v>3670</v>
      </c>
      <c r="B3670" s="2" t="str">
        <f>IFERROR(__xludf.DUMMYFUNCTION("GOOGLETRANSLATE(A3670, ""en"", ""mt"")"),"Kuntratt ta '""Disinn Ibni""")</f>
        <v>Kuntratt ta '"Disinn Ibni"</v>
      </c>
    </row>
    <row r="3671" ht="15.75" customHeight="1">
      <c r="A3671" s="2" t="s">
        <v>3671</v>
      </c>
      <c r="B3671" s="2" t="str">
        <f>IFERROR(__xludf.DUMMYFUNCTION("GOOGLETRANSLATE(A3671, ""en"", ""mt"")"),"X'kien l-iskop tas-suite żviluppata fl-1985?")</f>
        <v>X'kien l-iskop tas-suite żviluppata fl-1985?</v>
      </c>
    </row>
    <row r="3672" ht="15.75" customHeight="1">
      <c r="A3672" s="2" t="s">
        <v>3672</v>
      </c>
      <c r="B3672" s="2" t="str">
        <f>IFERROR(__xludf.DUMMYFUNCTION("GOOGLETRANSLATE(A3672, ""en"", ""mt"")"),"Jekk forza interna taġixxi fis-sistema, iċ-ċentru tal-massa se jesperjenza x'inhu?")</f>
        <v>Jekk forza interna taġixxi fis-sistema, iċ-ċentru tal-massa se jesperjenza x'inhu?</v>
      </c>
    </row>
    <row r="3673" ht="15.75" customHeight="1">
      <c r="A3673" s="2" t="s">
        <v>3673</v>
      </c>
      <c r="B3673" s="2" t="str">
        <f>IFERROR(__xludf.DUMMYFUNCTION("GOOGLETRANSLATE(A3673, ""en"", ""mt"")"),"X'inhu fattur wieħed li jżid l-importanza tal-ispiżerija li twettaq f'livell għoli?")</f>
        <v>X'inhu fattur wieħed li jżid l-importanza tal-ispiżerija li twettaq f'livell għoli?</v>
      </c>
    </row>
    <row r="3674" ht="15.75" customHeight="1">
      <c r="A3674" s="2" t="s">
        <v>3674</v>
      </c>
      <c r="B3674" s="2" t="str">
        <f>IFERROR(__xludf.DUMMYFUNCTION("GOOGLETRANSLATE(A3674, ""en"", ""mt"")"),"Liema timijiet tal-NAB huma min-Nofsinhar tal-Kalifornja?")</f>
        <v>Liema timijiet tal-NAB huma min-Nofsinhar tal-Kalifornja?</v>
      </c>
    </row>
    <row r="3675" ht="15.75" customHeight="1">
      <c r="A3675" s="2" t="s">
        <v>3675</v>
      </c>
      <c r="B3675" s="2" t="str">
        <f>IFERROR(__xludf.DUMMYFUNCTION("GOOGLETRANSLATE(A3675, ""en"", ""mt"")"),"Frar 2011")</f>
        <v>Frar 2011</v>
      </c>
    </row>
    <row r="3676" ht="15.75" customHeight="1">
      <c r="A3676" s="2" t="s">
        <v>3676</v>
      </c>
      <c r="B3676" s="2" t="str">
        <f>IFERROR(__xludf.DUMMYFUNCTION("GOOGLETRANSLATE(A3676, ""en"", ""mt"")"),"X'opportunità appoġġja Barack Obama għal tfal Żvediżi?")</f>
        <v>X'opportunità appoġġja Barack Obama għal tfal Żvediżi?</v>
      </c>
    </row>
    <row r="3677" ht="15.75" customHeight="1">
      <c r="A3677" s="2" t="s">
        <v>3677</v>
      </c>
      <c r="B3677" s="2" t="str">
        <f>IFERROR(__xludf.DUMMYFUNCTION("GOOGLETRANSLATE(A3677, ""en"", ""mt"")"),"simili ħafna")</f>
        <v>simili ħafna</v>
      </c>
    </row>
    <row r="3678" ht="15.75" customHeight="1">
      <c r="A3678" s="2" t="s">
        <v>3678</v>
      </c>
      <c r="B3678" s="2" t="str">
        <f>IFERROR(__xludf.DUMMYFUNCTION("GOOGLETRANSLATE(A3678, ""en"", ""mt"")"),"Kif ġiet evalwata l-effiċjenza ta 'magna kunċett tipikament evalwata?")</f>
        <v>Kif ġiet evalwata l-effiċjenza ta 'magna kunċett tipikament evalwata?</v>
      </c>
    </row>
    <row r="3679" ht="15.75" customHeight="1">
      <c r="A3679" s="2" t="s">
        <v>3679</v>
      </c>
      <c r="B3679" s="2" t="str">
        <f>IFERROR(__xludf.DUMMYFUNCTION("GOOGLETRANSLATE(A3679, ""en"", ""mt"")"),"Kemm mili huwa Montpellier minn Pariġi?")</f>
        <v>Kemm mili huwa Montpellier minn Pariġi?</v>
      </c>
    </row>
    <row r="3680" ht="15.75" customHeight="1">
      <c r="A3680" s="2" t="s">
        <v>3680</v>
      </c>
      <c r="B3680" s="2" t="str">
        <f>IFERROR(__xludf.DUMMYFUNCTION("GOOGLETRANSLATE(A3680, ""en"", ""mt"")"),"Bħala membru tal-korp korporattiv Parlamentari Skoċċiż, l-uffiċjal li jippresiedi huwa responsabbli biex jiżgura li l-Parlament jiffunzjona b'mod effettiv u jkollu l-persunal, il-propjetà u r-riżorsi li jeħtieġ biex jopera. Li tlaqqa 'l-Uffiċċju Parlament"&amp;"ari, li jalloka l-ħin u jistabbilixxi l-aġenda tax-xogħol fil-kamra, huwa ieħor mir-rwoli tal-uffiċjal li jippresiedi. Taħt l-ordnijiet permanenti tal-Parlament il-Bureau jikkonsisti fl-uffiċjal li jippresiedi u rappreżentant wieħed minn kull partiti poli"&amp;"tiċi b'ħames siġġijiet jew aktar fil-Parlament. Fost id-dmirijiet tal-Bureau għandhom jaqblu l-iskeda tan-negozju fil-kamra, jistabbilixxu n-numru, il-mandat u s-sħubija fil-kumitati parlamentari u jirregolaw il-passaġġ tal-leġiżlazzjoni (kontijiet) perme"&amp;"zz tal-Parlament. L-uffiċjal li jippresiedi jirrappreżenta wkoll il-Parlament Skoċċiż f’darhom u barra mill-pajjiż f’kapaċità uffiċjali.")</f>
        <v>Bħala membru tal-korp korporattiv Parlamentari Skoċċiż, l-uffiċjal li jippresiedi huwa responsabbli biex jiżgura li l-Parlament jiffunzjona b'mod effettiv u jkollu l-persunal, il-propjetà u r-riżorsi li jeħtieġ biex jopera. Li tlaqqa 'l-Uffiċċju Parlamentari, li jalloka l-ħin u jistabbilixxi l-aġenda tax-xogħol fil-kamra, huwa ieħor mir-rwoli tal-uffiċjal li jippresiedi. Taħt l-ordnijiet permanenti tal-Parlament il-Bureau jikkonsisti fl-uffiċjal li jippresiedi u rappreżentant wieħed minn kull partiti politiċi b'ħames siġġijiet jew aktar fil-Parlament. Fost id-dmirijiet tal-Bureau għandhom jaqblu l-iskeda tan-negozju fil-kamra, jistabbilixxu n-numru, il-mandat u s-sħubija fil-kumitati parlamentari u jirregolaw il-passaġġ tal-leġiżlazzjoni (kontijiet) permezz tal-Parlament. L-uffiċjal li jippresiedi jirrappreżenta wkoll il-Parlament Skoċċiż f’darhom u barra mill-pajjiż f’kapaċità uffiċjali.</v>
      </c>
    </row>
    <row r="3681" ht="15.75" customHeight="1">
      <c r="A3681" s="2" t="s">
        <v>3681</v>
      </c>
      <c r="B3681" s="2" t="str">
        <f>IFERROR(__xludf.DUMMYFUNCTION("GOOGLETRANSLATE(A3681, ""en"", ""mt"")"),"X'inhi ħaġa waħda li tista 'tipprevjeni korrimenti mhux fatali?")</f>
        <v>X'inhi ħaġa waħda li tista 'tipprevjeni korrimenti mhux fatali?</v>
      </c>
    </row>
    <row r="3682" ht="15.75" customHeight="1">
      <c r="A3682" s="2" t="s">
        <v>3682</v>
      </c>
      <c r="B3682" s="2" t="str">
        <f>IFERROR(__xludf.DUMMYFUNCTION("GOOGLETRANSLATE(A3682, ""en"", ""mt"")"),"Fi ħdan il-mediċini tad-dispensarju / tqassim")</f>
        <v>Fi ħdan il-mediċini tad-dispensarju / tqassim</v>
      </c>
    </row>
    <row r="3683" ht="15.75" customHeight="1">
      <c r="A3683" s="2" t="s">
        <v>3683</v>
      </c>
      <c r="B3683" s="2" t="str">
        <f>IFERROR(__xludf.DUMMYFUNCTION("GOOGLETRANSLATE(A3683, ""en"", ""mt"")"),"Xi tfisser Ctenophora bil-Grieg?")</f>
        <v>Xi tfisser Ctenophora bil-Grieg?</v>
      </c>
    </row>
    <row r="3684" ht="15.75" customHeight="1">
      <c r="A3684" s="2" t="s">
        <v>3684</v>
      </c>
      <c r="B3684" s="2" t="str">
        <f>IFERROR(__xludf.DUMMYFUNCTION("GOOGLETRANSLATE(A3684, ""en"", ""mt"")"),"Fejn jiffurmaw ħsarat fuq l-ispinta?")</f>
        <v>Fejn jiffurmaw ħsarat fuq l-ispinta?</v>
      </c>
    </row>
    <row r="3685" ht="15.75" customHeight="1">
      <c r="A3685" s="2" t="s">
        <v>3685</v>
      </c>
      <c r="B3685" s="2" t="str">
        <f>IFERROR(__xludf.DUMMYFUNCTION("GOOGLETRANSLATE(A3685, ""en"", ""mt"")"),"Fil-fatt ma kisser l-ebda liġi")</f>
        <v>Fil-fatt ma kisser l-ebda liġi</v>
      </c>
    </row>
    <row r="3686" ht="15.75" customHeight="1">
      <c r="A3686" s="2" t="s">
        <v>3686</v>
      </c>
      <c r="B3686" s="2" t="str">
        <f>IFERROR(__xludf.DUMMYFUNCTION("GOOGLETRANSLATE(A3686, ""en"", ""mt"")"),"X'għandu l-ilma li ħiereġ lejn il-Paċifiku kellu joħroġ matul in-nofs l-Eoken?")</f>
        <v>X'għandu l-ilma li ħiereġ lejn il-Paċifiku kellu joħroġ matul in-nofs l-Eoken?</v>
      </c>
    </row>
    <row r="3687" ht="15.75" customHeight="1">
      <c r="A3687" s="2" t="s">
        <v>3687</v>
      </c>
      <c r="B3687" s="2" t="str">
        <f>IFERROR(__xludf.DUMMYFUNCTION("GOOGLETRANSLATE(A3687, ""en"", ""mt"")"),"Liema karatteristiċi kumplessi f'bini b'forma ta 'fjuri?")</f>
        <v>Liema karatteristiċi kumplessi f'bini b'forma ta 'fjuri?</v>
      </c>
    </row>
    <row r="3688" ht="15.75" customHeight="1">
      <c r="A3688" s="2" t="s">
        <v>3688</v>
      </c>
      <c r="B3688" s="2" t="str">
        <f>IFERROR(__xludf.DUMMYFUNCTION("GOOGLETRANSLATE(A3688, ""en"", ""mt"")"),"L-università tmexxi numru ta 'istituzzjonijiet u programmi akkademiċi apparti mill-iskejjel li għadhom ma ggradwawx u post-universitarji tagħha. Topera l-Iskejjel tal-Laboratorju tal-Università ta ’Chicago (skola ta’ ġurnata privata għall-istudenti tal-K-"&amp;"12 u l-kura ta ’kuljum), l-Iskola Ortogenika ta’ Sonia Shankman (programm ta ’trattament residenzjali għal dawk bi problemi ta’ mġieba u emozzjonali), u erba ’skejjel charter pubbliċi fin-Nofsinhar fin-nofsinhar In-naħa ta 'Chicago amministrata mill-Istit"&amp;"ut tal-Edukazzjoni Urbana tal-Università. Barra minn hekk, l-Iskola Hyde Park Day, skola għal studenti b'diżabilità fit-tagħlim, iżżomm post fil-kampus tal-Università ta 'Chicago. Mill-1983, l-Università ta ’Chicago żammet il-Proġett tal-Matematika tal-Is"&amp;"kola tal-Università ta’ Chicago, programm tal-matematika użat fl-iskejjel primarji u sekondarji urbani. L-università tmexxi programm imsejjaħ il-Kunsill dwar Studji Avvanzati fix-Xjenzi Soċjali u l-Umanistika, li jamministra workshops interdixxiplinarji b"&amp;"iex jipprovdi forum għal studenti gradwati, fakultà, u studjużi li jżuru biex jippreżentaw xogħol akkademiku li għaddej. L-università topera wkoll l-Università ta ’Chicago Press, l-akbar stampa tal-università fl-Istati Uniti.")</f>
        <v>L-università tmexxi numru ta 'istituzzjonijiet u programmi akkademiċi apparti mill-iskejjel li għadhom ma ggradwawx u post-universitarji tagħha. Topera l-Iskejjel tal-Laboratorju tal-Università ta ’Chicago (skola ta’ ġurnata privata għall-istudenti tal-K-12 u l-kura ta ’kuljum), l-Iskola Ortogenika ta’ Sonia Shankman (programm ta ’trattament residenzjali għal dawk bi problemi ta’ mġieba u emozzjonali), u erba ’skejjel charter pubbliċi fin-Nofsinhar fin-nofsinhar In-naħa ta 'Chicago amministrata mill-Istitut tal-Edukazzjoni Urbana tal-Università. Barra minn hekk, l-Iskola Hyde Park Day, skola għal studenti b'diżabilità fit-tagħlim, iżżomm post fil-kampus tal-Università ta 'Chicago. Mill-1983, l-Università ta ’Chicago żammet il-Proġett tal-Matematika tal-Iskola tal-Università ta’ Chicago, programm tal-matematika użat fl-iskejjel primarji u sekondarji urbani. L-università tmexxi programm imsejjaħ il-Kunsill dwar Studji Avvanzati fix-Xjenzi Soċjali u l-Umanistika, li jamministra workshops interdixxiplinarji biex jipprovdi forum għal studenti gradwati, fakultà, u studjużi li jżuru biex jippreżentaw xogħol akkademiku li għaddej. L-università topera wkoll l-Università ta ’Chicago Press, l-akbar stampa tal-università fl-Istati Uniti.</v>
      </c>
    </row>
    <row r="3689" ht="15.75" customHeight="1">
      <c r="A3689" s="2" t="s">
        <v>3689</v>
      </c>
      <c r="B3689" s="2" t="str">
        <f>IFERROR(__xludf.DUMMYFUNCTION("GOOGLETRANSLATE(A3689, ""en"", ""mt"")"),"Kontenut ogħla ta 'ossiġnu")</f>
        <v>Kontenut ogħla ta 'ossiġnu</v>
      </c>
    </row>
    <row r="3690" ht="15.75" customHeight="1">
      <c r="A3690" s="2" t="s">
        <v>3690</v>
      </c>
      <c r="B3690" s="2" t="str">
        <f>IFERROR(__xludf.DUMMYFUNCTION("GOOGLETRANSLATE(A3690, ""en"", ""mt"")"),"Liema familja tal-Afrika t'Isfel kellha l-akbar vinja fi Franza?")</f>
        <v>Liema familja tal-Afrika t'Isfel kellha l-akbar vinja fi Franza?</v>
      </c>
    </row>
    <row r="3691" ht="15.75" customHeight="1">
      <c r="A3691" s="2" t="s">
        <v>3691</v>
      </c>
      <c r="B3691" s="2" t="str">
        <f>IFERROR(__xludf.DUMMYFUNCTION("GOOGLETRANSLATE(A3691, ""en"", ""mt"")"),"X’beda Michigan Inc. f’nofs is-snin 1980?")</f>
        <v>X’beda Michigan Inc. f’nofs is-snin 1980?</v>
      </c>
    </row>
    <row r="3692" ht="15.75" customHeight="1">
      <c r="A3692" s="2" t="s">
        <v>3692</v>
      </c>
      <c r="B3692" s="2" t="str">
        <f>IFERROR(__xludf.DUMMYFUNCTION("GOOGLETRANSLATE(A3692, ""en"", ""mt"")"),"Pittsburgh, Pennsylvania")</f>
        <v>Pittsburgh, Pennsylvania</v>
      </c>
    </row>
    <row r="3693" ht="15.75" customHeight="1">
      <c r="A3693" s="2" t="s">
        <v>3693</v>
      </c>
      <c r="B3693" s="2" t="str">
        <f>IFERROR(__xludf.DUMMYFUNCTION("GOOGLETRANSLATE(A3693, ""en"", ""mt"")"),"Meta kien l-Olokene?")</f>
        <v>Meta kien l-Olokene?</v>
      </c>
    </row>
    <row r="3694" ht="15.75" customHeight="1">
      <c r="A3694" s="2" t="s">
        <v>3694</v>
      </c>
      <c r="B3694" s="2" t="str">
        <f>IFERROR(__xludf.DUMMYFUNCTION("GOOGLETRANSLATE(A3694, ""en"", ""mt"")"),"Format tal-Kungress u ħafna speċifiċi tal-pjan saru l-prototip għall-Konfederazzjoni matul il-Gwerra tal-Indipendenza")</f>
        <v>Format tal-Kungress u ħafna speċifiċi tal-pjan saru l-prototip għall-Konfederazzjoni matul il-Gwerra tal-Indipendenza</v>
      </c>
    </row>
    <row r="3695" ht="15.75" customHeight="1">
      <c r="A3695" s="2" t="s">
        <v>3695</v>
      </c>
      <c r="B3695" s="2" t="str">
        <f>IFERROR(__xludf.DUMMYFUNCTION("GOOGLETRANSLATE(A3695, ""en"", ""mt"")"),"Liema kunċett jikkawża li wieħed jittratta varjabbli klassiċi minflok l-operaturi?")</f>
        <v>Liema kunċett jikkawża li wieħed jittratta varjabbli klassiċi minflok l-operaturi?</v>
      </c>
    </row>
    <row r="3696" ht="15.75" customHeight="1">
      <c r="A3696" s="2" t="s">
        <v>3696</v>
      </c>
      <c r="B3696" s="2" t="str">
        <f>IFERROR(__xludf.DUMMYFUNCTION("GOOGLETRANSLATE(A3696, ""en"", ""mt"")"),"Oxygen ġie skopert indipendentement minn Carl Wilhelm Scheele, f'Uppsala, fl-1773 jew qabel, u Joseph Priestley f'Wiltshire, fl-1774, iżda Priestley ħafna drabi jingħata prijorità minħabba li x-xogħol tiegħu ġie ppubblikat l-ewwel. L-isem Oxygen inħoloq f"&amp;"l-1777 minn Antoine Lavoisier, li l-esperimenti tiegħu bl-ossiġnu għenu biex jiskreditaw it-teorija tal-flogiston popolari dak iż-żmien tal-kombustjoni u l-korrużjoni. Ismu joħroġ mill-għeruq Griegi ὀξύς oxys, ""aċidu"", litteralment ""qawwi"", li jirrefe"&amp;"ri għat-togħma qarsa ta 'aċidi u -γενής -enes, ""produttur"", litteralment ""begetter"", minħabba li fil-ħin tal-ismijiet, kien ħasbu bi żball li l-aċidi kollha kienu jeħtieġu ossiġnu fil-kompożizzjoni tagħhom. Użi komuni ta 'ossiġnu jinkludi ċ-ċiklu ta' "&amp;"produzzjoni ta 'l-azzar, plastik u tessuti, ibbrejżjar, iwweldjar u qtugħ ta' azzar u metalli oħra, rokit propellant, fit-terapija ta 'l-ossiġnu u sistemi ta' appoġġ għall-ħajja f'ajruplani, sottomarini, fluss spazjali u għadis.")</f>
        <v>Oxygen ġie skopert indipendentement minn Carl Wilhelm Scheele, f'Uppsala, fl-1773 jew qabel, u Joseph Priestley f'Wiltshire, fl-1774, iżda Priestley ħafna drabi jingħata prijorità minħabba li x-xogħol tiegħu ġie ppubblikat l-ewwel. L-isem Oxygen inħoloq fl-1777 minn Antoine Lavoisier, li l-esperimenti tiegħu bl-ossiġnu għenu biex jiskreditaw it-teorija tal-flogiston popolari dak iż-żmien tal-kombustjoni u l-korrużjoni. Ismu joħroġ mill-għeruq Griegi ὀξύς oxys, "aċidu", litteralment "qawwi", li jirreferi għat-togħma qarsa ta 'aċidi u -γενής -enes, "produttur", litteralment "begetter", minħabba li fil-ħin tal-ismijiet, kien ħasbu bi żball li l-aċidi kollha kienu jeħtieġu ossiġnu fil-kompożizzjoni tagħhom. Użi komuni ta 'ossiġnu jinkludi ċ-ċiklu ta' produzzjoni ta 'l-azzar, plastik u tessuti, ibbrejżjar, iwweldjar u qtugħ ta' azzar u metalli oħra, rokit propellant, fit-terapija ta 'l-ossiġnu u sistemi ta' appoġġ għall-ħajja f'ajruplani, sottomarini, fluss spazjali u għadis.</v>
      </c>
    </row>
    <row r="3697" ht="15.75" customHeight="1">
      <c r="A3697" s="2" t="s">
        <v>3697</v>
      </c>
      <c r="B3697" s="2" t="str">
        <f>IFERROR(__xludf.DUMMYFUNCTION("GOOGLETRANSLATE(A3697, ""en"", ""mt"")"),"Montpellier")</f>
        <v>Montpellier</v>
      </c>
    </row>
    <row r="3698" ht="15.75" customHeight="1">
      <c r="A3698" s="2" t="s">
        <v>3698</v>
      </c>
      <c r="B3698" s="2" t="str">
        <f>IFERROR(__xludf.DUMMYFUNCTION("GOOGLETRANSLATE(A3698, ""en"", ""mt"")"),"Min hu t-tielet raġel għani fl-Amerika?")</f>
        <v>Min hu t-tielet raġel għani fl-Amerika?</v>
      </c>
    </row>
    <row r="3699" ht="15.75" customHeight="1">
      <c r="A3699" s="2" t="s">
        <v>3699</v>
      </c>
      <c r="B3699" s="2" t="str">
        <f>IFERROR(__xludf.DUMMYFUNCTION("GOOGLETRANSLATE(A3699, ""en"", ""mt"")"),"X’kienu r-raġunijiet biex ma jikkonsolidawx il-gvern?")</f>
        <v>X’kienu r-raġunijiet biex ma jikkonsolidawx il-gvern?</v>
      </c>
    </row>
    <row r="3700" ht="15.75" customHeight="1">
      <c r="A3700" s="2" t="s">
        <v>3700</v>
      </c>
      <c r="B3700" s="2" t="str">
        <f>IFERROR(__xludf.DUMMYFUNCTION("GOOGLETRANSLATE(A3700, ""en"", ""mt"")"),"Leġislazzjoni domestika tal-Parlament Skoċċiż.")</f>
        <v>Leġislazzjoni domestika tal-Parlament Skoċċiż.</v>
      </c>
    </row>
    <row r="3701" ht="15.75" customHeight="1">
      <c r="A3701" s="2" t="s">
        <v>3701</v>
      </c>
      <c r="B3701" s="2" t="str">
        <f>IFERROR(__xludf.DUMMYFUNCTION("GOOGLETRANSLATE(A3701, ""en"", ""mt"")"),"Matul l-Oligocene, pereżempju, il-foresta tropikali mifruxa faxxa relattivament dejqa.")</f>
        <v>Matul l-Oligocene, pereżempju, il-foresta tropikali mifruxa faxxa relattivament dejqa.</v>
      </c>
    </row>
    <row r="3702" ht="15.75" customHeight="1">
      <c r="A3702" s="2" t="s">
        <v>3702</v>
      </c>
      <c r="B3702" s="2" t="str">
        <f>IFERROR(__xludf.DUMMYFUNCTION("GOOGLETRANSLATE(A3702, ""en"", ""mt"")"),"Kif jissejjaħ spiżjar li jonqos mill-eżami tal-ispiżjar ambulatorju?")</f>
        <v>Kif jissejjaħ spiżjar li jonqos mill-eżami tal-ispiżjar ambulatorju?</v>
      </c>
    </row>
    <row r="3703" ht="15.75" customHeight="1">
      <c r="A3703" s="2" t="s">
        <v>3703</v>
      </c>
      <c r="B3703" s="2" t="str">
        <f>IFERROR(__xludf.DUMMYFUNCTION("GOOGLETRANSLATE(A3703, ""en"", ""mt"")"),"Inputs tax-xogħol")</f>
        <v>Inputs tax-xogħol</v>
      </c>
    </row>
    <row r="3704" ht="15.75" customHeight="1">
      <c r="A3704" s="2" t="s">
        <v>3704</v>
      </c>
      <c r="B3704" s="2" t="str">
        <f>IFERROR(__xludf.DUMMYFUNCTION("GOOGLETRANSLATE(A3704, ""en"", ""mt"")"),"Kemm għandha l-kompetizzjoni tal-kampjonat tal-Ivy tad-Diviżjoni I tal-NCAA?")</f>
        <v>Kemm għandha l-kompetizzjoni tal-kampjonat tal-Ivy tad-Diviżjoni I tal-NCAA?</v>
      </c>
    </row>
    <row r="3705" ht="15.75" customHeight="1">
      <c r="A3705" s="2" t="s">
        <v>3705</v>
      </c>
      <c r="B3705" s="2" t="str">
        <f>IFERROR(__xludf.DUMMYFUNCTION("GOOGLETRANSLATE(A3705, ""en"", ""mt"")"),"Harris School of Public Policy Studies")</f>
        <v>Harris School of Public Policy Studies</v>
      </c>
    </row>
    <row r="3706" ht="15.75" customHeight="1">
      <c r="A3706" s="2" t="s">
        <v>3706</v>
      </c>
      <c r="B3706" s="2" t="str">
        <f>IFERROR(__xludf.DUMMYFUNCTION("GOOGLETRANSLATE(A3706, ""en"", ""mt"")"),"Min bassar l-eżistenza ta 'ħafna pjaneti oħra?")</f>
        <v>Min bassar l-eżistenza ta 'ħafna pjaneti oħra?</v>
      </c>
    </row>
    <row r="3707" ht="15.75" customHeight="1">
      <c r="A3707" s="2" t="s">
        <v>3707</v>
      </c>
      <c r="B3707" s="2" t="str">
        <f>IFERROR(__xludf.DUMMYFUNCTION("GOOGLETRANSLATE(A3707, ""en"", ""mt"")"),"Meta ġie skopert li n-numri ewlenin jistgħu jiġu applikati għall-ħolqien ta 'algoritmi ta' kriptografija ewlenija?")</f>
        <v>Meta ġie skopert li n-numri ewlenin jistgħu jiġu applikati għall-ħolqien ta 'algoritmi ta' kriptografija ewlenija?</v>
      </c>
    </row>
    <row r="3708" ht="15.75" customHeight="1">
      <c r="A3708" s="2" t="s">
        <v>3708</v>
      </c>
      <c r="B3708" s="2" t="str">
        <f>IFERROR(__xludf.DUMMYFUNCTION("GOOGLETRANSLATE(A3708, ""en"", ""mt"")"),"Liema mit-tliet żoni b'popolazzjoni kbira għandha l-inqas numru ta 'abitanti?")</f>
        <v>Liema mit-tliet żoni b'popolazzjoni kbira għandha l-inqas numru ta 'abitanti?</v>
      </c>
    </row>
    <row r="3709" ht="15.75" customHeight="1">
      <c r="A3709" s="2" t="s">
        <v>3709</v>
      </c>
      <c r="B3709" s="2" t="str">
        <f>IFERROR(__xludf.DUMMYFUNCTION("GOOGLETRANSLATE(A3709, ""en"", ""mt"")"),"Quadruple")</f>
        <v>Quadruple</v>
      </c>
    </row>
    <row r="3710" ht="15.75" customHeight="1">
      <c r="A3710" s="2" t="s">
        <v>3710</v>
      </c>
      <c r="B3710" s="2" t="str">
        <f>IFERROR(__xludf.DUMMYFUNCTION("GOOGLETRANSLATE(A3710, ""en"", ""mt"")"),"Liema persentaġġ ta 'nies f'żoni iżolati ta' l-Ewropa mietu mill-mewt l-Iswed?")</f>
        <v>Liema persentaġġ ta 'nies f'żoni iżolati ta' l-Ewropa mietu mill-mewt l-Iswed?</v>
      </c>
    </row>
    <row r="3711" ht="15.75" customHeight="1">
      <c r="A3711" s="2" t="s">
        <v>3711</v>
      </c>
      <c r="B3711" s="2" t="str">
        <f>IFERROR(__xludf.DUMMYFUNCTION("GOOGLETRANSLATE(A3711, ""en"", ""mt"")"),"Kif inhuma r-rati ta 'oġġetti soċjali f'pajjiżi b'inugwaljanza baxxa?")</f>
        <v>Kif inhuma r-rati ta 'oġġetti soċjali f'pajjiżi b'inugwaljanza baxxa?</v>
      </c>
    </row>
    <row r="3712" ht="15.75" customHeight="1">
      <c r="A3712" s="2" t="s">
        <v>3712</v>
      </c>
      <c r="B3712" s="2" t="str">
        <f>IFERROR(__xludf.DUMMYFUNCTION("GOOGLETRANSLATE(A3712, ""en"", ""mt"")"),"X'żieda li żdiedet iċ-ċittadinanza tal-UE?")</f>
        <v>X'żieda li żdiedet iċ-ċittadinanza tal-UE?</v>
      </c>
    </row>
    <row r="3713" ht="15.75" customHeight="1">
      <c r="A3713" s="2" t="s">
        <v>3713</v>
      </c>
      <c r="B3713" s="2" t="str">
        <f>IFERROR(__xludf.DUMMYFUNCTION("GOOGLETRANSLATE(A3713, ""en"", ""mt"")"),"La Galaxy")</f>
        <v>La Galaxy</v>
      </c>
    </row>
    <row r="3714" ht="15.75" customHeight="1">
      <c r="A3714" s="2" t="s">
        <v>3714</v>
      </c>
      <c r="B3714" s="2" t="str">
        <f>IFERROR(__xludf.DUMMYFUNCTION("GOOGLETRANSLATE(A3714, ""en"", ""mt"")"),"Kull pakkett jinkludi informazzjoni sħiħa dwar l-indirizzar")</f>
        <v>Kull pakkett jinkludi informazzjoni sħiħa dwar l-indirizzar</v>
      </c>
    </row>
    <row r="3715" ht="15.75" customHeight="1">
      <c r="A3715" s="2" t="s">
        <v>3715</v>
      </c>
      <c r="B3715" s="2" t="str">
        <f>IFERROR(__xludf.DUMMYFUNCTION("GOOGLETRANSLATE(A3715, ""en"", ""mt"")"),"F'liema ġurnata jseħħ ħin ta 'mistoqsija ġenerali?")</f>
        <v>F'liema ġurnata jseħħ ħin ta 'mistoqsija ġenerali?</v>
      </c>
    </row>
    <row r="3716" ht="15.75" customHeight="1">
      <c r="A3716" s="2" t="s">
        <v>3716</v>
      </c>
      <c r="B3716" s="2" t="str">
        <f>IFERROR(__xludf.DUMMYFUNCTION("GOOGLETRANSLATE(A3716, ""en"", ""mt"")"),"Seklu 11")</f>
        <v>Seklu 11</v>
      </c>
    </row>
    <row r="3717" ht="15.75" customHeight="1">
      <c r="A3717" s="2" t="s">
        <v>3717</v>
      </c>
      <c r="B3717" s="2" t="str">
        <f>IFERROR(__xludf.DUMMYFUNCTION("GOOGLETRANSLATE(A3717, ""en"", ""mt"")"),"Huma meħtieġa inqas ħaddiema")</f>
        <v>Huma meħtieġa inqas ħaddiema</v>
      </c>
    </row>
    <row r="3718" ht="15.75" customHeight="1">
      <c r="A3718" s="2" t="s">
        <v>3718</v>
      </c>
      <c r="B3718" s="2" t="str">
        <f>IFERROR(__xludf.DUMMYFUNCTION("GOOGLETRANSLATE(A3718, ""en"", ""mt"")"),"F'liema belt Franċiża kienet maqtula madwar 2,000 Huguenots?")</f>
        <v>F'liema belt Franċiża kienet maqtula madwar 2,000 Huguenots?</v>
      </c>
    </row>
    <row r="3719" ht="15.75" customHeight="1">
      <c r="A3719" s="2" t="s">
        <v>3719</v>
      </c>
      <c r="B3719" s="2" t="str">
        <f>IFERROR(__xludf.DUMMYFUNCTION("GOOGLETRANSLATE(A3719, ""en"", ""mt"")"),"X'għandhom iż-żewġ movimenti Iżlamisti differenti li ġew deskritti bħala li joxxillaw bejniethom?")</f>
        <v>X'għandhom iż-żewġ movimenti Iżlamisti differenti li ġew deskritti bħala li joxxillaw bejniethom?</v>
      </c>
    </row>
    <row r="3720" ht="15.75" customHeight="1">
      <c r="A3720" s="2" t="s">
        <v>3720</v>
      </c>
      <c r="B3720" s="2" t="str">
        <f>IFERROR(__xludf.DUMMYFUNCTION("GOOGLETRANSLATE(A3720, ""en"", ""mt"")"),"80,000")</f>
        <v>80,000</v>
      </c>
    </row>
    <row r="3721" ht="15.75" customHeight="1">
      <c r="A3721" s="2" t="s">
        <v>3721</v>
      </c>
      <c r="B3721" s="2" t="str">
        <f>IFERROR(__xludf.DUMMYFUNCTION("GOOGLETRANSLATE(A3721, ""en"", ""mt"")"),"Sherwood Boehlert")</f>
        <v>Sherwood Boehlert</v>
      </c>
    </row>
    <row r="3722" ht="15.75" customHeight="1">
      <c r="A3722" s="2" t="s">
        <v>3722</v>
      </c>
      <c r="B3722" s="2" t="str">
        <f>IFERROR(__xludf.DUMMYFUNCTION("GOOGLETRANSLATE(A3722, ""en"", ""mt"")"),"konkorrenti, valutazzjonijiet iżgħar ta 'problemi speċjali")</f>
        <v>konkorrenti, valutazzjonijiet iżgħar ta 'problemi speċjali</v>
      </c>
    </row>
    <row r="3723" ht="15.75" customHeight="1">
      <c r="A3723" s="2" t="s">
        <v>3723</v>
      </c>
      <c r="B3723" s="2" t="str">
        <f>IFERROR(__xludf.DUMMYFUNCTION("GOOGLETRANSLATE(A3723, ""en"", ""mt"")")," X'għandhom ħafna membri tal-HT ma rnexxielhomx jissieħbu?")</f>
        <v> X'għandhom ħafna membri tal-HT ma rnexxielhomx jissieħbu?</v>
      </c>
    </row>
    <row r="3724" ht="15.75" customHeight="1">
      <c r="A3724" s="2" t="s">
        <v>3724</v>
      </c>
      <c r="B3724" s="2" t="str">
        <f>IFERROR(__xludf.DUMMYFUNCTION("GOOGLETRANSLATE(A3724, ""en"", ""mt"")"),"mitluba miż-żewġ naħat")</f>
        <v>mitluba miż-żewġ naħat</v>
      </c>
    </row>
    <row r="3725" ht="15.75" customHeight="1">
      <c r="A3725" s="2" t="s">
        <v>3725</v>
      </c>
      <c r="B3725" s="2" t="str">
        <f>IFERROR(__xludf.DUMMYFUNCTION("GOOGLETRANSLATE(A3725, ""en"", ""mt"")"),"Kif tissejjaħ il-ġelatina?")</f>
        <v>Kif tissejjaħ il-ġelatina?</v>
      </c>
    </row>
    <row r="3726" ht="15.75" customHeight="1">
      <c r="A3726" s="2" t="s">
        <v>3726</v>
      </c>
      <c r="B3726" s="2" t="str">
        <f>IFERROR(__xludf.DUMMYFUNCTION("GOOGLETRANSLATE(A3726, ""en"", ""mt"")"),"Magna tat-Turing probabilistiċi")</f>
        <v>Magna tat-Turing probabilistiċi</v>
      </c>
    </row>
    <row r="3727" ht="15.75" customHeight="1">
      <c r="A3727" s="2" t="s">
        <v>3727</v>
      </c>
      <c r="B3727" s="2" t="str">
        <f>IFERROR(__xludf.DUMMYFUNCTION("GOOGLETRANSLATE(A3727, ""en"", ""mt"")"),"Hemm database pubblika ta 'epitopi għal patoġeni magħrufa li huma rikonoxxibbli minn liema ċelloli?")</f>
        <v>Hemm database pubblika ta 'epitopi għal patoġeni magħrufa li huma rikonoxxibbli minn liema ċelloli?</v>
      </c>
    </row>
    <row r="3728" ht="15.75" customHeight="1">
      <c r="A3728" s="2" t="s">
        <v>3728</v>
      </c>
      <c r="B3728" s="2" t="str">
        <f>IFERROR(__xludf.DUMMYFUNCTION("GOOGLETRANSLATE(A3728, ""en"", ""mt"")"),"50%")</f>
        <v>50%</v>
      </c>
    </row>
    <row r="3729" ht="15.75" customHeight="1">
      <c r="A3729" s="2" t="s">
        <v>3729</v>
      </c>
      <c r="B3729" s="2" t="str">
        <f>IFERROR(__xludf.DUMMYFUNCTION("GOOGLETRANSLATE(A3729, ""en"", ""mt"")"),"Antibonding")</f>
        <v>Antibonding</v>
      </c>
    </row>
    <row r="3730" ht="15.75" customHeight="1">
      <c r="A3730" s="2" t="s">
        <v>3730</v>
      </c>
      <c r="B3730" s="2" t="str">
        <f>IFERROR(__xludf.DUMMYFUNCTION("GOOGLETRANSLATE(A3730, ""en"", ""mt"")"),"Iċ-Ċittadella ta ’Varsavja")</f>
        <v>Iċ-Ċittadella ta ’Varsavja</v>
      </c>
    </row>
    <row r="3731" ht="15.75" customHeight="1">
      <c r="A3731" s="2" t="s">
        <v>3731</v>
      </c>
      <c r="B3731" s="2" t="str">
        <f>IFERROR(__xludf.DUMMYFUNCTION("GOOGLETRANSLATE(A3731, ""en"", ""mt"")"),"kondensatur separat")</f>
        <v>kondensatur separat</v>
      </c>
    </row>
    <row r="3732" ht="15.75" customHeight="1">
      <c r="A3732" s="2" t="s">
        <v>3732</v>
      </c>
      <c r="B3732" s="2" t="str">
        <f>IFERROR(__xludf.DUMMYFUNCTION("GOOGLETRANSLATE(A3732, ""en"", ""mt"")"),"Min għandu l-karozzi tal-ferrovija fir-Rabat?")</f>
        <v>Min għandu l-karozzi tal-ferrovija fir-Rabat?</v>
      </c>
    </row>
    <row r="3733" ht="15.75" customHeight="1">
      <c r="A3733" s="2" t="s">
        <v>3733</v>
      </c>
      <c r="B3733" s="2" t="str">
        <f>IFERROR(__xludf.DUMMYFUNCTION("GOOGLETRANSLATE(A3733, ""en"", ""mt"")"),"Richard Lindzen")</f>
        <v>Richard Lindzen</v>
      </c>
    </row>
    <row r="3734" ht="15.75" customHeight="1">
      <c r="A3734" s="2" t="s">
        <v>3734</v>
      </c>
      <c r="B3734" s="2" t="str">
        <f>IFERROR(__xludf.DUMMYFUNCTION("GOOGLETRANSLATE(A3734, ""en"", ""mt"")"),"Brownlee jiġġustifika d-diżubbidjenza ċivili lejn liema fergħa tal-gvern?")</f>
        <v>Brownlee jiġġustifika d-diżubbidjenza ċivili lejn liema fergħa tal-gvern?</v>
      </c>
    </row>
    <row r="3735" ht="15.75" customHeight="1">
      <c r="A3735" s="2" t="s">
        <v>3735</v>
      </c>
      <c r="B3735" s="2" t="str">
        <f>IFERROR(__xludf.DUMMYFUNCTION("GOOGLETRANSLATE(A3735, ""en"", ""mt"")"),"Meta nkitbet il-Konvenzjoni Ewropea tad-Drittijiet tal-Bniedem?")</f>
        <v>Meta nkitbet il-Konvenzjoni Ewropea tad-Drittijiet tal-Bniedem?</v>
      </c>
    </row>
    <row r="3736" ht="15.75" customHeight="1">
      <c r="A3736" s="2" t="s">
        <v>3736</v>
      </c>
      <c r="B3736" s="2" t="str">
        <f>IFERROR(__xludf.DUMMYFUNCTION("GOOGLETRANSLATE(A3736, ""en"", ""mt"")"),"Kif qed jaqleb il-pakketti charecterized")</f>
        <v>Kif qed jaqleb il-pakketti charecterized</v>
      </c>
    </row>
    <row r="3737" ht="15.75" customHeight="1">
      <c r="A3737" s="2" t="s">
        <v>3737</v>
      </c>
      <c r="B3737" s="2" t="str">
        <f>IFERROR(__xludf.DUMMYFUNCTION("GOOGLETRANSLATE(A3737, ""en"", ""mt"")"),"Liema kundanna motivat lil Eliot biex jersaq lejn sekularizzazzjoni?")</f>
        <v>Liema kundanna motivat lil Eliot biex jersaq lejn sekularizzazzjoni?</v>
      </c>
    </row>
    <row r="3738" ht="15.75" customHeight="1">
      <c r="A3738" s="2" t="s">
        <v>3738</v>
      </c>
      <c r="B3738" s="2" t="str">
        <f>IFERROR(__xludf.DUMMYFUNCTION("GOOGLETRANSLATE(A3738, ""en"", ""mt"")"),"Meta waqqgħet ir-Repubblika Demokratika tal-Afganistan?")</f>
        <v>Meta waqqgħet ir-Repubblika Demokratika tal-Afganistan?</v>
      </c>
    </row>
    <row r="3739" ht="15.75" customHeight="1">
      <c r="A3739" s="2" t="s">
        <v>3739</v>
      </c>
      <c r="B3739" s="2" t="str">
        <f>IFERROR(__xludf.DUMMYFUNCTION("GOOGLETRANSLATE(A3739, ""en"", ""mt"")"),"Sessile-frond bħal")</f>
        <v>Sessile-frond bħal</v>
      </c>
    </row>
    <row r="3740" ht="15.75" customHeight="1">
      <c r="A3740" s="2" t="s">
        <v>3740</v>
      </c>
      <c r="B3740" s="2" t="str">
        <f>IFERROR(__xludf.DUMMYFUNCTION("GOOGLETRANSLATE(A3740, ""en"", ""mt"")"),"X'kien ir-rwol ta 'Robert Watson fl-IPCC?")</f>
        <v>X'kien ir-rwol ta 'Robert Watson fl-IPCC?</v>
      </c>
    </row>
    <row r="3741" ht="15.75" customHeight="1">
      <c r="A3741" s="2" t="s">
        <v>3741</v>
      </c>
      <c r="B3741" s="2" t="str">
        <f>IFERROR(__xludf.DUMMYFUNCTION("GOOGLETRANSLATE(A3741, ""en"", ""mt"")"),"Jacksonville beda jsofri u jonqos wara liema avveniment dinji ewlieni?")</f>
        <v>Jacksonville beda jsofri u jonqos wara liema avveniment dinji ewlieni?</v>
      </c>
    </row>
    <row r="3742" ht="15.75" customHeight="1">
      <c r="A3742" s="2" t="s">
        <v>3742</v>
      </c>
      <c r="B3742" s="2" t="str">
        <f>IFERROR(__xludf.DUMMYFUNCTION("GOOGLETRANSLATE(A3742, ""en"", ""mt"")"),"Periti, disinjaturi interni, inġiniera u kostrutturi")</f>
        <v>Periti, disinjaturi interni, inġiniera u kostrutturi</v>
      </c>
    </row>
    <row r="3743" ht="15.75" customHeight="1">
      <c r="A3743" s="2" t="s">
        <v>3743</v>
      </c>
      <c r="B3743" s="2" t="str">
        <f>IFERROR(__xludf.DUMMYFUNCTION("GOOGLETRANSLATE(A3743, ""en"", ""mt"")"),"X'kienet il-preżenza militari ta 'Frensh fil-bidu tal-gwerra?")</f>
        <v>X'kienet il-preżenza militari ta 'Frensh fil-bidu tal-gwerra?</v>
      </c>
    </row>
    <row r="3744" ht="15.75" customHeight="1">
      <c r="A3744" s="2" t="s">
        <v>3744</v>
      </c>
      <c r="B3744" s="2" t="str">
        <f>IFERROR(__xludf.DUMMYFUNCTION("GOOGLETRANSLATE(A3744, ""en"", ""mt"")"),"Philo")</f>
        <v>Philo</v>
      </c>
    </row>
    <row r="3745" ht="15.75" customHeight="1">
      <c r="A3745" s="2" t="s">
        <v>3745</v>
      </c>
      <c r="B3745" s="2" t="str">
        <f>IFERROR(__xludf.DUMMYFUNCTION("GOOGLETRANSLATE(A3745, ""en"", ""mt"")")," L-Imperu Ottoman ikkontrolla t-territorju fuq erba 'kontinenti, l-Afrika, l-Asja u liema oħra?")</f>
        <v> L-Imperu Ottoman ikkontrolla t-territorju fuq erba 'kontinenti, l-Afrika, l-Asja u liema oħra?</v>
      </c>
    </row>
    <row r="3746" ht="15.75" customHeight="1">
      <c r="A3746" s="2" t="s">
        <v>3746</v>
      </c>
      <c r="B3746" s="2" t="str">
        <f>IFERROR(__xludf.DUMMYFUNCTION("GOOGLETRANSLATE(A3746, ""en"", ""mt"")"),"iddgħajjef il-liġi billi tħeġġeġ diżubbidjenza ġenerali li la hija kuxjenzjuża u lanqas ta 'benefiċċju soċjali")</f>
        <v>iddgħajjef il-liġi billi tħeġġeġ diżubbidjenza ġenerali li la hija kuxjenzjuża u lanqas ta 'benefiċċju soċjali</v>
      </c>
    </row>
    <row r="3747" ht="15.75" customHeight="1">
      <c r="A3747" s="2" t="s">
        <v>3747</v>
      </c>
      <c r="B3747" s="2" t="str">
        <f>IFERROR(__xludf.DUMMYFUNCTION("GOOGLETRANSLATE(A3747, ""en"", ""mt"")")," X’kienu l-Ewropej ma ħasbux li l-popli fit-tropiċi kellhom bżonn?")</f>
        <v> X’kienu l-Ewropej ma ħasbux li l-popli fit-tropiċi kellhom bżonn?</v>
      </c>
    </row>
    <row r="3748" ht="15.75" customHeight="1">
      <c r="A3748" s="2" t="s">
        <v>3748</v>
      </c>
      <c r="B3748" s="2" t="str">
        <f>IFERROR(__xludf.DUMMYFUNCTION("GOOGLETRANSLATE(A3748, ""en"", ""mt"")"),"Liema linji ewlenin imorru lejn il-punent u n-nofsinhar mill-belt?")</f>
        <v>Liema linji ewlenin imorru lejn il-punent u n-nofsinhar mill-belt?</v>
      </c>
    </row>
    <row r="3749" ht="15.75" customHeight="1">
      <c r="A3749" s="2" t="s">
        <v>3749</v>
      </c>
      <c r="B3749" s="2" t="str">
        <f>IFERROR(__xludf.DUMMYFUNCTION("GOOGLETRANSLATE(A3749, ""en"", ""mt"")"),"Liema oċean għandu widien interni kbar u żgħar?")</f>
        <v>Liema oċean għandu widien interni kbar u żgħar?</v>
      </c>
    </row>
    <row r="3750" ht="15.75" customHeight="1">
      <c r="A3750" s="2" t="s">
        <v>3750</v>
      </c>
      <c r="B3750" s="2" t="str">
        <f>IFERROR(__xludf.DUMMYFUNCTION("GOOGLETRANSLATE(A3750, ""en"", ""mt"")"),"Fejn skopra l-eroj Siegfried?")</f>
        <v>Fejn skopra l-eroj Siegfried?</v>
      </c>
    </row>
    <row r="3751" ht="15.75" customHeight="1">
      <c r="A3751" s="2" t="s">
        <v>3751</v>
      </c>
      <c r="B3751" s="2" t="str">
        <f>IFERROR(__xludf.DUMMYFUNCTION("GOOGLETRANSLATE(A3751, ""en"", ""mt"")"),"seklu tmintax,")</f>
        <v>seklu tmintax,</v>
      </c>
    </row>
    <row r="3752" ht="15.75" customHeight="1">
      <c r="A3752" s="2" t="s">
        <v>3752</v>
      </c>
      <c r="B3752" s="2" t="str">
        <f>IFERROR(__xludf.DUMMYFUNCTION("GOOGLETRANSLATE(A3752, ""en"", ""mt"")"),"X’kien ġie trasformat Radcliffe mis-seklu 19?")</f>
        <v>X’kien ġie trasformat Radcliffe mis-seklu 19?</v>
      </c>
    </row>
    <row r="3753" ht="15.75" customHeight="1">
      <c r="A3753" s="2" t="s">
        <v>3753</v>
      </c>
      <c r="B3753" s="2" t="str">
        <f>IFERROR(__xludf.DUMMYFUNCTION("GOOGLETRANSLATE(A3753, ""en"", ""mt"")"),"in-naħa tal-punent")</f>
        <v>in-naħa tal-punent</v>
      </c>
    </row>
    <row r="3754" ht="15.75" customHeight="1">
      <c r="A3754" s="2" t="s">
        <v>3754</v>
      </c>
      <c r="B3754" s="2" t="str">
        <f>IFERROR(__xludf.DUMMYFUNCTION("GOOGLETRANSLATE(A3754, ""en"", ""mt"")"),"Waqgħa fil-livelli tad-demm ta 'kortisol u epinefrina tirriżulta f'żieda fil-livelli ta' liema ormoni?")</f>
        <v>Waqgħa fil-livelli tad-demm ta 'kortisol u epinefrina tirriżulta f'żieda fil-livelli ta' liema ormoni?</v>
      </c>
    </row>
    <row r="3755" ht="15.75" customHeight="1">
      <c r="A3755" s="2" t="s">
        <v>3755</v>
      </c>
      <c r="B3755" s="2" t="str">
        <f>IFERROR(__xludf.DUMMYFUNCTION("GOOGLETRANSLATE(A3755, ""en"", ""mt"")"),"Bilanċ bejn perspettivi differenti u partiti politiċi")</f>
        <v>Bilanċ bejn perspettivi differenti u partiti politiċi</v>
      </c>
    </row>
    <row r="3756" ht="15.75" customHeight="1">
      <c r="A3756" s="2" t="s">
        <v>3756</v>
      </c>
      <c r="B3756" s="2" t="str">
        <f>IFERROR(__xludf.DUMMYFUNCTION("GOOGLETRANSLATE(A3756, ""en"", ""mt"")"),"Porzjon żgħir tal-popolazzjoni jgħix dħul mill-proprjetà mhux mistħoqq")</f>
        <v>Porzjon żgħir tal-popolazzjoni jgħix dħul mill-proprjetà mhux mistħoqq</v>
      </c>
    </row>
    <row r="3757" ht="15.75" customHeight="1">
      <c r="A3757" s="2" t="s">
        <v>3757</v>
      </c>
      <c r="B3757" s="2" t="str">
        <f>IFERROR(__xludf.DUMMYFUNCTION("GOOGLETRANSLATE(A3757, ""en"", ""mt"")"),"Min hu responsabbli għat-teorija tal-kumplessità axiomatic?")</f>
        <v>Min hu responsabbli għat-teorija tal-kumplessità axiomatic?</v>
      </c>
    </row>
    <row r="3758" ht="15.75" customHeight="1">
      <c r="A3758" s="2" t="s">
        <v>3758</v>
      </c>
      <c r="B3758" s="2" t="str">
        <f>IFERROR(__xludf.DUMMYFUNCTION("GOOGLETRANSLATE(A3758, ""en"", ""mt"")"),"X'għandha influwenza negattiva fuq l-ekonomija ta 'l-Istati Uniti?")</f>
        <v>X'għandha influwenza negattiva fuq l-ekonomija ta 'l-Istati Uniti?</v>
      </c>
    </row>
    <row r="3759" ht="15.75" customHeight="1">
      <c r="A3759" s="2" t="s">
        <v>3759</v>
      </c>
      <c r="B3759" s="2" t="str">
        <f>IFERROR(__xludf.DUMMYFUNCTION("GOOGLETRANSLATE(A3759, ""en"", ""mt"")"),"Liema ċelloli għandhom pjanti u annimali t-tnejn?")</f>
        <v>Liema ċelloli għandhom pjanti u annimali t-tnejn?</v>
      </c>
    </row>
    <row r="3760" ht="15.75" customHeight="1">
      <c r="A3760" s="2" t="s">
        <v>3760</v>
      </c>
      <c r="B3760" s="2" t="str">
        <f>IFERROR(__xludf.DUMMYFUNCTION("GOOGLETRANSLATE(A3760, ""en"", ""mt"")"),"l-Istitut Orjentali")</f>
        <v>l-Istitut Orjentali</v>
      </c>
    </row>
    <row r="3761" ht="15.75" customHeight="1">
      <c r="A3761" s="2" t="s">
        <v>3761</v>
      </c>
      <c r="B3761" s="2" t="str">
        <f>IFERROR(__xludf.DUMMYFUNCTION("GOOGLETRANSLATE(A3761, ""en"", ""mt"")"),"Min hu elett fil-bidu ta 'kull terminu?")</f>
        <v>Min hu elett fil-bidu ta 'kull terminu?</v>
      </c>
    </row>
    <row r="3762" ht="15.75" customHeight="1">
      <c r="A3762" s="2" t="s">
        <v>3762</v>
      </c>
      <c r="B3762" s="2" t="str">
        <f>IFERROR(__xludf.DUMMYFUNCTION("GOOGLETRANSLATE(A3762, ""en"", ""mt"")"),"Liema imperu mhux Ġappuniż irnexxielu d-dinastija Yuan?")</f>
        <v>Liema imperu mhux Ġappuniż irnexxielu d-dinastija Yuan?</v>
      </c>
    </row>
    <row r="3763" ht="15.75" customHeight="1">
      <c r="A3763" s="2" t="s">
        <v>3763</v>
      </c>
      <c r="B3763" s="2" t="str">
        <f>IFERROR(__xludf.DUMMYFUNCTION("GOOGLETRANSLATE(A3763, ""en"", ""mt"")"),"Jaqbad Niagara, Crown Point u Duquesne, huwa ppropona attakki fuq Fort Frontenac fuq ix-Xatt tat-Tramuntana tal-Lag Ontario")</f>
        <v>Jaqbad Niagara, Crown Point u Duquesne, huwa ppropona attakki fuq Fort Frontenac fuq ix-Xatt tat-Tramuntana tal-Lag Ontario</v>
      </c>
    </row>
    <row r="3764" ht="15.75" customHeight="1">
      <c r="A3764" s="2" t="s">
        <v>3764</v>
      </c>
      <c r="B3764" s="2" t="str">
        <f>IFERROR(__xludf.DUMMYFUNCTION("GOOGLETRANSLATE(A3764, ""en"", ""mt"")"),"diżubbidjenza tal-liġijiet")</f>
        <v>diżubbidjenza tal-liġijiet</v>
      </c>
    </row>
    <row r="3765" ht="15.75" customHeight="1">
      <c r="A3765" s="2" t="s">
        <v>3765</v>
      </c>
      <c r="B3765" s="2" t="str">
        <f>IFERROR(__xludf.DUMMYFUNCTION("GOOGLETRANSLATE(A3765, ""en"", ""mt"")"),"X’ma sabetx il-Qorti Ewropea tal-Ġustizzja dwar linji gwida tal-provvista?")</f>
        <v>X’ma sabetx il-Qorti Ewropea tal-Ġustizzja dwar linji gwida tal-provvista?</v>
      </c>
    </row>
    <row r="3766" ht="15.75" customHeight="1">
      <c r="A3766" s="2" t="s">
        <v>3766</v>
      </c>
      <c r="B3766" s="2" t="str">
        <f>IFERROR(__xludf.DUMMYFUNCTION("GOOGLETRANSLATE(A3766, ""en"", ""mt"")"),"F’Settembru 1706 min innegozja kapitolazzjoni minn Montreal?")</f>
        <v>F’Settembru 1706 min innegozja kapitolazzjoni minn Montreal?</v>
      </c>
    </row>
    <row r="3767" ht="15.75" customHeight="1">
      <c r="A3767" s="2" t="s">
        <v>3767</v>
      </c>
      <c r="B3767" s="2" t="str">
        <f>IFERROR(__xludf.DUMMYFUNCTION("GOOGLETRANSLATE(A3767, ""en"", ""mt"")"),"irġiel")</f>
        <v>irġiel</v>
      </c>
    </row>
    <row r="3768" ht="15.75" customHeight="1">
      <c r="A3768" s="2" t="s">
        <v>3768</v>
      </c>
      <c r="B3768" s="2" t="str">
        <f>IFERROR(__xludf.DUMMYFUNCTION("GOOGLETRANSLATE(A3768, ""en"", ""mt"")"),"X'inhu l-isem tal-festival tas-sajf tal-università?")</f>
        <v>X'inhu l-isem tal-festival tas-sajf tal-università?</v>
      </c>
    </row>
    <row r="3769" ht="15.75" customHeight="1">
      <c r="A3769" s="2" t="s">
        <v>3769</v>
      </c>
      <c r="B3769" s="2" t="str">
        <f>IFERROR(__xludf.DUMMYFUNCTION("GOOGLETRANSLATE(A3769, ""en"", ""mt"")"),"malajr u deċiżiv")</f>
        <v>malajr u deċiżiv</v>
      </c>
    </row>
    <row r="3770" ht="15.75" customHeight="1">
      <c r="A3770" s="2" t="s">
        <v>3770</v>
      </c>
      <c r="B3770" s="2" t="str">
        <f>IFERROR(__xludf.DUMMYFUNCTION("GOOGLETRANSLATE(A3770, ""en"", ""mt"")"),"X'interferixxi mat-tieni invażjoni ta 'Kublai fil-Ġappun?")</f>
        <v>X'interferixxi mat-tieni invażjoni ta 'Kublai fil-Ġappun?</v>
      </c>
    </row>
    <row r="3771" ht="15.75" customHeight="1">
      <c r="A3771" s="2" t="s">
        <v>3771</v>
      </c>
      <c r="B3771" s="2" t="str">
        <f>IFERROR(__xludf.DUMMYFUNCTION("GOOGLETRANSLATE(A3771, ""en"", ""mt"")"),"X'tip ta 'kejl jiddefinixxu l-aċċellerazzjonijiet?")</f>
        <v>X'tip ta 'kejl jiddefinixxu l-aċċellerazzjonijiet?</v>
      </c>
    </row>
    <row r="3772" ht="15.75" customHeight="1">
      <c r="A3772" s="2" t="s">
        <v>3772</v>
      </c>
      <c r="B3772" s="2" t="str">
        <f>IFERROR(__xludf.DUMMYFUNCTION("GOOGLETRANSLATE(A3772, ""en"", ""mt"")"),"F’San Evroul, tradizzjoni tal-kant kienet żviluppat u l-kor kiseb fama fin-Normandija. Taħt l-abbati Norman Robert de Grantmesnil, diversi patrijiet ta 'Saint-Evroul ħarbu lejn in-Nofsinhar tal-Italja, fejn kienu patronizzati minn Robert Guiscard u stabbi"&amp;"lixxew monasteru Latin f'Sant'eufemia. Hemm komplew it-tradizzjoni tal-kant.")</f>
        <v>F’San Evroul, tradizzjoni tal-kant kienet żviluppat u l-kor kiseb fama fin-Normandija. Taħt l-abbati Norman Robert de Grantmesnil, diversi patrijiet ta 'Saint-Evroul ħarbu lejn in-Nofsinhar tal-Italja, fejn kienu patronizzati minn Robert Guiscard u stabbilixxew monasteru Latin f'Sant'eufemia. Hemm komplew it-tradizzjoni tal-kant.</v>
      </c>
    </row>
    <row r="3773" ht="15.75" customHeight="1">
      <c r="A3773" s="2" t="s">
        <v>3773</v>
      </c>
      <c r="B3773" s="2" t="str">
        <f>IFERROR(__xludf.DUMMYFUNCTION("GOOGLETRANSLATE(A3773, ""en"", ""mt"")"),"Fejn il-fergħat ta 'Waal u Nederrijn-Lek jitneħħew?")</f>
        <v>Fejn il-fergħat ta 'Waal u Nederrijn-Lek jitneħħew?</v>
      </c>
    </row>
    <row r="3774" ht="15.75" customHeight="1">
      <c r="A3774" s="2" t="s">
        <v>3774</v>
      </c>
      <c r="B3774" s="2" t="str">
        <f>IFERROR(__xludf.DUMMYFUNCTION("GOOGLETRANSLATE(A3774, ""en"", ""mt"")"),"Kemm hi kbira l-Wied ta 'San Joaquin?")</f>
        <v>Kemm hi kbira l-Wied ta 'San Joaquin?</v>
      </c>
    </row>
    <row r="3775" ht="15.75" customHeight="1">
      <c r="A3775" s="2" t="s">
        <v>3775</v>
      </c>
      <c r="B3775" s="2" t="str">
        <f>IFERROR(__xludf.DUMMYFUNCTION("GOOGLETRANSLATE(A3775, ""en"", ""mt"")"),"Ħwawar oħra mhux elenkati")</f>
        <v>Ħwawar oħra mhux elenkati</v>
      </c>
    </row>
    <row r="3776" ht="15.75" customHeight="1">
      <c r="A3776" s="2" t="s">
        <v>3776</v>
      </c>
      <c r="B3776" s="2" t="str">
        <f>IFERROR(__xludf.DUMMYFUNCTION("GOOGLETRANSLATE(A3776, ""en"", ""mt"")"),"Il-President tal-Università Robert Maynard Hutchins De-enfasizza Varsity Athletics fl-1939")</f>
        <v>Il-President tal-Università Robert Maynard Hutchins De-enfasizza Varsity Athletics fl-1939</v>
      </c>
    </row>
    <row r="3777" ht="15.75" customHeight="1">
      <c r="A3777" s="2" t="s">
        <v>3777</v>
      </c>
      <c r="B3777" s="2" t="str">
        <f>IFERROR(__xludf.DUMMYFUNCTION("GOOGLETRANSLATE(A3777, ""en"", ""mt"")"),"Ċentrali")</f>
        <v>Ċentrali</v>
      </c>
    </row>
    <row r="3778" ht="15.75" customHeight="1">
      <c r="A3778" s="2" t="s">
        <v>3778</v>
      </c>
      <c r="B3778" s="2" t="str">
        <f>IFERROR(__xludf.DUMMYFUNCTION("GOOGLETRANSLATE(A3778, ""en"", ""mt"")"),"B'kuntrast mar-rekwiżiti tal-prodott jew liġijiet oħra li jfixklu l-aċċess tas-suq, il-Qorti tal-Ġustizzja żviluppat preżunzjoni li ""l-arranġamenti tal-bejgħ"" tkun preżunta li ma jaqgħux fl-Artikolu 34 tat-TFEU, jekk japplikaw bl-istess mod lill-bejjieg"&amp;"ħa kollha, u affettwawhom fl-istess mod fil-fatt. Fil-Keck u Mithouard żewġ importaturi sostnew li l-prosekuzzjoni tagħhom taħt liġi tal-kompetizzjoni Franċiża, li ma ħalliethomx ibigħu l-birra tal-picon taħt prezz bl-ingrossa, kienet illegali. L-għan tal"&amp;"-liġi kien li jipprevjeni l-kompetizzjoni tal-griżmejn maqtugħin, u ma jfixklux il-kummerċ. Il-Qorti tal-Ġustizzja ddeċidiet, bħala ""fil-liġi u fil-fatt"" kienet ""arranġament ta 'bejgħ"" bl-istess mod applikabbli (mhux xi ħaġa li tibdel il-kontenut ta' "&amp;"prodott) kienet barra mill-ambitu tal-Artikolu 34, u għalhekk ma kellux għalfejn ikun iġġustifikat. Jista 'jinżamm arranġamenti ta' bejgħ biex ikollhom effett mhux ugwali ""fil-fatt"" partikolarment fejn negozjanti minn stat membru ieħor qed ifittxu li ji"&amp;"dħlu fis-suq, iżda hemm restrizzjonijiet fuq ir-reklamar u l-kummerċjalizzazzjoni. Fil-Konsumentombudsmannen v de Agostini, il-Qorti tal-Ġustizzja rrevediet projbizzjonijiet Żvediżi fuq ir-reklamar lil tfal taħt it-12-il sena, u riklami qarrieqa għal prod"&amp;"otti għall-kura tal-ġilda. Filwaqt li l-projbizzjonijiet baqgħu (ġustifikabbli skont l-Artikolu 36 jew bħala rekwiżit obbligatorju) il-qorti enfasizzat li projbizzjonijiet kompluti tal-kummerċ jistgħu jkunu sproporzjonati jekk ir-reklamar kien ""l-unika f"&amp;"orma effettiva ta 'promozzjoni li tippermetti [negozjant] biex jippenetra"" fis-suq. Fil-Konsumentombudsmannen v Gourmet AB il-qorti ssuġġeriet li projbizzjoni totali għar-reklamar tal-alkoħol fuq ir-radju, it-TV u fir-rivisti jistgħu jaqgħu taħt l-Artiko"&amp;"lu 34 fejn ir-reklamar kien l-uniku mod biex il-bejjiegħa jegħlbu l-konsumaturi ""prattiki soċjali tradizzjonali u għal drawwiet u drawwiet lokali tal-konsumaturi ""Biex jixtru l-prodotti tagħhom, iżda għal darb'oħra l-qrati nazzjonali jiddeċiedu jekk kie"&amp;"nx iġġustifikat skont l-Artikolu 36 biex jipproteġi s-saħħa pubblika. Taħt id-Direttiva dwar il-Prattiki Kummerċjali Inġusti, ir-restrizzjonijiet armonizzati tal-UE fuq ir-restrizzjonijiet fuq il-kummerċjalizzazzjoni u r-reklamar, biex tipprojbixxi li tgħ"&amp;"awweġ l-imġieba medja tal-konsumatur, hija qarrieqa jew aggressiva, u tistipula lista ta 'eżempji li jgħoddu bħala inġusti. Kulma jmur, l-istati jridu jagħtu rikonoxximent reċiproku lill-istandards ta 'regolament ta' xulxin, filwaqt li l-UE ppruvat tarmon"&amp;"izza l-ideali minimi ta 'l-aħjar prattika. L-attentat biex jgħollu l-istandards huwa ttamat li jevita ""razza għall-qiegħ"" regolatorja, filwaqt li jippermetti lill-konsumaturi aċċess għal oġġetti minn madwar il-kontinent.")</f>
        <v>B'kuntrast mar-rekwiżiti tal-prodott jew liġijiet oħra li jfixklu l-aċċess tas-suq, il-Qorti tal-Ġustizzja żviluppat preżunzjoni li "l-arranġamenti tal-bejgħ" tkun preżunta li ma jaqgħux fl-Artikolu 34 tat-TFEU, jekk japplikaw bl-istess mod lill-bejjiegħa kollha, u affettwawhom fl-istess mod fil-fatt. Fil-Keck u Mithouard żewġ importaturi sostnew li l-prosekuzzjoni tagħhom taħt liġi tal-kompetizzjoni Franċiża, li ma ħalliethomx ibigħu l-birra tal-picon taħt prezz bl-ingrossa, kienet illegali. L-għan tal-liġi kien li jipprevjeni l-kompetizzjoni tal-griżmejn maqtugħin, u ma jfixklux il-kummerċ. Il-Qorti tal-Ġustizzja ddeċidiet, bħala "fil-liġi u fil-fatt" kienet "arranġament ta 'bejgħ" bl-istess mod applikabbli (mhux xi ħaġa li tibdel il-kontenut ta' prodott) kienet barra mill-ambitu tal-Artikolu 34, u għalhekk ma kellux għalfejn ikun iġġustifikat. Jista 'jinżamm arranġamenti ta' bejgħ biex ikollhom effett mhux ugwali "fil-fatt" partikolarment fejn negozjanti minn stat membru ieħor qed ifittxu li jidħlu fis-suq, iżda hemm restrizzjonijiet fuq ir-reklamar u l-kummerċjalizzazzjoni. Fil-Konsumentombudsmannen v de Agostini, il-Qorti tal-Ġustizzja rrevediet projbizzjonijiet Żvediżi fuq ir-reklamar lil tfal taħt it-12-il sena, u riklami qarrieqa għal prodotti għall-kura tal-ġilda. Filwaqt li l-projbizzjonijiet baqgħu (ġustifikabbli skont l-Artikolu 36 jew bħala rekwiżit obbligatorju) il-qorti enfasizzat li projbizzjonijiet kompluti tal-kummerċ jistgħu jkunu sproporzjonati jekk ir-reklamar kien "l-unika forma effettiva ta 'promozzjoni li tippermetti [negozjant] biex jippenetra" fis-suq. Fil-Konsumentombudsmannen v Gourmet AB il-qorti ssuġġeriet li projbizzjoni totali għar-reklamar tal-alkoħol fuq ir-radju, it-TV u fir-rivisti jistgħu jaqgħu taħt l-Artikolu 34 fejn ir-reklamar kien l-uniku mod biex il-bejjiegħa jegħlbu l-konsumaturi "prattiki soċjali tradizzjonali u għal drawwiet u drawwiet lokali tal-konsumaturi "Biex jixtru l-prodotti tagħhom, iżda għal darb'oħra l-qrati nazzjonali jiddeċiedu jekk kienx iġġustifikat skont l-Artikolu 36 biex jipproteġi s-saħħa pubblika. Taħt id-Direttiva dwar il-Prattiki Kummerċjali Inġusti, ir-restrizzjonijiet armonizzati tal-UE fuq ir-restrizzjonijiet fuq il-kummerċjalizzazzjoni u r-reklamar, biex tipprojbixxi li tgħawweġ l-imġieba medja tal-konsumatur, hija qarrieqa jew aggressiva, u tistipula lista ta 'eżempji li jgħoddu bħala inġusti. Kulma jmur, l-istati jridu jagħtu rikonoxximent reċiproku lill-istandards ta 'regolament ta' xulxin, filwaqt li l-UE ppruvat tarmonizza l-ideali minimi ta 'l-aħjar prattika. L-attentat biex jgħollu l-istandards huwa ttamat li jevita "razza għall-qiegħ" regolatorja, filwaqt li jippermetti lill-konsumaturi aċċess għal oġġetti minn madwar il-kontinent.</v>
      </c>
    </row>
    <row r="3779" ht="15.75" customHeight="1">
      <c r="A3779" s="2" t="s">
        <v>3779</v>
      </c>
      <c r="B3779" s="2" t="str">
        <f>IFERROR(__xludf.DUMMYFUNCTION("GOOGLETRANSLATE(A3779, ""en"", ""mt"")"),"Meta nħarġu l-kitbiet għall-elezzjoni tal-president ta ’New South Wales?")</f>
        <v>Meta nħarġu l-kitbiet għall-elezzjoni tal-president ta ’New South Wales?</v>
      </c>
    </row>
    <row r="3780" ht="15.75" customHeight="1">
      <c r="A3780" s="2" t="s">
        <v>3780</v>
      </c>
      <c r="B3780" s="2" t="str">
        <f>IFERROR(__xludf.DUMMYFUNCTION("GOOGLETRANSLATE(A3780, ""en"", ""mt"")"),"""Xiri ta 'Stop One-Stop""")</f>
        <v>"Xiri ta 'Stop One-Stop"</v>
      </c>
    </row>
    <row r="3781" ht="15.75" customHeight="1">
      <c r="A3781" s="2" t="s">
        <v>3781</v>
      </c>
      <c r="B3781" s="2" t="str">
        <f>IFERROR(__xludf.DUMMYFUNCTION("GOOGLETRANSLATE(A3781, ""en"", ""mt"")"),"differenza")</f>
        <v>differenza</v>
      </c>
    </row>
    <row r="3782" ht="15.75" customHeight="1">
      <c r="A3782" s="2" t="s">
        <v>3782</v>
      </c>
      <c r="B3782" s="2" t="str">
        <f>IFERROR(__xludf.DUMMYFUNCTION("GOOGLETRANSLATE(A3782, ""en"", ""mt"")"),"Meta l-Arabja Sawdita ssieħbet fl-embargo?")</f>
        <v>Meta l-Arabja Sawdita ssieħbet fl-embargo?</v>
      </c>
    </row>
    <row r="3783" ht="15.75" customHeight="1">
      <c r="A3783" s="2" t="s">
        <v>3783</v>
      </c>
      <c r="B3783" s="2" t="str">
        <f>IFERROR(__xludf.DUMMYFUNCTION("GOOGLETRANSLATE(A3783, ""en"", ""mt"")"),"Biex tevita l- ""inkonvenjent"" li żżur tabib jew li jiksbu mediċini li t-tobba tagħhom ma riedux jippreskrivu")</f>
        <v>Biex tevita l- "inkonvenjent" li żżur tabib jew li jiksbu mediċini li t-tobba tagħhom ma riedux jippreskrivu</v>
      </c>
    </row>
    <row r="3784" ht="15.75" customHeight="1">
      <c r="A3784" s="2" t="s">
        <v>3784</v>
      </c>
      <c r="B3784" s="2" t="str">
        <f>IFERROR(__xludf.DUMMYFUNCTION("GOOGLETRANSLATE(A3784, ""en"", ""mt"")"),"L-Uighurs ċedew b'mod paċifiku mingħajr ma jirreżistu b'mod vjolenti")</f>
        <v>L-Uighurs ċedew b'mod paċifiku mingħajr ma jirreżistu b'mod vjolenti</v>
      </c>
    </row>
    <row r="3785" ht="15.75" customHeight="1">
      <c r="A3785" s="2" t="s">
        <v>3785</v>
      </c>
      <c r="B3785" s="2" t="str">
        <f>IFERROR(__xludf.DUMMYFUNCTION("GOOGLETRANSLATE(A3785, ""en"", ""mt"")"),"X'inhuma l-iktar tip abbundanti ta 'fagoċiti?")</f>
        <v>X'inhuma l-iktar tip abbundanti ta 'fagoċiti?</v>
      </c>
    </row>
    <row r="3786" ht="15.75" customHeight="1">
      <c r="A3786" s="2" t="s">
        <v>3786</v>
      </c>
      <c r="B3786" s="2" t="str">
        <f>IFERROR(__xludf.DUMMYFUNCTION("GOOGLETRANSLATE(A3786, ""en"", ""mt"")"),"X'inhu l-isem mogħti lis-sekwenza tal-input ta 'problema tal-komputazzjoni?")</f>
        <v>X'inhu l-isem mogħti lis-sekwenza tal-input ta 'problema tal-komputazzjoni?</v>
      </c>
    </row>
    <row r="3787" ht="15.75" customHeight="1">
      <c r="A3787" s="2" t="s">
        <v>3787</v>
      </c>
      <c r="B3787" s="2" t="str">
        <f>IFERROR(__xludf.DUMMYFUNCTION("GOOGLETRANSLATE(A3787, ""en"", ""mt"")"),"Fl-1992, liema persentaġġ ta 'studenti tal-Ġermanja tal-Lvant attendew skejjel privati?")</f>
        <v>Fl-1992, liema persentaġġ ta 'studenti tal-Ġermanja tal-Lvant attendew skejjel privati?</v>
      </c>
    </row>
    <row r="3788" ht="15.75" customHeight="1">
      <c r="A3788" s="2" t="s">
        <v>3788</v>
      </c>
      <c r="B3788" s="2" t="str">
        <f>IFERROR(__xludf.DUMMYFUNCTION("GOOGLETRANSLATE(A3788, ""en"", ""mt"")"),"ideat")</f>
        <v>ideat</v>
      </c>
    </row>
    <row r="3789" ht="15.75" customHeight="1">
      <c r="A3789" s="2" t="s">
        <v>3789</v>
      </c>
      <c r="B3789" s="2" t="str">
        <f>IFERROR(__xludf.DUMMYFUNCTION("GOOGLETRANSLATE(A3789, ""en"", ""mt"")"),"Meta ntemmet l- ""Età Erojka Ġermanika""?")</f>
        <v>Meta ntemmet l- "Età Erojka Ġermanika"?</v>
      </c>
    </row>
    <row r="3790" ht="15.75" customHeight="1">
      <c r="A3790" s="2" t="s">
        <v>3790</v>
      </c>
      <c r="B3790" s="2" t="str">
        <f>IFERROR(__xludf.DUMMYFUNCTION("GOOGLETRANSLATE(A3790, ""en"", ""mt"")"),"Olivier Messiaen")</f>
        <v>Olivier Messiaen</v>
      </c>
    </row>
    <row r="3791" ht="15.75" customHeight="1">
      <c r="A3791" s="2" t="s">
        <v>3791</v>
      </c>
      <c r="B3791" s="2" t="str">
        <f>IFERROR(__xludf.DUMMYFUNCTION("GOOGLETRANSLATE(A3791, ""en"", ""mt"")"),"Xi tfisser Untersee?")</f>
        <v>Xi tfisser Untersee?</v>
      </c>
    </row>
    <row r="3792" ht="15.75" customHeight="1">
      <c r="A3792" s="2" t="s">
        <v>3792</v>
      </c>
      <c r="B3792" s="2" t="str">
        <f>IFERROR(__xludf.DUMMYFUNCTION("GOOGLETRANSLATE(A3792, ""en"", ""mt"")"),"Aristotile pprovda diskussjoni filosofika tal-kunċett ta 'forza bħala parti integrali tal-kosmoloġija Aristoteljana. Fil-fehma ta 'Aristotile, l-isfera terrestri kien fiha erba' elementi li jiġu għall-mistrieħ f'postijiet naturali differenti fihom. Aristo"&amp;"tile kien jemmen li oġġetti bla waqfien fid-dinja, dawk komposti l-aktar mill-elementi tad-dinja u l-ilma, biex ikunu fil-post naturali tagħhom fuq l-art u li jibqgħu hekk jekk jitħallew waħedhom. Huwa ddistingwa bejn it-tendenza intrinsika ta 'oġġetti li"&amp;" jsibu l- ""post naturali"" tagħhom (per eżempju, biex il-korpi tqal jaqgħu), li wasslu għal ""moviment naturali"", u moviment mhux naturali jew sfurzat, li kien jeħtieġ l-applikazzjoni kontinwa ta' forza. Din it-teorija, ibbażata fuq l-esperjenza ta 'kul"&amp;"jum ta' kif l-oġġetti jiċċaqalqu, bħall-applikazzjoni kostanti ta 'forza meħtieġa biex iżżomm karrettun miexi, kellha problemi kunċettwali li tirrappreżenta l-imġieba tal-projettili, bħat-titjira tal-vleġeġ. Il-post fejn l-Archer jiċċaqlaq il-projettili k"&amp;"ien fil-bidu tat-titjira, u filwaqt li l-projettili baħħru fl-arja, l-ebda kawża effiċjenti li tista 'tinstab ma taġixxi fuqha. Aristotile kien konxju ta 'din il-problema u ppropona li l-arja spostata permezz tat-triq tal-projettili ġġorr il-projettili għ"&amp;"all-mira tagħha. Din l-ispjegazzjoni titlob kontinwu bħall-arja għall-bidla fil-post b'mod ġenerali.")</f>
        <v>Aristotile pprovda diskussjoni filosofika tal-kunċett ta 'forza bħala parti integrali tal-kosmoloġija Aristoteljana. Fil-fehma ta 'Aristotile, l-isfera terrestri kien fiha erba' elementi li jiġu għall-mistrieħ f'postijiet naturali differenti fihom. Aristotile kien jemmen li oġġetti bla waqfien fid-dinja, dawk komposti l-aktar mill-elementi tad-dinja u l-ilma, biex ikunu fil-post naturali tagħhom fuq l-art u li jibqgħu hekk jekk jitħallew waħedhom. Huwa ddistingwa bejn it-tendenza intrinsika ta 'oġġetti li jsibu l- "post naturali" tagħhom (per eżempju, biex il-korpi tqal jaqgħu), li wasslu għal "moviment naturali", u moviment mhux naturali jew sfurzat, li kien jeħtieġ l-applikazzjoni kontinwa ta' forza. Din it-teorija, ibbażata fuq l-esperjenza ta 'kuljum ta' kif l-oġġetti jiċċaqalqu, bħall-applikazzjoni kostanti ta 'forza meħtieġa biex iżżomm karrettun miexi, kellha problemi kunċettwali li tirrappreżenta l-imġieba tal-projettili, bħat-titjira tal-vleġeġ. Il-post fejn l-Archer jiċċaqlaq il-projettili kien fil-bidu tat-titjira, u filwaqt li l-projettili baħħru fl-arja, l-ebda kawża effiċjenti li tista 'tinstab ma taġixxi fuqha. Aristotile kien konxju ta 'din il-problema u ppropona li l-arja spostata permezz tat-triq tal-projettili ġġorr il-projettili għall-mira tagħha. Din l-ispjegazzjoni titlob kontinwu bħall-arja għall-bidla fil-post b'mod ġenerali.</v>
      </c>
    </row>
    <row r="3793" ht="15.75" customHeight="1">
      <c r="A3793" s="2" t="s">
        <v>3793</v>
      </c>
      <c r="B3793" s="2" t="str">
        <f>IFERROR(__xludf.DUMMYFUNCTION("GOOGLETRANSLATE(A3793, ""en"", ""mt"")"),"Liema sena aktar minn 375 uffiċjal attendew is-sessjoni tal-Bureau tal-IPCC?")</f>
        <v>Liema sena aktar minn 375 uffiċjal attendew is-sessjoni tal-Bureau tal-IPCC?</v>
      </c>
    </row>
    <row r="3794" ht="15.75" customHeight="1">
      <c r="A3794" s="2" t="s">
        <v>3794</v>
      </c>
      <c r="B3794" s="2" t="str">
        <f>IFERROR(__xludf.DUMMYFUNCTION("GOOGLETRANSLATE(A3794, ""en"", ""mt"")"),"dħul aktar baxx")</f>
        <v>dħul aktar baxx</v>
      </c>
    </row>
    <row r="3795" ht="15.75" customHeight="1">
      <c r="A3795" s="2" t="s">
        <v>3795</v>
      </c>
      <c r="B3795" s="2" t="str">
        <f>IFERROR(__xludf.DUMMYFUNCTION("GOOGLETRANSLATE(A3795, ""en"", ""mt"")"),"Tugh Temur")</f>
        <v>Tugh Temur</v>
      </c>
    </row>
    <row r="3796" ht="15.75" customHeight="1">
      <c r="A3796" s="2" t="s">
        <v>3796</v>
      </c>
      <c r="B3796" s="2" t="str">
        <f>IFERROR(__xludf.DUMMYFUNCTION("GOOGLETRANSLATE(A3796, ""en"", ""mt"")"),"Liema grupp jiffinanzja kompletament qabel l-iskola?")</f>
        <v>Liema grupp jiffinanzja kompletament qabel l-iskola?</v>
      </c>
    </row>
    <row r="3797" ht="15.75" customHeight="1">
      <c r="A3797" s="2" t="s">
        <v>3797</v>
      </c>
      <c r="B3797" s="2" t="str">
        <f>IFERROR(__xludf.DUMMYFUNCTION("GOOGLETRANSLATE(A3797, ""en"", ""mt"")"),"X'tista 'jestendi l-Att tal-Iskozja tal-2012?")</f>
        <v>X'tista 'jestendi l-Att tal-Iskozja tal-2012?</v>
      </c>
    </row>
    <row r="3798" ht="15.75" customHeight="1">
      <c r="A3798" s="2" t="s">
        <v>3798</v>
      </c>
      <c r="B3798" s="2" t="str">
        <f>IFERROR(__xludf.DUMMYFUNCTION("GOOGLETRANSLATE(A3798, ""en"", ""mt"")"),"Liema huwa aktar sofistikat, mudell numeriċi jew mudelli analogi ta 'kunjardi orogeniċi?")</f>
        <v>Liema huwa aktar sofistikat, mudell numeriċi jew mudelli analogi ta 'kunjardi orogeniċi?</v>
      </c>
    </row>
    <row r="3799" ht="15.75" customHeight="1">
      <c r="A3799" s="2" t="s">
        <v>3799</v>
      </c>
      <c r="B3799" s="2" t="str">
        <f>IFERROR(__xludf.DUMMYFUNCTION("GOOGLETRANSLATE(A3799, ""en"", ""mt"")"),"Fejn ma mxew l-ebda Spanjol Kattoliku wara l-akkwist Ingliż fi Florida?")</f>
        <v>Fejn ma mxew l-ebda Spanjol Kattoliku wara l-akkwist Ingliż fi Florida?</v>
      </c>
    </row>
    <row r="3800" ht="15.75" customHeight="1">
      <c r="A3800" s="2" t="s">
        <v>3800</v>
      </c>
      <c r="B3800" s="2" t="str">
        <f>IFERROR(__xludf.DUMMYFUNCTION("GOOGLETRANSLATE(A3800, ""en"", ""mt"")"),"Thomas Savery.")</f>
        <v>Thomas Savery.</v>
      </c>
    </row>
    <row r="3801" ht="15.75" customHeight="1">
      <c r="A3801" s="2" t="s">
        <v>3801</v>
      </c>
      <c r="B3801" s="2" t="str">
        <f>IFERROR(__xludf.DUMMYFUNCTION("GOOGLETRANSLATE(A3801, ""en"", ""mt"")"),"Meta ġie vvintat it-tip mobbli tal-fuħħar?")</f>
        <v>Meta ġie vvintat it-tip mobbli tal-fuħħar?</v>
      </c>
    </row>
    <row r="3802" ht="15.75" customHeight="1">
      <c r="A3802" s="2" t="s">
        <v>3802</v>
      </c>
      <c r="B3802" s="2" t="str">
        <f>IFERROR(__xludf.DUMMYFUNCTION("GOOGLETRANSLATE(A3802, ""en"", ""mt"")"),"X'inhu uniku dwar hermaphrodite?")</f>
        <v>X'inhu uniku dwar hermaphrodite?</v>
      </c>
    </row>
    <row r="3803" ht="15.75" customHeight="1">
      <c r="A3803" s="2" t="s">
        <v>3803</v>
      </c>
      <c r="B3803" s="2" t="str">
        <f>IFERROR(__xludf.DUMMYFUNCTION("GOOGLETRANSLATE(A3803, ""en"", ""mt"")"),"Min ħa r-re Skoċċiż?")</f>
        <v>Min ħa r-re Skoċċiż?</v>
      </c>
    </row>
    <row r="3804" ht="15.75" customHeight="1">
      <c r="A3804" s="2" t="s">
        <v>3804</v>
      </c>
      <c r="B3804" s="2" t="str">
        <f>IFERROR(__xludf.DUMMYFUNCTION("GOOGLETRANSLATE(A3804, ""en"", ""mt"")"),"X'inhu l-isem tal-mużew u ċ-ċentru ta 'riċerka għall-istudji tal-Lvant Qarib, li huwa proprjetà tal-università?")</f>
        <v>X'inhu l-isem tal-mużew u ċ-ċentru ta 'riċerka għall-istudji tal-Lvant Qarib, li huwa proprjetà tal-università?</v>
      </c>
    </row>
    <row r="3805" ht="15.75" customHeight="1">
      <c r="A3805" s="2" t="s">
        <v>3805</v>
      </c>
      <c r="B3805" s="2" t="str">
        <f>IFERROR(__xludf.DUMMYFUNCTION("GOOGLETRANSLATE(A3805, ""en"", ""mt"")"),"Min kellu Mathmatical Insite?")</f>
        <v>Min kellu Mathmatical Insite?</v>
      </c>
    </row>
    <row r="3806" ht="15.75" customHeight="1">
      <c r="A3806" s="2" t="s">
        <v>3806</v>
      </c>
      <c r="B3806" s="2" t="str">
        <f>IFERROR(__xludf.DUMMYFUNCTION("GOOGLETRANSLATE(A3806, ""en"", ""mt"")"),"Il-kosta tat-teknoloġija")</f>
        <v>Il-kosta tat-teknoloġija</v>
      </c>
    </row>
    <row r="3807" ht="15.75" customHeight="1">
      <c r="A3807" s="2" t="s">
        <v>3807</v>
      </c>
      <c r="B3807" s="2" t="str">
        <f>IFERROR(__xludf.DUMMYFUNCTION("GOOGLETRANSLATE(A3807, ""en"", ""mt"")"),"X'inhu ekwivalenti għal 103.1 kPa?")</f>
        <v>X'inhu ekwivalenti għal 103.1 kPa?</v>
      </c>
    </row>
    <row r="3808" ht="15.75" customHeight="1">
      <c r="A3808" s="2" t="s">
        <v>3808</v>
      </c>
      <c r="B3808" s="2" t="str">
        <f>IFERROR(__xludf.DUMMYFUNCTION("GOOGLETRANSLATE(A3808, ""en"", ""mt"")"),"Liema xjenzati politiċi magħrufa bħalissa jinsabu fil-fakultà tal-università?")</f>
        <v>Liema xjenzati politiċi magħrufa bħalissa jinsabu fil-fakultà tal-università?</v>
      </c>
    </row>
    <row r="3809" ht="15.75" customHeight="1">
      <c r="A3809" s="2" t="s">
        <v>3809</v>
      </c>
      <c r="B3809" s="2" t="str">
        <f>IFERROR(__xludf.DUMMYFUNCTION("GOOGLETRANSLATE(A3809, ""en"", ""mt"")"),"Ir-rekwiżiti taż-żoni, l-impatt ambjentali, l-ibbaġitjar, u l-loġistika huma affarijiet li għandhom jikkunsidraw?")</f>
        <v>Ir-rekwiżiti taż-żoni, l-impatt ambjentali, l-ibbaġitjar, u l-loġistika huma affarijiet li għandhom jikkunsidraw?</v>
      </c>
    </row>
    <row r="3810" ht="15.75" customHeight="1">
      <c r="A3810" s="2" t="s">
        <v>3810</v>
      </c>
      <c r="B3810" s="2" t="str">
        <f>IFERROR(__xludf.DUMMYFUNCTION("GOOGLETRANSLATE(A3810, ""en"", ""mt"")"),"X’jikkawżaw livelli ta ’ormoni miżjuda fl-adulti li qed jixjieħu?")</f>
        <v>X’jikkawżaw livelli ta ’ormoni miżjuda fl-adulti li qed jixjieħu?</v>
      </c>
    </row>
    <row r="3811" ht="15.75" customHeight="1">
      <c r="A3811" s="2" t="s">
        <v>3811</v>
      </c>
      <c r="B3811" s="2" t="str">
        <f>IFERROR(__xludf.DUMMYFUNCTION("GOOGLETRANSLATE(A3811, ""en"", ""mt"")"),"Liema parti tifforma l-Parlament Skoċċiż?")</f>
        <v>Liema parti tifforma l-Parlament Skoċċiż?</v>
      </c>
    </row>
    <row r="3812" ht="15.75" customHeight="1">
      <c r="A3812" s="2" t="s">
        <v>3812</v>
      </c>
      <c r="B3812" s="2" t="str">
        <f>IFERROR(__xludf.DUMMYFUNCTION("GOOGLETRANSLATE(A3812, ""en"", ""mt"")"),"1115")</f>
        <v>1115</v>
      </c>
    </row>
    <row r="3813" ht="15.75" customHeight="1">
      <c r="A3813" s="2" t="s">
        <v>3813</v>
      </c>
      <c r="B3813" s="2" t="str">
        <f>IFERROR(__xludf.DUMMYFUNCTION("GOOGLETRANSLATE(A3813, ""en"", ""mt"")"),"Meta Toyota qalet li se tagħlaq l-impjant tar-Rabat tagħha?")</f>
        <v>Meta Toyota qalet li se tagħlaq l-impjant tar-Rabat tagħha?</v>
      </c>
    </row>
    <row r="3814" ht="15.75" customHeight="1">
      <c r="A3814" s="2" t="s">
        <v>3814</v>
      </c>
      <c r="B3814" s="2" t="str">
        <f>IFERROR(__xludf.DUMMYFUNCTION("GOOGLETRANSLATE(A3814, ""en"", ""mt"")")," Meta kien rifless il-kumpless politiku militari mhux rifless fuq l-ambitu tal-fehim tal-imperjalizmu?")</f>
        <v> Meta kien rifless il-kumpless politiku militari mhux rifless fuq l-ambitu tal-fehim tal-imperjalizmu?</v>
      </c>
    </row>
    <row r="3815" ht="15.75" customHeight="1">
      <c r="A3815" s="2" t="s">
        <v>3815</v>
      </c>
      <c r="B3815" s="2" t="str">
        <f>IFERROR(__xludf.DUMMYFUNCTION("GOOGLETRANSLATE(A3815, ""en"", ""mt"")"),"l-istanza")</f>
        <v>l-istanza</v>
      </c>
    </row>
    <row r="3816" ht="15.75" customHeight="1">
      <c r="A3816" s="2" t="s">
        <v>3816</v>
      </c>
      <c r="B3816" s="2" t="str">
        <f>IFERROR(__xludf.DUMMYFUNCTION("GOOGLETRANSLATE(A3816, ""en"", ""mt"")"),"Fejn huma l-meded tat-temperatura tas-sajf 70-50s?")</f>
        <v>Fejn huma l-meded tat-temperatura tas-sajf 70-50s?</v>
      </c>
    </row>
    <row r="3817" ht="15.75" customHeight="1">
      <c r="A3817" s="2" t="s">
        <v>3817</v>
      </c>
      <c r="B3817" s="2" t="str">
        <f>IFERROR(__xludf.DUMMYFUNCTION("GOOGLETRANSLATE(A3817, ""en"", ""mt"")"),"Little Hugos, jew dawk li jixtiequ Hugo.")</f>
        <v>Little Hugos, jew dawk li jixtiequ Hugo.</v>
      </c>
    </row>
    <row r="3818" ht="15.75" customHeight="1">
      <c r="A3818" s="2" t="s">
        <v>3818</v>
      </c>
      <c r="B3818" s="2" t="str">
        <f>IFERROR(__xludf.DUMMYFUNCTION("GOOGLETRANSLATE(A3818, ""en"", ""mt"")"),"Min normalment jimmaniġġja xogħol ta 'kostruzzjoni?")</f>
        <v>Min normalment jimmaniġġja xogħol ta 'kostruzzjoni?</v>
      </c>
    </row>
    <row r="3819" ht="15.75" customHeight="1">
      <c r="A3819" s="2" t="s">
        <v>3819</v>
      </c>
      <c r="B3819" s="2" t="str">
        <f>IFERROR(__xludf.DUMMYFUNCTION("GOOGLETRANSLATE(A3819, ""en"", ""mt"")"),"Min hu meqjus bħala l-ewwel ġeologu modern?")</f>
        <v>Min hu meqjus bħala l-ewwel ġeologu modern?</v>
      </c>
    </row>
    <row r="3820" ht="15.75" customHeight="1">
      <c r="A3820" s="2" t="s">
        <v>3820</v>
      </c>
      <c r="B3820" s="2" t="str">
        <f>IFERROR(__xludf.DUMMYFUNCTION("GOOGLETRANSLATE(A3820, ""en"", ""mt"")"),"X'inhu ossiġnu minflok ossidant?")</f>
        <v>X'inhu ossiġnu minflok ossidant?</v>
      </c>
    </row>
    <row r="3821" ht="15.75" customHeight="1">
      <c r="A3821" s="2" t="s">
        <v>3821</v>
      </c>
      <c r="B3821" s="2" t="str">
        <f>IFERROR(__xludf.DUMMYFUNCTION("GOOGLETRANSLATE(A3821, ""en"", ""mt"")"),"Li tillimita l-konkrit tal-ħin tal-komputazzjoni ta 'spiss tipproduċi klassijiet ta' kumplessità li jiddependu fuq xiex?")</f>
        <v>Li tillimita l-konkrit tal-ħin tal-komputazzjoni ta 'spiss tipproduċi klassijiet ta' kumplessità li jiddependu fuq xiex?</v>
      </c>
    </row>
    <row r="3822" ht="15.75" customHeight="1">
      <c r="A3822" s="2" t="s">
        <v>3822</v>
      </c>
      <c r="B3822" s="2" t="str">
        <f>IFERROR(__xludf.DUMMYFUNCTION("GOOGLETRANSLATE(A3822, ""en"", ""mt"")"),"Fakultà tal-passat inkludew ukoll l-Eġitologu James Henry Breasted, il-matematiku Alberto Calderón, l-ekonomista rebbieħa tal-Premju Nobel u d-difensur tal-liberaliżmu klassiku Friedrich Hayek, it-meteorologu Ted Fujita, l-ispiżjar Glenn T. Seaborg, l-iżv"&amp;"iluppatur tal-kunċett ta 'l-attinide u r-rebbieħ tal-Premju Nobel Yuan T. Lee, Ir-rumanzier rebbieħ tal-Premju Nobel Saul Bellow, filosofu politiku u l-awtur Allan Bloom, ir-riċerkaturi tal-kanċer Charles Brenton Huggins u Janet Rowley, l-astronomu Gerard"&amp;" Kuiper, wieħed mill-iktar figuri importanti fid-dixxiplina tad-dixxiplina tad-dixxiplina tal-lingwistika Edward Sapir, u l-fundatur ta ’McKinsey &amp; Co., James O. McKinsey.")</f>
        <v>Fakultà tal-passat inkludew ukoll l-Eġitologu James Henry Breasted, il-matematiku Alberto Calderón, l-ekonomista rebbieħa tal-Premju Nobel u d-difensur tal-liberaliżmu klassiku Friedrich Hayek, it-meteorologu Ted Fujita, l-ispiżjar Glenn T. Seaborg, l-iżviluppatur tal-kunċett ta 'l-attinide u r-rebbieħ tal-Premju Nobel Yuan T. Lee, Ir-rumanzier rebbieħ tal-Premju Nobel Saul Bellow, filosofu politiku u l-awtur Allan Bloom, ir-riċerkaturi tal-kanċer Charles Brenton Huggins u Janet Rowley, l-astronomu Gerard Kuiper, wieħed mill-iktar figuri importanti fid-dixxiplina tad-dixxiplina tad-dixxiplina tal-lingwistika Edward Sapir, u l-fundatur ta ’McKinsey &amp; Co., James O. McKinsey.</v>
      </c>
    </row>
    <row r="3823" ht="15.75" customHeight="1">
      <c r="A3823" s="2" t="s">
        <v>3823</v>
      </c>
      <c r="B3823" s="2" t="str">
        <f>IFERROR(__xludf.DUMMYFUNCTION("GOOGLETRANSLATE(A3823, ""en"", ""mt"")"),"Peress li Thoreau ma kienx kittieb magħruf x’ġara meta ġie arrestat?")</f>
        <v>Peress li Thoreau ma kienx kittieb magħruf x’ġara meta ġie arrestat?</v>
      </c>
    </row>
    <row r="3824" ht="15.75" customHeight="1">
      <c r="A3824" s="2" t="s">
        <v>3824</v>
      </c>
      <c r="B3824" s="2" t="str">
        <f>IFERROR(__xludf.DUMMYFUNCTION("GOOGLETRANSLATE(A3824, ""en"", ""mt"")"),"Min ikkawża x-xoljiment tal-Imperu Ruman Qaddis?")</f>
        <v>Min ikkawża x-xoljiment tal-Imperu Ruman Qaddis?</v>
      </c>
    </row>
    <row r="3825" ht="15.75" customHeight="1">
      <c r="A3825" s="2" t="s">
        <v>3825</v>
      </c>
      <c r="B3825" s="2" t="str">
        <f>IFERROR(__xludf.DUMMYFUNCTION("GOOGLETRANSLATE(A3825, ""en"", ""mt"")"),"Madwar 1,000 suldat Ingliż inqatlu jew indarbu.")</f>
        <v>Madwar 1,000 suldat Ingliż inqatlu jew indarbu.</v>
      </c>
    </row>
    <row r="3826" ht="15.75" customHeight="1">
      <c r="A3826" s="2" t="s">
        <v>3826</v>
      </c>
      <c r="B3826" s="2" t="str">
        <f>IFERROR(__xludf.DUMMYFUNCTION("GOOGLETRANSLATE(A3826, ""en"", ""mt"")"),"Liema premju ngħata lil Corliss?")</f>
        <v>Liema premju ngħata lil Corliss?</v>
      </c>
    </row>
    <row r="3827" ht="15.75" customHeight="1">
      <c r="A3827" s="2" t="s">
        <v>3827</v>
      </c>
      <c r="B3827" s="2" t="str">
        <f>IFERROR(__xludf.DUMMYFUNCTION("GOOGLETRANSLATE(A3827, ""en"", ""mt"")"),"X'jiffaċċjaw il-bini tal-Kontea ta 'l-ex Midlothian?")</f>
        <v>X'jiffaċċjaw il-bini tal-Kontea ta 'l-ex Midlothian?</v>
      </c>
    </row>
    <row r="3828" ht="15.75" customHeight="1">
      <c r="A3828" s="2" t="s">
        <v>3828</v>
      </c>
      <c r="B3828" s="2" t="str">
        <f>IFERROR(__xludf.DUMMYFUNCTION("GOOGLETRANSLATE(A3828, ""en"", ""mt"")"),"Sema +")</f>
        <v>Sema +</v>
      </c>
    </row>
    <row r="3829" ht="15.75" customHeight="1">
      <c r="A3829" s="2" t="s">
        <v>3829</v>
      </c>
      <c r="B3829" s="2" t="str">
        <f>IFERROR(__xludf.DUMMYFUNCTION("GOOGLETRANSLATE(A3829, ""en"", ""mt"")"),"Prodott ta 'primes")</f>
        <v>Prodott ta 'primes</v>
      </c>
    </row>
    <row r="3830" ht="15.75" customHeight="1">
      <c r="A3830" s="2" t="s">
        <v>3830</v>
      </c>
      <c r="B3830" s="2" t="str">
        <f>IFERROR(__xludf.DUMMYFUNCTION("GOOGLETRANSLATE(A3830, ""en"", ""mt"")"),"enerġija solari, enerġija nukleari jew enerġija ġeotermali")</f>
        <v>enerġija solari, enerġija nukleari jew enerġija ġeotermali</v>
      </c>
    </row>
    <row r="3831" ht="15.75" customHeight="1">
      <c r="A3831" s="2" t="s">
        <v>3831</v>
      </c>
      <c r="B3831" s="2" t="str">
        <f>IFERROR(__xludf.DUMMYFUNCTION("GOOGLETRANSLATE(A3831, ""en"", ""mt"")"),"F'liema oqsma jistgħu jaħdmu wkoll l-informatika tal-ispiżerija?")</f>
        <v>F'liema oqsma jistgħu jaħdmu wkoll l-informatika tal-ispiżerija?</v>
      </c>
    </row>
    <row r="3832" ht="15.75" customHeight="1">
      <c r="A3832" s="2" t="s">
        <v>3832</v>
      </c>
      <c r="B3832" s="2" t="str">
        <f>IFERROR(__xludf.DUMMYFUNCTION("GOOGLETRANSLATE(A3832, ""en"", ""mt"")"),"X'inhi trasformazzjoni ta 'żewġ problemi fi tliet problemi?")</f>
        <v>X'inhi trasformazzjoni ta 'żewġ problemi fi tliet problemi?</v>
      </c>
    </row>
    <row r="3833" ht="15.75" customHeight="1">
      <c r="A3833" s="2" t="s">
        <v>3833</v>
      </c>
      <c r="B3833" s="2" t="str">
        <f>IFERROR(__xludf.DUMMYFUNCTION("GOOGLETRANSLATE(A3833, ""en"", ""mt"")"),"Fejn Moncalm niżel biex jattakka, ħalla l-biċċa l-kbira protett?")</f>
        <v>Fejn Moncalm niżel biex jattakka, ħalla l-biċċa l-kbira protett?</v>
      </c>
    </row>
    <row r="3834" ht="15.75" customHeight="1">
      <c r="A3834" s="2" t="s">
        <v>3834</v>
      </c>
      <c r="B3834" s="2" t="str">
        <f>IFERROR(__xludf.DUMMYFUNCTION("GOOGLETRANSLATE(A3834, ""en"", ""mt"")"),"Ir-ruhr")</f>
        <v>Ir-ruhr</v>
      </c>
    </row>
    <row r="3835" ht="15.75" customHeight="1">
      <c r="A3835" s="2" t="s">
        <v>3835</v>
      </c>
      <c r="B3835" s="2" t="str">
        <f>IFERROR(__xludf.DUMMYFUNCTION("GOOGLETRANSLATE(A3835, ""en"", ""mt"")"),"Ma 'liema kienu konnessi postijiet magħżula?")</f>
        <v>Ma 'liema kienu konnessi postijiet magħżula?</v>
      </c>
    </row>
    <row r="3836" ht="15.75" customHeight="1">
      <c r="A3836" s="2" t="s">
        <v>3836</v>
      </c>
      <c r="B3836" s="2" t="str">
        <f>IFERROR(__xludf.DUMMYFUNCTION("GOOGLETRANSLATE(A3836, ""en"", ""mt"")"),"Hemm xi komunitajiet oħra ta 'l-avjazzjoni bħal Sierra Sky Park fl-Istati Uniti?")</f>
        <v>Hemm xi komunitajiet oħra ta 'l-avjazzjoni bħal Sierra Sky Park fl-Istati Uniti?</v>
      </c>
    </row>
    <row r="3837" ht="15.75" customHeight="1">
      <c r="A3837" s="2" t="s">
        <v>3837</v>
      </c>
      <c r="B3837" s="2" t="str">
        <f>IFERROR(__xludf.DUMMYFUNCTION("GOOGLETRANSLATE(A3837, ""en"", ""mt"")"),"X'inhu l-ossiġenu-16 il-eħfef?")</f>
        <v>X'inhu l-ossiġenu-16 il-eħfef?</v>
      </c>
    </row>
    <row r="3838" ht="15.75" customHeight="1">
      <c r="A3838" s="2" t="s">
        <v>3838</v>
      </c>
      <c r="B3838" s="2" t="str">
        <f>IFERROR(__xludf.DUMMYFUNCTION("GOOGLETRANSLATE(A3838, ""en"", ""mt"")"),"Min appella għal aktar sorveljanza tal-gvern fl-IPCC?")</f>
        <v>Min appella għal aktar sorveljanza tal-gvern fl-IPCC?</v>
      </c>
    </row>
    <row r="3839" ht="15.75" customHeight="1">
      <c r="A3839" s="2" t="s">
        <v>3839</v>
      </c>
      <c r="B3839" s="2" t="str">
        <f>IFERROR(__xludf.DUMMYFUNCTION("GOOGLETRANSLATE(A3839, ""en"", ""mt"")"),"Ottoman")</f>
        <v>Ottoman</v>
      </c>
    </row>
    <row r="3840" ht="15.75" customHeight="1">
      <c r="A3840" s="2" t="s">
        <v>3840</v>
      </c>
      <c r="B3840" s="2" t="str">
        <f>IFERROR(__xludf.DUMMYFUNCTION("GOOGLETRANSLATE(A3840, ""en"", ""mt"")"),"Maniġer tal-Kostruzzjoni, Inġinier tad-Disinn, Inġinier tal-Kostruzzjoni jew Maniġer tal-Proġett")</f>
        <v>Maniġer tal-Kostruzzjoni, Inġinier tad-Disinn, Inġinier tal-Kostruzzjoni jew Maniġer tal-Proġett</v>
      </c>
    </row>
    <row r="3841" ht="15.75" customHeight="1">
      <c r="A3841" s="2" t="s">
        <v>3841</v>
      </c>
      <c r="B3841" s="2" t="str">
        <f>IFERROR(__xludf.DUMMYFUNCTION("GOOGLETRANSLATE(A3841, ""en"", ""mt"")"),"Is-silta ta 'liema att ta lil Victoria l-gvern tiegħu stess?")</f>
        <v>Is-silta ta 'liema att ta lil Victoria l-gvern tiegħu stess?</v>
      </c>
    </row>
    <row r="3842" ht="15.75" customHeight="1">
      <c r="A3842" s="2" t="s">
        <v>3842</v>
      </c>
      <c r="B3842" s="2" t="str">
        <f>IFERROR(__xludf.DUMMYFUNCTION("GOOGLETRANSLATE(A3842, ""en"", ""mt"")"),"Ix-xogħol tiegħu ġie ppubblikat l-ewwel")</f>
        <v>Ix-xogħol tiegħu ġie ppubblikat l-ewwel</v>
      </c>
    </row>
    <row r="3843" ht="15.75" customHeight="1">
      <c r="A3843" s="2" t="s">
        <v>3843</v>
      </c>
      <c r="B3843" s="2" t="str">
        <f>IFERROR(__xludf.DUMMYFUNCTION("GOOGLETRANSLATE(A3843, ""en"", ""mt"")"),"X'jiġri mill-fluwidu tax-xogħol f'sistema tal-kimika?")</f>
        <v>X'jiġri mill-fluwidu tax-xogħol f'sistema tal-kimika?</v>
      </c>
    </row>
    <row r="3844" ht="15.75" customHeight="1">
      <c r="A3844" s="2" t="s">
        <v>3844</v>
      </c>
      <c r="B3844" s="2" t="str">
        <f>IFERROR(__xludf.DUMMYFUNCTION("GOOGLETRANSLATE(A3844, ""en"", ""mt"")"),"14,000")</f>
        <v>14,000</v>
      </c>
    </row>
    <row r="3845" ht="15.75" customHeight="1">
      <c r="A3845" s="2" t="s">
        <v>3845</v>
      </c>
      <c r="B3845" s="2" t="str">
        <f>IFERROR(__xludf.DUMMYFUNCTION("GOOGLETRANSLATE(A3845, ""en"", ""mt"")"),"X'inhuma t-tliet setturi tal-kostruzzjoni?")</f>
        <v>X'inhuma t-tliet setturi tal-kostruzzjoni?</v>
      </c>
    </row>
    <row r="3846" ht="15.75" customHeight="1">
      <c r="A3846" s="2" t="s">
        <v>3846</v>
      </c>
      <c r="B3846" s="2" t="str">
        <f>IFERROR(__xludf.DUMMYFUNCTION("GOOGLETRANSLATE(A3846, ""en"", ""mt"")"),"X'inhu t-tkabbir ekonomiku biżżejjed għall-progress?")</f>
        <v>X'inhu t-tkabbir ekonomiku biżżejjed għall-progress?</v>
      </c>
    </row>
    <row r="3847" ht="15.75" customHeight="1">
      <c r="A3847" s="2" t="s">
        <v>3847</v>
      </c>
      <c r="B3847" s="2" t="str">
        <f>IFERROR(__xludf.DUMMYFUNCTION("GOOGLETRANSLATE(A3847, ""en"", ""mt"")"),"Ġerarkija xierqa fuq il-klassijiet definiti")</f>
        <v>Ġerarkija xierqa fuq il-klassijiet definiti</v>
      </c>
    </row>
    <row r="3848" ht="15.75" customHeight="1">
      <c r="A3848" s="2" t="s">
        <v>3848</v>
      </c>
      <c r="B3848" s="2" t="str">
        <f>IFERROR(__xludf.DUMMYFUNCTION("GOOGLETRANSLATE(A3848, ""en"", ""mt"")"),"Ir-rati rrappurtati ta 'mortalità fiż-żoni rurali matul il-pandemija tas-seklu 14 kienu inkonsistenti mal-pesta bubonika moderna")</f>
        <v>Ir-rati rrappurtati ta 'mortalità fiż-żoni rurali matul il-pandemija tas-seklu 14 kienu inkonsistenti mal-pesta bubonika moderna</v>
      </c>
    </row>
    <row r="3849" ht="15.75" customHeight="1">
      <c r="A3849" s="2" t="s">
        <v>3849</v>
      </c>
      <c r="B3849" s="2" t="str">
        <f>IFERROR(__xludf.DUMMYFUNCTION("GOOGLETRANSLATE(A3849, ""en"", ""mt"")"),"Massachusetts Bay Colony")</f>
        <v>Massachusetts Bay Colony</v>
      </c>
    </row>
    <row r="3850" ht="15.75" customHeight="1">
      <c r="A3850" s="2" t="s">
        <v>3850</v>
      </c>
      <c r="B3850" s="2" t="str">
        <f>IFERROR(__xludf.DUMMYFUNCTION("GOOGLETRANSLATE(A3850, ""en"", ""mt"")"),"Deċiżjoni")</f>
        <v>Deċiżjoni</v>
      </c>
    </row>
    <row r="3851" ht="15.75" customHeight="1">
      <c r="A3851" s="2" t="s">
        <v>3851</v>
      </c>
      <c r="B3851" s="2" t="str">
        <f>IFERROR(__xludf.DUMMYFUNCTION("GOOGLETRANSLATE(A3851, ""en"", ""mt"")"),"Liema problema kellha xi dejta dwar iċ-ċirku tas-siġar?")</f>
        <v>Liema problema kellha xi dejta dwar iċ-ċirku tas-siġar?</v>
      </c>
    </row>
    <row r="3852" ht="15.75" customHeight="1">
      <c r="A3852" s="2" t="s">
        <v>3852</v>
      </c>
      <c r="B3852" s="2" t="str">
        <f>IFERROR(__xludf.DUMMYFUNCTION("GOOGLETRANSLATE(A3852, ""en"", ""mt"")"),"Liema persentaġġ ta 'effiċjenza ta' magna bi pressjoni għolja kiseb il-magna kompost?")</f>
        <v>Liema persentaġġ ta 'effiċjenza ta' magna bi pressjoni għolja kiseb il-magna kompost?</v>
      </c>
    </row>
    <row r="3853" ht="15.75" customHeight="1">
      <c r="A3853" s="2" t="s">
        <v>3853</v>
      </c>
      <c r="B3853" s="2" t="str">
        <f>IFERROR(__xludf.DUMMYFUNCTION("GOOGLETRANSLATE(A3853, ""en"", ""mt"")"),"Kif ħass William Shirley dwar l-avvanz bl-Ingliż?")</f>
        <v>Kif ħass William Shirley dwar l-avvanz bl-Ingliż?</v>
      </c>
    </row>
    <row r="3854" ht="15.75" customHeight="1">
      <c r="A3854" s="2" t="s">
        <v>3854</v>
      </c>
      <c r="B3854" s="2" t="str">
        <f>IFERROR(__xludf.DUMMYFUNCTION("GOOGLETRANSLATE(A3854, ""en"", ""mt"")"),"X'inhuma l-orbitali ogħla mimlija ta 'ossiġenu?")</f>
        <v>X'inhuma l-orbitali ogħla mimlija ta 'ossiġenu?</v>
      </c>
    </row>
    <row r="3855" ht="15.75" customHeight="1">
      <c r="A3855" s="2" t="s">
        <v>3855</v>
      </c>
      <c r="B3855" s="2" t="str">
        <f>IFERROR(__xludf.DUMMYFUNCTION("GOOGLETRANSLATE(A3855, ""en"", ""mt"")"),"Iċ-ċelloli dendritiċi jippreżentaw antiġeni għal liema ċelloli tas-sistema nervuża adattiva?")</f>
        <v>Iċ-ċelloli dendritiċi jippreżentaw antiġeni għal liema ċelloli tas-sistema nervuża adattiva?</v>
      </c>
    </row>
    <row r="3856" ht="15.75" customHeight="1">
      <c r="A3856" s="2" t="s">
        <v>3856</v>
      </c>
      <c r="B3856" s="2" t="str">
        <f>IFERROR(__xludf.DUMMYFUNCTION("GOOGLETRANSLATE(A3856, ""en"", ""mt"")"),"In-Nofsinhar ta ’California hija d-dar għal ħafna distretti kummerċjali ewlenin. Distretti tan-Negozju Ċentrali (CBD) jinkludu downtown ta ’Los Angeles, Downtown San Diego, Downtown San Bernardino, Downtown Bakersfield, South Coast Metro u Downtown Rivers"&amp;"ide.")</f>
        <v>In-Nofsinhar ta ’California hija d-dar għal ħafna distretti kummerċjali ewlenin. Distretti tan-Negozju Ċentrali (CBD) jinkludu downtown ta ’Los Angeles, Downtown San Diego, Downtown San Bernardino, Downtown Bakersfield, South Coast Metro u Downtown Riverside.</v>
      </c>
    </row>
    <row r="3857" ht="15.75" customHeight="1">
      <c r="A3857" s="2" t="s">
        <v>3857</v>
      </c>
      <c r="B3857" s="2" t="str">
        <f>IFERROR(__xludf.DUMMYFUNCTION("GOOGLETRANSLATE(A3857, ""en"", ""mt"")"),"Minn fejn kien oriġinarjament Andrew Lortie?")</f>
        <v>Minn fejn kien oriġinarjament Andrew Lortie?</v>
      </c>
    </row>
    <row r="3858" ht="15.75" customHeight="1">
      <c r="A3858" s="2" t="s">
        <v>3858</v>
      </c>
      <c r="B3858" s="2" t="str">
        <f>IFERROR(__xludf.DUMMYFUNCTION("GOOGLETRANSLATE(A3858, ""en"", ""mt"")"),"Varjabbli tal-pożizzjoni klassika")</f>
        <v>Varjabbli tal-pożizzjoni klassika</v>
      </c>
    </row>
    <row r="3859" ht="15.75" customHeight="1">
      <c r="A3859" s="2" t="s">
        <v>3859</v>
      </c>
      <c r="B3859" s="2" t="str">
        <f>IFERROR(__xludf.DUMMYFUNCTION("GOOGLETRANSLATE(A3859, ""en"", ""mt"")"),"Fredericia (id-Danimarka), Berlin, Stokkolma, Hamburg, Frankfurt, Ħelsinki, u Emden")</f>
        <v>Fredericia (id-Danimarka), Berlin, Stokkolma, Hamburg, Frankfurt, Ħelsinki, u Emden</v>
      </c>
    </row>
    <row r="3860" ht="15.75" customHeight="1">
      <c r="A3860" s="2" t="s">
        <v>3860</v>
      </c>
      <c r="B3860" s="2" t="str">
        <f>IFERROR(__xludf.DUMMYFUNCTION("GOOGLETRANSLATE(A3860, ""en"", ""mt"")"),"Dak li ġeneralment ma jippermettix liċ-ċittadini biex iħarrku ċittadini oħra?")</f>
        <v>Dak li ġeneralment ma jippermettix liċ-ċittadini biex iħarrku ċittadini oħra?</v>
      </c>
    </row>
    <row r="3861" ht="15.75" customHeight="1">
      <c r="A3861" s="2" t="s">
        <v>3861</v>
      </c>
      <c r="B3861" s="2" t="str">
        <f>IFERROR(__xludf.DUMMYFUNCTION("GOOGLETRANSLATE(A3861, ""en"", ""mt"")"),"40 km wiesa '")</f>
        <v>40 km wiesa '</v>
      </c>
    </row>
    <row r="3862" ht="15.75" customHeight="1">
      <c r="A3862" s="2" t="s">
        <v>3862</v>
      </c>
      <c r="B3862" s="2" t="str">
        <f>IFERROR(__xludf.DUMMYFUNCTION("GOOGLETRANSLATE(A3862, ""en"", ""mt"")"),"X’għamel il-ftehim li ma kellux x'jaqsam fir-rigward tal-Ġermanja?")</f>
        <v>X’għamel il-ftehim li ma kellux x'jaqsam fir-rigward tal-Ġermanja?</v>
      </c>
    </row>
    <row r="3863" ht="15.75" customHeight="1">
      <c r="A3863" s="2" t="s">
        <v>3863</v>
      </c>
      <c r="B3863" s="2" t="str">
        <f>IFERROR(__xludf.DUMMYFUNCTION("GOOGLETRANSLATE(A3863, ""en"", ""mt"")"),"programmi biex tidentifika, tirrekluta u tappoġġja żgħażagħ b'talent")</f>
        <v>programmi biex tidentifika, tirrekluta u tappoġġja żgħażagħ b'talent</v>
      </c>
    </row>
    <row r="3864" ht="15.75" customHeight="1">
      <c r="A3864" s="2" t="s">
        <v>3864</v>
      </c>
      <c r="B3864" s="2" t="str">
        <f>IFERROR(__xludf.DUMMYFUNCTION("GOOGLETRANSLATE(A3864, ""en"", ""mt"")"),"Il-kompetenza leġiżlattiva tal-ispeċi tal-parlament liema oqsma?")</f>
        <v>Il-kompetenza leġiżlattiva tal-ispeċi tal-parlament liema oqsma?</v>
      </c>
    </row>
    <row r="3865" ht="15.75" customHeight="1">
      <c r="A3865" s="2" t="s">
        <v>3865</v>
      </c>
      <c r="B3865" s="2" t="str">
        <f>IFERROR(__xludf.DUMMYFUNCTION("GOOGLETRANSLATE(A3865, ""en"", ""mt"")"),"Meta jaħdmu Hilliard, Taylor u Wheeler?")</f>
        <v>Meta jaħdmu Hilliard, Taylor u Wheeler?</v>
      </c>
    </row>
    <row r="3866" ht="15.75" customHeight="1">
      <c r="A3866" s="2" t="s">
        <v>3866</v>
      </c>
      <c r="B3866" s="2" t="str">
        <f>IFERROR(__xludf.DUMMYFUNCTION("GOOGLETRANSLATE(A3866, ""en"", ""mt"")"),"Liema artikolu tat-Trattat dwar l-Unjoni Ewropea jiddikjara li l-kummissarji għandhom ikunu kompletament indipendenti u ma jieħdu struzzjonijiet minn xi gvern?")</f>
        <v>Liema artikolu tat-Trattat dwar l-Unjoni Ewropea jiddikjara li l-kummissarji għandhom ikunu kompletament indipendenti u ma jieħdu struzzjonijiet minn xi gvern?</v>
      </c>
    </row>
    <row r="3867" ht="15.75" customHeight="1">
      <c r="A3867" s="2" t="s">
        <v>3867</v>
      </c>
      <c r="B3867" s="2" t="str">
        <f>IFERROR(__xludf.DUMMYFUNCTION("GOOGLETRANSLATE(A3867, ""en"", ""mt"")"),"Min huma eletti bl-użu ta 'votazzjoni miftuħa?")</f>
        <v>Min huma eletti bl-użu ta 'votazzjoni miftuħa?</v>
      </c>
    </row>
    <row r="3868" ht="15.75" customHeight="1">
      <c r="A3868" s="2" t="s">
        <v>3868</v>
      </c>
      <c r="B3868" s="2" t="str">
        <f>IFERROR(__xludf.DUMMYFUNCTION("GOOGLETRANSLATE(A3868, ""en"", ""mt"")"),"X'tip ta 'strutturi huma tipiċi fil-Lagerstatten ħaj?")</f>
        <v>X'tip ta 'strutturi huma tipiċi fil-Lagerstatten ħaj?</v>
      </c>
    </row>
    <row r="3869" ht="15.75" customHeight="1">
      <c r="A3869" s="2" t="s">
        <v>3869</v>
      </c>
      <c r="B3869" s="2" t="str">
        <f>IFERROR(__xludf.DUMMYFUNCTION("GOOGLETRANSLATE(A3869, ""en"", ""mt"")"),"Liema armata kienet qed timbotta fil-fond fit-territorju Pollakk biex issegwi l-Ġermaniżi fl-1944?")</f>
        <v>Liema armata kienet qed timbotta fil-fond fit-territorju Pollakk biex issegwi l-Ġermaniżi fl-1944?</v>
      </c>
    </row>
    <row r="3870" ht="15.75" customHeight="1">
      <c r="A3870" s="2" t="s">
        <v>3870</v>
      </c>
      <c r="B3870" s="2" t="str">
        <f>IFERROR(__xludf.DUMMYFUNCTION("GOOGLETRANSLATE(A3870, ""en"", ""mt"")"),"Chur")</f>
        <v>Chur</v>
      </c>
    </row>
    <row r="3871" ht="15.75" customHeight="1">
      <c r="A3871" s="2" t="s">
        <v>3871</v>
      </c>
      <c r="B3871" s="2" t="str">
        <f>IFERROR(__xludf.DUMMYFUNCTION("GOOGLETRANSLATE(A3871, ""en"", ""mt"")"),"Għaliex xi forzi minħabba dan huma impossibbli li jiġu mmudellati?")</f>
        <v>Għaliex xi forzi minħabba dan huma impossibbli li jiġu mmudellati?</v>
      </c>
    </row>
    <row r="3872" ht="15.75" customHeight="1">
      <c r="A3872" s="2" t="s">
        <v>3872</v>
      </c>
      <c r="B3872" s="2" t="str">
        <f>IFERROR(__xludf.DUMMYFUNCTION("GOOGLETRANSLATE(A3872, ""en"", ""mt"")"),"Ngħinu lil Adolf Hitler jiżdied għall-poter")</f>
        <v>Ngħinu lil Adolf Hitler jiżdied għall-poter</v>
      </c>
    </row>
    <row r="3873" ht="15.75" customHeight="1">
      <c r="A3873" s="2" t="s">
        <v>3873</v>
      </c>
      <c r="B3873" s="2" t="str">
        <f>IFERROR(__xludf.DUMMYFUNCTION("GOOGLETRANSLATE(A3873, ""en"", ""mt"")"),"Mill-2008, dwar liema persentaġġ ta 'studenti Żvediżi attendew skejjel privati?")</f>
        <v>Mill-2008, dwar liema persentaġġ ta 'studenti Żvediżi attendew skejjel privati?</v>
      </c>
    </row>
    <row r="3874" ht="15.75" customHeight="1">
      <c r="A3874" s="2" t="s">
        <v>3874</v>
      </c>
      <c r="B3874" s="2" t="str">
        <f>IFERROR(__xludf.DUMMYFUNCTION("GOOGLETRANSLATE(A3874, ""en"", ""mt"")"),"Il-Parlament tipikament joqgħod it-Tlieta, l-Erbgħa u l-Ħamis mill-bidu ta 'Jannar sal-aħħar ta' Ġunju u mill-bidu ta 'Settembru sa nofs Diċembru, b'ħeġġa ta' ġimgħatejn f'April u Ottubru. Laqgħat plenarji fil-kamra tad-dibattitu ġeneralment isiru nhar l-"&amp;"Erbgħa wara nofsinhar mis-2 pm sas-6 pm u nhar il-Ħamis mid-9: 15 am sas-6 pm. Id-dibattiti tal-kamra u l-laqgħat tal-kumitat huma miftuħa għall-pubbliku. Id-dħul huwa bla ħlas, iżda l-prenotazzjoni bil-quddiem hija rrakkomandata minħabba spazju limitat. "&amp;"Il-laqgħat jixxandru fuq il-kanal tal-Parlament stess Holyrood.tv u fuq il-Kanal Parlamentari tal-BBC BBC Parlament. Il-proċeduri huma rreġistrati wkoll f'forma ta 'test, bl-istampar u online, fir-rapport uffiċjali, li huwa t-traskrizzjoni sostanzjalment "&amp;"verbatim tad-dibattiti parlamentari.")</f>
        <v>Il-Parlament tipikament joqgħod it-Tlieta, l-Erbgħa u l-Ħamis mill-bidu ta 'Jannar sal-aħħar ta' Ġunju u mill-bidu ta 'Settembru sa nofs Diċembru, b'ħeġġa ta' ġimgħatejn f'April u Ottubru. Laqgħat plenarji fil-kamra tad-dibattitu ġeneralment isiru nhar l-Erbgħa wara nofsinhar mis-2 pm sas-6 pm u nhar il-Ħamis mid-9: 15 am sas-6 pm. Id-dibattiti tal-kamra u l-laqgħat tal-kumitat huma miftuħa għall-pubbliku. Id-dħul huwa bla ħlas, iżda l-prenotazzjoni bil-quddiem hija rrakkomandata minħabba spazju limitat. Il-laqgħat jixxandru fuq il-kanal tal-Parlament stess Holyrood.tv u fuq il-Kanal Parlamentari tal-BBC BBC Parlament. Il-proċeduri huma rreġistrati wkoll f'forma ta 'test, bl-istampar u online, fir-rapport uffiċjali, li huwa t-traskrizzjoni sostanzjalment verbatim tad-dibattiti parlamentari.</v>
      </c>
    </row>
    <row r="3875" ht="15.75" customHeight="1">
      <c r="A3875" s="2" t="s">
        <v>3875</v>
      </c>
      <c r="B3875" s="2" t="str">
        <f>IFERROR(__xludf.DUMMYFUNCTION("GOOGLETRANSLATE(A3875, ""en"", ""mt"")"),"Il-finanzjament għal skejjel privati ​​huwa ġeneralment ipprovdut permezz ta 'tagħlim ta' studenti, dotazzjonijiet, fondi ta 'boroż ta' studju / vawċer, u donazzjonijiet u għotjiet minn organizzazzjonijiet reliġjużi jew individwi privati. Il-finanzjament "&amp;"tal-gvern għall-iskejjel reliġjużi huwa jew soġġett għal restrizzjonijiet jew possibilment projbit, skont l-interpretazzjoni tal-qrati tal-Klawsola ta 'Stabbiliment tal-Ewwel Emenda jew Emendi tal-Istat individwali ta' Blaine. Skejjel privati ​​mhux reliġ"&amp;"jużi teoretikament jistgħu jikkwalifikaw għal dan il-finanzjament mingħajr tbatija, u jippreferu l-vantaġġi tal-kontroll indipendenti tal-ammissjonijiet tal-istudenti tagħhom u tal-kontenut tal-kors minflok il-finanzjament pubbliku li jistgħu jiksbu bi st"&amp;"atus charter.")</f>
        <v>Il-finanzjament għal skejjel privati ​​huwa ġeneralment ipprovdut permezz ta 'tagħlim ta' studenti, dotazzjonijiet, fondi ta 'boroż ta' studju / vawċer, u donazzjonijiet u għotjiet minn organizzazzjonijiet reliġjużi jew individwi privati. Il-finanzjament tal-gvern għall-iskejjel reliġjużi huwa jew soġġett għal restrizzjonijiet jew possibilment projbit, skont l-interpretazzjoni tal-qrati tal-Klawsola ta 'Stabbiliment tal-Ewwel Emenda jew Emendi tal-Istat individwali ta' Blaine. Skejjel privati ​​mhux reliġjużi teoretikament jistgħu jikkwalifikaw għal dan il-finanzjament mingħajr tbatija, u jippreferu l-vantaġġi tal-kontroll indipendenti tal-ammissjonijiet tal-istudenti tagħhom u tal-kontenut tal-kors minflok il-finanzjament pubbliku li jistgħu jiksbu bi status charter.</v>
      </c>
    </row>
    <row r="3876" ht="15.75" customHeight="1">
      <c r="A3876" s="2" t="s">
        <v>3876</v>
      </c>
      <c r="B3876" s="2" t="str">
        <f>IFERROR(__xludf.DUMMYFUNCTION("GOOGLETRANSLATE(A3876, ""en"", ""mt"")"),"X'inhu l-inqas reġjun naturali importanti ta 'l-Olanda?")</f>
        <v>X'inhu l-inqas reġjun naturali importanti ta 'l-Olanda?</v>
      </c>
    </row>
    <row r="3877" ht="15.75" customHeight="1">
      <c r="A3877" s="2" t="s">
        <v>3877</v>
      </c>
      <c r="B3877" s="2" t="str">
        <f>IFERROR(__xludf.DUMMYFUNCTION("GOOGLETRANSLATE(A3877, ""en"", ""mt"")"),"Min kien marbut li japplika liġi tal-UE fejn regola nazzjonali kienet f’kunflitt?")</f>
        <v>Min kien marbut li japplika liġi tal-UE fejn regola nazzjonali kienet f’kunflitt?</v>
      </c>
    </row>
    <row r="3878" ht="15.75" customHeight="1">
      <c r="A3878" s="2" t="s">
        <v>3878</v>
      </c>
      <c r="B3878" s="2" t="str">
        <f>IFERROR(__xludf.DUMMYFUNCTION("GOOGLETRANSLATE(A3878, ""en"", ""mt"")"),"X'kienet l-iktar xita rreġistrata f'Ġunju?")</f>
        <v>X'kienet l-iktar xita rreġistrata f'Ġunju?</v>
      </c>
    </row>
    <row r="3879" ht="15.75" customHeight="1">
      <c r="A3879" s="2" t="s">
        <v>3879</v>
      </c>
      <c r="B3879" s="2" t="str">
        <f>IFERROR(__xludf.DUMMYFUNCTION("GOOGLETRANSLATE(A3879, ""en"", ""mt"")"),"Liema sena kienet meta Santa Eliżabetta għarraq parti mill-Baħar tat-Tramuntana?")</f>
        <v>Liema sena kienet meta Santa Eliżabetta għarraq parti mill-Baħar tat-Tramuntana?</v>
      </c>
    </row>
    <row r="3880" ht="15.75" customHeight="1">
      <c r="A3880" s="2" t="s">
        <v>3880</v>
      </c>
      <c r="B3880" s="2" t="str">
        <f>IFERROR(__xludf.DUMMYFUNCTION("GOOGLETRANSLATE(A3880, ""en"", ""mt"")"),"0.5–1.4 m [50–140 cm]")</f>
        <v>0.5–1.4 m [50–140 cm]</v>
      </c>
    </row>
    <row r="3881" ht="15.75" customHeight="1">
      <c r="A3881" s="2" t="s">
        <v>3881</v>
      </c>
      <c r="B3881" s="2" t="str">
        <f>IFERROR(__xludf.DUMMYFUNCTION("GOOGLETRANSLATE(A3881, ""en"", ""mt"")"),"Sinback ħadem ma 'liema kulleġġ fuq sistema ta' qsim ta 'ħin?")</f>
        <v>Sinback ħadem ma 'liema kulleġġ fuq sistema ta' qsim ta 'ħin?</v>
      </c>
    </row>
    <row r="3882" ht="15.75" customHeight="1">
      <c r="A3882" s="2" t="s">
        <v>3882</v>
      </c>
      <c r="B3882" s="2" t="str">
        <f>IFERROR(__xludf.DUMMYFUNCTION("GOOGLETRANSLATE(A3882, ""en"", ""mt"")"),"Hendrix v Istitut tal-Assigurazzjoni tal-Impjegati")</f>
        <v>Hendrix v Istitut tal-Assigurazzjoni tal-Impjegati</v>
      </c>
    </row>
    <row r="3883" ht="15.75" customHeight="1">
      <c r="A3883" s="2" t="s">
        <v>3883</v>
      </c>
      <c r="B3883" s="2" t="str">
        <f>IFERROR(__xludf.DUMMYFUNCTION("GOOGLETRANSLATE(A3883, ""en"", ""mt"")"),"Liġi Internazzjonali")</f>
        <v>Liġi Internazzjonali</v>
      </c>
    </row>
    <row r="3884" ht="15.75" customHeight="1">
      <c r="A3884" s="2" t="s">
        <v>3884</v>
      </c>
      <c r="B3884" s="2" t="str">
        <f>IFERROR(__xludf.DUMMYFUNCTION("GOOGLETRANSLATE(A3884, ""en"", ""mt"")"),"X’kontribwixxa għat-tniġġis tal-ilma fir-Renu?")</f>
        <v>X’kontribwixxa għat-tniġġis tal-ilma fir-Renu?</v>
      </c>
    </row>
    <row r="3885" ht="15.75" customHeight="1">
      <c r="A3885" s="2" t="s">
        <v>3885</v>
      </c>
      <c r="B3885" s="2" t="str">
        <f>IFERROR(__xludf.DUMMYFUNCTION("GOOGLETRANSLATE(A3885, ""en"", ""mt"")"),"probabbiltà li tirrepeti l-azzjonijiet illegali tagħha")</f>
        <v>probabbiltà li tirrepeti l-azzjonijiet illegali tagħha</v>
      </c>
    </row>
    <row r="3886" ht="15.75" customHeight="1">
      <c r="A3886" s="2" t="s">
        <v>3886</v>
      </c>
      <c r="B3886" s="2" t="str">
        <f>IFERROR(__xludf.DUMMYFUNCTION("GOOGLETRANSLATE(A3886, ""en"", ""mt"")"),"X'tagħmel it-teorija rigward it-tort ta 'San Andreas?")</f>
        <v>X'tagħmel it-teorija rigward it-tort ta 'San Andreas?</v>
      </c>
    </row>
    <row r="3887" ht="15.75" customHeight="1">
      <c r="A3887" s="2" t="s">
        <v>3887</v>
      </c>
      <c r="B3887" s="2" t="str">
        <f>IFERROR(__xludf.DUMMYFUNCTION("GOOGLETRANSLATE(A3887, ""en"", ""mt"")"),"diffiċli għall-predaturi biex jevolvu li jistgħu jispeċjalizzaw bħala predaturi fuq magicicadas")</f>
        <v>diffiċli għall-predaturi biex jevolvu li jistgħu jispeċjalizzaw bħala predaturi fuq magicicadas</v>
      </c>
    </row>
    <row r="3888" ht="15.75" customHeight="1">
      <c r="A3888" s="2" t="s">
        <v>3888</v>
      </c>
      <c r="B3888" s="2" t="str">
        <f>IFERROR(__xludf.DUMMYFUNCTION("GOOGLETRANSLATE(A3888, ""en"", ""mt"")"),"Liema proċess huwa responsabbli għall-kontenut ta 'ossiġnu tal-pjaneta?")</f>
        <v>Liema proċess huwa responsabbli għall-kontenut ta 'ossiġnu tal-pjaneta?</v>
      </c>
    </row>
    <row r="3889" ht="15.75" customHeight="1">
      <c r="A3889" s="2" t="s">
        <v>3889</v>
      </c>
      <c r="B3889" s="2" t="str">
        <f>IFERROR(__xludf.DUMMYFUNCTION("GOOGLETRANSLATE(A3889, ""en"", ""mt"")"),"Kemm ġew skoperti rettili fir-reġjun tal-Amażonja?")</f>
        <v>Kemm ġew skoperti rettili fir-reġjun tal-Amażonja?</v>
      </c>
    </row>
    <row r="3890" ht="15.75" customHeight="1">
      <c r="A3890" s="2" t="s">
        <v>3890</v>
      </c>
      <c r="B3890" s="2" t="str">
        <f>IFERROR(__xludf.DUMMYFUNCTION("GOOGLETRANSLATE(A3890, ""en"", ""mt"")"),"Fejn jinsab il-viċinat ta 'Sunnyside fi Fresno?")</f>
        <v>Fejn jinsab il-viċinat ta 'Sunnyside fi Fresno?</v>
      </c>
    </row>
    <row r="3891" ht="15.75" customHeight="1">
      <c r="A3891" s="2" t="s">
        <v>3891</v>
      </c>
      <c r="B3891" s="2" t="str">
        <f>IFERROR(__xludf.DUMMYFUNCTION("GOOGLETRANSLATE(A3891, ""en"", ""mt"")"),"X'inhu l-klijenti biex jiksbu funzjonijiet Sky + jekk ma jissottoskrivux għall-kanali ta 'BSKYB?")</f>
        <v>X'inhu l-klijenti biex jiksbu funzjonijiet Sky + jekk ma jissottoskrivux għall-kanali ta 'BSKYB?</v>
      </c>
    </row>
    <row r="3892" ht="15.75" customHeight="1">
      <c r="A3892" s="2" t="s">
        <v>3892</v>
      </c>
      <c r="B3892" s="2" t="str">
        <f>IFERROR(__xludf.DUMMYFUNCTION("GOOGLETRANSLATE(A3892, ""en"", ""mt"")"),"Catawba, Muskogee-Talking Creek u Choctaw")</f>
        <v>Catawba, Muskogee-Talking Creek u Choctaw</v>
      </c>
    </row>
    <row r="3893" ht="15.75" customHeight="1">
      <c r="A3893" s="2" t="s">
        <v>3893</v>
      </c>
      <c r="B3893" s="2" t="str">
        <f>IFERROR(__xludf.DUMMYFUNCTION("GOOGLETRANSLATE(A3893, ""en"", ""mt"")"),"NP-Complete")</f>
        <v>NP-Complete</v>
      </c>
    </row>
    <row r="3894" ht="15.75" customHeight="1">
      <c r="A3894" s="2" t="s">
        <v>3894</v>
      </c>
      <c r="B3894" s="2" t="str">
        <f>IFERROR(__xludf.DUMMYFUNCTION("GOOGLETRANSLATE(A3894, ""en"", ""mt"")"),"Il-ġbid fuq oġġett fuq wiċċ frizzjonali jista 'jirriżulta f'liema?")</f>
        <v>Il-ġbid fuq oġġett fuq wiċċ frizzjonali jista 'jirriżulta f'liema?</v>
      </c>
    </row>
    <row r="3895" ht="15.75" customHeight="1">
      <c r="A3895" s="2" t="s">
        <v>3895</v>
      </c>
      <c r="B3895" s="2" t="str">
        <f>IFERROR(__xludf.DUMMYFUNCTION("GOOGLETRANSLATE(A3895, ""en"", ""mt"")"),"Meta kien il-ktieb, Sur, ippubblikat?")</f>
        <v>Meta kien il-ktieb, Sur, ippubblikat?</v>
      </c>
    </row>
    <row r="3896" ht="15.75" customHeight="1">
      <c r="A3896" s="2" t="s">
        <v>3896</v>
      </c>
      <c r="B3896" s="2" t="str">
        <f>IFERROR(__xludf.DUMMYFUNCTION("GOOGLETRANSLATE(A3896, ""en"", ""mt"")"),"Min skjera l-armata tagħha fl-Iraq fl-1979?")</f>
        <v>Min skjera l-armata tagħha fl-Iraq fl-1979?</v>
      </c>
    </row>
    <row r="3897" ht="15.75" customHeight="1">
      <c r="A3897" s="2" t="s">
        <v>3897</v>
      </c>
      <c r="B3897" s="2" t="str">
        <f>IFERROR(__xludf.DUMMYFUNCTION("GOOGLETRANSLATE(A3897, ""en"", ""mt"")"),"Xi jfisser li l-Mużew tal-Irkib jiftaħar mill-kollezzjoni privata ta 'Adolf Hitler?")</f>
        <v>Xi jfisser li l-Mużew tal-Irkib jiftaħar mill-kollezzjoni privata ta 'Adolf Hitler?</v>
      </c>
    </row>
    <row r="3898" ht="15.75" customHeight="1">
      <c r="A3898" s="2" t="s">
        <v>3898</v>
      </c>
      <c r="B3898" s="2" t="str">
        <f>IFERROR(__xludf.DUMMYFUNCTION("GOOGLETRANSLATE(A3898, ""en"", ""mt"")"),"Min ordna lil Loudoun biex jattakka lil Louisbourg?")</f>
        <v>Min ordna lil Loudoun biex jattakka lil Louisbourg?</v>
      </c>
    </row>
    <row r="3899" ht="15.75" customHeight="1">
      <c r="A3899" s="2" t="s">
        <v>3899</v>
      </c>
      <c r="B3899" s="2" t="str">
        <f>IFERROR(__xludf.DUMMYFUNCTION("GOOGLETRANSLATE(A3899, ""en"", ""mt"")"),"It-tieni Gleichschaltung")</f>
        <v>It-tieni Gleichschaltung</v>
      </c>
    </row>
    <row r="3900" ht="15.75" customHeight="1">
      <c r="A3900" s="2" t="s">
        <v>3900</v>
      </c>
      <c r="B3900" s="2" t="str">
        <f>IFERROR(__xludf.DUMMYFUNCTION("GOOGLETRANSLATE(A3900, ""en"", ""mt"")"),"Konservazzjoni tal-momentum")</f>
        <v>Konservazzjoni tal-momentum</v>
      </c>
    </row>
    <row r="3901" ht="15.75" customHeight="1">
      <c r="A3901" s="2" t="s">
        <v>3901</v>
      </c>
      <c r="B3901" s="2" t="str">
        <f>IFERROR(__xludf.DUMMYFUNCTION("GOOGLETRANSLATE(A3901, ""en"", ""mt"")"),"Fejn ma kinux popolazzjonijiet iċċentrati fil-kolonji?")</f>
        <v>Fejn ma kinux popolazzjonijiet iċċentrati fil-kolonji?</v>
      </c>
    </row>
    <row r="3902" ht="15.75" customHeight="1">
      <c r="A3902" s="2" t="s">
        <v>3902</v>
      </c>
      <c r="B3902" s="2" t="str">
        <f>IFERROR(__xludf.DUMMYFUNCTION("GOOGLETRANSLATE(A3902, ""en"", ""mt"")"),"Fejn ġie osservat l-ewwel gvernatur ċentrifugali minn Boulton?")</f>
        <v>Fejn ġie osservat l-ewwel gvernatur ċentrifugali minn Boulton?</v>
      </c>
    </row>
    <row r="3903" ht="15.75" customHeight="1">
      <c r="A3903" s="2" t="s">
        <v>3903</v>
      </c>
      <c r="B3903" s="2" t="str">
        <f>IFERROR(__xludf.DUMMYFUNCTION("GOOGLETRANSLATE(A3903, ""en"", ""mt"")"),"Diermeier ġie sostitwit bħala provost minn min?")</f>
        <v>Diermeier ġie sostitwit bħala provost minn min?</v>
      </c>
    </row>
    <row r="3904" ht="15.75" customHeight="1">
      <c r="A3904" s="2" t="s">
        <v>3904</v>
      </c>
      <c r="B3904" s="2" t="str">
        <f>IFERROR(__xludf.DUMMYFUNCTION("GOOGLETRANSLATE(A3904, ""en"", ""mt"")"),"19.3%")</f>
        <v>19.3%</v>
      </c>
    </row>
    <row r="3905" ht="15.75" customHeight="1">
      <c r="A3905" s="2" t="s">
        <v>3905</v>
      </c>
      <c r="B3905" s="2" t="str">
        <f>IFERROR(__xludf.DUMMYFUNCTION("GOOGLETRANSLATE(A3905, ""en"", ""mt"")"),"X'tip ta 'ċelloli T joqtlu ċelloli li huma infettati bil-patoġeni?")</f>
        <v>X'tip ta 'ċelloli T joqtlu ċelloli li huma infettati bil-patoġeni?</v>
      </c>
    </row>
    <row r="3906" ht="15.75" customHeight="1">
      <c r="A3906" s="2" t="s">
        <v>3906</v>
      </c>
      <c r="B3906" s="2" t="str">
        <f>IFERROR(__xludf.DUMMYFUNCTION("GOOGLETRANSLATE(A3906, ""en"", ""mt"")"),"Liema liġijiet imsemmija qabel il-liġi tal-UE?")</f>
        <v>Liema liġijiet imsemmija qabel il-liġi tal-UE?</v>
      </c>
    </row>
    <row r="3907" ht="15.75" customHeight="1">
      <c r="A3907" s="2" t="s">
        <v>3907</v>
      </c>
      <c r="B3907" s="2" t="str">
        <f>IFERROR(__xludf.DUMMYFUNCTION("GOOGLETRANSLATE(A3907, ""en"", ""mt"")"),"Liema entità ffokat fuq il-moviment liberu tal-ħaddiema?")</f>
        <v>Liema entità ffokat fuq il-moviment liberu tal-ħaddiema?</v>
      </c>
    </row>
    <row r="3908" ht="15.75" customHeight="1">
      <c r="A3908" s="2" t="s">
        <v>3908</v>
      </c>
      <c r="B3908" s="2" t="str">
        <f>IFERROR(__xludf.DUMMYFUNCTION("GOOGLETRANSLATE(A3908, ""en"", ""mt"")"),"Ippjanar effettiv")</f>
        <v>Ippjanar effettiv</v>
      </c>
    </row>
    <row r="3909" ht="15.75" customHeight="1">
      <c r="A3909" s="2" t="s">
        <v>3909</v>
      </c>
      <c r="B3909" s="2" t="str">
        <f>IFERROR(__xludf.DUMMYFUNCTION("GOOGLETRANSLATE(A3909, ""en"", ""mt"")")," Min irrifjuta li jixtri?")</f>
        <v> Min irrifjuta li jixtri?</v>
      </c>
    </row>
    <row r="3910" ht="15.75" customHeight="1">
      <c r="A3910" s="2" t="s">
        <v>3910</v>
      </c>
      <c r="B3910" s="2" t="str">
        <f>IFERROR(__xludf.DUMMYFUNCTION("GOOGLETRANSLATE(A3910, ""en"", ""mt"")"),"ċelloli tal-memorja b'ħajja twila")</f>
        <v>ċelloli tal-memorja b'ħajja twila</v>
      </c>
    </row>
    <row r="3911" ht="15.75" customHeight="1">
      <c r="A3911" s="2" t="s">
        <v>3911</v>
      </c>
      <c r="B3911" s="2" t="str">
        <f>IFERROR(__xludf.DUMMYFUNCTION("GOOGLETRANSLATE(A3911, ""en"", ""mt"")"),"Minn min kienu aktar tard l-imperaturi tal-wan iżolati?")</f>
        <v>Minn min kienu aktar tard l-imperaturi tal-wan iżolati?</v>
      </c>
    </row>
    <row r="3912" ht="15.75" customHeight="1">
      <c r="A3912" s="2" t="s">
        <v>3912</v>
      </c>
      <c r="B3912" s="2" t="str">
        <f>IFERROR(__xludf.DUMMYFUNCTION("GOOGLETRANSLATE(A3912, ""en"", ""mt"")"),"Il-proċess tat-tkabbir ta 'aktar siġar fil-foresta huwa magħruf bħala?")</f>
        <v>Il-proċess tat-tkabbir ta 'aktar siġar fil-foresta huwa magħruf bħala?</v>
      </c>
    </row>
    <row r="3913" ht="15.75" customHeight="1">
      <c r="A3913" s="2" t="s">
        <v>3913</v>
      </c>
      <c r="B3913" s="2" t="str">
        <f>IFERROR(__xludf.DUMMYFUNCTION("GOOGLETRANSLATE(A3913, ""en"", ""mt"")"),"Min ħareġ il-proklamazzjoni rjali tal-1736?")</f>
        <v>Min ħareġ il-proklamazzjoni rjali tal-1736?</v>
      </c>
    </row>
    <row r="3914" ht="15.75" customHeight="1">
      <c r="A3914" s="2" t="s">
        <v>3914</v>
      </c>
      <c r="B3914" s="2" t="str">
        <f>IFERROR(__xludf.DUMMYFUNCTION("GOOGLETRANSLATE(A3914, ""en"", ""mt"")"),"Il-bungalows ta 'California jinsabu fit-tramuntana jew fil-lvant?")</f>
        <v>Il-bungalows ta 'California jinsabu fit-tramuntana jew fil-lvant?</v>
      </c>
    </row>
    <row r="3915" ht="15.75" customHeight="1">
      <c r="A3915" s="2" t="s">
        <v>3915</v>
      </c>
      <c r="B3915" s="2" t="str">
        <f>IFERROR(__xludf.DUMMYFUNCTION("GOOGLETRANSLATE(A3915, ""en"", ""mt"")")," Min ma kienx eżentat mill-Ministeru tal-Ġustizzja?")</f>
        <v> Min ma kienx eżentat mill-Ministeru tal-Ġustizzja?</v>
      </c>
    </row>
    <row r="3916" ht="15.75" customHeight="1">
      <c r="A3916" s="2" t="s">
        <v>3916</v>
      </c>
      <c r="B3916" s="2" t="str">
        <f>IFERROR(__xludf.DUMMYFUNCTION("GOOGLETRANSLATE(A3916, ""en"", ""mt"")"),"Rhine-Meuse Delta")</f>
        <v>Rhine-Meuse Delta</v>
      </c>
    </row>
    <row r="3917" ht="15.75" customHeight="1">
      <c r="A3917" s="2" t="s">
        <v>3917</v>
      </c>
      <c r="B3917" s="2" t="str">
        <f>IFERROR(__xludf.DUMMYFUNCTION("GOOGLETRANSLATE(A3917, ""en"", ""mt"")"),"ċirkonċiżjoni")</f>
        <v>ċirkonċiżjoni</v>
      </c>
    </row>
    <row r="3918" ht="15.75" customHeight="1">
      <c r="A3918" s="2" t="s">
        <v>3918</v>
      </c>
      <c r="B3918" s="2" t="str">
        <f>IFERROR(__xludf.DUMMYFUNCTION("GOOGLETRANSLATE(A3918, ""en"", ""mt"")"),"jerġa 'lura għall-ewwel Ħamis ta' Mejju, multiplu ta 'erba' snin wara l-1999")</f>
        <v>jerġa 'lura għall-ewwel Ħamis ta' Mejju, multiplu ta 'erba' snin wara l-1999</v>
      </c>
    </row>
    <row r="3919" ht="15.75" customHeight="1">
      <c r="A3919" s="2" t="s">
        <v>3919</v>
      </c>
      <c r="B3919" s="2" t="str">
        <f>IFERROR(__xludf.DUMMYFUNCTION("GOOGLETRANSLATE(A3919, ""en"", ""mt"")"),"Kemm wallons Protestanti u Huguenots komplew fl-Ingilterra u spiċċaw fl-Irlanda?")</f>
        <v>Kemm wallons Protestanti u Huguenots komplew fl-Ingilterra u spiċċaw fl-Irlanda?</v>
      </c>
    </row>
    <row r="3920" ht="15.75" customHeight="1">
      <c r="A3920" s="2" t="s">
        <v>3920</v>
      </c>
      <c r="B3920" s="2" t="str">
        <f>IFERROR(__xludf.DUMMYFUNCTION("GOOGLETRANSLATE(A3920, ""en"", ""mt"")"),"Jessé de Forest")</f>
        <v>Jessé de Forest</v>
      </c>
    </row>
    <row r="3921" ht="15.75" customHeight="1">
      <c r="A3921" s="2" t="s">
        <v>3921</v>
      </c>
      <c r="B3921" s="2" t="str">
        <f>IFERROR(__xludf.DUMMYFUNCTION("GOOGLETRANSLATE(A3921, ""en"", ""mt"")"),"Liema ċiviltà kienet l-ewwel magħrufa li studja b'mod ċar in-numri ewlenin?")</f>
        <v>Liema ċiviltà kienet l-ewwel magħrufa li studja b'mod ċar in-numri ewlenin?</v>
      </c>
    </row>
    <row r="3922" ht="15.75" customHeight="1">
      <c r="A3922" s="2" t="s">
        <v>3922</v>
      </c>
      <c r="B3922" s="2" t="str">
        <f>IFERROR(__xludf.DUMMYFUNCTION("GOOGLETRANSLATE(A3922, ""en"", ""mt"")"),"aċċettaw 5.3% tal-applikanti")</f>
        <v>aċċettaw 5.3% tal-applikanti</v>
      </c>
    </row>
    <row r="3923" ht="15.75" customHeight="1">
      <c r="A3923" s="2" t="s">
        <v>3923</v>
      </c>
      <c r="B3923" s="2" t="str">
        <f>IFERROR(__xludf.DUMMYFUNCTION("GOOGLETRANSLATE(A3923, ""en"", ""mt"")"),"Ġewwa sptarijiet u kliniċi")</f>
        <v>Ġewwa sptarijiet u kliniċi</v>
      </c>
    </row>
    <row r="3924" ht="15.75" customHeight="1">
      <c r="A3924" s="2" t="s">
        <v>3924</v>
      </c>
      <c r="B3924" s="2" t="str">
        <f>IFERROR(__xludf.DUMMYFUNCTION("GOOGLETRANSLATE(A3924, ""en"", ""mt"")"),"F'liema direzzjoni qalu Watson li daħal l-iżball?")</f>
        <v>F'liema direzzjoni qalu Watson li daħal l-iżball?</v>
      </c>
    </row>
    <row r="3925" ht="15.75" customHeight="1">
      <c r="A3925" s="2" t="s">
        <v>3925</v>
      </c>
      <c r="B3925" s="2" t="str">
        <f>IFERROR(__xludf.DUMMYFUNCTION("GOOGLETRANSLATE(A3925, ""en"", ""mt"")"),"F'liema sena twieled Andrew Lortie?")</f>
        <v>F'liema sena twieled Andrew Lortie?</v>
      </c>
    </row>
    <row r="3926" ht="15.75" customHeight="1">
      <c r="A3926" s="2" t="s">
        <v>3926</v>
      </c>
      <c r="B3926" s="2" t="str">
        <f>IFERROR(__xludf.DUMMYFUNCTION("GOOGLETRANSLATE(A3926, ""en"", ""mt"")"),"kip")</f>
        <v>kip</v>
      </c>
    </row>
    <row r="3927" ht="15.75" customHeight="1">
      <c r="A3927" s="2" t="s">
        <v>3927</v>
      </c>
      <c r="B3927" s="2" t="str">
        <f>IFERROR(__xludf.DUMMYFUNCTION("GOOGLETRANSLATE(A3927, ""en"", ""mt"")"),"Sitta mis-seba 'linji tas-sistema ferrovjarja tal-vjaġġatur, Metrolink, jispiċċaw mill-belt ta' Los Angeles, li jgħaqqdu Los Angeles, Ventura, San Bernardino, Riverside, Orange, u San Diego Counties bil-linja l-oħra li tgħaqqad San Bernardino, Riverside, "&amp;"u Orange Counties direttament.")</f>
        <v>Sitta mis-seba 'linji tas-sistema ferrovjarja tal-vjaġġatur, Metrolink, jispiċċaw mill-belt ta' Los Angeles, li jgħaqqdu Los Angeles, Ventura, San Bernardino, Riverside, Orange, u San Diego Counties bil-linja l-oħra li tgħaqqad San Bernardino, Riverside, u Orange Counties direttament.</v>
      </c>
    </row>
    <row r="3928" ht="15.75" customHeight="1">
      <c r="A3928" s="2" t="s">
        <v>3928</v>
      </c>
      <c r="B3928" s="2" t="str">
        <f>IFERROR(__xludf.DUMMYFUNCTION("GOOGLETRANSLATE(A3928, ""en"", ""mt"")"),"Librerija importanti oħra - il-Librerija tal-Università, imwaqqfa fl-1816, hija dar għal aktar minn żewġ miljun oġġett. Il-bini kien iddisinjat mill-periti Marek Budzyński u Zbigniew Badowski u nfetaħ fil-15 ta 'Diċembru 1999. Huwa mdawwar bl-aħdar. Il-Ġn"&amp;"ien tal-Librerija tal-Università, iddisinjat minn Irena Bajerska, infetaħ fit-12 ta 'Ġunju 2002. Huwa wieħed mill-ikbar u l-isbaħ ġonna tas-saqaf fl-Ewropa b'żona ta' aktar minn 10,000 m2 (107,639.10 sq ft), u pjanti li jkopru 5,111 m2 ( 55,014.35 sq ft)."&amp;" Bħala l-ġnien tal-università huwa miftuħ għall-pubbliku kuljum.")</f>
        <v>Librerija importanti oħra - il-Librerija tal-Università, imwaqqfa fl-1816, hija dar għal aktar minn żewġ miljun oġġett. Il-bini kien iddisinjat mill-periti Marek Budzyński u Zbigniew Badowski u nfetaħ fil-15 ta 'Diċembru 1999. Huwa mdawwar bl-aħdar. Il-Ġnien tal-Librerija tal-Università, iddisinjat minn Irena Bajerska, infetaħ fit-12 ta 'Ġunju 2002. Huwa wieħed mill-ikbar u l-isbaħ ġonna tas-saqaf fl-Ewropa b'żona ta' aktar minn 10,000 m2 (107,639.10 sq ft), u pjanti li jkopru 5,111 m2 ( 55,014.35 sq ft). Bħala l-ġnien tal-università huwa miftuħ għall-pubbliku kuljum.</v>
      </c>
    </row>
    <row r="3929" ht="15.75" customHeight="1">
      <c r="A3929" s="2" t="s">
        <v>3929</v>
      </c>
      <c r="B3929" s="2" t="str">
        <f>IFERROR(__xludf.DUMMYFUNCTION("GOOGLETRANSLATE(A3929, ""en"", ""mt"")"),"UDP")</f>
        <v>UDP</v>
      </c>
    </row>
    <row r="3930" ht="15.75" customHeight="1">
      <c r="A3930" s="2" t="s">
        <v>3930</v>
      </c>
      <c r="B3930" s="2" t="str">
        <f>IFERROR(__xludf.DUMMYFUNCTION("GOOGLETRANSLATE(A3930, ""en"", ""mt"")"),"miżmuma jegħleb sekulari jew li kienu introduċew jew ippromwovu ideat u prattiki tal-Punent / barranin fis-soċjetajiet Iżlamiċi")</f>
        <v>miżmuma jegħleb sekulari jew li kienu introduċew jew ippromwovu ideat u prattiki tal-Punent / barranin fis-soċjetajiet Iżlamiċi</v>
      </c>
    </row>
    <row r="3931" ht="15.75" customHeight="1">
      <c r="A3931" s="2" t="s">
        <v>3931</v>
      </c>
      <c r="B3931" s="2" t="str">
        <f>IFERROR(__xludf.DUMMYFUNCTION("GOOGLETRANSLATE(A3931, ""en"", ""mt"")"),"Meta miet Tugh Temur?")</f>
        <v>Meta miet Tugh Temur?</v>
      </c>
    </row>
    <row r="3932" ht="15.75" customHeight="1">
      <c r="A3932" s="2" t="s">
        <v>3932</v>
      </c>
      <c r="B3932" s="2" t="str">
        <f>IFERROR(__xludf.DUMMYFUNCTION("GOOGLETRANSLATE(A3932, ""en"", ""mt"")"),"Meta programm ma jkunx utli għal każijiet żgħar ħafna u f'dak is-sens l-intrattabilità ta 'problema hija kemmxejn indipendenti mill-progress teknoloġiku?")</f>
        <v>Meta programm ma jkunx utli għal każijiet żgħar ħafna u f'dak is-sens l-intrattabilità ta 'problema hija kemmxejn indipendenti mill-progress teknoloġiku?</v>
      </c>
    </row>
    <row r="3933" ht="15.75" customHeight="1">
      <c r="A3933" s="2" t="s">
        <v>3933</v>
      </c>
      <c r="B3933" s="2" t="str">
        <f>IFERROR(__xludf.DUMMYFUNCTION("GOOGLETRANSLATE(A3933, ""en"", ""mt"")"),"Rinaxximent")</f>
        <v>Rinaxximent</v>
      </c>
    </row>
    <row r="3934" ht="15.75" customHeight="1">
      <c r="A3934" s="2" t="s">
        <v>3934</v>
      </c>
      <c r="B3934" s="2" t="str">
        <f>IFERROR(__xludf.DUMMYFUNCTION("GOOGLETRANSLATE(A3934, ""en"", ""mt"")"),"Minn liema belt Franċiża kienet oriġinarjament Alexander Pepin?")</f>
        <v>Minn liema belt Franċiża kienet oriġinarjament Alexander Pepin?</v>
      </c>
    </row>
    <row r="3935" ht="15.75" customHeight="1">
      <c r="A3935" s="2" t="s">
        <v>3935</v>
      </c>
      <c r="B3935" s="2" t="str">
        <f>IFERROR(__xludf.DUMMYFUNCTION("GOOGLETRANSLATE(A3935, ""en"", ""mt"")"),"Xi tfisser l-edukazzjoni f'żona fejn hemm domanda għolja għall-ħaddiema li għandhom it-tendenza li joħolqu?")</f>
        <v>Xi tfisser l-edukazzjoni f'żona fejn hemm domanda għolja għall-ħaddiema li għandhom it-tendenza li joħolqu?</v>
      </c>
    </row>
    <row r="3936" ht="15.75" customHeight="1">
      <c r="A3936" s="2" t="s">
        <v>3936</v>
      </c>
      <c r="B3936" s="2" t="str">
        <f>IFERROR(__xludf.DUMMYFUNCTION("GOOGLETRANSLATE(A3936, ""en"", ""mt"")"),"Hockey stick graff")</f>
        <v>Hockey stick graff</v>
      </c>
    </row>
    <row r="3937" ht="15.75" customHeight="1">
      <c r="A3937" s="2" t="s">
        <v>3937</v>
      </c>
      <c r="B3937" s="2" t="str">
        <f>IFERROR(__xludf.DUMMYFUNCTION("GOOGLETRANSLATE(A3937, ""en"", ""mt"")"),"Sitta sa disa 'fil-mija")</f>
        <v>Sitta sa disa 'fil-mija</v>
      </c>
    </row>
    <row r="3938" ht="15.75" customHeight="1">
      <c r="A3938" s="2" t="s">
        <v>3938</v>
      </c>
      <c r="B3938" s="2" t="str">
        <f>IFERROR(__xludf.DUMMYFUNCTION("GOOGLETRANSLATE(A3938, ""en"", ""mt"")"),"1,160,000")</f>
        <v>1,160,000</v>
      </c>
    </row>
    <row r="3939" ht="15.75" customHeight="1">
      <c r="A3939" s="2" t="s">
        <v>3939</v>
      </c>
      <c r="B3939" s="2" t="str">
        <f>IFERROR(__xludf.DUMMYFUNCTION("GOOGLETRANSLATE(A3939, ""en"", ""mt"")"),"ċili")</f>
        <v>ċili</v>
      </c>
    </row>
    <row r="3940" ht="15.75" customHeight="1">
      <c r="A3940" s="2" t="s">
        <v>3940</v>
      </c>
      <c r="B3940" s="2" t="str">
        <f>IFERROR(__xludf.DUMMYFUNCTION("GOOGLETRANSLATE(A3940, ""en"", ""mt"")"),"Kumpanija Olandiża tal-Indja tal-Lvant")</f>
        <v>Kumpanija Olandiża tal-Indja tal-Lvant</v>
      </c>
    </row>
    <row r="3941" ht="15.75" customHeight="1">
      <c r="A3941" s="2" t="s">
        <v>3941</v>
      </c>
      <c r="B3941" s="2" t="str">
        <f>IFERROR(__xludf.DUMMYFUNCTION("GOOGLETRANSLATE(A3941, ""en"", ""mt"")"),"X'tip ta 'teorija tan-numri tuża u tistudja l-ideali ewlenin?")</f>
        <v>X'tip ta 'teorija tan-numri tuża u tistudja l-ideali ewlenin?</v>
      </c>
    </row>
    <row r="3942" ht="15.75" customHeight="1">
      <c r="A3942" s="2" t="s">
        <v>3942</v>
      </c>
      <c r="B3942" s="2" t="str">
        <f>IFERROR(__xludf.DUMMYFUNCTION("GOOGLETRANSLATE(A3942, ""en"", ""mt"")"),"Karatteristiċi tal-popli li jirbħu")</f>
        <v>Karatteristiċi tal-popli li jirbħu</v>
      </c>
    </row>
    <row r="3943" ht="15.75" customHeight="1">
      <c r="A3943" s="2" t="s">
        <v>3943</v>
      </c>
      <c r="B3943" s="2" t="str">
        <f>IFERROR(__xludf.DUMMYFUNCTION("GOOGLETRANSLATE(A3943, ""en"", ""mt"")"),"Liema gerijiet intuża fuq magni tal-baħar tat-turbina tal-fwar fis-seklu 20?")</f>
        <v>Liema gerijiet intuża fuq magni tal-baħar tat-turbina tal-fwar fis-seklu 20?</v>
      </c>
    </row>
    <row r="3944" ht="15.75" customHeight="1">
      <c r="A3944" s="2" t="s">
        <v>3944</v>
      </c>
      <c r="B3944" s="2" t="str">
        <f>IFERROR(__xludf.DUMMYFUNCTION("GOOGLETRANSLATE(A3944, ""en"", ""mt"")"),"lil xulxin")</f>
        <v>lil xulxin</v>
      </c>
    </row>
    <row r="3945" ht="15.75" customHeight="1">
      <c r="A3945" s="2" t="s">
        <v>3945</v>
      </c>
      <c r="B3945" s="2" t="str">
        <f>IFERROR(__xludf.DUMMYFUNCTION("GOOGLETRANSLATE(A3945, ""en"", ""mt"")"),"Iċ-Ċentru tal-Assemblea kien użat biex jieħu x'tip ta 'ritratti?")</f>
        <v>Iċ-Ċentru tal-Assemblea kien użat biex jieħu x'tip ta 'ritratti?</v>
      </c>
    </row>
    <row r="3946" ht="15.75" customHeight="1">
      <c r="A3946" s="2" t="s">
        <v>3946</v>
      </c>
      <c r="B3946" s="2" t="str">
        <f>IFERROR(__xludf.DUMMYFUNCTION("GOOGLETRANSLATE(A3946, ""en"", ""mt"")"),"Turbini tal-fwar")</f>
        <v>Turbini tal-fwar</v>
      </c>
    </row>
    <row r="3947" ht="15.75" customHeight="1">
      <c r="A3947" s="2" t="s">
        <v>3947</v>
      </c>
      <c r="B3947" s="2" t="str">
        <f>IFERROR(__xludf.DUMMYFUNCTION("GOOGLETRANSLATE(A3947, ""en"", ""mt"")"),"B'liema pajjiż Ewropew ħassitha l-Huguenots għall-emigrazzjoni?")</f>
        <v>B'liema pajjiż Ewropew ħassitha l-Huguenots għall-emigrazzjoni?</v>
      </c>
    </row>
    <row r="3948" ht="15.75" customHeight="1">
      <c r="A3948" s="2" t="s">
        <v>3948</v>
      </c>
      <c r="B3948" s="2" t="str">
        <f>IFERROR(__xludf.DUMMYFUNCTION("GOOGLETRANSLATE(A3948, ""en"", ""mt"")"),"Meta seħħ dan l-attentat?")</f>
        <v>Meta seħħ dan l-attentat?</v>
      </c>
    </row>
    <row r="3949" ht="15.75" customHeight="1">
      <c r="A3949" s="2" t="s">
        <v>3949</v>
      </c>
      <c r="B3949" s="2" t="str">
        <f>IFERROR(__xludf.DUMMYFUNCTION("GOOGLETRANSLATE(A3949, ""en"", ""mt"")"),"Liema dinastija leġittima waslet wara l-wan?")</f>
        <v>Liema dinastija leġittima waslet wara l-wan?</v>
      </c>
    </row>
    <row r="3950" ht="15.75" customHeight="1">
      <c r="A3950" s="2" t="s">
        <v>3950</v>
      </c>
      <c r="B3950" s="2" t="str">
        <f>IFERROR(__xludf.DUMMYFUNCTION("GOOGLETRANSLATE(A3950, ""en"", ""mt"")"),"Ir-reġjun jifrex liema muntanji minbarra l-firxiet trasversali?")</f>
        <v>Ir-reġjun jifrex liema muntanji minbarra l-firxiet trasversali?</v>
      </c>
    </row>
    <row r="3951" ht="15.75" customHeight="1">
      <c r="A3951" s="2" t="s">
        <v>3951</v>
      </c>
      <c r="B3951" s="2" t="str">
        <f>IFERROR(__xludf.DUMMYFUNCTION("GOOGLETRANSLATE(A3951, ""en"", ""mt"")"),"Rotterdam")</f>
        <v>Rotterdam</v>
      </c>
    </row>
    <row r="3952" ht="15.75" customHeight="1">
      <c r="A3952" s="2" t="s">
        <v>3952</v>
      </c>
      <c r="B3952" s="2" t="str">
        <f>IFERROR(__xludf.DUMMYFUNCTION("GOOGLETRANSLATE(A3952, ""en"", ""mt"")"),"Liema plateau għandu gruppi ta 'terrazzi tat-tafal?")</f>
        <v>Liema plateau għandu gruppi ta 'terrazzi tat-tafal?</v>
      </c>
    </row>
    <row r="3953" ht="15.75" customHeight="1">
      <c r="A3953" s="2" t="s">
        <v>3953</v>
      </c>
      <c r="B3953" s="2" t="str">
        <f>IFERROR(__xludf.DUMMYFUNCTION("GOOGLETRANSLATE(A3953, ""en"", ""mt"")"),"Jekk ħadd mill-Parlament ma jaqbel mal-prinċipji ġenerali tal-polza, huwa jipproċedi għal liema stadju?")</f>
        <v>Jekk ħadd mill-Parlament ma jaqbel mal-prinċipji ġenerali tal-polza, huwa jipproċedi għal liema stadju?</v>
      </c>
    </row>
    <row r="3954" ht="15.75" customHeight="1">
      <c r="A3954" s="2" t="s">
        <v>3954</v>
      </c>
      <c r="B3954" s="2" t="str">
        <f>IFERROR(__xludf.DUMMYFUNCTION("GOOGLETRANSLATE(A3954, ""en"", ""mt"")"),"X'kien akkużat Abu Hamaz al-Masri meta ġie arrestat?")</f>
        <v>X'kien akkużat Abu Hamaz al-Masri meta ġie arrestat?</v>
      </c>
    </row>
    <row r="3955" ht="15.75" customHeight="1">
      <c r="A3955" s="2" t="s">
        <v>3955</v>
      </c>
      <c r="B3955" s="2" t="str">
        <f>IFERROR(__xludf.DUMMYFUNCTION("GOOGLETRANSLATE(A3955, ""en"", ""mt"")"),"Dodge D-50")</f>
        <v>Dodge D-50</v>
      </c>
    </row>
    <row r="3956" ht="15.75" customHeight="1">
      <c r="A3956" s="2" t="s">
        <v>3956</v>
      </c>
      <c r="B3956" s="2" t="str">
        <f>IFERROR(__xludf.DUMMYFUNCTION("GOOGLETRANSLATE(A3956, ""en"", ""mt"")"),"Il-magni tal-fwar huma magni ta 'kombustjoni esterna, fejn il-fluwidu tax-xogħol huwa separat mill-prodotti tal-kombustjoni. Sorsi ta 'sħana mhux kombustjoni bħal enerġija solari, enerġija nukleari jew enerġija ġeotermali jistgħu jintużaw. Iċ-ċiklu termod"&amp;"inamiku ideali użat biex janalizza dan il-proċess jissejjaħ iċ-ċiklu Rankine. Fiċ-ċiklu, l-ilma jissaħħan u jittrasforma fi fwar ġewwa bojler li jaħdem bi pressjoni għolja. Meta jitwessa 'permezz ta' pistuni jew turbini, isir xogħol mekkaniku. Il-fwar bi "&amp;"pressjoni mnaqqsa huwa mbagħad ikkondensat u ppumpjat lura fil-bojler.")</f>
        <v>Il-magni tal-fwar huma magni ta 'kombustjoni esterna, fejn il-fluwidu tax-xogħol huwa separat mill-prodotti tal-kombustjoni. Sorsi ta 'sħana mhux kombustjoni bħal enerġija solari, enerġija nukleari jew enerġija ġeotermali jistgħu jintużaw. Iċ-ċiklu termodinamiku ideali użat biex janalizza dan il-proċess jissejjaħ iċ-ċiklu Rankine. Fiċ-ċiklu, l-ilma jissaħħan u jittrasforma fi fwar ġewwa bojler li jaħdem bi pressjoni għolja. Meta jitwessa 'permezz ta' pistuni jew turbini, isir xogħol mekkaniku. Il-fwar bi pressjoni mnaqqsa huwa mbagħad ikkondensat u ppumpjat lura fil-bojler.</v>
      </c>
    </row>
    <row r="3957" ht="15.75" customHeight="1">
      <c r="A3957" s="2" t="s">
        <v>3957</v>
      </c>
      <c r="B3957" s="2" t="str">
        <f>IFERROR(__xludf.DUMMYFUNCTION("GOOGLETRANSLATE(A3957, ""en"", ""mt"")"),"Liema serje tal-logħob tal-kompjuter għamel Alex Seropian?")</f>
        <v>Liema serje tal-logħob tal-kompjuter għamel Alex Seropian?</v>
      </c>
    </row>
    <row r="3958" ht="15.75" customHeight="1">
      <c r="A3958" s="2" t="s">
        <v>3958</v>
      </c>
      <c r="B3958" s="2" t="str">
        <f>IFERROR(__xludf.DUMMYFUNCTION("GOOGLETRANSLATE(A3958, ""en"", ""mt"")"),"Fl-1466, forsi 40,000 persuna mietu bil-pesta f'Pariġi. Matul is-sekli 16 u 17, il-pesta kienet preżenti f'Pariġi madwar 30 fil-mija tal-ħin. Il-Black Death ħarbtu l-Ewropa għal tliet snin qabel ma kompliet fir-Russja, fejn il-marda kienet preżenti x'imki"&amp;"en fil-pajjiż 25 darba bejn l-1350 sal-1490. L-epidemiji tal-pesta ħarbtu Londra fl-1563, 1593, 1603, 1625, 1636, u 1665, tnaqqas il-popolazzjoni tagħha b'10 sa 30% matul dawk is-snin. Aktar minn 10% tal-popolazzjoni ta 'Amsterdam mietet fl-1623-25, u għa"&amp;"l darb'oħra fl-1635–36, 1655 u 1664. Il-pesta seħħet f'Venezja 22 darba bejn l-1361 u l-1528. Il-pesta ta' 1576-77 qatlet 50,000 f'Venezja, kważi terz ta ' il-popolazzjoni. Tfaqqigħ tard fl-Ewropa Ċentrali kien jinkludi l-pesta Taljana tal-1629-1631, li h"&amp;"ija assoċjata ma 'movimenti tat-truppi matul il-gwerra tat-tletin sena, u l-pesta kbira ta' Vjenna fl-1679. Aktar minn 60% tal-popolazzjoni tan-Norveġja mietet fl-1348-50. L-aħħar tifqigħa tal-pesta ħarbgħet lil Oslo fl-1654.")</f>
        <v>Fl-1466, forsi 40,000 persuna mietu bil-pesta f'Pariġi. Matul is-sekli 16 u 17, il-pesta kienet preżenti f'Pariġi madwar 30 fil-mija tal-ħin. Il-Black Death ħarbtu l-Ewropa għal tliet snin qabel ma kompliet fir-Russja, fejn il-marda kienet preżenti x'imkien fil-pajjiż 25 darba bejn l-1350 sal-1490. L-epidemiji tal-pesta ħarbtu Londra fl-1563, 1593, 1603, 1625, 1636, u 1665, tnaqqas il-popolazzjoni tagħha b'10 sa 30% matul dawk is-snin. Aktar minn 10% tal-popolazzjoni ta 'Amsterdam mietet fl-1623-25, u għal darb'oħra fl-1635–36, 1655 u 1664. Il-pesta seħħet f'Venezja 22 darba bejn l-1361 u l-1528. Il-pesta ta' 1576-77 qatlet 50,000 f'Venezja, kważi terz ta ' il-popolazzjoni. Tfaqqigħ tard fl-Ewropa Ċentrali kien jinkludi l-pesta Taljana tal-1629-1631, li hija assoċjata ma 'movimenti tat-truppi matul il-gwerra tat-tletin sena, u l-pesta kbira ta' Vjenna fl-1679. Aktar minn 60% tal-popolazzjoni tan-Norveġja mietet fl-1348-50. L-aħħar tifqigħa tal-pesta ħarbgħet lil Oslo fl-1654.</v>
      </c>
    </row>
    <row r="3959" ht="15.75" customHeight="1">
      <c r="A3959" s="2" t="s">
        <v>3959</v>
      </c>
      <c r="B3959" s="2" t="str">
        <f>IFERROR(__xludf.DUMMYFUNCTION("GOOGLETRANSLATE(A3959, ""en"", ""mt"")"),"Hgo")</f>
        <v>Hgo</v>
      </c>
    </row>
    <row r="3960" ht="15.75" customHeight="1">
      <c r="A3960" s="2" t="s">
        <v>3960</v>
      </c>
      <c r="B3960" s="2" t="str">
        <f>IFERROR(__xludf.DUMMYFUNCTION("GOOGLETRANSLATE(A3960, ""en"", ""mt"")"),"qawwi")</f>
        <v>qawwi</v>
      </c>
    </row>
    <row r="3961" ht="15.75" customHeight="1">
      <c r="A3961" s="2" t="s">
        <v>3961</v>
      </c>
      <c r="B3961" s="2" t="str">
        <f>IFERROR(__xludf.DUMMYFUNCTION("GOOGLETRANSLATE(A3961, ""en"", ""mt"")"),"Tekniki kartografiċi tas-seklu dsatax")</f>
        <v>Tekniki kartografiċi tas-seklu dsatax</v>
      </c>
    </row>
    <row r="3962" ht="15.75" customHeight="1">
      <c r="A3962" s="2" t="s">
        <v>3962</v>
      </c>
      <c r="B3962" s="2" t="str">
        <f>IFERROR(__xludf.DUMMYFUNCTION("GOOGLETRANSLATE(A3962, ""en"", ""mt"")"),"Fejn hi l-iktar sezzjoni kiesħa tar-Rabat?")</f>
        <v>Fejn hi l-iktar sezzjoni kiesħa tar-Rabat?</v>
      </c>
    </row>
    <row r="3963" ht="15.75" customHeight="1">
      <c r="A3963" s="2" t="s">
        <v>3963</v>
      </c>
      <c r="B3963" s="2" t="str">
        <f>IFERROR(__xludf.DUMMYFUNCTION("GOOGLETRANSLATE(A3963, ""en"", ""mt"")"),"X'inhu l-komponent ewlieni tal-organu aboral?")</f>
        <v>X'inhu l-komponent ewlieni tal-organu aboral?</v>
      </c>
    </row>
    <row r="3964" ht="15.75" customHeight="1">
      <c r="A3964" s="2" t="s">
        <v>3964</v>
      </c>
      <c r="B3964" s="2" t="str">
        <f>IFERROR(__xludf.DUMMYFUNCTION("GOOGLETRANSLATE(A3964, ""en"", ""mt"")"),"Guinea Ġermaniża Ġermaniża")</f>
        <v>Guinea Ġermaniża Ġermaniża</v>
      </c>
    </row>
    <row r="3965" ht="15.75" customHeight="1">
      <c r="A3965" s="2" t="s">
        <v>3965</v>
      </c>
      <c r="B3965" s="2" t="str">
        <f>IFERROR(__xludf.DUMMYFUNCTION("GOOGLETRANSLATE(A3965, ""en"", ""mt"")"),"30–60% tal-popolazzjoni totali tal-Ewropa")</f>
        <v>30–60% tal-popolazzjoni totali tal-Ewropa</v>
      </c>
    </row>
    <row r="3966" ht="15.75" customHeight="1">
      <c r="A3966" s="2" t="s">
        <v>3966</v>
      </c>
      <c r="B3966" s="2" t="str">
        <f>IFERROR(__xludf.DUMMYFUNCTION("GOOGLETRANSLATE(A3966, ""en"", ""mt"")"),"X'inhi d-distanza minima bejn id-dar tal-pazjent u l-eqreb spiżerija li tippermetti lit-tabib jagħti medikazzjoni?")</f>
        <v>X'inhi d-distanza minima bejn id-dar tal-pazjent u l-eqreb spiżerija li tippermetti lit-tabib jagħti medikazzjoni?</v>
      </c>
    </row>
    <row r="3967" ht="15.75" customHeight="1">
      <c r="A3967" s="2" t="s">
        <v>3967</v>
      </c>
      <c r="B3967" s="2" t="str">
        <f>IFERROR(__xludf.DUMMYFUNCTION("GOOGLETRANSLATE(A3967, ""en"", ""mt"")"),"il-partijiet tan-Nofsinhar u Ċentrali ta 'Franza")</f>
        <v>il-partijiet tan-Nofsinhar u Ċentrali ta 'Franza</v>
      </c>
    </row>
    <row r="3968" ht="15.75" customHeight="1">
      <c r="A3968" s="2" t="s">
        <v>3968</v>
      </c>
      <c r="B3968" s="2" t="str">
        <f>IFERROR(__xludf.DUMMYFUNCTION("GOOGLETRANSLATE(A3968, ""en"", ""mt"")"),"L-evoluzzjoni ġeokimika tal-unitajiet tal-blat")</f>
        <v>L-evoluzzjoni ġeokimika tal-unitajiet tal-blat</v>
      </c>
    </row>
    <row r="3969" ht="15.75" customHeight="1">
      <c r="A3969" s="2" t="s">
        <v>3969</v>
      </c>
      <c r="B3969" s="2" t="str">
        <f>IFERROR(__xludf.DUMMYFUNCTION("GOOGLETRANSLATE(A3969, ""en"", ""mt"")"),"1% sa 3%")</f>
        <v>1% sa 3%</v>
      </c>
    </row>
    <row r="3970" ht="15.75" customHeight="1">
      <c r="A3970" s="2" t="s">
        <v>3970</v>
      </c>
      <c r="B3970" s="2" t="str">
        <f>IFERROR(__xludf.DUMMYFUNCTION("GOOGLETRANSLATE(A3970, ""en"", ""mt"")"),"Numru ta 'bibien")</f>
        <v>Numru ta 'bibien</v>
      </c>
    </row>
    <row r="3971" ht="15.75" customHeight="1">
      <c r="A3971" s="2" t="s">
        <v>3971</v>
      </c>
      <c r="B3971" s="2" t="str">
        <f>IFERROR(__xludf.DUMMYFUNCTION("GOOGLETRANSLATE(A3971, ""en"", ""mt"")"),"X'inhu wieħed mill-annimali tal-mammiferi li jgħix fir-riserva naturali u s-santwarju tal-għasafar?")</f>
        <v>X'inhu wieħed mill-annimali tal-mammiferi li jgħix fir-riserva naturali u s-santwarju tal-għasafar?</v>
      </c>
    </row>
    <row r="3972" ht="15.75" customHeight="1">
      <c r="A3972" s="2" t="s">
        <v>3972</v>
      </c>
      <c r="B3972" s="2" t="str">
        <f>IFERROR(__xludf.DUMMYFUNCTION("GOOGLETRANSLATE(A3972, ""en"", ""mt"")"),"X’jagħmlu l-kuntratturi waqt il-kostruzzjoni tal-bini?")</f>
        <v>X’jagħmlu l-kuntratturi waqt il-kostruzzjoni tal-bini?</v>
      </c>
    </row>
    <row r="3973" ht="15.75" customHeight="1">
      <c r="A3973" s="2" t="s">
        <v>3973</v>
      </c>
      <c r="B3973" s="2" t="str">
        <f>IFERROR(__xludf.DUMMYFUNCTION("GOOGLETRANSLATE(A3973, ""en"", ""mt"")"),"Teżi ta 'Cobham-Edmonds")</f>
        <v>Teżi ta 'Cobham-Edmonds</v>
      </c>
    </row>
    <row r="3974" ht="15.75" customHeight="1">
      <c r="A3974" s="2" t="s">
        <v>3974</v>
      </c>
      <c r="B3974" s="2" t="str">
        <f>IFERROR(__xludf.DUMMYFUNCTION("GOOGLETRANSLATE(A3974, ""en"", ""mt"")"),"Min kien stabbilixxa l-Imperu Russu għall-glorja preċedenti tiegħu qabel l-1921?")</f>
        <v>Min kien stabbilixxa l-Imperu Russu għall-glorja preċedenti tiegħu qabel l-1921?</v>
      </c>
    </row>
    <row r="3975" ht="15.75" customHeight="1">
      <c r="A3975" s="2" t="s">
        <v>3975</v>
      </c>
      <c r="B3975" s="2" t="str">
        <f>IFERROR(__xludf.DUMMYFUNCTION("GOOGLETRANSLATE(A3975, ""en"", ""mt"")"),"komposti ta 'ossiġenu b'potenzjal ossidattiv għoli")</f>
        <v>komposti ta 'ossiġenu b'potenzjal ossidattiv għoli</v>
      </c>
    </row>
    <row r="3976" ht="15.75" customHeight="1">
      <c r="A3976" s="2" t="s">
        <v>3976</v>
      </c>
      <c r="B3976" s="2" t="str">
        <f>IFERROR(__xludf.DUMMYFUNCTION("GOOGLETRANSLATE(A3976, ""en"", ""mt"")"),"Il-konflitti bejn it-tiġrijiet fil-Kanada hija forma unika ta 'xiex?")</f>
        <v>Il-konflitti bejn it-tiġrijiet fil-Kanada hija forma unika ta 'xiex?</v>
      </c>
    </row>
    <row r="3977" ht="15.75" customHeight="1">
      <c r="A3977" s="2" t="s">
        <v>3977</v>
      </c>
      <c r="B3977" s="2" t="str">
        <f>IFERROR(__xludf.DUMMYFUNCTION("GOOGLETRANSLATE(A3977, ""en"", ""mt"")"),"Liema sena ġie stabbilit il-ftehim tal-ECSC?")</f>
        <v>Liema sena ġie stabbilit il-ftehim tal-ECSC?</v>
      </c>
    </row>
    <row r="3978" ht="15.75" customHeight="1">
      <c r="A3978" s="2" t="s">
        <v>3978</v>
      </c>
      <c r="B3978" s="2" t="str">
        <f>IFERROR(__xludf.DUMMYFUNCTION("GOOGLETRANSLATE(A3978, ""en"", ""mt"")"),"Ortodossija Kattolika")</f>
        <v>Ortodossija Kattolika</v>
      </c>
    </row>
    <row r="3979" ht="15.75" customHeight="1">
      <c r="A3979" s="2" t="s">
        <v>3979</v>
      </c>
      <c r="B3979" s="2" t="str">
        <f>IFERROR(__xludf.DUMMYFUNCTION("GOOGLETRANSLATE(A3979, ""en"", ""mt"")"),"Fuq liema riżorsa hija l-ekonomija tan-Nofsinhar tal-Kalifornja?")</f>
        <v>Fuq liema riżorsa hija l-ekonomija tan-Nofsinhar tal-Kalifornja?</v>
      </c>
    </row>
    <row r="3980" ht="15.75" customHeight="1">
      <c r="A3980" s="2" t="s">
        <v>3980</v>
      </c>
      <c r="B3980" s="2" t="str">
        <f>IFERROR(__xludf.DUMMYFUNCTION("GOOGLETRANSLATE(A3980, ""en"", ""mt"")"),"Min kien l-awtur tar-Raba 'Rapport ta' Valutazzjoni?")</f>
        <v>Min kien l-awtur tar-Raba 'Rapport ta' Valutazzjoni?</v>
      </c>
    </row>
    <row r="3981" ht="15.75" customHeight="1">
      <c r="A3981" s="2" t="s">
        <v>3981</v>
      </c>
      <c r="B3981" s="2" t="str">
        <f>IFERROR(__xludf.DUMMYFUNCTION("GOOGLETRANSLATE(A3981, ""en"", ""mt"")"),"Meta n-nies jieħdu d-dejn, dan iwassal potenzjalment għal xiex?")</f>
        <v>Meta n-nies jieħdu d-dejn, dan iwassal potenzjalment għal xiex?</v>
      </c>
    </row>
    <row r="3982" ht="15.75" customHeight="1">
      <c r="A3982" s="2" t="s">
        <v>3982</v>
      </c>
      <c r="B3982" s="2" t="str">
        <f>IFERROR(__xludf.DUMMYFUNCTION("GOOGLETRANSLATE(A3982, ""en"", ""mt"")"),"Min hu l-aħjar kapaċi jsaħħaħ l-akkumulazzjoni tal-ġid?")</f>
        <v>Min hu l-aħjar kapaċi jsaħħaħ l-akkumulazzjoni tal-ġid?</v>
      </c>
    </row>
    <row r="3983" ht="15.75" customHeight="1">
      <c r="A3983" s="2" t="s">
        <v>3983</v>
      </c>
      <c r="B3983" s="2" t="str">
        <f>IFERROR(__xludf.DUMMYFUNCTION("GOOGLETRANSLATE(A3983, ""en"", ""mt"")"),"Għalkemm xi Akkadjani marru Franza u destinazzjonijiet oħra, liema belt ta 'l-Amerika ta' Fuq marret ħafna?")</f>
        <v>Għalkemm xi Akkadjani marru Franza u destinazzjonijiet oħra, liema belt ta 'l-Amerika ta' Fuq marret ħafna?</v>
      </c>
    </row>
    <row r="3984" ht="15.75" customHeight="1">
      <c r="A3984" s="2" t="s">
        <v>3984</v>
      </c>
      <c r="B3984" s="2" t="str">
        <f>IFERROR(__xludf.DUMMYFUNCTION("GOOGLETRANSLATE(A3984, ""en"", ""mt"")"),"X'kienet imsejħa Fort Caroline wara l-attakk Spanjol?")</f>
        <v>X'kienet imsejħa Fort Caroline wara l-attakk Spanjol?</v>
      </c>
    </row>
    <row r="3985" ht="15.75" customHeight="1">
      <c r="A3985" s="2" t="s">
        <v>3985</v>
      </c>
      <c r="B3985" s="2" t="str">
        <f>IFERROR(__xludf.DUMMYFUNCTION("GOOGLETRANSLATE(A3985, ""en"", ""mt"")"),"Uġigħ kroniku")</f>
        <v>Uġigħ kroniku</v>
      </c>
    </row>
    <row r="3986" ht="15.75" customHeight="1">
      <c r="A3986" s="2" t="s">
        <v>3986</v>
      </c>
      <c r="B3986" s="2" t="str">
        <f>IFERROR(__xludf.DUMMYFUNCTION("GOOGLETRANSLATE(A3986, ""en"", ""mt"")"),"tibgħat email")</f>
        <v>tibgħat email</v>
      </c>
    </row>
    <row r="3987" ht="15.75" customHeight="1">
      <c r="A3987" s="2" t="s">
        <v>3987</v>
      </c>
      <c r="B3987" s="2" t="str">
        <f>IFERROR(__xludf.DUMMYFUNCTION("GOOGLETRANSLATE(A3987, ""en"", ""mt"")"),"Madwar 1.7 biljun sena ilu")</f>
        <v>Madwar 1.7 biljun sena ilu</v>
      </c>
    </row>
    <row r="3988" ht="15.75" customHeight="1">
      <c r="A3988" s="2" t="s">
        <v>3988</v>
      </c>
      <c r="B3988" s="2" t="str">
        <f>IFERROR(__xludf.DUMMYFUNCTION("GOOGLETRANSLATE(A3988, ""en"", ""mt"")"),"Liema xmara Varsavja toqgħod?")</f>
        <v>Liema xmara Varsavja toqgħod?</v>
      </c>
    </row>
    <row r="3989" ht="15.75" customHeight="1">
      <c r="A3989" s="2" t="s">
        <v>3989</v>
      </c>
      <c r="B3989" s="2" t="str">
        <f>IFERROR(__xludf.DUMMYFUNCTION("GOOGLETRANSLATE(A3989, ""en"", ""mt"")"),"Liema tipi ta 'pompi huma tipikament użati fil-magni tal-ġett?")</f>
        <v>Liema tipi ta 'pompi huma tipikament użati fil-magni tal-ġett?</v>
      </c>
    </row>
    <row r="3990" ht="15.75" customHeight="1">
      <c r="A3990" s="2" t="s">
        <v>3990</v>
      </c>
      <c r="B3990" s="2" t="str">
        <f>IFERROR(__xludf.DUMMYFUNCTION("GOOGLETRANSLATE(A3990, ""en"", ""mt"")"),"X'inhu s-sodda ewlenija?")</f>
        <v>X'inhu s-sodda ewlenija?</v>
      </c>
    </row>
    <row r="3991" ht="15.75" customHeight="1">
      <c r="A3991" s="2" t="s">
        <v>3991</v>
      </c>
      <c r="B3991" s="2" t="str">
        <f>IFERROR(__xludf.DUMMYFUNCTION("GOOGLETRANSLATE(A3991, ""en"", ""mt"")"),"melanomas")</f>
        <v>melanomas</v>
      </c>
    </row>
    <row r="3992" ht="15.75" customHeight="1">
      <c r="A3992" s="2" t="s">
        <v>3992</v>
      </c>
      <c r="B3992" s="2" t="str">
        <f>IFERROR(__xludf.DUMMYFUNCTION("GOOGLETRANSLATE(A3992, ""en"", ""mt"")"),"Għal liema relazzjoni ma 'Iżrael huwa Sadat?")</f>
        <v>Għal liema relazzjoni ma 'Iżrael huwa Sadat?</v>
      </c>
    </row>
    <row r="3993" ht="15.75" customHeight="1">
      <c r="A3993" s="2" t="s">
        <v>3993</v>
      </c>
      <c r="B3993" s="2" t="str">
        <f>IFERROR(__xludf.DUMMYFUNCTION("GOOGLETRANSLATE(A3993, ""en"", ""mt"")"),"Ħafna klassijiet ta 'kumplessità huma definiti bl-użu tal-kunċett ta' tnaqqis. Tnaqqis huwa trasformazzjoni ta 'problema waħda fi problema oħra. Jaqbad il-kunċett informali ta 'problema għall-inqas diffiċli daqs problema oħra. Pereżempju, jekk problema x "&amp;"tista 'tissolva bl-użu ta' algoritmu għal y, X mhix iktar diffiċli minn y, u aħna ngħidu li X tnaqqas għal Y. Hemm ħafna tipi differenti ta 'tnaqqis, ibbażati fuq il-metodu ta' tnaqqis, bħal Tnaqqis tal-kok, tnaqqis tal-karp u tnaqqis tal-levin, u l-marbu"&amp;"t fuq il-kumplessità ta 'tnaqqis, bħal tnaqqis fil-ħin polinomjali jew tnaqqis fl-ispazju ta' log.")</f>
        <v>Ħafna klassijiet ta 'kumplessità huma definiti bl-użu tal-kunċett ta' tnaqqis. Tnaqqis huwa trasformazzjoni ta 'problema waħda fi problema oħra. Jaqbad il-kunċett informali ta 'problema għall-inqas diffiċli daqs problema oħra. Pereżempju, jekk problema x tista 'tissolva bl-użu ta' algoritmu għal y, X mhix iktar diffiċli minn y, u aħna ngħidu li X tnaqqas għal Y. Hemm ħafna tipi differenti ta 'tnaqqis, ibbażati fuq il-metodu ta' tnaqqis, bħal Tnaqqis tal-kok, tnaqqis tal-karp u tnaqqis tal-levin, u l-marbut fuq il-kumplessità ta 'tnaqqis, bħal tnaqqis fil-ħin polinomjali jew tnaqqis fl-ispazju ta' log.</v>
      </c>
    </row>
    <row r="3994" ht="15.75" customHeight="1">
      <c r="A3994" s="2" t="s">
        <v>3994</v>
      </c>
      <c r="B3994" s="2" t="str">
        <f>IFERROR(__xludf.DUMMYFUNCTION("GOOGLETRANSLATE(A3994, ""en"", ""mt"")"),"Triq tal-Ħarir")</f>
        <v>Triq tal-Ħarir</v>
      </c>
    </row>
    <row r="3995" ht="15.75" customHeight="1">
      <c r="A3995" s="2" t="s">
        <v>3995</v>
      </c>
      <c r="B3995" s="2" t="str">
        <f>IFERROR(__xludf.DUMMYFUNCTION("GOOGLETRANSLATE(A3995, ""en"", ""mt"")"),"Rivoluzzjoni Dinjija")</f>
        <v>Rivoluzzjoni Dinjija</v>
      </c>
    </row>
    <row r="3996" ht="15.75" customHeight="1">
      <c r="A3996" s="2" t="s">
        <v>3996</v>
      </c>
      <c r="B3996" s="2" t="str">
        <f>IFERROR(__xludf.DUMMYFUNCTION("GOOGLETRANSLATE(A3996, ""en"", ""mt"")"),"Fit-teorija taċ-ċirku")</f>
        <v>Fit-teorija taċ-ċirku</v>
      </c>
    </row>
    <row r="3997" ht="15.75" customHeight="1">
      <c r="A3997" s="2" t="s">
        <v>3997</v>
      </c>
      <c r="B3997" s="2" t="str">
        <f>IFERROR(__xludf.DUMMYFUNCTION("GOOGLETRANSLATE(A3997, ""en"", ""mt"")"),"Professjonisti tal-kura tas-saħħa b'edukazzjoni speċjalizzata")</f>
        <v>Professjonisti tal-kura tas-saħħa b'edukazzjoni speċjalizzata</v>
      </c>
    </row>
    <row r="3998" ht="15.75" customHeight="1">
      <c r="A3998" s="2" t="s">
        <v>3998</v>
      </c>
      <c r="B3998" s="2" t="str">
        <f>IFERROR(__xludf.DUMMYFUNCTION("GOOGLETRANSLATE(A3998, ""en"", ""mt"")"),"Kif infirxet il-mediċina Ċiniża?")</f>
        <v>Kif infirxet il-mediċina Ċiniża?</v>
      </c>
    </row>
    <row r="3999" ht="15.75" customHeight="1">
      <c r="A3999" s="2" t="s">
        <v>3999</v>
      </c>
      <c r="B3999" s="2" t="str">
        <f>IFERROR(__xludf.DUMMYFUNCTION("GOOGLETRANSLATE(A3999, ""en"", ""mt"")"),"Jumonville Glen")</f>
        <v>Jumonville Glen</v>
      </c>
    </row>
    <row r="4000" ht="15.75" customHeight="1">
      <c r="A4000" s="2" t="s">
        <v>4000</v>
      </c>
      <c r="B4000" s="2" t="str">
        <f>IFERROR(__xludf.DUMMYFUNCTION("GOOGLETRANSLATE(A4000, ""en"", ""mt"")"),"9–88 cm")</f>
        <v>9–88 cm</v>
      </c>
    </row>
    <row r="4001" ht="15.75" customHeight="1">
      <c r="A4001" s="2" t="s">
        <v>4001</v>
      </c>
      <c r="B4001" s="2" t="str">
        <f>IFERROR(__xludf.DUMMYFUNCTION("GOOGLETRANSLATE(A4001, ""en"", ""mt"")"),"Liema żona għandha popolazzjoni ta '5,105,786?")</f>
        <v>Liema żona għandha popolazzjoni ta '5,105,786?</v>
      </c>
    </row>
    <row r="4002" ht="15.75" customHeight="1">
      <c r="A4002" s="2" t="s">
        <v>4002</v>
      </c>
      <c r="B4002" s="2" t="str">
        <f>IFERROR(__xludf.DUMMYFUNCTION("GOOGLETRANSLATE(A4002, ""en"", ""mt"")"),"Kif it-trattament mhux ugwali taċ-Ċiniż kontra l-Mongoli fil-wan għamel id-dinastija tidher?")</f>
        <v>Kif it-trattament mhux ugwali taċ-Ċiniż kontra l-Mongoli fil-wan għamel id-dinastija tidher?</v>
      </c>
    </row>
    <row r="4003" ht="15.75" customHeight="1">
      <c r="A4003" s="2" t="s">
        <v>4003</v>
      </c>
      <c r="B4003" s="2" t="str">
        <f>IFERROR(__xludf.DUMMYFUNCTION("GOOGLETRANSLATE(A4003, ""en"", ""mt"")"),"X'tip ta 'radar intuża biex jikklassifika l-foresta skont it-tip ta' pjanta?")</f>
        <v>X'tip ta 'radar intuża biex jikklassifika l-foresta skont it-tip ta' pjanta?</v>
      </c>
    </row>
    <row r="4004" ht="15.75" customHeight="1">
      <c r="A4004" s="2" t="s">
        <v>4004</v>
      </c>
      <c r="B4004" s="2" t="str">
        <f>IFERROR(__xludf.DUMMYFUNCTION("GOOGLETRANSLATE(A4004, ""en"", ""mt"")"),"Kif jissejħu l-iskejjel pubbliċi fil-Ġermanja?")</f>
        <v>Kif jissejħu l-iskejjel pubbliċi fil-Ġermanja?</v>
      </c>
    </row>
    <row r="4005" ht="15.75" customHeight="1">
      <c r="A4005" s="2" t="s">
        <v>4005</v>
      </c>
      <c r="B4005" s="2" t="str">
        <f>IFERROR(__xludf.DUMMYFUNCTION("GOOGLETRANSLATE(A4005, ""en"", ""mt"")"),"attakka l-kolonna Ingliża")</f>
        <v>attakka l-kolonna Ingliża</v>
      </c>
    </row>
    <row r="4006" ht="15.75" customHeight="1">
      <c r="A4006" s="2" t="s">
        <v>4006</v>
      </c>
      <c r="B4006" s="2" t="str">
        <f>IFERROR(__xludf.DUMMYFUNCTION("GOOGLETRANSLATE(A4006, ""en"", ""mt"")"),"belt")</f>
        <v>belt</v>
      </c>
    </row>
    <row r="4007" ht="15.75" customHeight="1">
      <c r="A4007" s="2" t="s">
        <v>4007</v>
      </c>
      <c r="B4007" s="2" t="str">
        <f>IFERROR(__xludf.DUMMYFUNCTION("GOOGLETRANSLATE(A4007, ""en"", ""mt"")"),"In-netwerks X.25 ġew megħjuna minn xiex?")</f>
        <v>In-netwerks X.25 ġew megħjuna minn xiex?</v>
      </c>
    </row>
    <row r="4008" ht="15.75" customHeight="1">
      <c r="A4008" s="2" t="s">
        <v>4008</v>
      </c>
      <c r="B4008" s="2" t="str">
        <f>IFERROR(__xludf.DUMMYFUNCTION("GOOGLETRANSLATE(A4008, ""en"", ""mt"")"),"X'inhu n-numru atomiku tal-ossiġnu tal-element?")</f>
        <v>X'inhu n-numru atomiku tal-ossiġnu tal-element?</v>
      </c>
    </row>
    <row r="4009" ht="15.75" customHeight="1">
      <c r="A4009" s="2" t="s">
        <v>4009</v>
      </c>
      <c r="B4009" s="2" t="str">
        <f>IFERROR(__xludf.DUMMYFUNCTION("GOOGLETRANSLATE(A4009, ""en"", ""mt"")"),"Liema nazzjonalità kienet Leonardo da Vinci?")</f>
        <v>Liema nazzjonalità kienet Leonardo da Vinci?</v>
      </c>
    </row>
    <row r="4010" ht="15.75" customHeight="1">
      <c r="A4010" s="2" t="s">
        <v>4010</v>
      </c>
      <c r="B4010" s="2" t="str">
        <f>IFERROR(__xludf.DUMMYFUNCTION("GOOGLETRANSLATE(A4010, ""en"", ""mt"")"),"Kif tissejjaħ il-varjabbli angolari intsiċi meta l-partiċelli jaġixxu fuq xulxin?")</f>
        <v>Kif tissejjaħ il-varjabbli angolari intsiċi meta l-partiċelli jaġixxu fuq xulxin?</v>
      </c>
    </row>
    <row r="4011" ht="15.75" customHeight="1">
      <c r="A4011" s="2" t="s">
        <v>4011</v>
      </c>
      <c r="B4011" s="2" t="str">
        <f>IFERROR(__xludf.DUMMYFUNCTION("GOOGLETRANSLATE(A4011, ""en"", ""mt"")"),"Kif tippronunzja Fresno?")</f>
        <v>Kif tippronunzja Fresno?</v>
      </c>
    </row>
    <row r="4012" ht="15.75" customHeight="1">
      <c r="A4012" s="2" t="s">
        <v>4012</v>
      </c>
      <c r="B4012" s="2" t="str">
        <f>IFERROR(__xludf.DUMMYFUNCTION("GOOGLETRANSLATE(A4012, ""en"", ""mt"")"),"Ma 'x'tip ta' siġar huwa miksi bil-Kearney Boulevard?")</f>
        <v>Ma 'x'tip ta' siġar huwa miksi bil-Kearney Boulevard?</v>
      </c>
    </row>
    <row r="4013" ht="15.75" customHeight="1">
      <c r="A4013" s="2" t="s">
        <v>4013</v>
      </c>
      <c r="B4013" s="2" t="str">
        <f>IFERROR(__xludf.DUMMYFUNCTION("GOOGLETRANSLATE(A4013, ""en"", ""mt"")")," Min Kublai ried jippreċedih?")</f>
        <v> Min Kublai ried jippreċedih?</v>
      </c>
    </row>
    <row r="4014" ht="15.75" customHeight="1">
      <c r="A4014" s="2" t="s">
        <v>4014</v>
      </c>
      <c r="B4014" s="2" t="str">
        <f>IFERROR(__xludf.DUMMYFUNCTION("GOOGLETRANSLATE(A4014, ""en"", ""mt"")")," Għaliex iċ-Ċiniżi tal-Lvant kienu kklassifikati aktar baxxi?")</f>
        <v> Għaliex iċ-Ċiniżi tal-Lvant kienu kklassifikati aktar baxxi?</v>
      </c>
    </row>
    <row r="4015" ht="15.75" customHeight="1">
      <c r="A4015" s="2" t="s">
        <v>4015</v>
      </c>
      <c r="B4015" s="2" t="str">
        <f>IFERROR(__xludf.DUMMYFUNCTION("GOOGLETRANSLATE(A4015, ""en"", ""mt"")"),"X'inhi t-teorija li l-isem ta 'dan ir-re huwa l-oriġini ta' ""Huguenot"" imsejjaħ?")</f>
        <v>X'inhi t-teorija li l-isem ta 'dan ir-re huwa l-oriġini ta' "Huguenot" imsejjaħ?</v>
      </c>
    </row>
    <row r="4016" ht="15.75" customHeight="1">
      <c r="A4016" s="2" t="s">
        <v>4016</v>
      </c>
      <c r="B4016" s="2" t="str">
        <f>IFERROR(__xludf.DUMMYFUNCTION("GOOGLETRANSLATE(A4016, ""en"", ""mt"")"),"TEU Artikoli 4 u 5")</f>
        <v>TEU Artikoli 4 u 5</v>
      </c>
    </row>
    <row r="4017" ht="15.75" customHeight="1">
      <c r="A4017" s="2" t="s">
        <v>4017</v>
      </c>
      <c r="B4017" s="2" t="str">
        <f>IFERROR(__xludf.DUMMYFUNCTION("GOOGLETRANSLATE(A4017, ""en"", ""mt"")"),"Żvilupp skoraġġut ta 'enerġiji alternattivi")</f>
        <v>Żvilupp skoraġġut ta 'enerġiji alternattivi</v>
      </c>
    </row>
    <row r="4018" ht="15.75" customHeight="1">
      <c r="A4018" s="2" t="s">
        <v>4018</v>
      </c>
      <c r="B4018" s="2" t="str">
        <f>IFERROR(__xludf.DUMMYFUNCTION("GOOGLETRANSLATE(A4018, ""en"", ""mt"")"),"L-NSF għen lin-netwerk isaħħaħ xiex?")</f>
        <v>L-NSF għen lin-netwerk isaħħaħ xiex?</v>
      </c>
    </row>
    <row r="4019" ht="15.75" customHeight="1">
      <c r="A4019" s="2" t="s">
        <v>4019</v>
      </c>
      <c r="B4019" s="2" t="str">
        <f>IFERROR(__xludf.DUMMYFUNCTION("GOOGLETRANSLATE(A4019, ""en"", ""mt"")"),"każijiet")</f>
        <v>każijiet</v>
      </c>
    </row>
    <row r="4020" ht="15.75" customHeight="1">
      <c r="A4020" s="2" t="s">
        <v>4020</v>
      </c>
      <c r="B4020" s="2" t="str">
        <f>IFERROR(__xludf.DUMMYFUNCTION("GOOGLETRANSLATE(A4020, ""en"", ""mt"")"),"skejjel privati ​​tradizzjonali")</f>
        <v>skejjel privati ​​tradizzjonali</v>
      </c>
    </row>
    <row r="4021" ht="15.75" customHeight="1">
      <c r="A4021" s="2" t="s">
        <v>4021</v>
      </c>
      <c r="B4021" s="2" t="str">
        <f>IFERROR(__xludf.DUMMYFUNCTION("GOOGLETRANSLATE(A4021, ""en"", ""mt"")"),"F'liema sens trid tkun qed tosserva l-kurvatura ta 'l-ispazju-ħin?")</f>
        <v>F'liema sens trid tkun qed tosserva l-kurvatura ta 'l-ispazju-ħin?</v>
      </c>
    </row>
    <row r="4022" ht="15.75" customHeight="1">
      <c r="A4022" s="2" t="s">
        <v>4022</v>
      </c>
      <c r="B4022" s="2" t="str">
        <f>IFERROR(__xludf.DUMMYFUNCTION("GOOGLETRANSLATE(A4022, ""en"", ""mt"")"),"Min kien l-inventur tal-magna atmosferika?")</f>
        <v>Min kien l-inventur tal-magna atmosferika?</v>
      </c>
    </row>
    <row r="4023" ht="15.75" customHeight="1">
      <c r="A4023" s="2" t="s">
        <v>4023</v>
      </c>
      <c r="B4023" s="2" t="str">
        <f>IFERROR(__xludf.DUMMYFUNCTION("GOOGLETRANSLATE(A4023, ""en"", ""mt"")"),"John Myhill")</f>
        <v>John Myhill</v>
      </c>
    </row>
    <row r="4024" ht="15.75" customHeight="1">
      <c r="A4024" s="2" t="s">
        <v>4024</v>
      </c>
      <c r="B4024" s="2" t="str">
        <f>IFERROR(__xludf.DUMMYFUNCTION("GOOGLETRANSLATE(A4024, ""en"", ""mt"")"),"Kemm rikostruzzjonijiet tat-temperatura ġew inklużi fit-tieni rapport ta 'valutazzjoni?")</f>
        <v>Kemm rikostruzzjonijiet tat-temperatura ġew inklużi fit-tieni rapport ta 'valutazzjoni?</v>
      </c>
    </row>
    <row r="4025" ht="15.75" customHeight="1">
      <c r="A4025" s="2" t="s">
        <v>4025</v>
      </c>
      <c r="B4025" s="2" t="str">
        <f>IFERROR(__xludf.DUMMYFUNCTION("GOOGLETRANSLATE(A4025, ""en"", ""mt"")"),"Drittijiet ta 'tagħlim baxxi ħafna")</f>
        <v>Drittijiet ta 'tagħlim baxxi ħafna</v>
      </c>
    </row>
    <row r="4026" ht="15.75" customHeight="1">
      <c r="A4026" s="2" t="s">
        <v>4026</v>
      </c>
      <c r="B4026" s="2" t="str">
        <f>IFERROR(__xludf.DUMMYFUNCTION("GOOGLETRANSLATE(A4026, ""en"", ""mt"")"),"X'inhu strettament jinsab fl-eżptime?")</f>
        <v>X'inhu strettament jinsab fl-eżptime?</v>
      </c>
    </row>
    <row r="4027" ht="15.75" customHeight="1">
      <c r="A4027" s="2" t="s">
        <v>4027</v>
      </c>
      <c r="B4027" s="2" t="str">
        <f>IFERROR(__xludf.DUMMYFUNCTION("GOOGLETRANSLATE(A4027, ""en"", ""mt"")"),"riskju għoli ta 'kunflitt ta' interess")</f>
        <v>riskju għoli ta 'kunflitt ta' interess</v>
      </c>
    </row>
    <row r="4028" ht="15.75" customHeight="1">
      <c r="A4028" s="2" t="s">
        <v>4028</v>
      </c>
      <c r="B4028" s="2" t="str">
        <f>IFERROR(__xludf.DUMMYFUNCTION("GOOGLETRANSLATE(A4028, ""en"", ""mt"")"),"Kemm studenti gradwati għandu Harvard?")</f>
        <v>Kemm studenti gradwati għandu Harvard?</v>
      </c>
    </row>
    <row r="4029" ht="15.75" customHeight="1">
      <c r="A4029" s="2" t="s">
        <v>4029</v>
      </c>
      <c r="B4029" s="2" t="str">
        <f>IFERROR(__xludf.DUMMYFUNCTION("GOOGLETRANSLATE(A4029, ""en"", ""mt"")"),"Liema kumpanija għadha toffri vidjow fuq talba u HD?")</f>
        <v>Liema kumpanija għadha toffri vidjow fuq talba u HD?</v>
      </c>
    </row>
    <row r="4030" ht="15.75" customHeight="1">
      <c r="A4030" s="2" t="s">
        <v>4030</v>
      </c>
      <c r="B4030" s="2" t="str">
        <f>IFERROR(__xludf.DUMMYFUNCTION("GOOGLETRANSLATE(A4030, ""en"", ""mt"")"),"Il-fagoċitosi l-ewwel evolviet bħala mezz biex tagħmel xiex?")</f>
        <v>Il-fagoċitosi l-ewwel evolviet bħala mezz biex tagħmel xiex?</v>
      </c>
    </row>
    <row r="4031" ht="15.75" customHeight="1">
      <c r="A4031" s="2" t="s">
        <v>4031</v>
      </c>
      <c r="B4031" s="2" t="str">
        <f>IFERROR(__xludf.DUMMYFUNCTION("GOOGLETRANSLATE(A4031, ""en"", ""mt"")"),"Vjolazzjoni tal-liġi kriminali li ma tikserx id-drittijiet ta 'ħaddieħor.")</f>
        <v>Vjolazzjoni tal-liġi kriminali li ma tikserx id-drittijiet ta 'ħaddieħor.</v>
      </c>
    </row>
    <row r="4032" ht="15.75" customHeight="1">
      <c r="A4032" s="2" t="s">
        <v>4032</v>
      </c>
      <c r="B4032" s="2" t="str">
        <f>IFERROR(__xludf.DUMMYFUNCTION("GOOGLETRANSLATE(A4032, ""en"", ""mt"")"),"X'irrakkomanda S&amp;P biex tirrimedja xi ftit id-distakk tal-ġid?")</f>
        <v>X'irrakkomanda S&amp;P biex tirrimedja xi ftit id-distakk tal-ġid?</v>
      </c>
    </row>
    <row r="4033" ht="15.75" customHeight="1">
      <c r="A4033" s="2" t="s">
        <v>4033</v>
      </c>
      <c r="B4033" s="2" t="str">
        <f>IFERROR(__xludf.DUMMYFUNCTION("GOOGLETRANSLATE(A4033, ""en"", ""mt"")"),"kważi $ 12")</f>
        <v>kważi $ 12</v>
      </c>
    </row>
    <row r="4034" ht="15.75" customHeight="1">
      <c r="A4034" s="2" t="s">
        <v>4034</v>
      </c>
      <c r="B4034" s="2" t="str">
        <f>IFERROR(__xludf.DUMMYFUNCTION("GOOGLETRANSLATE(A4034, ""en"", ""mt"")"),"Baran żviluppa dan ""biss"" għall-użu mill-Air Force?")</f>
        <v>Baran żviluppa dan "biss" għall-użu mill-Air Force?</v>
      </c>
    </row>
    <row r="4035" ht="15.75" customHeight="1">
      <c r="A4035" s="2" t="s">
        <v>4035</v>
      </c>
      <c r="B4035" s="2" t="str">
        <f>IFERROR(__xludf.DUMMYFUNCTION("GOOGLETRANSLATE(A4035, ""en"", ""mt"")"),"Għal xiex għandu proġett?")</f>
        <v>Għal xiex għandu proġett?</v>
      </c>
    </row>
    <row r="4036" ht="15.75" customHeight="1">
      <c r="A4036" s="2" t="s">
        <v>4036</v>
      </c>
      <c r="B4036" s="2" t="str">
        <f>IFERROR(__xludf.DUMMYFUNCTION("GOOGLETRANSLATE(A4036, ""en"", ""mt"")"),"L-Iroquois bagħat runners lill-villaġġ ta ’William Johnson fl-istati ta’ New York. Is-Supretendent Brittaniku għall-Affarijiet Indjani fir-reġjun ta 'New York u lil hinn minnha, Johnson kien magħruf għall-Iroquois bħala Warraghgey, li jfisser ""hu li jagħ"&amp;"mel affarijiet kbar."" Huwa tkellem il-lingwi tagħhom u kien sar membru onorarju rispettat tal-Konfederazzjoni Iroquois fiż-żona. Fl-1746, Johnson sar kurunell tal-Iroquois. Aktar tard ġie kkummissjonat bħala kurunell tal-milizja tal-Punent ta ’New York. "&amp;"Iltaqgħu f'Albany, New York flimkien mal-Gvernatur Clinton u uffiċjali minn uħud mill-kolonji Amerikani l-oħra. Il-Kap Mohawk Hendrick, kelliem tal-kunsill tribali tagħhom, insista li l-Ingliżi jimxu mal-obbligi tagħhom u jimblokka l-espansjoni Franċiża. "&amp;"Meta Clinton ma weġibx għas-sodisfazzjon tiegħu, il-Kap Hendrick qal li l- ""katina tal-patt"", relazzjoni ta 'ħbiberija li ilha għaddejja bejn il-Konfederazzjoni Iroquois u l-Kuruna Ingliża, kienet miksura.")</f>
        <v>L-Iroquois bagħat runners lill-villaġġ ta ’William Johnson fl-istati ta’ New York. Is-Supretendent Brittaniku għall-Affarijiet Indjani fir-reġjun ta 'New York u lil hinn minnha, Johnson kien magħruf għall-Iroquois bħala Warraghgey, li jfisser "hu li jagħmel affarijiet kbar." Huwa tkellem il-lingwi tagħhom u kien sar membru onorarju rispettat tal-Konfederazzjoni Iroquois fiż-żona. Fl-1746, Johnson sar kurunell tal-Iroquois. Aktar tard ġie kkummissjonat bħala kurunell tal-milizja tal-Punent ta ’New York. Iltaqgħu f'Albany, New York flimkien mal-Gvernatur Clinton u uffiċjali minn uħud mill-kolonji Amerikani l-oħra. Il-Kap Mohawk Hendrick, kelliem tal-kunsill tribali tagħhom, insista li l-Ingliżi jimxu mal-obbligi tagħhom u jimblokka l-espansjoni Franċiża. Meta Clinton ma weġibx għas-sodisfazzjon tiegħu, il-Kap Hendrick qal li l- "katina tal-patt", relazzjoni ta 'ħbiberija li ilha għaddejja bejn il-Konfederazzjoni Iroquois u l-Kuruna Ingliża, kienet miksura.</v>
      </c>
    </row>
    <row r="4037" ht="15.75" customHeight="1">
      <c r="A4037" s="2" t="s">
        <v>4037</v>
      </c>
      <c r="B4037" s="2" t="str">
        <f>IFERROR(__xludf.DUMMYFUNCTION("GOOGLETRANSLATE(A4037, ""en"", ""mt"")"),"X'jagħmlu David Castlles-Quintana u Vicente Royuela għal għajxien?")</f>
        <v>X'jagħmlu David Castlles-Quintana u Vicente Royuela għal għajxien?</v>
      </c>
    </row>
    <row r="4038" ht="15.75" customHeight="1">
      <c r="A4038" s="2" t="s">
        <v>4038</v>
      </c>
      <c r="B4038" s="2" t="str">
        <f>IFERROR(__xludf.DUMMYFUNCTION("GOOGLETRANSLATE(A4038, ""en"", ""mt"")"),"Liġi tal-UE")</f>
        <v>Liġi tal-UE</v>
      </c>
    </row>
    <row r="4039" ht="15.75" customHeight="1">
      <c r="A4039" s="2" t="s">
        <v>4039</v>
      </c>
      <c r="B4039" s="2" t="str">
        <f>IFERROR(__xludf.DUMMYFUNCTION("GOOGLETRANSLATE(A4039, ""en"", ""mt"")"),"X'inhi l-frażi kollokjali użata biex twassal il-kontinwu ta 'algoritmi b'disponibilità illimitata irrispettivament mill-ħin?")</f>
        <v>X'inhi l-frażi kollokjali użata biex twassal il-kontinwu ta 'algoritmi b'disponibilità illimitata irrispettivament mill-ħin?</v>
      </c>
    </row>
    <row r="4040" ht="15.75" customHeight="1">
      <c r="A4040" s="2" t="s">
        <v>4040</v>
      </c>
      <c r="B4040" s="2" t="str">
        <f>IFERROR(__xludf.DUMMYFUNCTION("GOOGLETRANSLATE(A4040, ""en"", ""mt"")"),"Il-liġi tal-UE għandha l-primat")</f>
        <v>Il-liġi tal-UE għandha l-primat</v>
      </c>
    </row>
    <row r="4041" ht="15.75" customHeight="1">
      <c r="A4041" s="2" t="s">
        <v>4041</v>
      </c>
      <c r="B4041" s="2" t="str">
        <f>IFERROR(__xludf.DUMMYFUNCTION("GOOGLETRANSLATE(A4041, ""en"", ""mt"")"),"Kif jissejjaħ ir-Rhine bil-Franċiż?")</f>
        <v>Kif jissejjaħ ir-Rhine bil-Franċiż?</v>
      </c>
    </row>
    <row r="4042" ht="15.75" customHeight="1">
      <c r="A4042" s="2" t="s">
        <v>4042</v>
      </c>
      <c r="B4042" s="2" t="str">
        <f>IFERROR(__xludf.DUMMYFUNCTION("GOOGLETRANSLATE(A4042, ""en"", ""mt"")"),"Ma 'l-impjant tal-enerġija nukleari hija konnessa t-turbina tad-diżil?")</f>
        <v>Ma 'l-impjant tal-enerġija nukleari hija konnessa t-turbina tad-diżil?</v>
      </c>
    </row>
    <row r="4043" ht="15.75" customHeight="1">
      <c r="A4043" s="2" t="s">
        <v>4043</v>
      </c>
      <c r="B4043" s="2" t="str">
        <f>IFERROR(__xludf.DUMMYFUNCTION("GOOGLETRANSLATE(A4043, ""en"", ""mt"")"),"Kif jirriproduċu l-platyctenids?")</f>
        <v>Kif jirriproduċu l-platyctenids?</v>
      </c>
    </row>
    <row r="4044" ht="15.75" customHeight="1">
      <c r="A4044" s="2" t="s">
        <v>4044</v>
      </c>
      <c r="B4044" s="2" t="str">
        <f>IFERROR(__xludf.DUMMYFUNCTION("GOOGLETRANSLATE(A4044, ""en"", ""mt"")"),"Halford Mackinder u Friedrich Ratzel fejn x'tip ta 'filosfi?")</f>
        <v>Halford Mackinder u Friedrich Ratzel fejn x'tip ta 'filosfi?</v>
      </c>
    </row>
    <row r="4045" ht="15.75" customHeight="1">
      <c r="A4045" s="2" t="s">
        <v>4045</v>
      </c>
      <c r="B4045" s="2" t="str">
        <f>IFERROR(__xludf.DUMMYFUNCTION("GOOGLETRANSLATE(A4045, ""en"", ""mt"")"),"Min fetaħ il-bini l-ġdid tal-Parlament fid-9 ta 'Ottubru, 2004?")</f>
        <v>Min fetaħ il-bini l-ġdid tal-Parlament fid-9 ta 'Ottubru, 2004?</v>
      </c>
    </row>
    <row r="4046" ht="15.75" customHeight="1">
      <c r="A4046" s="2" t="s">
        <v>4046</v>
      </c>
      <c r="B4046" s="2" t="str">
        <f>IFERROR(__xludf.DUMMYFUNCTION("GOOGLETRANSLATE(A4046, ""en"", ""mt"")"),"Xi tgħid l-orjentazzjoni tat-taqsimiet irqaq?")</f>
        <v>Xi tgħid l-orjentazzjoni tat-taqsimiet irqaq?</v>
      </c>
    </row>
    <row r="4047" ht="15.75" customHeight="1">
      <c r="A4047" s="2" t="s">
        <v>4047</v>
      </c>
      <c r="B4047" s="2" t="str">
        <f>IFERROR(__xludf.DUMMYFUNCTION("GOOGLETRANSLATE(A4047, ""en"", ""mt"")"),"Art")</f>
        <v>Art</v>
      </c>
    </row>
    <row r="4048" ht="15.75" customHeight="1">
      <c r="A4048" s="2" t="s">
        <v>4048</v>
      </c>
      <c r="B4048" s="2" t="str">
        <f>IFERROR(__xludf.DUMMYFUNCTION("GOOGLETRANSLATE(A4048, ""en"", ""mt"")"),"* Rīnaz")</f>
        <v>* Rīnaz</v>
      </c>
    </row>
    <row r="4049" ht="15.75" customHeight="1">
      <c r="A4049" s="2" t="s">
        <v>4049</v>
      </c>
      <c r="B4049" s="2" t="str">
        <f>IFERROR(__xludf.DUMMYFUNCTION("GOOGLETRANSLATE(A4049, ""en"", ""mt"")"),"Meta twaqqfet l-UNEP?")</f>
        <v>Meta twaqqfet l-UNEP?</v>
      </c>
    </row>
    <row r="4050" ht="15.75" customHeight="1">
      <c r="A4050" s="2" t="s">
        <v>4050</v>
      </c>
      <c r="B4050" s="2" t="str">
        <f>IFERROR(__xludf.DUMMYFUNCTION("GOOGLETRANSLATE(A4050, ""en"", ""mt"")"),"X’ħeles l-UGSS?")</f>
        <v>X’ħeles l-UGSS?</v>
      </c>
    </row>
    <row r="4051" ht="15.75" customHeight="1">
      <c r="A4051" s="2" t="s">
        <v>4051</v>
      </c>
      <c r="B4051" s="2" t="str">
        <f>IFERROR(__xludf.DUMMYFUNCTION("GOOGLETRANSLATE(A4051, ""en"", ""mt"")"),"Anke jekk xi provi ta 'teoremi teoretiċi ta' kumplessità jassumu regolarment xi għażla konkreta ta 'kodifikazzjoni ta' input, wieħed jipprova jżomm id-diskussjoni astratta biżżejjed biex tkun indipendenti mill-għażla tal-kodifikazzjoni. Dan jista 'jinkise"&amp;"b billi jiġi żgurat li rappreżentazzjonijiet differenti jistgħu jiġu trasformati f'xulxin b'mod effiċjenti.")</f>
        <v>Anke jekk xi provi ta 'teoremi teoretiċi ta' kumplessità jassumu regolarment xi għażla konkreta ta 'kodifikazzjoni ta' input, wieħed jipprova jżomm id-diskussjoni astratta biżżejjed biex tkun indipendenti mill-għażla tal-kodifikazzjoni. Dan jista 'jinkiseb billi jiġi żgurat li rappreżentazzjonijiet differenti jistgħu jiġu trasformati f'xulxin b'mod effiċjenti.</v>
      </c>
    </row>
    <row r="4052" ht="15.75" customHeight="1">
      <c r="A4052" s="2" t="s">
        <v>4052</v>
      </c>
      <c r="B4052" s="2" t="str">
        <f>IFERROR(__xludf.DUMMYFUNCTION("GOOGLETRANSLATE(A4052, ""en"", ""mt"")"),"Xi jfisser il-mostru tal-baħar b'ġisem ta 'fuq femminili fid-dwiefer tiegħu?")</f>
        <v>Xi jfisser il-mostru tal-baħar b'ġisem ta 'fuq femminili fid-dwiefer tiegħu?</v>
      </c>
    </row>
    <row r="4053" ht="15.75" customHeight="1">
      <c r="A4053" s="2" t="s">
        <v>4053</v>
      </c>
      <c r="B4053" s="2" t="str">
        <f>IFERROR(__xludf.DUMMYFUNCTION("GOOGLETRANSLATE(A4053, ""en"", ""mt"")"),"Biex tissorvelja liema avveniment il-kejl tar-radjazzjoni mill-veġetazzjoni jipprovdi informazzjoni?")</f>
        <v>Biex tissorvelja liema avveniment il-kejl tar-radjazzjoni mill-veġetazzjoni jipprovdi informazzjoni?</v>
      </c>
    </row>
    <row r="4054" ht="15.75" customHeight="1">
      <c r="A4054" s="2" t="s">
        <v>4054</v>
      </c>
      <c r="B4054" s="2" t="str">
        <f>IFERROR(__xludf.DUMMYFUNCTION("GOOGLETRANSLATE(A4054, ""en"", ""mt"")"),"Liema provinċji fil-Kanada jillimitaw id-drittijiet tal-ispiżjara fil-preskrizzjoni?")</f>
        <v>Liema provinċji fil-Kanada jillimitaw id-drittijiet tal-ispiżjara fil-preskrizzjoni?</v>
      </c>
    </row>
    <row r="4055" ht="15.75" customHeight="1">
      <c r="A4055" s="2" t="s">
        <v>4055</v>
      </c>
      <c r="B4055" s="2" t="str">
        <f>IFERROR(__xludf.DUMMYFUNCTION("GOOGLETRANSLATE(A4055, ""en"", ""mt"")"),"Flimkien ma 'magni ta' kombustjoni interna, liema magni ħadu l-fwar f'xi żoni?")</f>
        <v>Flimkien ma 'magni ta' kombustjoni interna, liema magni ħadu l-fwar f'xi żoni?</v>
      </c>
    </row>
    <row r="4056" ht="15.75" customHeight="1">
      <c r="A4056" s="2" t="s">
        <v>4056</v>
      </c>
      <c r="B4056" s="2" t="str">
        <f>IFERROR(__xludf.DUMMYFUNCTION("GOOGLETRANSLATE(A4056, ""en"", ""mt"")"),"għall-bajjiet popolari tagħha")</f>
        <v>għall-bajjiet popolari tagħha</v>
      </c>
    </row>
    <row r="4057" ht="15.75" customHeight="1">
      <c r="A4057" s="2" t="s">
        <v>4057</v>
      </c>
      <c r="B4057" s="2" t="str">
        <f>IFERROR(__xludf.DUMMYFUNCTION("GOOGLETRANSLATE(A4057, ""en"", ""mt"")"),"il-bilanċ tat-twemmin reliġjuż")</f>
        <v>il-bilanċ tat-twemmin reliġjuż</v>
      </c>
    </row>
    <row r="4058" ht="15.75" customHeight="1">
      <c r="A4058" s="2" t="s">
        <v>4058</v>
      </c>
      <c r="B4058" s="2" t="str">
        <f>IFERROR(__xludf.DUMMYFUNCTION("GOOGLETRANSLATE(A4058, ""en"", ""mt"")"),"Taħlita ta 'ġestjoni fqira, diviżjonijiet interni, u scouts Kanadiżi effettivi")</f>
        <v>Taħlita ta 'ġestjoni fqira, diviżjonijiet interni, u scouts Kanadiżi effettivi</v>
      </c>
    </row>
    <row r="4059" ht="15.75" customHeight="1">
      <c r="A4059" s="2" t="s">
        <v>4059</v>
      </c>
      <c r="B4059" s="2" t="str">
        <f>IFERROR(__xludf.DUMMYFUNCTION("GOOGLETRANSLATE(A4059, ""en"", ""mt"")"),"Brittanja")</f>
        <v>Brittanja</v>
      </c>
    </row>
    <row r="4060" ht="15.75" customHeight="1">
      <c r="A4060" s="2" t="s">
        <v>4060</v>
      </c>
      <c r="B4060" s="2" t="str">
        <f>IFERROR(__xludf.DUMMYFUNCTION("GOOGLETRANSLATE(A4060, ""en"", ""mt"")"),"Xi jfittex il-prinċipju utilitarju għall-inqas numru ta 'nies?")</f>
        <v>Xi jfittex il-prinċipju utilitarju għall-inqas numru ta 'nies?</v>
      </c>
    </row>
    <row r="4061" ht="15.75" customHeight="1">
      <c r="A4061" s="2" t="s">
        <v>4061</v>
      </c>
      <c r="B4061" s="2" t="str">
        <f>IFERROR(__xludf.DUMMYFUNCTION("GOOGLETRANSLATE(A4061, ""en"", ""mt"")"),"X'inhu Creon jipprova jwaqqaf lil Antigone milli jagħmel fid-dramm?")</f>
        <v>X'inhu Creon jipprova jwaqqaf lil Antigone milli jagħmel fid-dramm?</v>
      </c>
    </row>
    <row r="4062" ht="15.75" customHeight="1">
      <c r="A4062" s="2" t="s">
        <v>4062</v>
      </c>
      <c r="B4062" s="2" t="str">
        <f>IFERROR(__xludf.DUMMYFUNCTION("GOOGLETRANSLATE(A4062, ""en"", ""mt"")"),"Il-Qorti tal-Kontea ta 'Fresno oriġinali (imwaqqa), il-Librerija Pubblika ta' Fresno Carnegie (imwaqqa)")</f>
        <v>Il-Qorti tal-Kontea ta 'Fresno oriġinali (imwaqqa), il-Librerija Pubblika ta' Fresno Carnegie (imwaqqa)</v>
      </c>
    </row>
    <row r="4063" ht="15.75" customHeight="1">
      <c r="A4063" s="2" t="s">
        <v>4063</v>
      </c>
      <c r="B4063" s="2" t="str">
        <f>IFERROR(__xludf.DUMMYFUNCTION("GOOGLETRANSLATE(A4063, ""en"", ""mt"")"),"X'jiġri jekk problema X hija f'C, u ratba għal C?")</f>
        <v>X'jiġri jekk problema X hija f'C, u ratba għal C?</v>
      </c>
    </row>
    <row r="4064" ht="15.75" customHeight="1">
      <c r="A4064" s="2" t="s">
        <v>4064</v>
      </c>
      <c r="B4064" s="2" t="str">
        <f>IFERROR(__xludf.DUMMYFUNCTION("GOOGLETRANSLATE(A4064, ""en"", ""mt"")"),"Fejn Kublai kissret il-qawwa tal-amministrazzjoni tiegħu?")</f>
        <v>Fejn Kublai kissret il-qawwa tal-amministrazzjoni tiegħu?</v>
      </c>
    </row>
    <row r="4065" ht="15.75" customHeight="1">
      <c r="A4065" s="2" t="s">
        <v>4065</v>
      </c>
      <c r="B4065" s="2" t="str">
        <f>IFERROR(__xludf.DUMMYFUNCTION("GOOGLETRANSLATE(A4065, ""en"", ""mt"")"),"Min hu l-katavru infettat kien wieħed minn dawk maqbuda fuq il-ħitan ta 'Kaffa mill-Armata Mongoljana?")</f>
        <v>Min hu l-katavru infettat kien wieħed minn dawk maqbuda fuq il-ħitan ta 'Kaffa mill-Armata Mongoljana?</v>
      </c>
    </row>
    <row r="4066" ht="15.75" customHeight="1">
      <c r="A4066" s="2" t="s">
        <v>4066</v>
      </c>
      <c r="B4066" s="2" t="str">
        <f>IFERROR(__xludf.DUMMYFUNCTION("GOOGLETRANSLATE(A4066, ""en"", ""mt"")")," Liema oqsma ta 'studju ma kinux avvanzati matul il-wan?")</f>
        <v> Liema oqsma ta 'studju ma kinux avvanzati matul il-wan?</v>
      </c>
    </row>
    <row r="4067" ht="15.75" customHeight="1">
      <c r="A4067" s="2" t="s">
        <v>4067</v>
      </c>
      <c r="B4067" s="2" t="str">
        <f>IFERROR(__xludf.DUMMYFUNCTION("GOOGLETRANSLATE(A4067, ""en"", ""mt"")"),"żieda fil-pagi")</f>
        <v>żieda fil-pagi</v>
      </c>
    </row>
    <row r="4068" ht="15.75" customHeight="1">
      <c r="A4068" s="2" t="s">
        <v>4068</v>
      </c>
      <c r="B4068" s="2" t="str">
        <f>IFERROR(__xludf.DUMMYFUNCTION("GOOGLETRANSLATE(A4068, ""en"", ""mt"")"),"Min kien l-ewwel president tas-Cetrum?")</f>
        <v>Min kien l-ewwel president tas-Cetrum?</v>
      </c>
    </row>
    <row r="4069" ht="15.75" customHeight="1">
      <c r="A4069" s="2" t="s">
        <v>4069</v>
      </c>
      <c r="B4069" s="2" t="str">
        <f>IFERROR(__xludf.DUMMYFUNCTION("GOOGLETRANSLATE(A4069, ""en"", ""mt"")"),"27-30%")</f>
        <v>27-30%</v>
      </c>
    </row>
    <row r="4070" ht="15.75" customHeight="1">
      <c r="A4070" s="2" t="s">
        <v>4070</v>
      </c>
      <c r="B4070" s="2" t="str">
        <f>IFERROR(__xludf.DUMMYFUNCTION("GOOGLETRANSLATE(A4070, ""en"", ""mt"")"),"X'għandux struttura estiża?")</f>
        <v>X'għandux struttura estiża?</v>
      </c>
    </row>
    <row r="4071" ht="15.75" customHeight="1">
      <c r="A4071" s="2" t="s">
        <v>4071</v>
      </c>
      <c r="B4071" s="2" t="str">
        <f>IFERROR(__xludf.DUMMYFUNCTION("GOOGLETRANSLATE(A4071, ""en"", ""mt"")"),"Outlaws ħarbtu l-pajjiż")</f>
        <v>Outlaws ħarbtu l-pajjiż</v>
      </c>
    </row>
    <row r="4072" ht="15.75" customHeight="1">
      <c r="A4072" s="2" t="s">
        <v>4072</v>
      </c>
      <c r="B4072" s="2" t="str">
        <f>IFERROR(__xludf.DUMMYFUNCTION("GOOGLETRANSLATE(A4072, ""en"", ""mt"")"),"J.I. Pontanus")</f>
        <v>J.I. Pontanus</v>
      </c>
    </row>
    <row r="4073" ht="15.75" customHeight="1">
      <c r="A4073" s="2" t="s">
        <v>4073</v>
      </c>
      <c r="B4073" s="2" t="str">
        <f>IFERROR(__xludf.DUMMYFUNCTION("GOOGLETRANSLATE(A4073, ""en"", ""mt"")"),"Il-fagoċitosi hija karatteristika importanti tal-immunità innata ċellulari mwettqa minn ċelloli msejħa 'fagoċiti' li jaħkmu, jew jieklu, patoġeni jew partiċelli. Il-fagoċiti ġeneralment jgħassu l-ġisem li jfittex patoġeni, iżda jistgħu jissejħu għal posti"&amp;"jiet speċifiċi minn ċitokini. Ladarba patoġen ikun ġie maħkum minn fagoċita, isir maqbud fi vesikula intraċellulari msejħa fagożoma, li sussegwentement tgħaqqad ma 'vesikula oħra msejħa lisosoma biex tifforma fagolysosome. Il-patoġen jinqatel bl-attività "&amp;"ta 'enzimi diġestivi jew wara tifqigħ respiratorju li jirrilaxxa radikali ħielsa fil-fagolysosome. Il-fagoċitosi evolviet bħala mezz biex takkwista nutrijenti, iżda dan ir-rwol ġie estiż fil-fagoċiti biex jinkludi l-ħakma ta 'patoġeni bħala mekkaniżmu ta'"&amp;" difiża. Il-fagoċitosi probabbilment tirrappreżenta l-eqdem forma ta 'difiża ospitanti, peress li l-fagoċiti ġew identifikati kemm f'annimali vertebrati kif ukoll invertebrati.")</f>
        <v>Il-fagoċitosi hija karatteristika importanti tal-immunità innata ċellulari mwettqa minn ċelloli msejħa 'fagoċiti' li jaħkmu, jew jieklu, patoġeni jew partiċelli. Il-fagoċiti ġeneralment jgħassu l-ġisem li jfittex patoġeni, iżda jistgħu jissejħu għal postijiet speċifiċi minn ċitokini. Ladarba patoġen ikun ġie maħkum minn fagoċita, isir maqbud fi vesikula intraċellulari msejħa fagożoma, li sussegwentement tgħaqqad ma 'vesikula oħra msejħa lisosoma biex tifforma fagolysosome. Il-patoġen jinqatel bl-attività ta 'enzimi diġestivi jew wara tifqigħ respiratorju li jirrilaxxa radikali ħielsa fil-fagolysosome. Il-fagoċitosi evolviet bħala mezz biex takkwista nutrijenti, iżda dan ir-rwol ġie estiż fil-fagoċiti biex jinkludi l-ħakma ta 'patoġeni bħala mekkaniżmu ta' difiża. Il-fagoċitosi probabbilment tirrappreżenta l-eqdem forma ta 'difiża ospitanti, peress li l-fagoċiti ġew identifikati kemm f'annimali vertebrati kif ukoll invertebrati.</v>
      </c>
    </row>
    <row r="4074" ht="15.75" customHeight="1">
      <c r="A4074" s="2" t="s">
        <v>4074</v>
      </c>
      <c r="B4074" s="2" t="str">
        <f>IFERROR(__xludf.DUMMYFUNCTION("GOOGLETRANSLATE(A4074, ""en"", ""mt"")"),"Rikostruzzjoni u l-età indurata")</f>
        <v>Rikostruzzjoni u l-età indurata</v>
      </c>
    </row>
    <row r="4075" ht="15.75" customHeight="1">
      <c r="A4075" s="2" t="s">
        <v>4075</v>
      </c>
      <c r="B4075" s="2" t="str">
        <f>IFERROR(__xludf.DUMMYFUNCTION("GOOGLETRANSLATE(A4075, ""en"", ""mt"")"),"X'għandu jiġi evitat meta tkellem lill-awtoritajiet?")</f>
        <v>X'għandu jiġi evitat meta tkellem lill-awtoritajiet?</v>
      </c>
    </row>
    <row r="4076" ht="15.75" customHeight="1">
      <c r="A4076" s="2" t="s">
        <v>4076</v>
      </c>
      <c r="B4076" s="2" t="str">
        <f>IFERROR(__xludf.DUMMYFUNCTION("GOOGLETRANSLATE(A4076, ""en"", ""mt"")"),"Min hu fotografu u kittieb rebbieħ tal-premju?")</f>
        <v>Min hu fotografu u kittieb rebbieħ tal-premju?</v>
      </c>
    </row>
    <row r="4077" ht="15.75" customHeight="1">
      <c r="A4077" s="2" t="s">
        <v>4077</v>
      </c>
      <c r="B4077" s="2" t="str">
        <f>IFERROR(__xludf.DUMMYFUNCTION("GOOGLETRANSLATE(A4077, ""en"", ""mt"")"),"Il-blat fuq nett ta 'tort li huma maqtugħin huma dejjem anzjani jew iżgħar mit-tort innifsu?")</f>
        <v>Il-blat fuq nett ta 'tort li huma maqtugħin huma dejjem anzjani jew iżgħar mit-tort innifsu?</v>
      </c>
    </row>
    <row r="4078" ht="15.75" customHeight="1">
      <c r="A4078" s="2" t="s">
        <v>4078</v>
      </c>
      <c r="B4078" s="2" t="str">
        <f>IFERROR(__xludf.DUMMYFUNCTION("GOOGLETRANSLATE(A4078, ""en"", ""mt"")"),"X'kien il-forti li kien qed jinbena biex jissemma?")</f>
        <v>X'kien il-forti li kien qed jinbena biex jissemma?</v>
      </c>
    </row>
    <row r="4079" ht="15.75" customHeight="1">
      <c r="A4079" s="2" t="s">
        <v>4079</v>
      </c>
      <c r="B4079" s="2" t="str">
        <f>IFERROR(__xludf.DUMMYFUNCTION("GOOGLETRANSLATE(A4079, ""en"", ""mt"")"),"Kif kienu l-Ingliżi ma setgħux inaqqsu l-provvisti lil Louisbourg?")</f>
        <v>Kif kienu l-Ingliżi ma setgħux inaqqsu l-provvisti lil Louisbourg?</v>
      </c>
    </row>
    <row r="4080" ht="15.75" customHeight="1">
      <c r="A4080" s="2" t="s">
        <v>4080</v>
      </c>
      <c r="B4080" s="2" t="str">
        <f>IFERROR(__xludf.DUMMYFUNCTION("GOOGLETRANSLATE(A4080, ""en"", ""mt"")"),"X'inhi t-temperatura medjana fis-sajf?")</f>
        <v>X'inhi t-temperatura medjana fis-sajf?</v>
      </c>
    </row>
    <row r="4081" ht="15.75" customHeight="1">
      <c r="A4081" s="2" t="s">
        <v>4081</v>
      </c>
      <c r="B4081" s="2" t="str">
        <f>IFERROR(__xludf.DUMMYFUNCTION("GOOGLETRANSLATE(A4081, ""en"", ""mt"")"),"Xi jfisser rapport tal-2003 dwar in-Niġerja?")</f>
        <v>Xi jfisser rapport tal-2003 dwar in-Niġerja?</v>
      </c>
    </row>
    <row r="4082" ht="15.75" customHeight="1">
      <c r="A4082" s="2" t="s">
        <v>4082</v>
      </c>
      <c r="B4082" s="2" t="str">
        <f>IFERROR(__xludf.DUMMYFUNCTION("GOOGLETRANSLATE(A4082, ""en"", ""mt"")"),"Min hu l-fundatur ta 'T. Seaborg u Co.?")</f>
        <v>Min hu l-fundatur ta 'T. Seaborg u Co.?</v>
      </c>
    </row>
    <row r="4083" ht="15.75" customHeight="1">
      <c r="A4083" s="2" t="s">
        <v>4083</v>
      </c>
      <c r="B4083" s="2" t="str">
        <f>IFERROR(__xludf.DUMMYFUNCTION("GOOGLETRANSLATE(A4083, ""en"", ""mt"")"),"raġunijiet morali biex issegwi din il-liġi")</f>
        <v>raġunijiet morali biex issegwi din il-liġi</v>
      </c>
    </row>
    <row r="4084" ht="15.75" customHeight="1">
      <c r="A4084" s="2" t="s">
        <v>4084</v>
      </c>
      <c r="B4084" s="2" t="str">
        <f>IFERROR(__xludf.DUMMYFUNCTION("GOOGLETRANSLATE(A4084, ""en"", ""mt"")"),"Ikkalkula l-primes")</f>
        <v>Ikkalkula l-primes</v>
      </c>
    </row>
    <row r="4085" ht="15.75" customHeight="1">
      <c r="A4085" s="2" t="s">
        <v>4085</v>
      </c>
      <c r="B4085" s="2" t="str">
        <f>IFERROR(__xludf.DUMMYFUNCTION("GOOGLETRANSLATE(A4085, ""en"", ""mt"")"),"Kif wieħed ikejjel is-sempliċità ta 'problema tal-komputazzjoni?")</f>
        <v>Kif wieħed ikejjel is-sempliċità ta 'problema tal-komputazzjoni?</v>
      </c>
    </row>
    <row r="4086" ht="15.75" customHeight="1">
      <c r="A4086" s="2" t="s">
        <v>4086</v>
      </c>
      <c r="B4086" s="2" t="str">
        <f>IFERROR(__xludf.DUMMYFUNCTION("GOOGLETRANSLATE(A4086, ""en"", ""mt"")"),"Fejn patoġen jiġi f'kuntatt dirett ma 'ċelloli immuni, antikorpi u jikkumplimentaw?")</f>
        <v>Fejn patoġen jiġi f'kuntatt dirett ma 'ċelloli immuni, antikorpi u jikkumplimentaw?</v>
      </c>
    </row>
    <row r="4087" ht="15.75" customHeight="1">
      <c r="A4087" s="2" t="s">
        <v>4087</v>
      </c>
      <c r="B4087" s="2" t="str">
        <f>IFERROR(__xludf.DUMMYFUNCTION("GOOGLETRANSLATE(A4087, ""en"", ""mt"")"),"psewdo-xjenzi")</f>
        <v>psewdo-xjenzi</v>
      </c>
    </row>
    <row r="4088" ht="15.75" customHeight="1">
      <c r="A4088" s="2" t="s">
        <v>4088</v>
      </c>
      <c r="B4088" s="2" t="str">
        <f>IFERROR(__xludf.DUMMYFUNCTION("GOOGLETRANSLATE(A4088, ""en"", ""mt"")"),"Għaliex rosettes ciliary għandhom bżonn inaqqsu d-densità fl-ilma baħar?")</f>
        <v>Għaliex rosettes ciliary għandhom bżonn inaqqsu d-densità fl-ilma baħar?</v>
      </c>
    </row>
    <row r="4089" ht="15.75" customHeight="1">
      <c r="A4089" s="2" t="s">
        <v>4089</v>
      </c>
      <c r="B4089" s="2" t="str">
        <f>IFERROR(__xludf.DUMMYFUNCTION("GOOGLETRANSLATE(A4089, ""en"", ""mt"")"),"Liema stat fl-Awstralja huwa ċ-ċentru tal-biedja tal-ħalib?")</f>
        <v>Liema stat fl-Awstralja huwa ċ-ċentru tal-biedja tal-ħalib?</v>
      </c>
    </row>
    <row r="4090" ht="15.75" customHeight="1">
      <c r="A4090" s="2" t="s">
        <v>4090</v>
      </c>
      <c r="B4090" s="2" t="str">
        <f>IFERROR(__xludf.DUMMYFUNCTION("GOOGLETRANSLATE(A4090, ""en"", ""mt"")"),"Dispożizzjonijiet tat-Trattat")</f>
        <v>Dispożizzjonijiet tat-Trattat</v>
      </c>
    </row>
    <row r="4091" ht="15.75" customHeight="1">
      <c r="A4091" s="2" t="s">
        <v>4091</v>
      </c>
      <c r="B4091" s="2" t="str">
        <f>IFERROR(__xludf.DUMMYFUNCTION("GOOGLETRANSLATE(A4091, ""en"", ""mt"")"),"X'kien ikklassifikat fl-2008?")</f>
        <v>X'kien ikklassifikat fl-2008?</v>
      </c>
    </row>
    <row r="4092" ht="15.75" customHeight="1">
      <c r="A4092" s="2" t="s">
        <v>4092</v>
      </c>
      <c r="B4092" s="2" t="str">
        <f>IFERROR(__xludf.DUMMYFUNCTION("GOOGLETRANSLATE(A4092, ""en"", ""mt"")"),"PVR")</f>
        <v>PVR</v>
      </c>
    </row>
    <row r="4093" ht="15.75" customHeight="1">
      <c r="A4093" s="2" t="s">
        <v>4093</v>
      </c>
      <c r="B4093" s="2" t="str">
        <f>IFERROR(__xludf.DUMMYFUNCTION("GOOGLETRANSLATE(A4093, ""en"", ""mt"")"),"L-Ewwel Ministru")</f>
        <v>L-Ewwel Ministru</v>
      </c>
    </row>
    <row r="4094" ht="15.75" customHeight="1">
      <c r="A4094" s="2" t="s">
        <v>4094</v>
      </c>
      <c r="B4094" s="2" t="str">
        <f>IFERROR(__xludf.DUMMYFUNCTION("GOOGLETRANSLATE(A4094, ""en"", ""mt"")"),"Ostakli fluwidi-moħħ")</f>
        <v>Ostakli fluwidi-moħħ</v>
      </c>
    </row>
    <row r="4095" ht="15.75" customHeight="1">
      <c r="A4095" s="2" t="s">
        <v>4095</v>
      </c>
      <c r="B4095" s="2" t="str">
        <f>IFERROR(__xludf.DUMMYFUNCTION("GOOGLETRANSLATE(A4095, ""en"", ""mt"")"),"dritta 'l isfel")</f>
        <v>dritta 'l isfel</v>
      </c>
    </row>
    <row r="4096" ht="15.75" customHeight="1">
      <c r="A4096" s="2" t="s">
        <v>4096</v>
      </c>
      <c r="B4096" s="2" t="str">
        <f>IFERROR(__xludf.DUMMYFUNCTION("GOOGLETRANSLATE(A4096, ""en"", ""mt"")"),"Liema lingwa tintuża fl-iskejjel primarji Ċiniżi fil-Malasja?")</f>
        <v>Liema lingwa tintuża fl-iskejjel primarji Ċiniżi fil-Malasja?</v>
      </c>
    </row>
    <row r="4097" ht="15.75" customHeight="1">
      <c r="A4097" s="2" t="s">
        <v>4097</v>
      </c>
      <c r="B4097" s="2" t="str">
        <f>IFERROR(__xludf.DUMMYFUNCTION("GOOGLETRANSLATE(A4097, ""en"", ""mt"")"),"Waħda kull darba li telgħu madwar il- ""linja"" u ġew arrestati immedjatament")</f>
        <v>Waħda kull darba li telgħu madwar il- "linja" u ġew arrestati immedjatament</v>
      </c>
    </row>
    <row r="4098" ht="15.75" customHeight="1">
      <c r="A4098" s="2" t="s">
        <v>4098</v>
      </c>
      <c r="B4098" s="2" t="str">
        <f>IFERROR(__xludf.DUMMYFUNCTION("GOOGLETRANSLATE(A4098, ""en"", ""mt"")"),"X'inhu t-terminu għan-nies Aboriġini oriġinali tar-Rabat?")</f>
        <v>X'inhu t-terminu għan-nies Aboriġini oriġinali tar-Rabat?</v>
      </c>
    </row>
    <row r="4099" ht="15.75" customHeight="1">
      <c r="A4099" s="2" t="s">
        <v>4099</v>
      </c>
      <c r="B4099" s="2" t="str">
        <f>IFERROR(__xludf.DUMMYFUNCTION("GOOGLETRANSLATE(A4099, ""en"", ""mt"")"),"It-tfaċċar ta 'Hollywood")</f>
        <v>It-tfaċċar ta 'Hollywood</v>
      </c>
    </row>
    <row r="4100" ht="15.75" customHeight="1">
      <c r="A4100" s="2" t="s">
        <v>4100</v>
      </c>
      <c r="B4100" s="2" t="str">
        <f>IFERROR(__xludf.DUMMYFUNCTION("GOOGLETRANSLATE(A4100, ""en"", ""mt"")"),"Ma naħsibx lili nnifsi obbligat li nobdi")</f>
        <v>Ma naħsibx lili nnifsi obbligat li nobdi</v>
      </c>
    </row>
    <row r="4101" ht="15.75" customHeight="1">
      <c r="A4101" s="2" t="s">
        <v>4101</v>
      </c>
      <c r="B4101" s="2" t="str">
        <f>IFERROR(__xludf.DUMMYFUNCTION("GOOGLETRANSLATE(A4101, ""en"", ""mt"")"),"F’esperiment wieħed, Lavoisier osserva li ma kien hemm l-ebda żieda ġenerali fil-piż meta l-landa u l-arja ġew imsaħħna f'kontenitur magħluq. Huwa nnota li l-arja ġrew meta fetaħ il-kontenitur, li indika li parti mill-arja maqbuda kienet ġiet ikkunsmata. "&amp;"Huwa nnota wkoll li l-landa kienet żdiedet fil-piż u li ż-żieda kienet l-istess bħall-piż tal-arja li ġrew lura. Dan u esperimenti oħra fuq il-kombustjoni kienu dokumentati fil-ktieb tiegħu Sur La La Combustion en Général, li ġie ppubblikat fl-1777. F'dak"&amp;" ix-xogħol, huwa wera li l-arja hija taħlita ta 'żewġ gassijiet; ""Arja vitali"", li hija essenzjali għall-kombustjoni u r-respirazzjoni, u Azote (Gk. ἄζωτον ""bla ħajja""), li lanqas ma appoġġjat. Azote aktar tard sar nitroġenu bl-Ingliż, għalkemm żamm l"&amp;"-isem bil-Franċiż u diversi lingwi Ewropej oħra.")</f>
        <v>F’esperiment wieħed, Lavoisier osserva li ma kien hemm l-ebda żieda ġenerali fil-piż meta l-landa u l-arja ġew imsaħħna f'kontenitur magħluq. Huwa nnota li l-arja ġrew meta fetaħ il-kontenitur, li indika li parti mill-arja maqbuda kienet ġiet ikkunsmata. Huwa nnota wkoll li l-landa kienet żdiedet fil-piż u li ż-żieda kienet l-istess bħall-piż tal-arja li ġrew lura. Dan u esperimenti oħra fuq il-kombustjoni kienu dokumentati fil-ktieb tiegħu Sur La La Combustion en Général, li ġie ppubblikat fl-1777. F'dak ix-xogħol, huwa wera li l-arja hija taħlita ta 'żewġ gassijiet; "Arja vitali", li hija essenzjali għall-kombustjoni u r-respirazzjoni, u Azote (Gk. ἄζωτον "bla ħajja"), li lanqas ma appoġġjat. Azote aktar tard sar nitroġenu bl-Ingliż, għalkemm żamm l-isem bil-Franċiż u diversi lingwi Ewropej oħra.</v>
      </c>
    </row>
    <row r="4102" ht="15.75" customHeight="1">
      <c r="A4102" s="2" t="s">
        <v>4102</v>
      </c>
      <c r="B4102" s="2" t="str">
        <f>IFERROR(__xludf.DUMMYFUNCTION("GOOGLETRANSLATE(A4102, ""en"", ""mt"")"),"Il-Parlament jagħżel it-tieni ministru minn min?")</f>
        <v>Il-Parlament jagħżel it-tieni ministru minn min?</v>
      </c>
    </row>
    <row r="4103" ht="15.75" customHeight="1">
      <c r="A4103" s="2" t="s">
        <v>4103</v>
      </c>
      <c r="B4103" s="2" t="str">
        <f>IFERROR(__xludf.DUMMYFUNCTION("GOOGLETRANSLATE(A4103, ""en"", ""mt"")"),"mhux naturali")</f>
        <v>mhux naturali</v>
      </c>
    </row>
    <row r="4104" ht="15.75" customHeight="1">
      <c r="A4104" s="2" t="s">
        <v>4104</v>
      </c>
      <c r="B4104" s="2" t="str">
        <f>IFERROR(__xludf.DUMMYFUNCTION("GOOGLETRANSLATE(A4104, ""en"", ""mt"")"),"X'kienet il-forma finali tal-lingwa Anglo-Norman?")</f>
        <v>X'kienet il-forma finali tal-lingwa Anglo-Norman?</v>
      </c>
    </row>
    <row r="4105" ht="15.75" customHeight="1">
      <c r="A4105" s="2" t="s">
        <v>4105</v>
      </c>
      <c r="B4105" s="2" t="str">
        <f>IFERROR(__xludf.DUMMYFUNCTION("GOOGLETRANSLATE(A4105, ""en"", ""mt"")"),"perit")</f>
        <v>perit</v>
      </c>
    </row>
    <row r="4106" ht="15.75" customHeight="1">
      <c r="A4106" s="2" t="s">
        <v>4106</v>
      </c>
      <c r="B4106" s="2" t="str">
        <f>IFERROR(__xludf.DUMMYFUNCTION("GOOGLETRANSLATE(A4106, ""en"", ""mt"")"),"Liema titlu nominali kellhom l-imperaturi Yuan?")</f>
        <v>Liema titlu nominali kellhom l-imperaturi Yuan?</v>
      </c>
    </row>
    <row r="4107" ht="15.75" customHeight="1">
      <c r="A4107" s="2" t="s">
        <v>4107</v>
      </c>
      <c r="B4107" s="2" t="str">
        <f>IFERROR(__xludf.DUMMYFUNCTION("GOOGLETRANSLATE(A4107, ""en"", ""mt"")"),"L-Iskrittura illustrata bil-lingwa Franċiża ta 'Jean de Rely ġew ippubblikati l-ewwel f'liema belt?")</f>
        <v>L-Iskrittura illustrata bil-lingwa Franċiża ta 'Jean de Rely ġew ippubblikati l-ewwel f'liema belt?</v>
      </c>
    </row>
    <row r="4108" ht="15.75" customHeight="1">
      <c r="A4108" s="2" t="s">
        <v>4108</v>
      </c>
      <c r="B4108" s="2" t="str">
        <f>IFERROR(__xludf.DUMMYFUNCTION("GOOGLETRANSLATE(A4108, ""en"", ""mt"")"),"karbonat tas-sodju u karbonat tal-potassju")</f>
        <v>karbonat tas-sodju u karbonat tal-potassju</v>
      </c>
    </row>
    <row r="4109" ht="15.75" customHeight="1">
      <c r="A4109" s="2" t="s">
        <v>4109</v>
      </c>
      <c r="B4109" s="2" t="str">
        <f>IFERROR(__xludf.DUMMYFUNCTION("GOOGLETRANSLATE(A4109, ""en"", ""mt"")"),"Rich")</f>
        <v>Rich</v>
      </c>
    </row>
    <row r="4110" ht="15.75" customHeight="1">
      <c r="A4110" s="2" t="s">
        <v>4110</v>
      </c>
      <c r="B4110" s="2" t="str">
        <f>IFERROR(__xludf.DUMMYFUNCTION("GOOGLETRANSLATE(A4110, ""en"", ""mt"")"),"Min japplika għarfien espert biex jirrelata x-xogħol u l-materjali involuti ma 'valutazzjoni xierqa?")</f>
        <v>Min japplika għarfien espert biex jirrelata x-xogħol u l-materjali involuti ma 'valutazzjoni xierqa?</v>
      </c>
    </row>
    <row r="4111" ht="15.75" customHeight="1">
      <c r="A4111" s="2" t="s">
        <v>4111</v>
      </c>
      <c r="B4111" s="2" t="str">
        <f>IFERROR(__xludf.DUMMYFUNCTION("GOOGLETRANSLATE(A4111, ""en"", ""mt"")"),"1895")</f>
        <v>1895</v>
      </c>
    </row>
    <row r="4112" ht="15.75" customHeight="1">
      <c r="A4112" s="2" t="s">
        <v>4112</v>
      </c>
      <c r="B4112" s="2" t="str">
        <f>IFERROR(__xludf.DUMMYFUNCTION("GOOGLETRANSLATE(A4112, ""en"", ""mt"")"),"X'inhuma tliet riżorsi primarji bażiċi użati biex jitkejlu l-kumplessità?")</f>
        <v>X'inhuma tliet riżorsi primarji bażiċi użati biex jitkejlu l-kumplessità?</v>
      </c>
    </row>
    <row r="4113" ht="15.75" customHeight="1">
      <c r="A4113" s="2" t="s">
        <v>4113</v>
      </c>
      <c r="B4113" s="2" t="str">
        <f>IFERROR(__xludf.DUMMYFUNCTION("GOOGLETRANSLATE(A4113, ""en"", ""mt"")"),"F'liema seklu bdiet l-istorja tal-magna tal-fwar?")</f>
        <v>F'liema seklu bdiet l-istorja tal-magna tal-fwar?</v>
      </c>
    </row>
    <row r="4114" ht="15.75" customHeight="1">
      <c r="A4114" s="2" t="s">
        <v>4114</v>
      </c>
      <c r="B4114" s="2" t="str">
        <f>IFERROR(__xludf.DUMMYFUNCTION("GOOGLETRANSLATE(A4114, ""en"", ""mt"")"),"Id-desegregazzjoni tal-iskola fl-Istati Uniti wasslet għal numru akbar ta 'studenti ta' liema etniċità fl-iskejjel pubbliċi?")</f>
        <v>Id-desegregazzjoni tal-iskola fl-Istati Uniti wasslet għal numru akbar ta 'studenti ta' liema etniċità fl-iskejjel pubbliċi?</v>
      </c>
    </row>
    <row r="4115" ht="15.75" customHeight="1">
      <c r="A4115" s="2" t="s">
        <v>4115</v>
      </c>
      <c r="B4115" s="2" t="str">
        <f>IFERROR(__xludf.DUMMYFUNCTION("GOOGLETRANSLATE(A4115, ""en"", ""mt"")"),"X'inhi nieqsa teorija dwar il-gravità kwantistika?")</f>
        <v>X'inhi nieqsa teorija dwar il-gravità kwantistika?</v>
      </c>
    </row>
    <row r="4116" ht="15.75" customHeight="1">
      <c r="A4116" s="2" t="s">
        <v>4116</v>
      </c>
      <c r="B4116" s="2" t="str">
        <f>IFERROR(__xludf.DUMMYFUNCTION("GOOGLETRANSLATE(A4116, ""en"", ""mt"")"),"X'jista 'normalment m'għandhomx il-platyctenids tal-qiegħ tal-platyctenids bħall-adulti?")</f>
        <v>X'jista 'normalment m'għandhomx il-platyctenids tal-qiegħ tal-platyctenids bħall-adulti?</v>
      </c>
    </row>
    <row r="4117" ht="15.75" customHeight="1">
      <c r="A4117" s="2" t="s">
        <v>4117</v>
      </c>
      <c r="B4117" s="2" t="str">
        <f>IFERROR(__xludf.DUMMYFUNCTION("GOOGLETRANSLATE(A4117, ""en"", ""mt"")"),"Orjentaliżmu u tropiċità")</f>
        <v>Orjentaliżmu u tropiċità</v>
      </c>
    </row>
    <row r="4118" ht="15.75" customHeight="1">
      <c r="A4118" s="2" t="s">
        <v>4118</v>
      </c>
      <c r="B4118" s="2" t="str">
        <f>IFERROR(__xludf.DUMMYFUNCTION("GOOGLETRANSLATE(A4118, ""en"", ""mt"")"),"Liema avveniment seħħ 5.2 biljun sena ilu?")</f>
        <v>Liema avveniment seħħ 5.2 biljun sena ilu?</v>
      </c>
    </row>
    <row r="4119" ht="15.75" customHeight="1">
      <c r="A4119" s="2" t="s">
        <v>4119</v>
      </c>
      <c r="B4119" s="2" t="str">
        <f>IFERROR(__xludf.DUMMYFUNCTION("GOOGLETRANSLATE(A4119, ""en"", ""mt"")"),"Fejn l-ijssel u nederrijn jerġgħu jqassmu?")</f>
        <v>Fejn l-ijssel u nederrijn jerġgħu jqassmu?</v>
      </c>
    </row>
    <row r="4120" ht="15.75" customHeight="1">
      <c r="A4120" s="2" t="s">
        <v>4120</v>
      </c>
      <c r="B4120" s="2" t="str">
        <f>IFERROR(__xludf.DUMMYFUNCTION("GOOGLETRANSLATE(A4120, ""en"", ""mt"")"),"X'kien maħsub li jiddeċiedi l-imġieba ta 'persuna?")</f>
        <v>X'kien maħsub li jiddeċiedi l-imġieba ta 'persuna?</v>
      </c>
    </row>
    <row r="4121" ht="15.75" customHeight="1">
      <c r="A4121" s="2" t="s">
        <v>4121</v>
      </c>
      <c r="B4121" s="2" t="str">
        <f>IFERROR(__xludf.DUMMYFUNCTION("GOOGLETRANSLATE(A4121, ""en"", ""mt"")"),"affiljat ma 'denominazzjonijiet Protestanti oħra")</f>
        <v>affiljat ma 'denominazzjonijiet Protestanti oħra</v>
      </c>
    </row>
    <row r="4122" ht="15.75" customHeight="1">
      <c r="A4122" s="2" t="s">
        <v>4122</v>
      </c>
      <c r="B4122" s="2" t="str">
        <f>IFERROR(__xludf.DUMMYFUNCTION("GOOGLETRANSLATE(A4122, ""en"", ""mt"")"),"ambjent")</f>
        <v>ambjent</v>
      </c>
    </row>
    <row r="4123" ht="15.75" customHeight="1">
      <c r="A4123" s="2" t="s">
        <v>4123</v>
      </c>
      <c r="B4123" s="2" t="str">
        <f>IFERROR(__xludf.DUMMYFUNCTION("GOOGLETRANSLATE(A4123, ""en"", ""mt"")"),"Wara li twieled Braddock, min ikkontrolla l-forzi Ingliżi tal-Amerika ta ’Fuq?")</f>
        <v>Wara li twieled Braddock, min ikkontrolla l-forzi Ingliżi tal-Amerika ta ’Fuq?</v>
      </c>
    </row>
    <row r="4124" ht="15.75" customHeight="1">
      <c r="A4124" s="2" t="s">
        <v>4124</v>
      </c>
      <c r="B4124" s="2" t="str">
        <f>IFERROR(__xludf.DUMMYFUNCTION("GOOGLETRANSLATE(A4124, ""en"", ""mt"")"),"żieda fil-qgħad")</f>
        <v>żieda fil-qgħad</v>
      </c>
    </row>
    <row r="4125" ht="15.75" customHeight="1">
      <c r="A4125" s="2" t="s">
        <v>4125</v>
      </c>
      <c r="B4125" s="2" t="str">
        <f>IFERROR(__xludf.DUMMYFUNCTION("GOOGLETRANSLATE(A4125, ""en"", ""mt"")"),"il-provinċji tagħha ta ’l-Amerika")</f>
        <v>il-provinċji tagħha ta ’l-Amerika</v>
      </c>
    </row>
    <row r="4126" ht="15.75" customHeight="1">
      <c r="A4126" s="2" t="s">
        <v>4126</v>
      </c>
      <c r="B4126" s="2" t="str">
        <f>IFERROR(__xludf.DUMMYFUNCTION("GOOGLETRANSLATE(A4126, ""en"", ""mt"")"),"Waħda minn kull ħamsa mill-ispeċi kollha tal-għasafar fid-dinja")</f>
        <v>Waħda minn kull ħamsa mill-ispeċi kollha tal-għasafar fid-dinja</v>
      </c>
    </row>
    <row r="4127" ht="15.75" customHeight="1">
      <c r="A4127" s="2" t="s">
        <v>4127</v>
      </c>
      <c r="B4127" s="2" t="str">
        <f>IFERROR(__xludf.DUMMYFUNCTION("GOOGLETRANSLATE(A4127, ""en"", ""mt"")"),"Wara l-mewt ta 'Braddock, William Shirley assuma l-kmand tal-forzi Ingliżi fl-Amerika ta' Fuq. Waqt laqgħa f'Albany f'Diċembru 1755, huwa stabbilixxa l-pjanijiet tiegħu għall-1756. Minbarra li jġedded l-isforzi biex jaqbad Niagara, Crown Point u Duquesne,"&amp;" huwa ppropona attakki fuq Fort Frontenac fuq ix-Xatt tat-Tramuntana tal-Lag tal-Lag tal-Lag Ontario u expedition permezz tal - Wilderness tad-distrett ta 'Maine u' l isfel fix-xmara Chaudière biex tattakka l-belt ta 'Quebec. Imwaqqa 'minn nuqqas ta' qbil"&amp;" u tilwim ma 'oħrajn, inklużi William Johnson u l-gvernatur ta' New York Sir Charles Hardy, il-pjan ta 'Shirley ma tantx kellu appoġġ.")</f>
        <v>Wara l-mewt ta 'Braddock, William Shirley assuma l-kmand tal-forzi Ingliżi fl-Amerika ta' Fuq. Waqt laqgħa f'Albany f'Diċembru 1755, huwa stabbilixxa l-pjanijiet tiegħu għall-1756. Minbarra li jġedded l-isforzi biex jaqbad Niagara, Crown Point u Duquesne, huwa ppropona attakki fuq Fort Frontenac fuq ix-Xatt tat-Tramuntana tal-Lag tal-Lag tal-Lag Ontario u expedition permezz tal - Wilderness tad-distrett ta 'Maine u' l isfel fix-xmara Chaudière biex tattakka l-belt ta 'Quebec. Imwaqqa 'minn nuqqas ta' qbil u tilwim ma 'oħrajn, inklużi William Johnson u l-gvernatur ta' New York Sir Charles Hardy, il-pjan ta 'Shirley ma tantx kellu appoġġ.</v>
      </c>
    </row>
    <row r="4128" ht="15.75" customHeight="1">
      <c r="A4128" s="2" t="s">
        <v>4128</v>
      </c>
      <c r="B4128" s="2" t="str">
        <f>IFERROR(__xludf.DUMMYFUNCTION("GOOGLETRANSLATE(A4128, ""en"", ""mt"")"),"Liema professjoni għandu Simon Kuznets?")</f>
        <v>Liema professjoni għandu Simon Kuznets?</v>
      </c>
    </row>
    <row r="4129" ht="15.75" customHeight="1">
      <c r="A4129" s="2" t="s">
        <v>4129</v>
      </c>
      <c r="B4129" s="2" t="str">
        <f>IFERROR(__xludf.DUMMYFUNCTION("GOOGLETRANSLATE(A4129, ""en"", ""mt"")"),"Kemm wallons Protestanti ħarbu lejn l-Ingilterra qabel ma għadda l-Att dwar in-Naturalizzazzjoni tal-Protestanti Barranin?")</f>
        <v>Kemm wallons Protestanti ħarbu lejn l-Ingilterra qabel ma għadda l-Att dwar in-Naturalizzazzjoni tal-Protestanti Barranin?</v>
      </c>
    </row>
    <row r="4130" ht="15.75" customHeight="1">
      <c r="A4130" s="2" t="s">
        <v>4130</v>
      </c>
      <c r="B4130" s="2" t="str">
        <f>IFERROR(__xludf.DUMMYFUNCTION("GOOGLETRANSLATE(A4130, ""en"", ""mt"")"),"Min wera li dawn jeżistu problemi relevanti prattiċi li huma NP-kompluti fl-1961?")</f>
        <v>Min wera li dawn jeżistu problemi relevanti prattiċi li huma NP-kompluti fl-1961?</v>
      </c>
    </row>
    <row r="4131" ht="15.75" customHeight="1">
      <c r="A4131" s="2" t="s">
        <v>4131</v>
      </c>
      <c r="B4131" s="2" t="str">
        <f>IFERROR(__xludf.DUMMYFUNCTION("GOOGLETRANSLATE(A4131, ""en"", ""mt"")"),"Port ta 'San Diego")</f>
        <v>Port ta 'San Diego</v>
      </c>
    </row>
    <row r="4132" ht="15.75" customHeight="1">
      <c r="A4132" s="2" t="s">
        <v>4132</v>
      </c>
      <c r="B4132" s="2" t="str">
        <f>IFERROR(__xludf.DUMMYFUNCTION("GOOGLETRANSLATE(A4132, ""en"", ""mt"")"),"F'liema baħar ġie skopert iż-żejt?")</f>
        <v>F'liema baħar ġie skopert iż-żejt?</v>
      </c>
    </row>
    <row r="4133" ht="15.75" customHeight="1">
      <c r="A4133" s="2" t="s">
        <v>4133</v>
      </c>
      <c r="B4133" s="2" t="str">
        <f>IFERROR(__xludf.DUMMYFUNCTION("GOOGLETRANSLATE(A4133, ""en"", ""mt"")"),"John Pell")</f>
        <v>John Pell</v>
      </c>
    </row>
    <row r="4134" ht="15.75" customHeight="1">
      <c r="A4134" s="2" t="s">
        <v>4134</v>
      </c>
      <c r="B4134" s="2" t="str">
        <f>IFERROR(__xludf.DUMMYFUNCTION("GOOGLETRANSLATE(A4134, ""en"", ""mt"")"),"bejn 96,660 u 128,843")</f>
        <v>bejn 96,660 u 128,843</v>
      </c>
    </row>
    <row r="4135" ht="15.75" customHeight="1">
      <c r="A4135" s="2" t="s">
        <v>4135</v>
      </c>
      <c r="B4135" s="2" t="str">
        <f>IFERROR(__xludf.DUMMYFUNCTION("GOOGLETRANSLATE(A4135, ""en"", ""mt"")"),"X'inhu l-isem ta 'algoritmu ieħor utli għall-ittestjar b'mod konvenjenti tal-primalità ta' numri kbar?")</f>
        <v>X'inhu l-isem ta 'algoritmu ieħor utli għall-ittestjar b'mod konvenjenti tal-primalità ta' numri kbar?</v>
      </c>
    </row>
    <row r="4136" ht="15.75" customHeight="1">
      <c r="A4136" s="2" t="s">
        <v>4136</v>
      </c>
      <c r="B4136" s="2" t="str">
        <f>IFERROR(__xludf.DUMMYFUNCTION("GOOGLETRANSLATE(A4136, ""en"", ""mt"")"),"X'jiekol ġeneralment il-Bolinopsis?")</f>
        <v>X'jiekol ġeneralment il-Bolinopsis?</v>
      </c>
    </row>
    <row r="4137" ht="15.75" customHeight="1">
      <c r="A4137" s="2" t="s">
        <v>4137</v>
      </c>
      <c r="B4137" s="2" t="str">
        <f>IFERROR(__xludf.DUMMYFUNCTION("GOOGLETRANSLATE(A4137, ""en"", ""mt"")"),"X'inhu Peer to Peer?")</f>
        <v>X'inhu Peer to Peer?</v>
      </c>
    </row>
    <row r="4138" ht="15.75" customHeight="1">
      <c r="A4138" s="2" t="s">
        <v>4138</v>
      </c>
      <c r="B4138" s="2" t="str">
        <f>IFERROR(__xludf.DUMMYFUNCTION("GOOGLETRANSLATE(A4138, ""en"", ""mt"")"),"X'inhu terminu ieħor għas-Sena 12 tal-edukazzjoni?")</f>
        <v>X'inhu terminu ieħor għas-Sena 12 tal-edukazzjoni?</v>
      </c>
    </row>
    <row r="4139" ht="15.75" customHeight="1">
      <c r="A4139" s="2" t="s">
        <v>4139</v>
      </c>
      <c r="B4139" s="2" t="str">
        <f>IFERROR(__xludf.DUMMYFUNCTION("GOOGLETRANSLATE(A4139, ""en"", ""mt"")"),"X’hemm bżonn li l-awtoritajiet tas-saħħa Olandiżi kienu meqjusa?")</f>
        <v>X’hemm bżonn li l-awtoritajiet tas-saħħa Olandiżi kienu meqjusa?</v>
      </c>
    </row>
    <row r="4140" ht="15.75" customHeight="1">
      <c r="A4140" s="2" t="s">
        <v>4140</v>
      </c>
      <c r="B4140" s="2" t="str">
        <f>IFERROR(__xludf.DUMMYFUNCTION("GOOGLETRANSLATE(A4140, ""en"", ""mt"")"),"Edukazzjoni Privata għall-Assistenza Finanzjarja tal-Istudenti")</f>
        <v>Edukazzjoni Privata għall-Assistenza Finanzjarja tal-Istudenti</v>
      </c>
    </row>
    <row r="4141" ht="15.75" customHeight="1">
      <c r="A4141" s="2" t="s">
        <v>4141</v>
      </c>
      <c r="B4141" s="2" t="str">
        <f>IFERROR(__xludf.DUMMYFUNCTION("GOOGLETRANSLATE(A4141, ""en"", ""mt"")"),"Stb")</f>
        <v>Stb</v>
      </c>
    </row>
    <row r="4142" ht="15.75" customHeight="1">
      <c r="A4142" s="2" t="s">
        <v>4142</v>
      </c>
      <c r="B4142" s="2" t="str">
        <f>IFERROR(__xludf.DUMMYFUNCTION("GOOGLETRANSLATE(A4142, ""en"", ""mt"")"),"Il-gvern Amerikan jista 'jirreferi l-abbozz lil min?")</f>
        <v>Il-gvern Amerikan jista 'jirreferi l-abbozz lil min?</v>
      </c>
    </row>
    <row r="4143" ht="15.75" customHeight="1">
      <c r="A4143" s="2" t="s">
        <v>4143</v>
      </c>
      <c r="B4143" s="2" t="str">
        <f>IFERROR(__xludf.DUMMYFUNCTION("GOOGLETRANSLATE(A4143, ""en"", ""mt"")"),"Side tal-Punent")</f>
        <v>Side tal-Punent</v>
      </c>
    </row>
    <row r="4144" ht="15.75" customHeight="1">
      <c r="A4144" s="2" t="s">
        <v>4144</v>
      </c>
      <c r="B4144" s="2" t="str">
        <f>IFERROR(__xludf.DUMMYFUNCTION("GOOGLETRANSLATE(A4144, ""en"", ""mt"")"),"Qabel ma tingħata d-dikjarazzjoni, min hu interrogat?")</f>
        <v>Qabel ma tingħata d-dikjarazzjoni, min hu interrogat?</v>
      </c>
    </row>
    <row r="4145" ht="15.75" customHeight="1">
      <c r="A4145" s="2" t="s">
        <v>4145</v>
      </c>
      <c r="B4145" s="2" t="str">
        <f>IFERROR(__xludf.DUMMYFUNCTION("GOOGLETRANSLATE(A4145, ""en"", ""mt"")"),"Rati ta 'intraprenditorija")</f>
        <v>Rati ta 'intraprenditorija</v>
      </c>
    </row>
    <row r="4146" ht="15.75" customHeight="1">
      <c r="A4146" s="2" t="s">
        <v>4146</v>
      </c>
      <c r="B4146" s="2" t="str">
        <f>IFERROR(__xludf.DUMMYFUNCTION("GOOGLETRANSLATE(A4146, ""en"", ""mt"")"),"Ajruport Internazzjonali ta 'San Diego")</f>
        <v>Ajruport Internazzjonali ta 'San Diego</v>
      </c>
    </row>
    <row r="4147" ht="15.75" customHeight="1">
      <c r="A4147" s="2" t="s">
        <v>4147</v>
      </c>
      <c r="B4147" s="2" t="str">
        <f>IFERROR(__xludf.DUMMYFUNCTION("GOOGLETRANSLATE(A4147, ""en"", ""mt"")"),"F'Novembru 2006, l-elezzjonijiet tal-Kunsill Leġiżlattiv Vittorjan saru taħt sistema ta 'rappreżentanza proporzjonali b'ħafna membri. L-istat tar-Rabat kien maqsum fi tmien elettorati ma 'kull elettorat irrappreżentat minn ħames rappreżentanti eletti b'vo"&amp;"t trasferibbli wieħed. In-numru totali ta 'membri ta' Upper House tnaqqas minn 44 għal 40 u l-mandat tagħhom issa huwa l-istess bħall-membri ta 'l-Isfond tad-Dar - erba' snin. L-elezzjonijiet għall-Parlament Vittorjan issa huma ffissati u jseħħu f'Novembr"&amp;"u kull erba 'snin. Qabel l-elezzjoni tal-2006, il-Kunsill Leġiżlattiv kien jikkonsisti minn 44 membru eletti għal termini ta 'tmien snin minn 22 elettorat ta' żewġ membri.")</f>
        <v>F'Novembru 2006, l-elezzjonijiet tal-Kunsill Leġiżlattiv Vittorjan saru taħt sistema ta 'rappreżentanza proporzjonali b'ħafna membri. L-istat tar-Rabat kien maqsum fi tmien elettorati ma 'kull elettorat irrappreżentat minn ħames rappreżentanti eletti b'vot trasferibbli wieħed. In-numru totali ta 'membri ta' Upper House tnaqqas minn 44 għal 40 u l-mandat tagħhom issa huwa l-istess bħall-membri ta 'l-Isfond tad-Dar - erba' snin. L-elezzjonijiet għall-Parlament Vittorjan issa huma ffissati u jseħħu f'Novembru kull erba 'snin. Qabel l-elezzjoni tal-2006, il-Kunsill Leġiżlattiv kien jikkonsisti minn 44 membru eletti għal termini ta 'tmien snin minn 22 elettorat ta' żewġ membri.</v>
      </c>
    </row>
    <row r="4148" ht="15.75" customHeight="1">
      <c r="A4148" s="2" t="s">
        <v>4148</v>
      </c>
      <c r="B4148" s="2" t="str">
        <f>IFERROR(__xludf.DUMMYFUNCTION("GOOGLETRANSLATE(A4148, ""en"", ""mt"")"),"X'inhuma xi proposti biex jgħaqqdu l-kampus?")</f>
        <v>X'inhuma xi proposti biex jgħaqqdu l-kampus?</v>
      </c>
    </row>
    <row r="4149" ht="15.75" customHeight="1">
      <c r="A4149" s="2" t="s">
        <v>4149</v>
      </c>
      <c r="B4149" s="2" t="str">
        <f>IFERROR(__xludf.DUMMYFUNCTION("GOOGLETRANSLATE(A4149, ""en"", ""mt"")"),"X'inhi s-sistema immuni li ma tistax tiddistingwi minn tessut b'saħħtu?")</f>
        <v>X'inhi s-sistema immuni li ma tistax tiddistingwi minn tessut b'saħħtu?</v>
      </c>
    </row>
    <row r="4150" ht="15.75" customHeight="1">
      <c r="A4150" s="2" t="s">
        <v>4150</v>
      </c>
      <c r="B4150" s="2" t="str">
        <f>IFERROR(__xludf.DUMMYFUNCTION("GOOGLETRANSLATE(A4150, ""en"", ""mt"")"),"Liema żewġ xjenzati kienu proponenti tat-teorija umoristika tal-immunità?")</f>
        <v>Liema żewġ xjenzati kienu proponenti tat-teorija umoristika tal-immunità?</v>
      </c>
    </row>
    <row r="4151" ht="15.75" customHeight="1">
      <c r="A4151" s="2" t="s">
        <v>4151</v>
      </c>
      <c r="B4151" s="2" t="str">
        <f>IFERROR(__xludf.DUMMYFUNCTION("GOOGLETRANSLATE(A4151, ""en"", ""mt"")"),"Fejn tingħaqad il-Lek?")</f>
        <v>Fejn tingħaqad il-Lek?</v>
      </c>
    </row>
    <row r="4152" ht="15.75" customHeight="1">
      <c r="A4152" s="2" t="s">
        <v>4152</v>
      </c>
      <c r="B4152" s="2" t="str">
        <f>IFERROR(__xludf.DUMMYFUNCTION("GOOGLETRANSLATE(A4152, ""en"", ""mt"")"),"Meta ġie elett minn Nixon?")</f>
        <v>Meta ġie elett minn Nixon?</v>
      </c>
    </row>
    <row r="4153" ht="15.75" customHeight="1">
      <c r="A4153" s="2" t="s">
        <v>4153</v>
      </c>
      <c r="B4153" s="2" t="str">
        <f>IFERROR(__xludf.DUMMYFUNCTION("GOOGLETRANSLATE(A4153, ""en"", ""mt"")"),"Il-muntanji tal-blat magħluqin tard billi joħolqu dak li jibbaża?")</f>
        <v>Il-muntanji tal-blat magħluqin tard billi joħolqu dak li jibbaża?</v>
      </c>
    </row>
    <row r="4154" ht="15.75" customHeight="1">
      <c r="A4154" s="2" t="s">
        <v>4154</v>
      </c>
      <c r="B4154" s="2" t="str">
        <f>IFERROR(__xludf.DUMMYFUNCTION("GOOGLETRANSLATE(A4154, ""en"", ""mt"")"),"Fejn HT naqas milli jneħħi kolp ta 'demm fl-1974?")</f>
        <v>Fejn HT naqas milli jneħħi kolp ta 'demm fl-1974?</v>
      </c>
    </row>
    <row r="4155" ht="15.75" customHeight="1">
      <c r="A4155" s="2" t="s">
        <v>4155</v>
      </c>
      <c r="B4155" s="2" t="str">
        <f>IFERROR(__xludf.DUMMYFUNCTION("GOOGLETRANSLATE(A4155, ""en"", ""mt"")"),"It-twaqqif ta ’knejjes Protestanti Ġodda")</f>
        <v>It-twaqqif ta ’knejjes Protestanti Ġodda</v>
      </c>
    </row>
    <row r="4156" ht="15.75" customHeight="1">
      <c r="A4156" s="2" t="s">
        <v>4156</v>
      </c>
      <c r="B4156" s="2" t="str">
        <f>IFERROR(__xludf.DUMMYFUNCTION("GOOGLETRANSLATE(A4156, ""en"", ""mt"")"),"Forts Shirley kien tella 'fil-Carry Oneida")</f>
        <v>Forts Shirley kien tella 'fil-Carry Oneida</v>
      </c>
    </row>
    <row r="4157" ht="15.75" customHeight="1">
      <c r="A4157" s="2" t="s">
        <v>4157</v>
      </c>
      <c r="B4157" s="2" t="str">
        <f>IFERROR(__xludf.DUMMYFUNCTION("GOOGLETRANSLATE(A4157, ""en"", ""mt"")"),"Han Ċiniż, Khitans, Jurchens, Mongols, u Buddisti Tibetani")</f>
        <v>Han Ċiniż, Khitans, Jurchens, Mongols, u Buddisti Tibetani</v>
      </c>
    </row>
    <row r="4158" ht="15.75" customHeight="1">
      <c r="A4158" s="2" t="s">
        <v>4158</v>
      </c>
      <c r="B4158" s="2" t="str">
        <f>IFERROR(__xludf.DUMMYFUNCTION("GOOGLETRANSLATE(A4158, ""en"", ""mt"")"),"X'inhu importanti daqs l-identifikazzjoni tas-sintomi tal-pesta?")</f>
        <v>X'inhu importanti daqs l-identifikazzjoni tas-sintomi tal-pesta?</v>
      </c>
    </row>
    <row r="4159" ht="15.75" customHeight="1">
      <c r="A4159" s="2" t="s">
        <v>4159</v>
      </c>
      <c r="B4159" s="2" t="str">
        <f>IFERROR(__xludf.DUMMYFUNCTION("GOOGLETRANSLATE(A4159, ""en"", ""mt"")"),"Meta l-Baċin tad-Drenaġġ tal-Amażon kien maħsub li nqasam f'nofs l-Amerika t'Isfel?")</f>
        <v>Meta l-Baċin tad-Drenaġġ tal-Amażon kien maħsub li nqasam f'nofs l-Amerika t'Isfel?</v>
      </c>
    </row>
    <row r="4160" ht="15.75" customHeight="1">
      <c r="A4160" s="2" t="s">
        <v>4160</v>
      </c>
      <c r="B4160" s="2" t="str">
        <f>IFERROR(__xludf.DUMMYFUNCTION("GOOGLETRANSLATE(A4160, ""en"", ""mt"")"),"Għaliex Priestley ġeneralment jingħata kreditu talli l-ewwel qed jiskopri l-ossiġnu?")</f>
        <v>Għaliex Priestley ġeneralment jingħata kreditu talli l-ewwel qed jiskopri l-ossiġnu?</v>
      </c>
    </row>
    <row r="4161" ht="15.75" customHeight="1">
      <c r="A4161" s="2" t="s">
        <v>4161</v>
      </c>
      <c r="B4161" s="2" t="str">
        <f>IFERROR(__xludf.DUMMYFUNCTION("GOOGLETRANSLATE(A4161, ""en"", ""mt"")"),"Il-partit bl-inqas kwozjent jingħata xiex?")</f>
        <v>Il-partit bl-inqas kwozjent jingħata xiex?</v>
      </c>
    </row>
    <row r="4162" ht="15.75" customHeight="1">
      <c r="A4162" s="2" t="s">
        <v>4162</v>
      </c>
      <c r="B4162" s="2" t="str">
        <f>IFERROR(__xludf.DUMMYFUNCTION("GOOGLETRANSLATE(A4162, ""en"", ""mt"")"),"Kemm kolonisti Franċiżi nkisbu mill-Ingliżi?")</f>
        <v>Kemm kolonisti Franċiżi nkisbu mill-Ingliżi?</v>
      </c>
    </row>
    <row r="4163" ht="15.75" customHeight="1">
      <c r="A4163" s="2" t="s">
        <v>4163</v>
      </c>
      <c r="B4163" s="2" t="str">
        <f>IFERROR(__xludf.DUMMYFUNCTION("GOOGLETRANSLATE(A4163, ""en"", ""mt"")"),"Konċentrazzjoni tal-ġid")</f>
        <v>Konċentrazzjoni tal-ġid</v>
      </c>
    </row>
    <row r="4164" ht="15.75" customHeight="1">
      <c r="A4164" s="2" t="s">
        <v>4164</v>
      </c>
      <c r="B4164" s="2" t="str">
        <f>IFERROR(__xludf.DUMMYFUNCTION("GOOGLETRANSLATE(A4164, ""en"", ""mt"")"),"bajjiet")</f>
        <v>bajjiet</v>
      </c>
    </row>
    <row r="4165" ht="15.75" customHeight="1">
      <c r="A4165" s="2" t="s">
        <v>4165</v>
      </c>
      <c r="B4165" s="2" t="str">
        <f>IFERROR(__xludf.DUMMYFUNCTION("GOOGLETRANSLATE(A4165, ""en"", ""mt"")"),"Liema park huwa d-dar għall-Mansion Kearney?")</f>
        <v>Liema park huwa d-dar għall-Mansion Kearney?</v>
      </c>
    </row>
    <row r="4166" ht="15.75" customHeight="1">
      <c r="A4166" s="2" t="s">
        <v>4166</v>
      </c>
      <c r="B4166" s="2" t="str">
        <f>IFERROR(__xludf.DUMMYFUNCTION("GOOGLETRANSLATE(A4166, ""en"", ""mt"")"),"Naqqas il-metaboliżmu tal-annimal")</f>
        <v>Naqqas il-metaboliżmu tal-annimal</v>
      </c>
    </row>
    <row r="4167" ht="15.75" customHeight="1">
      <c r="A4167" s="2" t="s">
        <v>4167</v>
      </c>
      <c r="B4167" s="2" t="str">
        <f>IFERROR(__xludf.DUMMYFUNCTION("GOOGLETRANSLATE(A4167, ""en"", ""mt"")"),"Id-Dornbirner Ach")</f>
        <v>Id-Dornbirner Ach</v>
      </c>
    </row>
    <row r="4168" ht="15.75" customHeight="1">
      <c r="A4168" s="2" t="s">
        <v>4168</v>
      </c>
      <c r="B4168" s="2" t="str">
        <f>IFERROR(__xludf.DUMMYFUNCTION("GOOGLETRANSLATE(A4168, ""en"", ""mt"")"),"Id-definizzjonijiet ta '8 u 10-kontea ma jintużawx għall-akbar Megaregion tan-Nofsinhar ta' California, waħda mill-11-il megaregion ta 'l-Istati Uniti. Iż-żona tal-Megaregion hija aktar espansiva, li testendi l-lvant f'Las Vegas, Nevada, u fin-nofsinhar m"&amp;"adwar il-fruntiera Messikana f'Tijuana.")</f>
        <v>Id-definizzjonijiet ta '8 u 10-kontea ma jintużawx għall-akbar Megaregion tan-Nofsinhar ta' California, waħda mill-11-il megaregion ta 'l-Istati Uniti. Iż-żona tal-Megaregion hija aktar espansiva, li testendi l-lvant f'Las Vegas, Nevada, u fin-nofsinhar madwar il-fruntiera Messikana f'Tijuana.</v>
      </c>
    </row>
    <row r="4169" ht="15.75" customHeight="1">
      <c r="A4169" s="2" t="s">
        <v>4169</v>
      </c>
      <c r="B4169" s="2" t="str">
        <f>IFERROR(__xludf.DUMMYFUNCTION("GOOGLETRANSLATE(A4169, ""en"", ""mt"")"),"riżultat taż-żieda tal-kriminalità u tal-faqar")</f>
        <v>riżultat taż-żieda tal-kriminalità u tal-faqar</v>
      </c>
    </row>
    <row r="4170" ht="15.75" customHeight="1">
      <c r="A4170" s="2" t="s">
        <v>4170</v>
      </c>
      <c r="B4170" s="2" t="str">
        <f>IFERROR(__xludf.DUMMYFUNCTION("GOOGLETRANSLATE(A4170, ""en"", ""mt"")"),"X'inhi t-tendenza fil-ħiliet fost il-periti?")</f>
        <v>X'inhi t-tendenza fil-ħiliet fost il-periti?</v>
      </c>
    </row>
    <row r="4171" ht="15.75" customHeight="1">
      <c r="A4171" s="2" t="s">
        <v>4171</v>
      </c>
      <c r="B4171" s="2" t="str">
        <f>IFERROR(__xludf.DUMMYFUNCTION("GOOGLETRANSLATE(A4171, ""en"", ""mt"")"),"Bjuda")</f>
        <v>Bjuda</v>
      </c>
    </row>
    <row r="4172" ht="15.75" customHeight="1">
      <c r="A4172" s="2" t="s">
        <v>4172</v>
      </c>
      <c r="B4172" s="2" t="str">
        <f>IFERROR(__xludf.DUMMYFUNCTION("GOOGLETRANSLATE(A4172, ""en"", ""mt"")"),"Matul liema perjodu fl-istorja kien il-foresta tropikali tal-Amazon faxxa dejqa ta 'foresta?")</f>
        <v>Matul liema perjodu fl-istorja kien il-foresta tropikali tal-Amazon faxxa dejqa ta 'foresta?</v>
      </c>
    </row>
    <row r="4173" ht="15.75" customHeight="1">
      <c r="A4173" s="2" t="s">
        <v>4173</v>
      </c>
      <c r="B4173" s="2" t="str">
        <f>IFERROR(__xludf.DUMMYFUNCTION("GOOGLETRANSLATE(A4173, ""en"", ""mt"")"),"X’għandhom l-aqwa 400 Amerikani l-aktar sinjuri minn nofs l-Amerikani kollha?")</f>
        <v>X’għandhom l-aqwa 400 Amerikani l-aktar sinjuri minn nofs l-Amerikani kollha?</v>
      </c>
    </row>
    <row r="4174" ht="15.75" customHeight="1">
      <c r="A4174" s="2" t="s">
        <v>4174</v>
      </c>
      <c r="B4174" s="2" t="str">
        <f>IFERROR(__xludf.DUMMYFUNCTION("GOOGLETRANSLATE(A4174, ""en"", ""mt"")"),"X'għandhom komuni Bathyctena Chuni, Euplokamis u Eurhamphaea vexilligera?")</f>
        <v>X'għandhom komuni Bathyctena Chuni, Euplokamis u Eurhamphaea vexilligera?</v>
      </c>
    </row>
    <row r="4175" ht="15.75" customHeight="1">
      <c r="A4175" s="2" t="s">
        <v>4175</v>
      </c>
      <c r="B4175" s="2" t="str">
        <f>IFERROR(__xludf.DUMMYFUNCTION("GOOGLETRANSLATE(A4175, ""en"", ""mt"")"),"Liema Fort inbena mill-ġdid fl-1964?")</f>
        <v>Liema Fort inbena mill-ġdid fl-1964?</v>
      </c>
    </row>
    <row r="4176" ht="15.75" customHeight="1">
      <c r="A4176" s="2" t="s">
        <v>4176</v>
      </c>
      <c r="B4176" s="2" t="str">
        <f>IFERROR(__xludf.DUMMYFUNCTION("GOOGLETRANSLATE(A4176, ""en"", ""mt"")"),"tnaqqis fil-livelli tal-ormoni")</f>
        <v>tnaqqis fil-livelli tal-ormoni</v>
      </c>
    </row>
    <row r="4177" ht="15.75" customHeight="1">
      <c r="A4177" s="2" t="s">
        <v>4177</v>
      </c>
      <c r="B4177" s="2" t="str">
        <f>IFERROR(__xludf.DUMMYFUNCTION("GOOGLETRANSLATE(A4177, ""en"", ""mt"")"),"Il-Bureau tal-Affarijiet Buddisti u Tibetani")</f>
        <v>Il-Bureau tal-Affarijiet Buddisti u Tibetani</v>
      </c>
    </row>
    <row r="4178" ht="15.75" customHeight="1">
      <c r="A4178" s="2" t="s">
        <v>4178</v>
      </c>
      <c r="B4178" s="2" t="str">
        <f>IFERROR(__xludf.DUMMYFUNCTION("GOOGLETRANSLATE(A4178, ""en"", ""mt"")"),"Bini tal-Parlament Skoċċiż")</f>
        <v>Bini tal-Parlament Skoċċiż</v>
      </c>
    </row>
    <row r="4179" ht="15.75" customHeight="1">
      <c r="A4179" s="2" t="s">
        <v>4179</v>
      </c>
      <c r="B4179" s="2" t="str">
        <f>IFERROR(__xludf.DUMMYFUNCTION("GOOGLETRANSLATE(A4179, ""en"", ""mt"")"),"Teorija tal-Miasma.")</f>
        <v>Teorija tal-Miasma.</v>
      </c>
    </row>
    <row r="4180" ht="15.75" customHeight="1">
      <c r="A4180" s="2" t="s">
        <v>4180</v>
      </c>
      <c r="B4180" s="2" t="str">
        <f>IFERROR(__xludf.DUMMYFUNCTION("GOOGLETRANSLATE(A4180, ""en"", ""mt"")"),"Fejn tmur il-forza ċentripetali?")</f>
        <v>Fejn tmur il-forza ċentripetali?</v>
      </c>
    </row>
    <row r="4181" ht="15.75" customHeight="1">
      <c r="A4181" s="2" t="s">
        <v>4181</v>
      </c>
      <c r="B4181" s="2" t="str">
        <f>IFERROR(__xludf.DUMMYFUNCTION("GOOGLETRANSLATE(A4181, ""en"", ""mt"")"),"X'inhu bbażat fuq magna li ddur mingħajr piston?")</f>
        <v>X'inhu bbażat fuq magna li ddur mingħajr piston?</v>
      </c>
    </row>
    <row r="4182" ht="15.75" customHeight="1">
      <c r="A4182" s="2" t="s">
        <v>4182</v>
      </c>
      <c r="B4182" s="2" t="str">
        <f>IFERROR(__xludf.DUMMYFUNCTION("GOOGLETRANSLATE(A4182, ""en"", ""mt"")"),"Alumni prominenti oħra jinkludu l-antropologi David Graeber u Donald Johanson, li huwa l-aktar magħruf għall-iskoperta tal-fossili ta 'australopithecine femminili ta' hominid magħruf bħala ""Lucy"" fir-reġjun tat-trijanglu 'l bogħod, il-psikologu John B. "&amp;"Watson, psikologu Amerikan li stabbilixxa l-iskola psikoloġika tal-kompitiżmu , Teoriku tal-Komunikazzjoni Harold Innis, Grandmaster taċ-Ċess Samuel Reshevsky, u Scholar Internazzjonali tar-Relazzjonijiet Internazzjonali Konservattivi u Koordinatur tal-Wh"&amp;"ite House għall-Ippjanar tas-Sigurtà għall-Kunsill tas-Sigurtà Nazzjonali Samuel P. Huntington.")</f>
        <v>Alumni prominenti oħra jinkludu l-antropologi David Graeber u Donald Johanson, li huwa l-aktar magħruf għall-iskoperta tal-fossili ta 'australopithecine femminili ta' hominid magħruf bħala "Lucy" fir-reġjun tat-trijanglu 'l bogħod, il-psikologu John B. Watson, psikologu Amerikan li stabbilixxa l-iskola psikoloġika tal-kompitiżmu , Teoriku tal-Komunikazzjoni Harold Innis, Grandmaster taċ-Ċess Samuel Reshevsky, u Scholar Internazzjonali tar-Relazzjonijiet Internazzjonali Konservattivi u Koordinatur tal-White House għall-Ippjanar tas-Sigurtà għall-Kunsill tas-Sigurtà Nazzjonali Samuel P. Huntington.</v>
      </c>
    </row>
    <row r="4183" ht="15.75" customHeight="1">
      <c r="A4183" s="2" t="s">
        <v>4183</v>
      </c>
      <c r="B4183" s="2" t="str">
        <f>IFERROR(__xludf.DUMMYFUNCTION("GOOGLETRANSLATE(A4183, ""en"", ""mt"")"),"Post Ċentrali")</f>
        <v>Post Ċentrali</v>
      </c>
    </row>
    <row r="4184" ht="15.75" customHeight="1">
      <c r="A4184" s="2" t="s">
        <v>4184</v>
      </c>
      <c r="B4184" s="2" t="str">
        <f>IFERROR(__xludf.DUMMYFUNCTION("GOOGLETRANSLATE(A4184, ""en"", ""mt"")"),"X'tista 'żamm l-U ta' C mill-1938?")</f>
        <v>X'tista 'żamm l-U ta' C mill-1938?</v>
      </c>
    </row>
    <row r="4185" ht="15.75" customHeight="1">
      <c r="A4185" s="2" t="s">
        <v>4185</v>
      </c>
      <c r="B4185" s="2" t="str">
        <f>IFERROR(__xludf.DUMMYFUNCTION("GOOGLETRANSLATE(A4185, ""en"", ""mt"")"),"Għaliex kien hemm deprezzament tad-dollari tan-nazzjonijiet industrijalizzati?")</f>
        <v>Għaliex kien hemm deprezzament tad-dollari tan-nazzjonijiet industrijalizzati?</v>
      </c>
    </row>
    <row r="4186" ht="15.75" customHeight="1">
      <c r="A4186" s="2" t="s">
        <v>4186</v>
      </c>
      <c r="B4186" s="2" t="str">
        <f>IFERROR(__xludf.DUMMYFUNCTION("GOOGLETRANSLATE(A4186, ""en"", ""mt"")"),"X'kawża l-finanzjament tal-belt jiżdied?")</f>
        <v>X'kawża l-finanzjament tal-belt jiżdied?</v>
      </c>
    </row>
    <row r="4187" ht="15.75" customHeight="1">
      <c r="A4187" s="2" t="s">
        <v>4187</v>
      </c>
      <c r="B4187" s="2" t="str">
        <f>IFERROR(__xludf.DUMMYFUNCTION("GOOGLETRANSLATE(A4187, ""en"", ""mt"")"),"L-attivitajiet ta 'min ma kinux il-Franċiżi li jistgħu jiksbu għarfien dwarhom?")</f>
        <v>L-attivitajiet ta 'min ma kinux il-Franċiżi li jistgħu jiksbu għarfien dwarhom?</v>
      </c>
    </row>
    <row r="4188" ht="15.75" customHeight="1">
      <c r="A4188" s="2" t="s">
        <v>4188</v>
      </c>
      <c r="B4188" s="2" t="str">
        <f>IFERROR(__xludf.DUMMYFUNCTION("GOOGLETRANSLATE(A4188, ""en"", ""mt"")")," Xi jfisser kittieb għall-grupp ta 'kriżi internazzjonali li l-kunċett ta' l-Islam politiku mhuwiex ħolqien ta '?")</f>
        <v> Xi jfisser kittieb għall-grupp ta 'kriżi internazzjonali li l-kunċett ta' l-Islam politiku mhuwiex ħolqien ta '?</v>
      </c>
    </row>
    <row r="4189" ht="15.75" customHeight="1">
      <c r="A4189" s="2" t="s">
        <v>4189</v>
      </c>
      <c r="B4189" s="2" t="str">
        <f>IFERROR(__xludf.DUMMYFUNCTION("GOOGLETRANSLATE(A4189, ""en"", ""mt"")"),"1967")</f>
        <v>1967</v>
      </c>
    </row>
    <row r="4190" ht="15.75" customHeight="1">
      <c r="A4190" s="2" t="s">
        <v>4190</v>
      </c>
      <c r="B4190" s="2" t="str">
        <f>IFERROR(__xludf.DUMMYFUNCTION("GOOGLETRANSLATE(A4190, ""en"", ""mt"")"),"Meta ġie maqtul Al-Banna?")</f>
        <v>Meta ġie maqtul Al-Banna?</v>
      </c>
    </row>
    <row r="4191" ht="15.75" customHeight="1">
      <c r="A4191" s="2" t="s">
        <v>4191</v>
      </c>
      <c r="B4191" s="2" t="str">
        <f>IFERROR(__xludf.DUMMYFUNCTION("GOOGLETRANSLATE(A4191, ""en"", ""mt"")"),"Fejn faqqgħet gwerra ċivili mdemma?")</f>
        <v>Fejn faqqgħet gwerra ċivili mdemma?</v>
      </c>
    </row>
    <row r="4192" ht="15.75" customHeight="1">
      <c r="A4192" s="2" t="s">
        <v>4192</v>
      </c>
      <c r="B4192" s="2" t="str">
        <f>IFERROR(__xludf.DUMMYFUNCTION("GOOGLETRANSLATE(A4192, ""en"", ""mt"")"),"ħażna")</f>
        <v>ħażna</v>
      </c>
    </row>
    <row r="4193" ht="15.75" customHeight="1">
      <c r="A4193" s="2" t="s">
        <v>4193</v>
      </c>
      <c r="B4193" s="2" t="str">
        <f>IFERROR(__xludf.DUMMYFUNCTION("GOOGLETRANSLATE(A4193, ""en"", ""mt"")"),"Fejn jista 'jinstab ġieħ għall-waqgħa ta' Katyn?")</f>
        <v>Fejn jista 'jinstab ġieħ għall-waqgħa ta' Katyn?</v>
      </c>
    </row>
    <row r="4194" ht="15.75" customHeight="1">
      <c r="A4194" s="2" t="s">
        <v>4194</v>
      </c>
      <c r="B4194" s="2" t="str">
        <f>IFERROR(__xludf.DUMMYFUNCTION("GOOGLETRANSLATE(A4194, ""en"", ""mt"")"),"Aristotile x’kien irrefera għal mozzjoni sfurzata bħala?")</f>
        <v>Aristotile x’kien irrefera għal mozzjoni sfurzata bħala?</v>
      </c>
    </row>
    <row r="4195" ht="15.75" customHeight="1">
      <c r="A4195" s="2" t="s">
        <v>4195</v>
      </c>
      <c r="B4195" s="2" t="str">
        <f>IFERROR(__xludf.DUMMYFUNCTION("GOOGLETRANSLATE(A4195, ""en"", ""mt"")"),"jiċċarġjaw it-tagħlim tal-istudenti tagħhom")</f>
        <v>jiċċarġjaw it-tagħlim tal-istudenti tagħhom</v>
      </c>
    </row>
    <row r="4196" ht="15.75" customHeight="1">
      <c r="A4196" s="2" t="s">
        <v>4196</v>
      </c>
      <c r="B4196" s="2" t="str">
        <f>IFERROR(__xludf.DUMMYFUNCTION("GOOGLETRANSLATE(A4196, ""en"", ""mt"")"),"45")</f>
        <v>45</v>
      </c>
    </row>
    <row r="4197" ht="15.75" customHeight="1">
      <c r="A4197" s="2" t="s">
        <v>4197</v>
      </c>
      <c r="B4197" s="2" t="str">
        <f>IFERROR(__xludf.DUMMYFUNCTION("GOOGLETRANSLATE(A4197, ""en"", ""mt"")"),"Fl-Istati Uniti, x'inhu potenzjal massimu b'60 hertz ta 'poter?")</f>
        <v>Fl-Istati Uniti, x'inhu potenzjal massimu b'60 hertz ta 'poter?</v>
      </c>
    </row>
    <row r="4198" ht="15.75" customHeight="1">
      <c r="A4198" s="2" t="s">
        <v>4198</v>
      </c>
      <c r="B4198" s="2" t="str">
        <f>IFERROR(__xludf.DUMMYFUNCTION("GOOGLETRANSLATE(A4198, ""en"", ""mt"")"),"X'inhu l-isem tal-epoka estiż fit-tieni skala?")</f>
        <v>X'inhu l-isem tal-epoka estiż fit-tieni skala?</v>
      </c>
    </row>
    <row r="4199" ht="15.75" customHeight="1">
      <c r="A4199" s="2" t="s">
        <v>4199</v>
      </c>
      <c r="B4199" s="2" t="str">
        <f>IFERROR(__xludf.DUMMYFUNCTION("GOOGLETRANSLATE(A4199, ""en"", ""mt"")"),"Sargans")</f>
        <v>Sargans</v>
      </c>
    </row>
    <row r="4200" ht="15.75" customHeight="1">
      <c r="A4200" s="2" t="s">
        <v>4200</v>
      </c>
      <c r="B4200" s="2" t="str">
        <f>IFERROR(__xludf.DUMMYFUNCTION("GOOGLETRANSLATE(A4200, ""en"", ""mt"")"),"F’liema sena l-Amażonja esperjenzat l-agħar nixfa tagħha tal-istorja riċenti?")</f>
        <v>F’liema sena l-Amażonja esperjenzat l-agħar nixfa tagħha tal-istorja riċenti?</v>
      </c>
    </row>
    <row r="4201" ht="15.75" customHeight="1">
      <c r="A4201" s="2" t="s">
        <v>4201</v>
      </c>
      <c r="B4201" s="2" t="str">
        <f>IFERROR(__xludf.DUMMYFUNCTION("GOOGLETRANSLATE(A4201, ""en"", ""mt"")"),"Żona Amorfa tal-Ewropa Ċentrali")</f>
        <v>Żona Amorfa tal-Ewropa Ċentrali</v>
      </c>
    </row>
    <row r="4202" ht="15.75" customHeight="1">
      <c r="A4202" s="2" t="s">
        <v>4202</v>
      </c>
      <c r="B4202" s="2" t="str">
        <f>IFERROR(__xludf.DUMMYFUNCTION("GOOGLETRANSLATE(A4202, ""en"", ""mt"")"),"Xi tfisser l-inkapaċità li tissepara l-Islam mill-Iżlamiżmu li jwassal ħafna fil-Punent biex jappoġġjaw?")</f>
        <v>Xi tfisser l-inkapaċità li tissepara l-Islam mill-Iżlamiżmu li jwassal ħafna fil-Punent biex jappoġġjaw?</v>
      </c>
    </row>
    <row r="4203" ht="15.75" customHeight="1">
      <c r="A4203" s="2" t="s">
        <v>4203</v>
      </c>
      <c r="B4203" s="2" t="str">
        <f>IFERROR(__xludf.DUMMYFUNCTION("GOOGLETRANSLATE(A4203, ""en"", ""mt"")"),"Il-Prim Ministru tal-Polonja Donald Tusk")</f>
        <v>Il-Prim Ministru tal-Polonja Donald Tusk</v>
      </c>
    </row>
    <row r="4204" ht="15.75" customHeight="1">
      <c r="A4204" s="2" t="s">
        <v>4204</v>
      </c>
      <c r="B4204" s="2" t="str">
        <f>IFERROR(__xludf.DUMMYFUNCTION("GOOGLETRANSLATE(A4204, ""en"", ""mt"")"),"L-aħjar, l-agħar u l-medja")</f>
        <v>L-aħjar, l-agħar u l-medja</v>
      </c>
    </row>
    <row r="4205" ht="15.75" customHeight="1">
      <c r="A4205" s="2" t="s">
        <v>4205</v>
      </c>
      <c r="B4205" s="2" t="str">
        <f>IFERROR(__xludf.DUMMYFUNCTION("GOOGLETRANSLATE(A4205, ""en"", ""mt"")"),"OAPEC ipproklama l-embargo li trażżan l-esportazzjonijiet lejn diversi pajjiżi u imblukkat il-kunsinni kollha taż-żejt lejn l-Istati Uniti bħala ""pajjiż ostili prinċipali")</f>
        <v>OAPEC ipproklama l-embargo li trażżan l-esportazzjonijiet lejn diversi pajjiżi u imblukkat il-kunsinni kollha taż-żejt lejn l-Istati Uniti bħala "pajjiż ostili prinċipali</v>
      </c>
    </row>
    <row r="4206" ht="15.75" customHeight="1">
      <c r="A4206" s="2" t="s">
        <v>4206</v>
      </c>
      <c r="B4206" s="2" t="str">
        <f>IFERROR(__xludf.DUMMYFUNCTION("GOOGLETRANSLATE(A4206, ""en"", ""mt"")"),"X'tgħid l-Artikolu 288 TFEU?")</f>
        <v>X'tgħid l-Artikolu 288 TFEU?</v>
      </c>
    </row>
    <row r="4207" ht="15.75" customHeight="1">
      <c r="A4207" s="2" t="s">
        <v>4207</v>
      </c>
      <c r="B4207" s="2" t="str">
        <f>IFERROR(__xludf.DUMMYFUNCTION("GOOGLETRANSLATE(A4207, ""en"", ""mt"")"),"Rispons ipersensittiv ta 'pjanti kontra attakk ta' patoġeni")</f>
        <v>Rispons ipersensittiv ta 'pjanti kontra attakk ta' patoġeni</v>
      </c>
    </row>
    <row r="4208" ht="15.75" customHeight="1">
      <c r="A4208" s="2" t="s">
        <v>4208</v>
      </c>
      <c r="B4208" s="2" t="str">
        <f>IFERROR(__xludf.DUMMYFUNCTION("GOOGLETRANSLATE(A4208, ""en"", ""mt"")"),"Aqta 'l-fortizzi tal-fruntiera Franċiża")</f>
        <v>Aqta 'l-fortizzi tal-fruntiera Franċiża</v>
      </c>
    </row>
    <row r="4209" ht="15.75" customHeight="1">
      <c r="A4209" s="2" t="s">
        <v>4209</v>
      </c>
      <c r="B4209" s="2" t="str">
        <f>IFERROR(__xludf.DUMMYFUNCTION("GOOGLETRANSLATE(A4209, ""en"", ""mt"")"),"varjetà ta 'atti illegali differenti")</f>
        <v>varjetà ta 'atti illegali differenti</v>
      </c>
    </row>
    <row r="4210" ht="15.75" customHeight="1">
      <c r="A4210" s="2" t="s">
        <v>4210</v>
      </c>
      <c r="B4210" s="2" t="str">
        <f>IFERROR(__xludf.DUMMYFUNCTION("GOOGLETRANSLATE(A4210, ""en"", ""mt"")"),"Liema perċentwali tal-popolazzjoni ta 'Londra mietet matul it-tbegħid tal-1589 tal-mewt sewda?")</f>
        <v>Liema perċentwali tal-popolazzjoni ta 'Londra mietet matul it-tbegħid tal-1589 tal-mewt sewda?</v>
      </c>
    </row>
    <row r="4211" ht="15.75" customHeight="1">
      <c r="A4211" s="2" t="s">
        <v>4211</v>
      </c>
      <c r="B4211" s="2" t="str">
        <f>IFERROR(__xludf.DUMMYFUNCTION("GOOGLETRANSLATE(A4211, ""en"", ""mt"")"),"X'inhi l-għoli tal-ħajja qrib Harvard?")</f>
        <v>X'inhi l-għoli tal-ħajja qrib Harvard?</v>
      </c>
    </row>
    <row r="4212" ht="15.75" customHeight="1">
      <c r="A4212" s="2" t="s">
        <v>4212</v>
      </c>
      <c r="B4212" s="2" t="str">
        <f>IFERROR(__xludf.DUMMYFUNCTION("GOOGLETRANSLATE(A4212, ""en"", ""mt"")"),"X'inhu mifhum bis-sħiħ dwar ċelloli T γδ?")</f>
        <v>X'inhu mifhum bis-sħiħ dwar ċelloli T γδ?</v>
      </c>
    </row>
    <row r="4213" ht="15.75" customHeight="1">
      <c r="A4213" s="2" t="s">
        <v>4213</v>
      </c>
      <c r="B4213" s="2" t="str">
        <f>IFERROR(__xludf.DUMMYFUNCTION("GOOGLETRANSLATE(A4213, ""en"", ""mt"")"),"Dak li fil-fatt jikkawża riġidità fil-materja?")</f>
        <v>Dak li fil-fatt jikkawża riġidità fil-materja?</v>
      </c>
    </row>
    <row r="4214" ht="15.75" customHeight="1">
      <c r="A4214" s="2" t="s">
        <v>4214</v>
      </c>
      <c r="B4214" s="2" t="str">
        <f>IFERROR(__xludf.DUMMYFUNCTION("GOOGLETRANSLATE(A4214, ""en"", ""mt"")"),"bejn 3 u 14-il siegħa fil-ġimgħa")</f>
        <v>bejn 3 u 14-il siegħa fil-ġimgħa</v>
      </c>
    </row>
    <row r="4215" ht="15.75" customHeight="1">
      <c r="A4215" s="2" t="s">
        <v>4215</v>
      </c>
      <c r="B4215" s="2" t="str">
        <f>IFERROR(__xludf.DUMMYFUNCTION("GOOGLETRANSLATE(A4215, ""en"", ""mt"")"),"Ċitru")</f>
        <v>Ċitru</v>
      </c>
    </row>
    <row r="4216" ht="15.75" customHeight="1">
      <c r="A4216" s="2" t="s">
        <v>4216</v>
      </c>
      <c r="B4216" s="2" t="str">
        <f>IFERROR(__xludf.DUMMYFUNCTION("GOOGLETRANSLATE(A4216, ""en"", ""mt"")"),"X'għandhom jgħaddu n-nies għal popolazzjonijiet indiġeni?")</f>
        <v>X'għandhom jgħaddu n-nies għal popolazzjonijiet indiġeni?</v>
      </c>
    </row>
    <row r="4217" ht="15.75" customHeight="1">
      <c r="A4217" s="2" t="s">
        <v>4217</v>
      </c>
      <c r="B4217" s="2" t="str">
        <f>IFERROR(__xludf.DUMMYFUNCTION("GOOGLETRANSLATE(A4217, ""en"", ""mt"")"),"X'inhu l-iktar element abbundanti fl-univers segwit mill-idroġenu u l-elju?")</f>
        <v>X'inhu l-iktar element abbundanti fl-univers segwit mill-idroġenu u l-elju?</v>
      </c>
    </row>
    <row r="4218" ht="15.75" customHeight="1">
      <c r="A4218" s="2" t="s">
        <v>4218</v>
      </c>
      <c r="B4218" s="2" t="str">
        <f>IFERROR(__xludf.DUMMYFUNCTION("GOOGLETRANSLATE(A4218, ""en"", ""mt"")"),"Il-proporzjon ta 'dawk li għadhom ma ggradwawx nisa żdied b'mod kostanti, u jirrifletti xejra matul l-edukazzjoni għolja fl-Istati Uniti")</f>
        <v>Il-proporzjon ta 'dawk li għadhom ma ggradwawx nisa żdied b'mod kostanti, u jirrifletti xejra matul l-edukazzjoni għolja fl-Istati Uniti</v>
      </c>
    </row>
    <row r="4219" ht="15.75" customHeight="1">
      <c r="A4219" s="2" t="s">
        <v>4219</v>
      </c>
      <c r="B4219" s="2" t="str">
        <f>IFERROR(__xludf.DUMMYFUNCTION("GOOGLETRANSLATE(A4219, ""en"", ""mt"")"),"Kemm żoni ġew milquta mill-mewt tal-veġetazzjoni fin-nixfa tal-2010?")</f>
        <v>Kemm żoni ġew milquta mill-mewt tal-veġetazzjoni fin-nixfa tal-2010?</v>
      </c>
    </row>
    <row r="4220" ht="15.75" customHeight="1">
      <c r="A4220" s="2" t="s">
        <v>4220</v>
      </c>
      <c r="B4220" s="2" t="str">
        <f>IFERROR(__xludf.DUMMYFUNCTION("GOOGLETRANSLATE(A4220, ""en"", ""mt"")"),"10%")</f>
        <v>10%</v>
      </c>
    </row>
    <row r="4221" ht="15.75" customHeight="1">
      <c r="A4221" s="2" t="s">
        <v>4221</v>
      </c>
      <c r="B4221" s="2" t="str">
        <f>IFERROR(__xludf.DUMMYFUNCTION("GOOGLETRANSLATE(A4221, ""en"", ""mt"")"),"Meta bnedmin bdew iħallu impatt fuq id-delta?")</f>
        <v>Meta bnedmin bdew iħallu impatt fuq id-delta?</v>
      </c>
    </row>
    <row r="4222" ht="15.75" customHeight="1">
      <c r="A4222" s="2" t="s">
        <v>4222</v>
      </c>
      <c r="B4222" s="2" t="str">
        <f>IFERROR(__xludf.DUMMYFUNCTION("GOOGLETRANSLATE(A4222, ""en"", ""mt"")"),"X’jagħmel il-ministru li kien jagħmel il-katalist tan-negozju tal-membri billi jitkellem wara kulħadd?")</f>
        <v>X’jagħmel il-ministru li kien jagħmel il-katalist tan-negozju tal-membri billi jitkellem wara kulħadd?</v>
      </c>
    </row>
    <row r="4223" ht="15.75" customHeight="1">
      <c r="A4223" s="2" t="s">
        <v>4223</v>
      </c>
      <c r="B4223" s="2" t="str">
        <f>IFERROR(__xludf.DUMMYFUNCTION("GOOGLETRANSLATE(A4223, ""en"", ""mt"")"),"sfurzar")</f>
        <v>sfurzar</v>
      </c>
    </row>
    <row r="4224" ht="15.75" customHeight="1">
      <c r="A4224" s="2" t="s">
        <v>4224</v>
      </c>
      <c r="B4224" s="2" t="str">
        <f>IFERROR(__xludf.DUMMYFUNCTION("GOOGLETRANSLATE(A4224, ""en"", ""mt"")"),"X'inhu swiċċjar taċ-ċirkwit ikkaratterizzat minn")</f>
        <v>X'inhu swiċċjar taċ-ċirkwit ikkaratterizzat minn</v>
      </c>
    </row>
    <row r="4225" ht="15.75" customHeight="1">
      <c r="A4225" s="2" t="s">
        <v>4225</v>
      </c>
      <c r="B4225" s="2" t="str">
        <f>IFERROR(__xludf.DUMMYFUNCTION("GOOGLETRANSLATE(A4225, ""en"", ""mt"")"),"Skond it-teorema ta 'Gluga, liema fatt għandu jkun diviżibbli minn n jekk xi numru sħiħ n&gt; 4 għandu jkun ikkunsidrat bħala kompost?")</f>
        <v>Skond it-teorema ta 'Gluga, liema fatt għandu jkun diviżibbli minn n jekk xi numru sħiħ n&gt; 4 għandu jkun ikkunsidrat bħala kompost?</v>
      </c>
    </row>
    <row r="4226" ht="15.75" customHeight="1">
      <c r="A4226" s="2" t="s">
        <v>4226</v>
      </c>
      <c r="B4226" s="2" t="str">
        <f>IFERROR(__xludf.DUMMYFUNCTION("GOOGLETRANSLATE(A4226, ""en"", ""mt"")"),"1 ta 'Lulju 1851")</f>
        <v>1 ta 'Lulju 1851</v>
      </c>
    </row>
    <row r="4227" ht="15.75" customHeight="1">
      <c r="A4227" s="2" t="s">
        <v>4227</v>
      </c>
      <c r="B4227" s="2" t="str">
        <f>IFERROR(__xludf.DUMMYFUNCTION("GOOGLETRANSLATE(A4227, ""en"", ""mt"")"),"Ħsarat Ingliżi fl-Amerika ta ’Fuq, flimkien ma’ fallimenti oħra fit-Teatru Ewropew")</f>
        <v>Ħsarat Ingliżi fl-Amerika ta ’Fuq, flimkien ma’ fallimenti oħra fit-Teatru Ewropew</v>
      </c>
    </row>
    <row r="4228" ht="15.75" customHeight="1">
      <c r="A4228" s="2" t="s">
        <v>4228</v>
      </c>
      <c r="B4228" s="2" t="str">
        <f>IFERROR(__xludf.DUMMYFUNCTION("GOOGLETRANSLATE(A4228, ""en"", ""mt"")"),"Vjaġġ bir-ritorn mis-siti kollha f'Milan li t-tul totali tiegħu huwa l-aktar 10 km")</f>
        <v>Vjaġġ bir-ritorn mis-siti kollha f'Milan li t-tul totali tiegħu huwa l-aktar 10 km</v>
      </c>
    </row>
    <row r="4229" ht="15.75" customHeight="1">
      <c r="A4229" s="2" t="s">
        <v>4229</v>
      </c>
      <c r="B4229" s="2" t="str">
        <f>IFERROR(__xludf.DUMMYFUNCTION("GOOGLETRANSLATE(A4229, ""en"", ""mt"")"),"""Negozju bħas-soltu"" (BAU)")</f>
        <v>"Negozju bħas-soltu" (BAU)</v>
      </c>
    </row>
    <row r="4230" ht="15.75" customHeight="1">
      <c r="A4230" s="2" t="s">
        <v>4230</v>
      </c>
      <c r="B4230" s="2" t="str">
        <f>IFERROR(__xludf.DUMMYFUNCTION("GOOGLETRANSLATE(A4230, ""en"", ""mt"")"),"potenzjalment perikoluż")</f>
        <v>potenzjalment perikoluż</v>
      </c>
    </row>
    <row r="4231" ht="15.75" customHeight="1">
      <c r="A4231" s="2" t="s">
        <v>4231</v>
      </c>
      <c r="B4231" s="2" t="str">
        <f>IFERROR(__xludf.DUMMYFUNCTION("GOOGLETRANSLATE(A4231, ""en"", ""mt"")"),"aħjar")</f>
        <v>aħjar</v>
      </c>
    </row>
    <row r="4232" ht="15.75" customHeight="1">
      <c r="A4232" s="2" t="s">
        <v>4232</v>
      </c>
      <c r="B4232" s="2" t="str">
        <f>IFERROR(__xludf.DUMMYFUNCTION("GOOGLETRANSLATE(A4232, ""en"", ""mt"")"),"Imħallfin")</f>
        <v>Imħallfin</v>
      </c>
    </row>
    <row r="4233" ht="15.75" customHeight="1">
      <c r="A4233" s="2" t="s">
        <v>4233</v>
      </c>
      <c r="B4233" s="2" t="str">
        <f>IFERROR(__xludf.DUMMYFUNCTION("GOOGLETRANSLATE(A4233, ""en"", ""mt"")"),"Manifatturi u negozjanti Ċiniżi tan-Nofsinhar")</f>
        <v>Manifatturi u negozjanti Ċiniżi tan-Nofsinhar</v>
      </c>
    </row>
    <row r="4234" ht="15.75" customHeight="1">
      <c r="A4234" s="2" t="s">
        <v>4234</v>
      </c>
      <c r="B4234" s="2" t="str">
        <f>IFERROR(__xludf.DUMMYFUNCTION("GOOGLETRANSLATE(A4234, ""en"", ""mt"")"),"Kif hija tipikament tipikament id-diżubbidjenza ċivili b'rabta maċ-ċittadin?")</f>
        <v>Kif hija tipikament tipikament id-diżubbidjenza ċivili b'rabta maċ-ċittadin?</v>
      </c>
    </row>
    <row r="4235" ht="15.75" customHeight="1">
      <c r="A4235" s="2" t="s">
        <v>4235</v>
      </c>
      <c r="B4235" s="2" t="str">
        <f>IFERROR(__xludf.DUMMYFUNCTION("GOOGLETRANSLATE(A4235, ""en"", ""mt"")"),"X'inhi l-iktar borra li qatt kellu Fresno?")</f>
        <v>X'inhi l-iktar borra li qatt kellu Fresno?</v>
      </c>
    </row>
    <row r="4236" ht="15.75" customHeight="1">
      <c r="A4236" s="2" t="s">
        <v>4236</v>
      </c>
      <c r="B4236" s="2" t="str">
        <f>IFERROR(__xludf.DUMMYFUNCTION("GOOGLETRANSLATE(A4236, ""en"", ""mt"")"),"Forza militari")</f>
        <v>Forza militari</v>
      </c>
    </row>
    <row r="4237" ht="15.75" customHeight="1">
      <c r="A4237" s="2" t="s">
        <v>4237</v>
      </c>
      <c r="B4237" s="2" t="str">
        <f>IFERROR(__xludf.DUMMYFUNCTION("GOOGLETRANSLATE(A4237, ""en"", ""mt"")"),"Proposta ta 'Kummissjoni")</f>
        <v>Proposta ta 'Kummissjoni</v>
      </c>
    </row>
    <row r="4238" ht="15.75" customHeight="1">
      <c r="A4238" s="2" t="s">
        <v>4238</v>
      </c>
      <c r="B4238" s="2" t="str">
        <f>IFERROR(__xludf.DUMMYFUNCTION("GOOGLETRANSLATE(A4238, ""en"", ""mt"")"),"Min jista 'jfittex bidliet jew eżenzjonijiet fil-liġi li jirregola l-art fejn se jinbena l-bini?")</f>
        <v>Min jista 'jfittex bidliet jew eżenzjonijiet fil-liġi li jirregola l-art fejn se jinbena l-bini?</v>
      </c>
    </row>
    <row r="4239" ht="15.75" customHeight="1">
      <c r="A4239" s="2" t="s">
        <v>4239</v>
      </c>
      <c r="B4239" s="2" t="str">
        <f>IFERROR(__xludf.DUMMYFUNCTION("GOOGLETRANSLATE(A4239, ""en"", ""mt"")"),"fil-lvant tal-Mississippi")</f>
        <v>fil-lvant tal-Mississippi</v>
      </c>
    </row>
    <row r="4240" ht="15.75" customHeight="1">
      <c r="A4240" s="2" t="s">
        <v>4240</v>
      </c>
      <c r="B4240" s="2" t="str">
        <f>IFERROR(__xludf.DUMMYFUNCTION("GOOGLETRANSLATE(A4240, ""en"", ""mt"")"),"Trattat ta 'Hubertusburg fil-15 ta' Frar 1763")</f>
        <v>Trattat ta 'Hubertusburg fil-15 ta' Frar 1763</v>
      </c>
    </row>
    <row r="4241" ht="15.75" customHeight="1">
      <c r="A4241" s="2" t="s">
        <v>4241</v>
      </c>
      <c r="B4241" s="2" t="str">
        <f>IFERROR(__xludf.DUMMYFUNCTION("GOOGLETRANSLATE(A4241, ""en"", ""mt"")"),"Iċ-ċikkulata kollha Taljana hija magħmula minn dak biss?")</f>
        <v>Iċ-ċikkulata kollha Taljana hija magħmula minn dak biss?</v>
      </c>
    </row>
    <row r="4242" ht="15.75" customHeight="1">
      <c r="A4242" s="2" t="s">
        <v>4242</v>
      </c>
      <c r="B4242" s="2" t="str">
        <f>IFERROR(__xludf.DUMMYFUNCTION("GOOGLETRANSLATE(A4242, ""en"", ""mt"")"),"lokali-global")</f>
        <v>lokali-global</v>
      </c>
    </row>
    <row r="4243" ht="15.75" customHeight="1">
      <c r="A4243" s="2" t="s">
        <v>4243</v>
      </c>
      <c r="B4243" s="2" t="str">
        <f>IFERROR(__xludf.DUMMYFUNCTION("GOOGLETRANSLATE(A4243, ""en"", ""mt"")"),"Liġi")</f>
        <v>Liġi</v>
      </c>
    </row>
    <row r="4244" ht="15.75" customHeight="1">
      <c r="A4244" s="2" t="s">
        <v>4244</v>
      </c>
      <c r="B4244" s="2" t="str">
        <f>IFERROR(__xludf.DUMMYFUNCTION("GOOGLETRANSLATE(A4244, ""en"", ""mt"")"),"Kemm hemm viċi presidenti fuq il-bord tal-istudenti?")</f>
        <v>Kemm hemm viċi presidenti fuq il-bord tal-istudenti?</v>
      </c>
    </row>
    <row r="4245" ht="15.75" customHeight="1">
      <c r="A4245" s="2" t="s">
        <v>4245</v>
      </c>
      <c r="B4245" s="2" t="str">
        <f>IFERROR(__xludf.DUMMYFUNCTION("GOOGLETRANSLATE(A4245, ""en"", ""mt"")"),"livell waqa 'b'mod sinifikanti")</f>
        <v>livell waqa 'b'mod sinifikanti</v>
      </c>
    </row>
    <row r="4246" ht="15.75" customHeight="1">
      <c r="A4246" s="2" t="s">
        <v>4246</v>
      </c>
      <c r="B4246" s="2" t="str">
        <f>IFERROR(__xludf.DUMMYFUNCTION("GOOGLETRANSLATE(A4246, ""en"", ""mt"")"),"Essenzjali")</f>
        <v>Essenzjali</v>
      </c>
    </row>
    <row r="4247" ht="15.75" customHeight="1">
      <c r="A4247" s="2" t="s">
        <v>4247</v>
      </c>
      <c r="B4247" s="2" t="str">
        <f>IFERROR(__xludf.DUMMYFUNCTION("GOOGLETRANSLATE(A4247, ""en"", ""mt"")"),"Ekwilibriju dinamiku")</f>
        <v>Ekwilibriju dinamiku</v>
      </c>
    </row>
    <row r="4248" ht="15.75" customHeight="1">
      <c r="A4248" s="2" t="s">
        <v>4248</v>
      </c>
      <c r="B4248" s="2" t="str">
        <f>IFERROR(__xludf.DUMMYFUNCTION("GOOGLETRANSLATE(A4248, ""en"", ""mt"")"),"Il-gvern ta 'Chicago huwa magħmul minn liema tip ta' studenti?")</f>
        <v>Il-gvern ta 'Chicago huwa magħmul minn liema tip ta' studenti?</v>
      </c>
    </row>
    <row r="4249" ht="15.75" customHeight="1">
      <c r="A4249" s="2" t="s">
        <v>4249</v>
      </c>
      <c r="B4249" s="2" t="str">
        <f>IFERROR(__xludf.DUMMYFUNCTION("GOOGLETRANSLATE(A4249, ""en"", ""mt"")"),"Fuq xiex taġixxi l-forza stong?")</f>
        <v>Fuq xiex taġixxi l-forza stong?</v>
      </c>
    </row>
    <row r="4250" ht="15.75" customHeight="1">
      <c r="A4250" s="2" t="s">
        <v>4250</v>
      </c>
      <c r="B4250" s="2" t="str">
        <f>IFERROR(__xludf.DUMMYFUNCTION("GOOGLETRANSLATE(A4250, ""en"", ""mt"")"),"Ħalib tas-sider")</f>
        <v>Ħalib tas-sider</v>
      </c>
    </row>
    <row r="4251" ht="15.75" customHeight="1">
      <c r="A4251" s="2" t="s">
        <v>4251</v>
      </c>
      <c r="B4251" s="2" t="str">
        <f>IFERROR(__xludf.DUMMYFUNCTION("GOOGLETRANSLATE(A4251, ""en"", ""mt"")"),"Sainte Foy fil-Quebec")</f>
        <v>Sainte Foy fil-Quebec</v>
      </c>
    </row>
    <row r="4252" ht="15.75" customHeight="1">
      <c r="A4252" s="2" t="s">
        <v>4252</v>
      </c>
      <c r="B4252" s="2" t="str">
        <f>IFERROR(__xludf.DUMMYFUNCTION("GOOGLETRANSLATE(A4252, ""en"", ""mt"")"),"li sistema ta 'qsim ta' ħin, ibbażata fuq ix-xogħol ta 'Kemney f'Dartmouth - li uża kompjuter b'self minn GE - jista' jkun ta 'profitt")</f>
        <v>li sistema ta 'qsim ta' ħin, ibbażata fuq ix-xogħol ta 'Kemney f'Dartmouth - li uża kompjuter b'self minn GE - jista' jkun ta 'profitt</v>
      </c>
    </row>
    <row r="4253" ht="15.75" customHeight="1">
      <c r="A4253" s="2" t="s">
        <v>4253</v>
      </c>
      <c r="B4253" s="2" t="str">
        <f>IFERROR(__xludf.DUMMYFUNCTION("GOOGLETRANSLATE(A4253, ""en"", ""mt"")"),"Liema industrija rnexxielha tibqa 'ħajja ta' tnaqqis kbir ta 'l-infiq militari?")</f>
        <v>Liema industrija rnexxielha tibqa 'ħajja ta' tnaqqis kbir ta 'l-infiq militari?</v>
      </c>
    </row>
    <row r="4254" ht="15.75" customHeight="1">
      <c r="A4254" s="2" t="s">
        <v>4254</v>
      </c>
      <c r="B4254" s="2" t="str">
        <f>IFERROR(__xludf.DUMMYFUNCTION("GOOGLETRANSLATE(A4254, ""en"", ""mt"")"),"32%")</f>
        <v>32%</v>
      </c>
    </row>
    <row r="4255" ht="15.75" customHeight="1">
      <c r="A4255" s="2" t="s">
        <v>4255</v>
      </c>
      <c r="B4255" s="2" t="str">
        <f>IFERROR(__xludf.DUMMYFUNCTION("GOOGLETRANSLATE(A4255, ""en"", ""mt"")"),"L-Irlanda")</f>
        <v>L-Irlanda</v>
      </c>
    </row>
    <row r="4256" ht="15.75" customHeight="1">
      <c r="A4256" s="2" t="s">
        <v>4256</v>
      </c>
      <c r="B4256" s="2" t="str">
        <f>IFERROR(__xludf.DUMMYFUNCTION("GOOGLETRANSLATE(A4256, ""en"", ""mt"")"),"pontijiet ġodda u mkabbra, servizz tax-shuttle u / jew tram")</f>
        <v>pontijiet ġodda u mkabbra, servizz tax-shuttle u / jew tram</v>
      </c>
    </row>
    <row r="4257" ht="15.75" customHeight="1">
      <c r="A4257" s="2" t="s">
        <v>4257</v>
      </c>
      <c r="B4257" s="2" t="str">
        <f>IFERROR(__xludf.DUMMYFUNCTION("GOOGLETRANSLATE(A4257, ""en"", ""mt"")"),"X'inhi n-nazzjonalità ta 'William Rankine?")</f>
        <v>X'inhi n-nazzjonalità ta 'William Rankine?</v>
      </c>
    </row>
    <row r="4258" ht="15.75" customHeight="1">
      <c r="A4258" s="2" t="s">
        <v>4258</v>
      </c>
      <c r="B4258" s="2" t="str">
        <f>IFERROR(__xludf.DUMMYFUNCTION("GOOGLETRANSLATE(A4258, ""en"", ""mt"")"),"Riżultati ottimali tas-saħħa")</f>
        <v>Riżultati ottimali tas-saħħa</v>
      </c>
    </row>
    <row r="4259" ht="15.75" customHeight="1">
      <c r="A4259" s="2" t="s">
        <v>4259</v>
      </c>
      <c r="B4259" s="2" t="str">
        <f>IFERROR(__xludf.DUMMYFUNCTION("GOOGLETRANSLATE(A4259, ""en"", ""mt"")"),"Minn xiex issir is-sistema nervuża?")</f>
        <v>Minn xiex issir is-sistema nervuża?</v>
      </c>
    </row>
    <row r="4260" ht="15.75" customHeight="1">
      <c r="A4260" s="2" t="s">
        <v>4260</v>
      </c>
      <c r="B4260" s="2" t="str">
        <f>IFERROR(__xludf.DUMMYFUNCTION("GOOGLETRANSLATE(A4260, ""en"", ""mt"")"),"Kemm ilha tintuża x-xbihat tal-sirena minn Varsavja?")</f>
        <v>Kemm ilha tintuża x-xbihat tal-sirena minn Varsavja?</v>
      </c>
    </row>
    <row r="4261" ht="15.75" customHeight="1">
      <c r="A4261" s="2" t="s">
        <v>4261</v>
      </c>
      <c r="B4261" s="2" t="str">
        <f>IFERROR(__xludf.DUMMYFUNCTION("GOOGLETRANSLATE(A4261, ""en"", ""mt"")"),"X'inhi waħda mill-ewwel tweġibiet li s-sistema immuni għandha l-infezzjoni?")</f>
        <v>X'inhi waħda mill-ewwel tweġibiet li s-sistema immuni għandha l-infezzjoni?</v>
      </c>
    </row>
    <row r="4262" ht="15.75" customHeight="1">
      <c r="A4262" s="2" t="s">
        <v>4262</v>
      </c>
      <c r="B4262" s="2" t="str">
        <f>IFERROR(__xludf.DUMMYFUNCTION("GOOGLETRANSLATE(A4262, ""en"", ""mt"")"),"X'inhi rata ogħla ta 'oġġetti soċjali effett?")</f>
        <v>X'inhi rata ogħla ta 'oġġetti soċjali effett?</v>
      </c>
    </row>
    <row r="4263" ht="15.75" customHeight="1">
      <c r="A4263" s="2" t="s">
        <v>4263</v>
      </c>
      <c r="B4263" s="2" t="str">
        <f>IFERROR(__xludf.DUMMYFUNCTION("GOOGLETRANSLATE(A4263, ""en"", ""mt"")"),"Dak li jikkorrispondi għas-soluzzjoni tal-problema li timmultiplika tliet numri /")</f>
        <v>Dak li jikkorrispondi għas-soluzzjoni tal-problema li timmultiplika tliet numri /</v>
      </c>
    </row>
    <row r="4264" ht="15.75" customHeight="1">
      <c r="A4264" s="2" t="s">
        <v>4264</v>
      </c>
      <c r="B4264" s="2" t="str">
        <f>IFERROR(__xludf.DUMMYFUNCTION("GOOGLETRANSLATE(A4264, ""en"", ""mt"")"),"il-proprjetarji ta 'dispensarji illegali tal-kannabis mediċi")</f>
        <v>il-proprjetarji ta 'dispensarji illegali tal-kannabis mediċi</v>
      </c>
    </row>
    <row r="4265" ht="15.75" customHeight="1">
      <c r="A4265" s="2" t="s">
        <v>4265</v>
      </c>
      <c r="B4265" s="2" t="str">
        <f>IFERROR(__xludf.DUMMYFUNCTION("GOOGLETRANSLATE(A4265, ""en"", ""mt"")"),"X’għamel Kublai biex jipprevjeni l-ġuħ?")</f>
        <v>X’għamel Kublai biex jipprevjeni l-ġuħ?</v>
      </c>
    </row>
    <row r="4266" ht="15.75" customHeight="1">
      <c r="A4266" s="2" t="s">
        <v>4266</v>
      </c>
      <c r="B4266" s="2" t="str">
        <f>IFERROR(__xludf.DUMMYFUNCTION("GOOGLETRANSLATE(A4266, ""en"", ""mt"")"),"Settembru 2001")</f>
        <v>Settembru 2001</v>
      </c>
    </row>
    <row r="4267" ht="15.75" customHeight="1">
      <c r="A4267" s="2" t="s">
        <v>4267</v>
      </c>
      <c r="B4267" s="2" t="str">
        <f>IFERROR(__xludf.DUMMYFUNCTION("GOOGLETRANSLATE(A4267, ""en"", ""mt"")"),"Kemm tunnellata ta 'trab huma minfuħa mis-Saħara kull sena?")</f>
        <v>Kemm tunnellata ta 'trab huma minfuħa mis-Saħara kull sena?</v>
      </c>
    </row>
    <row r="4268" ht="15.75" customHeight="1">
      <c r="A4268" s="2" t="s">
        <v>4268</v>
      </c>
      <c r="B4268" s="2" t="str">
        <f>IFERROR(__xludf.DUMMYFUNCTION("GOOGLETRANSLATE(A4268, ""en"", ""mt"")"),"Liema postijiet famużi tas-surfing huwa t-tieni Oahu?")</f>
        <v>Liema postijiet famużi tas-surfing huwa t-tieni Oahu?</v>
      </c>
    </row>
    <row r="4269" ht="15.75" customHeight="1">
      <c r="A4269" s="2" t="s">
        <v>4269</v>
      </c>
      <c r="B4269" s="2" t="str">
        <f>IFERROR(__xludf.DUMMYFUNCTION("GOOGLETRANSLATE(A4269, ""en"", ""mt"")"),"kienu standards miftuħa bi speċifikazzjonijiet ippubblikati, u diversi implimentazzjonijiet ġew żviluppati barra minn DEC, inkluż wieħed għal Linux")</f>
        <v>kienu standards miftuħa bi speċifikazzjonijiet ippubblikati, u diversi implimentazzjonijiet ġew żviluppati barra minn DEC, inkluż wieħed għal Linux</v>
      </c>
    </row>
    <row r="4270" ht="15.75" customHeight="1">
      <c r="A4270" s="2" t="s">
        <v>4270</v>
      </c>
      <c r="B4270" s="2" t="str">
        <f>IFERROR(__xludf.DUMMYFUNCTION("GOOGLETRANSLATE(A4270, ""en"", ""mt"")"),"Wara li r-Renu joħroġ mill-Lag Constance, liema direzzjoni joħroġ?")</f>
        <v>Wara li r-Renu joħroġ mill-Lag Constance, liema direzzjoni joħroġ?</v>
      </c>
    </row>
    <row r="4271" ht="15.75" customHeight="1">
      <c r="A4271" s="2" t="s">
        <v>4271</v>
      </c>
      <c r="B4271" s="2" t="str">
        <f>IFERROR(__xludf.DUMMYFUNCTION("GOOGLETRANSLATE(A4271, ""en"", ""mt"")"),"Sa liema seklu r-riċerkaturi raw li setgħu likwidi l-arja?")</f>
        <v>Sa liema seklu r-riċerkaturi raw li setgħu likwidi l-arja?</v>
      </c>
    </row>
    <row r="4272" ht="15.75" customHeight="1">
      <c r="A4272" s="2" t="s">
        <v>4272</v>
      </c>
      <c r="B4272" s="2" t="str">
        <f>IFERROR(__xludf.DUMMYFUNCTION("GOOGLETRANSLATE(A4272, ""en"", ""mt"")"),"Is-servizz beda fl-1 ta 'Settembru 1993 ibbażat fuq l-idea mill-uffiċjal kap eżekuttiv ta' dak iż-żmien, Sam Chisholm u Rupert Murdoch, li jikkonvertu l-istrateġija tan-negozju tal-kumpanija għal kunċett kompletament ibbażat fuq il-ħlas. Il-pakkett il-ġdi"&amp;"d kien jinkludi erba 'kanali li qabel kienu disponibbli free-to-air, ixandru fuq is-satelliti ta' Astra, kif ukoll l-introduzzjoni ta 'stazzjonijiet ġodda. Is-servizz kompla sal-għeluq tas-servizz analogu ta 'BSKYB fis-27 ta' Settembru 2001, minħabba t-tn"&amp;"edija u l-espansjoni tal-pjattaforma diġitali Sky. Uħud mill-kanali xxandru jew fil-kriptat ċar jew artab (li bih decoder tal-vidjokript kien meħtieġ li jiddekowdja, mingħajr karta ta 'abbonament) qabel iż-żieda tagħhom mal-pakkett ta' Multichannels Sky. "&amp;"Fi żmien xahrejn mit-tnedija, BSKYB kisbet 400,000 abbonat ġdid, bil-maġġoranza tieħu mill-inqas kanal premium wieħed ukoll, li għen lil BSKYB jilħaq 3.5 miljun familja sa nofs l-1994. Michael Grad ikkritika l-operazzjonijiet quddiem il-Kumitat Magħżul dw"&amp;"ar il-Wirt Nazzjonali, l-aktar għan-nuqqas ta ’programmazzjoni oriġinali fuq ħafna mill-kanali l-ġodda.")</f>
        <v>Is-servizz beda fl-1 ta 'Settembru 1993 ibbażat fuq l-idea mill-uffiċjal kap eżekuttiv ta' dak iż-żmien, Sam Chisholm u Rupert Murdoch, li jikkonvertu l-istrateġija tan-negozju tal-kumpanija għal kunċett kompletament ibbażat fuq il-ħlas. Il-pakkett il-ġdid kien jinkludi erba 'kanali li qabel kienu disponibbli free-to-air, ixandru fuq is-satelliti ta' Astra, kif ukoll l-introduzzjoni ta 'stazzjonijiet ġodda. Is-servizz kompla sal-għeluq tas-servizz analogu ta 'BSKYB fis-27 ta' Settembru 2001, minħabba t-tnedija u l-espansjoni tal-pjattaforma diġitali Sky. Uħud mill-kanali xxandru jew fil-kriptat ċar jew artab (li bih decoder tal-vidjokript kien meħtieġ li jiddekowdja, mingħajr karta ta 'abbonament) qabel iż-żieda tagħhom mal-pakkett ta' Multichannels Sky. Fi żmien xahrejn mit-tnedija, BSKYB kisbet 400,000 abbonat ġdid, bil-maġġoranza tieħu mill-inqas kanal premium wieħed ukoll, li għen lil BSKYB jilħaq 3.5 miljun familja sa nofs l-1994. Michael Grad ikkritika l-operazzjonijiet quddiem il-Kumitat Magħżul dwar il-Wirt Nazzjonali, l-aktar għan-nuqqas ta ’programmazzjoni oriġinali fuq ħafna mill-kanali l-ġodda.</v>
      </c>
    </row>
    <row r="4273" ht="15.75" customHeight="1">
      <c r="A4273" s="2" t="s">
        <v>4273</v>
      </c>
      <c r="B4273" s="2" t="str">
        <f>IFERROR(__xludf.DUMMYFUNCTION("GOOGLETRANSLATE(A4273, ""en"", ""mt"")"),"Brownlee")</f>
        <v>Brownlee</v>
      </c>
    </row>
    <row r="4274" ht="15.75" customHeight="1">
      <c r="A4274" s="2" t="s">
        <v>4274</v>
      </c>
      <c r="B4274" s="2" t="str">
        <f>IFERROR(__xludf.DUMMYFUNCTION("GOOGLETRANSLATE(A4274, ""en"", ""mt"")"),"individwi")</f>
        <v>individwi</v>
      </c>
    </row>
    <row r="4275" ht="15.75" customHeight="1">
      <c r="A4275" s="2" t="s">
        <v>4275</v>
      </c>
      <c r="B4275" s="2" t="str">
        <f>IFERROR(__xludf.DUMMYFUNCTION("GOOGLETRANSLATE(A4275, ""en"", ""mt"")"),"Liema entità oħra ma ġietx stabbilita fl-istess ħin bħall-Konvenzjoni Ewropea tad-Drittijiet tal-Bniedem?")</f>
        <v>Liema entità oħra ma ġietx stabbilita fl-istess ħin bħall-Konvenzjoni Ewropea tad-Drittijiet tal-Bniedem?</v>
      </c>
    </row>
    <row r="4276" ht="15.75" customHeight="1">
      <c r="A4276" s="2" t="s">
        <v>4276</v>
      </c>
      <c r="B4276" s="2" t="str">
        <f>IFERROR(__xludf.DUMMYFUNCTION("GOOGLETRANSLATE(A4276, ""en"", ""mt"")"),"X'inhuma l-peptidi antimikrobiċi li huma l-forma ewlenija ta 'immunità sistemika invertebrati?")</f>
        <v>X'inhuma l-peptidi antimikrobiċi li huma l-forma ewlenija ta 'immunità sistemika invertebrati?</v>
      </c>
    </row>
    <row r="4277" ht="15.75" customHeight="1">
      <c r="A4277" s="2" t="s">
        <v>4277</v>
      </c>
      <c r="B4277" s="2" t="str">
        <f>IFERROR(__xludf.DUMMYFUNCTION("GOOGLETRANSLATE(A4277, ""en"", ""mt"")"),"Xi tfisser il-fatturizzazzjoni tal-ideali ewlenin?")</f>
        <v>Xi tfisser il-fatturizzazzjoni tal-ideali ewlenin?</v>
      </c>
    </row>
    <row r="4278" ht="15.75" customHeight="1">
      <c r="A4278" s="2" t="s">
        <v>4278</v>
      </c>
      <c r="B4278" s="2" t="str">
        <f>IFERROR(__xludf.DUMMYFUNCTION("GOOGLETRANSLATE(A4278, ""en"", ""mt"")"),"X'inhuma żewġ eżempji ta 'mediċini ċitotossiċi jew immunosoppressivi?")</f>
        <v>X'inhuma żewġ eżempji ta 'mediċini ċitotossiċi jew immunosoppressivi?</v>
      </c>
    </row>
    <row r="4279" ht="15.75" customHeight="1">
      <c r="A4279" s="2" t="s">
        <v>4279</v>
      </c>
      <c r="B4279" s="2" t="str">
        <f>IFERROR(__xludf.DUMMYFUNCTION("GOOGLETRANSLATE(A4279, ""en"", ""mt"")"),"X'inhu ġeneralment mhux aċċettat dwar il-liġi tal-UE?")</f>
        <v>X'inhu ġeneralment mhux aċċettat dwar il-liġi tal-UE?</v>
      </c>
    </row>
    <row r="4280" ht="15.75" customHeight="1">
      <c r="A4280" s="2" t="s">
        <v>4280</v>
      </c>
      <c r="B4280" s="2" t="str">
        <f>IFERROR(__xludf.DUMMYFUNCTION("GOOGLETRANSLATE(A4280, ""en"", ""mt"")"),"X'inhu magħruf dwar il-klassijiet ta 'kumplessità bejn L u P li jipprevjeni aktar id-determinazzjoni tar-relazzjoni ta' valur bejn L u P?")</f>
        <v>X'inhu magħruf dwar il-klassijiet ta 'kumplessità bejn L u P li jipprevjeni aktar id-determinazzjoni tar-relazzjoni ta' valur bejn L u P?</v>
      </c>
    </row>
    <row r="4281" ht="15.75" customHeight="1">
      <c r="A4281" s="2" t="s">
        <v>4281</v>
      </c>
      <c r="B4281" s="2" t="str">
        <f>IFERROR(__xludf.DUMMYFUNCTION("GOOGLETRANSLATE(A4281, ""en"", ""mt"")"),"imnebbaħ")</f>
        <v>imnebbaħ</v>
      </c>
    </row>
    <row r="4282" ht="15.75" customHeight="1">
      <c r="A4282" s="2" t="s">
        <v>4282</v>
      </c>
      <c r="B4282" s="2" t="str">
        <f>IFERROR(__xludf.DUMMYFUNCTION("GOOGLETRANSLATE(A4282, ""en"", ""mt"")"),"Liema distretti tan-negozju żżomm iż-żona ta 'Riverside?")</f>
        <v>Liema distretti tan-negozju żżomm iż-żona ta 'Riverside?</v>
      </c>
    </row>
    <row r="4283" ht="15.75" customHeight="1">
      <c r="A4283" s="2" t="s">
        <v>4283</v>
      </c>
      <c r="B4283" s="2" t="str">
        <f>IFERROR(__xludf.DUMMYFUNCTION("GOOGLETRANSLATE(A4283, ""en"", ""mt"")"),"2.2 pulzier (0.06 m)")</f>
        <v>2.2 pulzier (0.06 m)</v>
      </c>
    </row>
    <row r="4284" ht="15.75" customHeight="1">
      <c r="A4284" s="2" t="s">
        <v>4284</v>
      </c>
      <c r="B4284" s="2" t="str">
        <f>IFERROR(__xludf.DUMMYFUNCTION("GOOGLETRANSLATE(A4284, ""en"", ""mt"")"),"F'liema sena l-U ta 'C saret waħda mis-7 membri fundaturi tal-Assoċjazzjoni ta' Universitajiet ta 'Chicago?")</f>
        <v>F'liema sena l-U ta 'C saret waħda mis-7 membri fundaturi tal-Assoċjazzjoni ta' Universitajiet ta 'Chicago?</v>
      </c>
    </row>
    <row r="4285" ht="15.75" customHeight="1">
      <c r="A4285" s="2" t="s">
        <v>4285</v>
      </c>
      <c r="B4285" s="2" t="str">
        <f>IFERROR(__xludf.DUMMYFUNCTION("GOOGLETRANSLATE(A4285, ""en"", ""mt"")"),"Birefringence, pleochroism, ġemellaġġ, u proprjetajiet ta 'interferenza")</f>
        <v>Birefringence, pleochroism, ġemellaġġ, u proprjetajiet ta 'interferenza</v>
      </c>
    </row>
    <row r="4286" ht="15.75" customHeight="1">
      <c r="A4286" s="2" t="s">
        <v>4286</v>
      </c>
      <c r="B4286" s="2" t="str">
        <f>IFERROR(__xludf.DUMMYFUNCTION("GOOGLETRANSLATE(A4286, ""en"", ""mt"")"),"X'inhi s-sistema li biha l-prokarioti jżommu frammenti tal-ġeni tal-fagi li qabel kienu jiġu f'kuntatt magħhom?")</f>
        <v>X'inhi s-sistema li biha l-prokarioti jżommu frammenti tal-ġeni tal-fagi li qabel kienu jiġu f'kuntatt magħhom?</v>
      </c>
    </row>
    <row r="4287" ht="15.75" customHeight="1">
      <c r="A4287" s="2" t="s">
        <v>4287</v>
      </c>
      <c r="B4287" s="2" t="str">
        <f>IFERROR(__xludf.DUMMYFUNCTION("GOOGLETRANSLATE(A4287, ""en"", ""mt"")"),"X’tagħmlu familji bi dħul taħt $ 38,000 għat-tagħlim fl-2009?")</f>
        <v>X’tagħmlu familji bi dħul taħt $ 38,000 għat-tagħlim fl-2009?</v>
      </c>
    </row>
    <row r="4288" ht="15.75" customHeight="1">
      <c r="A4288" s="2" t="s">
        <v>4288</v>
      </c>
      <c r="B4288" s="2" t="str">
        <f>IFERROR(__xludf.DUMMYFUNCTION("GOOGLETRANSLATE(A4288, ""en"", ""mt"")"),"Min ħareġ bil-kunċett li l-oġġetti li jaqgħu waqgħu bl-istess veloċità irrispettivament mill-piż?")</f>
        <v>Min ħareġ bil-kunċett li l-oġġetti li jaqgħu waqgħu bl-istess veloċità irrispettivament mill-piż?</v>
      </c>
    </row>
    <row r="4289" ht="15.75" customHeight="1">
      <c r="A4289" s="2" t="s">
        <v>4289</v>
      </c>
      <c r="B4289" s="2" t="str">
        <f>IFERROR(__xludf.DUMMYFUNCTION("GOOGLETRANSLATE(A4289, ""en"", ""mt"")"),"Hisao Yamada")</f>
        <v>Hisao Yamada</v>
      </c>
    </row>
    <row r="4290" ht="15.75" customHeight="1">
      <c r="A4290" s="2" t="s">
        <v>4290</v>
      </c>
      <c r="B4290" s="2" t="str">
        <f>IFERROR(__xludf.DUMMYFUNCTION("GOOGLETRANSLATE(A4290, ""en"", ""mt"")")," Min ħaseb li d-dinja ma tistax tinqasam f'żoni klimatiċi?")</f>
        <v> Min ħaseb li d-dinja ma tistax tinqasam f'żoni klimatiċi?</v>
      </c>
    </row>
    <row r="4291" ht="15.75" customHeight="1">
      <c r="A4291" s="2" t="s">
        <v>4291</v>
      </c>
      <c r="B4291" s="2" t="str">
        <f>IFERROR(__xludf.DUMMYFUNCTION("GOOGLETRANSLATE(A4291, ""en"", ""mt"")"),"1919")</f>
        <v>1919</v>
      </c>
    </row>
    <row r="4292" ht="15.75" customHeight="1">
      <c r="A4292" s="2" t="s">
        <v>4292</v>
      </c>
      <c r="B4292" s="2" t="str">
        <f>IFERROR(__xludf.DUMMYFUNCTION("GOOGLETRANSLATE(A4292, ""en"", ""mt"")"),"Filantropija")</f>
        <v>Filantropija</v>
      </c>
    </row>
    <row r="4293" ht="15.75" customHeight="1">
      <c r="A4293" s="2" t="s">
        <v>4293</v>
      </c>
      <c r="B4293" s="2" t="str">
        <f>IFERROR(__xludf.DUMMYFUNCTION("GOOGLETRANSLATE(A4293, ""en"", ""mt"")"),"serje ta 'strajkijiet")</f>
        <v>serje ta 'strajkijiet</v>
      </c>
    </row>
    <row r="4294" ht="15.75" customHeight="1">
      <c r="A4294" s="2" t="s">
        <v>4294</v>
      </c>
      <c r="B4294" s="2" t="str">
        <f>IFERROR(__xludf.DUMMYFUNCTION("GOOGLETRANSLATE(A4294, ""en"", ""mt"")"),"Kull ammont kbir minnu jista 'jdgħajjef il-liġi")</f>
        <v>Kull ammont kbir minnu jista 'jdgħajjef il-liġi</v>
      </c>
    </row>
    <row r="4295" ht="15.75" customHeight="1">
      <c r="A4295" s="2" t="s">
        <v>4295</v>
      </c>
      <c r="B4295" s="2" t="str">
        <f>IFERROR(__xludf.DUMMYFUNCTION("GOOGLETRANSLATE(A4295, ""en"", ""mt"")"),"Sandwich, faversham u maidstone")</f>
        <v>Sandwich, faversham u maidstone</v>
      </c>
    </row>
    <row r="4296" ht="15.75" customHeight="1">
      <c r="A4296" s="2" t="s">
        <v>4296</v>
      </c>
      <c r="B4296" s="2" t="str">
        <f>IFERROR(__xludf.DUMMYFUNCTION("GOOGLETRANSLATE(A4296, ""en"", ""mt"")"),"Sonderungsverbot")</f>
        <v>Sonderungsverbot</v>
      </c>
    </row>
    <row r="4297" ht="15.75" customHeight="1">
      <c r="A4297" s="2" t="s">
        <v>4297</v>
      </c>
      <c r="B4297" s="2" t="str">
        <f>IFERROR(__xludf.DUMMYFUNCTION("GOOGLETRANSLATE(A4297, ""en"", ""mt"")"),"Sekwenzi tal-fossili")</f>
        <v>Sekwenzi tal-fossili</v>
      </c>
    </row>
    <row r="4298" ht="15.75" customHeight="1">
      <c r="A4298" s="2" t="s">
        <v>4298</v>
      </c>
      <c r="B4298" s="2" t="str">
        <f>IFERROR(__xludf.DUMMYFUNCTION("GOOGLETRANSLATE(A4298, ""en"", ""mt"")"),"Liema grupp ta 'diżubbidjenti ċivili ġab il-mediċina fl-Iraq mingħajr il-permess tal-gvern?")</f>
        <v>Liema grupp ta 'diżubbidjenti ċivili ġab il-mediċina fl-Iraq mingħajr il-permess tal-gvern?</v>
      </c>
    </row>
    <row r="4299" ht="15.75" customHeight="1">
      <c r="A4299" s="2" t="s">
        <v>4299</v>
      </c>
      <c r="B4299" s="2" t="str">
        <f>IFERROR(__xludf.DUMMYFUNCTION("GOOGLETRANSLATE(A4299, ""en"", ""mt"")"),"Kif miet Yesun Temur")</f>
        <v>Kif miet Yesun Temur</v>
      </c>
    </row>
    <row r="4300" ht="15.75" customHeight="1">
      <c r="A4300" s="2" t="s">
        <v>4300</v>
      </c>
      <c r="B4300" s="2" t="str">
        <f>IFERROR(__xludf.DUMMYFUNCTION("GOOGLETRANSLATE(A4300, ""en"", ""mt"")"),"It-teoremi tal-ġerarkija tal-ħin u tal-ispazju jiffurmaw il-bażi għall-biċċa l-kbira tar-riżultati tas-separazzjoni tal-klassijiet tal-kumplessità. Pereżempju, it-teorema tal-ġerarkija tal-ħin tgħidilna li P tinsab strettament fl-eżptime, u t-teorema tal-"&amp;"ġerarkija spazjali tgħidilna li L hija strettament tinsab fi PSPACE.")</f>
        <v>It-teoremi tal-ġerarkija tal-ħin u tal-ispazju jiffurmaw il-bażi għall-biċċa l-kbira tar-riżultati tas-separazzjoni tal-klassijiet tal-kumplessità. Pereżempju, it-teorema tal-ġerarkija tal-ħin tgħidilna li P tinsab strettament fl-eżptime, u t-teorema tal-ġerarkija spazjali tgħidilna li L hija strettament tinsab fi PSPACE.</v>
      </c>
    </row>
    <row r="4301" ht="15.75" customHeight="1">
      <c r="A4301" s="2" t="s">
        <v>4301</v>
      </c>
      <c r="B4301" s="2" t="str">
        <f>IFERROR(__xludf.DUMMYFUNCTION("GOOGLETRANSLATE(A4301, ""en"", ""mt"")"),"Albarellos mis-sekli 16 u 17, kotba ta ’preskrizzjoni qodma u drogi antiki")</f>
        <v>Albarellos mis-sekli 16 u 17, kotba ta ’preskrizzjoni qodma u drogi antiki</v>
      </c>
    </row>
    <row r="4302" ht="15.75" customHeight="1">
      <c r="A4302" s="2" t="s">
        <v>4302</v>
      </c>
      <c r="B4302" s="2" t="str">
        <f>IFERROR(__xludf.DUMMYFUNCTION("GOOGLETRANSLATE(A4302, ""en"", ""mt"")"),"Ħsarat Ingliżi fl-Amerika ta ’Fuq")</f>
        <v>Ħsarat Ingliżi fl-Amerika ta ’Fuq</v>
      </c>
    </row>
    <row r="4303" ht="15.75" customHeight="1">
      <c r="A4303" s="2" t="s">
        <v>4303</v>
      </c>
      <c r="B4303" s="2" t="str">
        <f>IFERROR(__xludf.DUMMYFUNCTION("GOOGLETRANSLATE(A4303, ""en"", ""mt"")")," Liema belt moderna ma saretx Khanbaliq?")</f>
        <v> Liema belt moderna ma saretx Khanbaliq?</v>
      </c>
    </row>
    <row r="4304" ht="15.75" customHeight="1">
      <c r="A4304" s="2" t="s">
        <v>4304</v>
      </c>
      <c r="B4304" s="2" t="str">
        <f>IFERROR(__xludf.DUMMYFUNCTION("GOOGLETRANSLATE(A4304, ""en"", ""mt"")"),"L-attivitajiet ta 'min kienu l-Franċiżi kapaċi jiksbu għarfien dwarhom?")</f>
        <v>L-attivitajiet ta 'min kienu l-Franċiżi kapaċi jiksbu għarfien dwarhom?</v>
      </c>
    </row>
    <row r="4305" ht="15.75" customHeight="1">
      <c r="A4305" s="2" t="s">
        <v>4305</v>
      </c>
      <c r="B4305" s="2" t="str">
        <f>IFERROR(__xludf.DUMMYFUNCTION("GOOGLETRANSLATE(A4305, ""en"", ""mt"")"),"Min xeħet Hagen fix-xmara?")</f>
        <v>Min xeħet Hagen fix-xmara?</v>
      </c>
    </row>
    <row r="4306" ht="15.75" customHeight="1">
      <c r="A4306" s="2" t="s">
        <v>4306</v>
      </c>
      <c r="B4306" s="2" t="str">
        <f>IFERROR(__xludf.DUMMYFUNCTION("GOOGLETRANSLATE(A4306, ""en"", ""mt"")")," X'ifisser ""Di Yuan Shi""?")</f>
        <v> X'ifisser "Di Yuan Shi"?</v>
      </c>
    </row>
    <row r="4307" ht="15.75" customHeight="1">
      <c r="A4307" s="2" t="s">
        <v>4307</v>
      </c>
      <c r="B4307" s="2" t="str">
        <f>IFERROR(__xludf.DUMMYFUNCTION("GOOGLETRANSLATE(A4307, ""en"", ""mt"")"),"Distretti tan-Negozju Ċentrali")</f>
        <v>Distretti tan-Negozju Ċentrali</v>
      </c>
    </row>
    <row r="4308" ht="15.75" customHeight="1">
      <c r="A4308" s="2" t="s">
        <v>4308</v>
      </c>
      <c r="B4308" s="2" t="str">
        <f>IFERROR(__xludf.DUMMYFUNCTION("GOOGLETRANSLATE(A4308, ""en"", ""mt"")"),"ossiġnu u idroġenu")</f>
        <v>ossiġnu u idroġenu</v>
      </c>
    </row>
    <row r="4309" ht="15.75" customHeight="1">
      <c r="A4309" s="2" t="s">
        <v>4309</v>
      </c>
      <c r="B4309" s="2" t="str">
        <f>IFERROR(__xludf.DUMMYFUNCTION("GOOGLETRANSLATE(A4309, ""en"", ""mt"")"),"sentenzi sospiżi")</f>
        <v>sentenzi sospiżi</v>
      </c>
    </row>
    <row r="4310" ht="15.75" customHeight="1">
      <c r="A4310" s="2" t="s">
        <v>4310</v>
      </c>
      <c r="B4310" s="2" t="str">
        <f>IFERROR(__xludf.DUMMYFUNCTION("GOOGLETRANSLATE(A4310, ""en"", ""mt"")"),"X'inhuma t-tribujiet li jitkellmu bil-Siouan?")</f>
        <v>X'inhuma t-tribujiet li jitkellmu bil-Siouan?</v>
      </c>
    </row>
    <row r="4311" ht="15.75" customHeight="1">
      <c r="A4311" s="2" t="s">
        <v>4311</v>
      </c>
      <c r="B4311" s="2" t="str">
        <f>IFERROR(__xludf.DUMMYFUNCTION("GOOGLETRANSLATE(A4311, ""en"", ""mt"")"),"L-Amazon tirrappreżenta aktar minn nofs il-foresti tropikali li fadal tal-pjaneta")</f>
        <v>L-Amazon tirrappreżenta aktar minn nofs il-foresti tropikali li fadal tal-pjaneta</v>
      </c>
    </row>
    <row r="4312" ht="15.75" customHeight="1">
      <c r="A4312" s="2" t="s">
        <v>4312</v>
      </c>
      <c r="B4312" s="2" t="str">
        <f>IFERROR(__xludf.DUMMYFUNCTION("GOOGLETRANSLATE(A4312, ""en"", ""mt"")"),"Enrique Pérez de Guzmán")</f>
        <v>Enrique Pérez de Guzmán</v>
      </c>
    </row>
    <row r="4313" ht="15.75" customHeight="1">
      <c r="A4313" s="2" t="s">
        <v>4313</v>
      </c>
      <c r="B4313" s="2" t="str">
        <f>IFERROR(__xludf.DUMMYFUNCTION("GOOGLETRANSLATE(A4313, ""en"", ""mt"")"),"Fuq xiex kien jiddependi l-mekkaniżmu tal-pesta bubonika?")</f>
        <v>Fuq xiex kien jiddependi l-mekkaniżmu tal-pesta bubonika?</v>
      </c>
    </row>
    <row r="4314" ht="15.75" customHeight="1">
      <c r="A4314" s="2" t="s">
        <v>4314</v>
      </c>
      <c r="B4314" s="2" t="str">
        <f>IFERROR(__xludf.DUMMYFUNCTION("GOOGLETRANSLATE(A4314, ""en"", ""mt"")"),"X'jistgħu jipproduċu l-forom reattivi ta 'ossiġnu fl-organiżmi?")</f>
        <v>X'jistgħu jipproduċu l-forom reattivi ta 'ossiġnu fl-organiżmi?</v>
      </c>
    </row>
    <row r="4315" ht="15.75" customHeight="1">
      <c r="A4315" s="2" t="s">
        <v>4315</v>
      </c>
      <c r="B4315" s="2" t="str">
        <f>IFERROR(__xludf.DUMMYFUNCTION("GOOGLETRANSLATE(A4315, ""en"", ""mt"")"),"Meta l-istudenti tal-Kulleġġ Shimer tħallew jittrasferixxu fl-Università ta ’Chicago?")</f>
        <v>Meta l-istudenti tal-Kulleġġ Shimer tħallew jittrasferixxu fl-Università ta ’Chicago?</v>
      </c>
    </row>
    <row r="4316" ht="15.75" customHeight="1">
      <c r="A4316" s="2" t="s">
        <v>4316</v>
      </c>
      <c r="B4316" s="2" t="str">
        <f>IFERROR(__xludf.DUMMYFUNCTION("GOOGLETRANSLATE(A4316, ""en"", ""mt"")"),"aktar attiva u għex itwal waqt li tieħu n-nifs")</f>
        <v>aktar attiva u għex itwal waqt li tieħu n-nifs</v>
      </c>
    </row>
    <row r="4317" ht="15.75" customHeight="1">
      <c r="A4317" s="2" t="s">
        <v>4317</v>
      </c>
      <c r="B4317" s="2" t="str">
        <f>IFERROR(__xludf.DUMMYFUNCTION("GOOGLETRANSLATE(A4317, ""en"", ""mt"")"),"X'tip ta 'pajsaġġi minbarra pajsaġġi ta' ekosistema ġeoloġika u naturali jistgħu jinstabu fin-Nofsinhar ta 'California?")</f>
        <v>X'tip ta 'pajsaġġi minbarra pajsaġġi ta' ekosistema ġeoloġika u naturali jistgħu jinstabu fin-Nofsinhar ta 'California?</v>
      </c>
    </row>
    <row r="4318" ht="15.75" customHeight="1">
      <c r="A4318" s="2" t="s">
        <v>4318</v>
      </c>
      <c r="B4318" s="2" t="str">
        <f>IFERROR(__xludf.DUMMYFUNCTION("GOOGLETRANSLATE(A4318, ""en"", ""mt"")"),"Santa Eliżabetta")</f>
        <v>Santa Eliżabetta</v>
      </c>
    </row>
    <row r="4319" ht="15.75" customHeight="1">
      <c r="A4319" s="2" t="s">
        <v>4319</v>
      </c>
      <c r="B4319" s="2" t="str">
        <f>IFERROR(__xludf.DUMMYFUNCTION("GOOGLETRANSLATE(A4319, ""en"", ""mt"")"),"X'tip ta 'magna tal-fwar m'għandhiex bżonn valvi biex tidderieġi l-magni?")</f>
        <v>X'tip ta 'magna tal-fwar m'għandhiex bżonn valvi biex tidderieġi l-magni?</v>
      </c>
    </row>
    <row r="4320" ht="15.75" customHeight="1">
      <c r="A4320" s="2" t="s">
        <v>4320</v>
      </c>
      <c r="B4320" s="2" t="str">
        <f>IFERROR(__xludf.DUMMYFUNCTION("GOOGLETRANSLATE(A4320, ""en"", ""mt"")"),"Xi jfisser rapport taċ-Ċensiment tal-Istati Uniti li anke wara fatturi oħra għad hemm dan bejn il-qligħ tal-irġiel u n-nisa?")</f>
        <v>Xi jfisser rapport taċ-Ċensiment tal-Istati Uniti li anke wara fatturi oħra għad hemm dan bejn il-qligħ tal-irġiel u n-nisa?</v>
      </c>
    </row>
    <row r="4321" ht="15.75" customHeight="1">
      <c r="A4321" s="2" t="s">
        <v>4321</v>
      </c>
      <c r="B4321" s="2" t="str">
        <f>IFERROR(__xludf.DUMMYFUNCTION("GOOGLETRANSLATE(A4321, ""en"", ""mt"")"),"tliet mitt sena")</f>
        <v>tliet mitt sena</v>
      </c>
    </row>
    <row r="4322" ht="15.75" customHeight="1">
      <c r="A4322" s="2" t="s">
        <v>4322</v>
      </c>
      <c r="B4322" s="2" t="str">
        <f>IFERROR(__xludf.DUMMYFUNCTION("GOOGLETRANSLATE(A4322, ""en"", ""mt"")")," X'ġara mill-kredibilità tal-politika sekulari bħala riżultat tal-gwerra ta 'tmien ijiem?")</f>
        <v> X'ġara mill-kredibilità tal-politika sekulari bħala riżultat tal-gwerra ta 'tmien ijiem?</v>
      </c>
    </row>
    <row r="4323" ht="15.75" customHeight="1">
      <c r="A4323" s="2" t="s">
        <v>4323</v>
      </c>
      <c r="B4323" s="2" t="str">
        <f>IFERROR(__xludf.DUMMYFUNCTION("GOOGLETRANSLATE(A4323, ""en"", ""mt"")"),"Min ipprovda diskussjoni dwar il-kunċett ta 'żmien bħala parti integrali tal-kosmoloġija Aristoteljana?")</f>
        <v>Min ipprovda diskussjoni dwar il-kunċett ta 'żmien bħala parti integrali tal-kosmoloġija Aristoteljana?</v>
      </c>
    </row>
    <row r="4324" ht="15.75" customHeight="1">
      <c r="A4324" s="2" t="s">
        <v>4324</v>
      </c>
      <c r="B4324" s="2" t="str">
        <f>IFERROR(__xludf.DUMMYFUNCTION("GOOGLETRANSLATE(A4324, ""en"", ""mt"")"),"ilma baħar")</f>
        <v>ilma baħar</v>
      </c>
    </row>
    <row r="4325" ht="15.75" customHeight="1">
      <c r="A4325" s="2" t="s">
        <v>4325</v>
      </c>
      <c r="B4325" s="2" t="str">
        <f>IFERROR(__xludf.DUMMYFUNCTION("GOOGLETRANSLATE(A4325, ""en"", ""mt"")"),"Kublai reġa 'rrifjuta l-moviment tal-kapitali Mongolja minn Karakorum fil-Mongolja għal Khanbaliq fl-1264, billi bena belt ġdida qrib il-kapital ta' Jurchen Zhongdu, issa moderna ta 'Beijing, fl-1266. Fl-1271, Kublai formalment iddikjara l-mandat tas-sema"&amp;" u ddikjara li 1272 kien L-ewwel sena tal-Yuan il-Kbir (Ċiniż: 大 大) fl-istil ta 'dinastija Ċiniża tradizzjonali. L-isem tad-dinastija oriġina mill-I Ching u jiddeskrivi l- ""oriġini tal-univers"" jew ""forza primarja"". Kublai ipproklama Khanbaliq il- ""k"&amp;"apitali kbira"" jew daidu (Dadu, Ċiniż: 大都 biċ-Ċiniż) tad-dinastija. L-isem tal-era nbidel għal Zhiyuan għal Herald era ġdida tal-istorja Ċiniża. L-adozzjoni ta 'isem dinastiku leġittimizzat regola Mongoljana billi tintegra l-gvern fin-narrattiva tas-suċċ"&amp;"essjoni politika tradizzjonali Ċiniża. Khublai evoka l-immaġni pubblika tiegħu bħala imperatur tas-salvja billi segwa r-ritwali tal-propjetà Confucian u l-venerazzjoni tal-antenati, filwaqt li fl-istess ħin żamm l-għeruq tiegħu bħala mexxej mill-Steppes.")</f>
        <v>Kublai reġa 'rrifjuta l-moviment tal-kapitali Mongolja minn Karakorum fil-Mongolja għal Khanbaliq fl-1264, billi bena belt ġdida qrib il-kapital ta' Jurchen Zhongdu, issa moderna ta 'Beijing, fl-1266. Fl-1271, Kublai formalment iddikjara l-mandat tas-sema u ddikjara li 1272 kien L-ewwel sena tal-Yuan il-Kbir (Ċiniż: 大 大) fl-istil ta 'dinastija Ċiniża tradizzjonali. L-isem tad-dinastija oriġina mill-I Ching u jiddeskrivi l- "oriġini tal-univers" jew "forza primarja". Kublai ipproklama Khanbaliq il- "kapitali kbira" jew daidu (Dadu, Ċiniż: 大都 biċ-Ċiniż) tad-dinastija. L-isem tal-era nbidel għal Zhiyuan għal Herald era ġdida tal-istorja Ċiniża. L-adozzjoni ta 'isem dinastiku leġittimizzat regola Mongoljana billi tintegra l-gvern fin-narrattiva tas-suċċessjoni politika tradizzjonali Ċiniża. Khublai evoka l-immaġni pubblika tiegħu bħala imperatur tas-salvja billi segwa r-ritwali tal-propjetà Confucian u l-venerazzjoni tal-antenati, filwaqt li fl-istess ħin żamm l-għeruq tiegħu bħala mexxej mill-Steppes.</v>
      </c>
    </row>
    <row r="4326" ht="15.75" customHeight="1">
      <c r="A4326" s="2" t="s">
        <v>4326</v>
      </c>
      <c r="B4326" s="2" t="str">
        <f>IFERROR(__xludf.DUMMYFUNCTION("GOOGLETRANSLATE(A4326, ""en"", ""mt"")"),"Dak li jżomm it-teorija tal-konfini tat-trasformazzjoni?")</f>
        <v>Dak li jżomm it-teorija tal-konfini tat-trasformazzjoni?</v>
      </c>
    </row>
    <row r="4327" ht="15.75" customHeight="1">
      <c r="A4327" s="2" t="s">
        <v>4327</v>
      </c>
      <c r="B4327" s="2" t="str">
        <f>IFERROR(__xludf.DUMMYFUNCTION("GOOGLETRANSLATE(A4327, ""en"", ""mt"")"),"Liema entità żviluppat il-prinċipji tal-liġi tal-Unjoni Ewropea?")</f>
        <v>Liema entità żviluppat il-prinċipji tal-liġi tal-Unjoni Ewropea?</v>
      </c>
    </row>
    <row r="4328" ht="15.75" customHeight="1">
      <c r="A4328" s="2" t="s">
        <v>4328</v>
      </c>
      <c r="B4328" s="2" t="str">
        <f>IFERROR(__xludf.DUMMYFUNCTION("GOOGLETRANSLATE(A4328, ""en"", ""mt"")"),"Kemm trab jiġi minfuħ fis-sonar kull sena")</f>
        <v>Kemm trab jiġi minfuħ fis-sonar kull sena</v>
      </c>
    </row>
    <row r="4329" ht="15.75" customHeight="1">
      <c r="A4329" s="2" t="s">
        <v>4329</v>
      </c>
      <c r="B4329" s="2" t="str">
        <f>IFERROR(__xludf.DUMMYFUNCTION("GOOGLETRANSLATE(A4329, ""en"", ""mt"")"),"X'inhu l-isem ta 'kontinwazzjoni impressjonanti tat-test tal-primalità Carmichael?")</f>
        <v>X'inhu l-isem ta 'kontinwazzjoni impressjonanti tat-test tal-primalità Carmichael?</v>
      </c>
    </row>
    <row r="4330" ht="15.75" customHeight="1">
      <c r="A4330" s="2" t="s">
        <v>4330</v>
      </c>
      <c r="B4330" s="2" t="str">
        <f>IFERROR(__xludf.DUMMYFUNCTION("GOOGLETRANSLATE(A4330, ""en"", ""mt"")"),"1702 u 1709")</f>
        <v>1702 u 1709</v>
      </c>
    </row>
    <row r="4331" ht="15.75" customHeight="1">
      <c r="A4331" s="2" t="s">
        <v>4331</v>
      </c>
      <c r="B4331" s="2" t="str">
        <f>IFERROR(__xludf.DUMMYFUNCTION("GOOGLETRANSLATE(A4331, ""en"", ""mt"")"),"160 kPa (madwar 1.6 atm)")</f>
        <v>160 kPa (madwar 1.6 atm)</v>
      </c>
    </row>
    <row r="4332" ht="15.75" customHeight="1">
      <c r="A4332" s="2" t="s">
        <v>4332</v>
      </c>
      <c r="B4332" s="2" t="str">
        <f>IFERROR(__xludf.DUMMYFUNCTION("GOOGLETRANSLATE(A4332, ""en"", ""mt"")"),"il-Welsh")</f>
        <v>il-Welsh</v>
      </c>
    </row>
    <row r="4333" ht="15.75" customHeight="1">
      <c r="A4333" s="2" t="s">
        <v>4333</v>
      </c>
      <c r="B4333" s="2" t="str">
        <f>IFERROR(__xludf.DUMMYFUNCTION("GOOGLETRANSLATE(A4333, ""en"", ""mt"")"),"Richard Wilkinson u Kate Pickett")</f>
        <v>Richard Wilkinson u Kate Pickett</v>
      </c>
    </row>
    <row r="4334" ht="15.75" customHeight="1">
      <c r="A4334" s="2" t="s">
        <v>4334</v>
      </c>
      <c r="B4334" s="2" t="str">
        <f>IFERROR(__xludf.DUMMYFUNCTION("GOOGLETRANSLATE(A4334, ""en"", ""mt"")"),"X’ħeġġeġ l-iskambju kulturali taħt il-wan?")</f>
        <v>X’ħeġġeġ l-iskambju kulturali taħt il-wan?</v>
      </c>
    </row>
    <row r="4335" ht="15.75" customHeight="1">
      <c r="A4335" s="2" t="s">
        <v>4335</v>
      </c>
      <c r="B4335" s="2" t="str">
        <f>IFERROR(__xludf.DUMMYFUNCTION("GOOGLETRANSLATE(A4335, ""en"", ""mt"")"),"X'inhu l-qligħ potenzjali għal xogħol fejn hemm ftit ħaddiema tas-sengħa imma ħafna pożizzjonijiet disponibbli?")</f>
        <v>X'inhu l-qligħ potenzjali għal xogħol fejn hemm ftit ħaddiema tas-sengħa imma ħafna pożizzjonijiet disponibbli?</v>
      </c>
    </row>
    <row r="4336" ht="15.75" customHeight="1">
      <c r="A4336" s="2" t="s">
        <v>4336</v>
      </c>
      <c r="B4336" s="2" t="str">
        <f>IFERROR(__xludf.DUMMYFUNCTION("GOOGLETRANSLATE(A4336, ""en"", ""mt"")"),"PTT Telecom Olandiż")</f>
        <v>PTT Telecom Olandiż</v>
      </c>
    </row>
    <row r="4337" ht="15.75" customHeight="1">
      <c r="A4337" s="2" t="s">
        <v>4337</v>
      </c>
      <c r="B4337" s="2" t="str">
        <f>IFERROR(__xludf.DUMMYFUNCTION("GOOGLETRANSLATE(A4337, ""en"", ""mt"")"),"Ċelloli T qattiel")</f>
        <v>Ċelloli T qattiel</v>
      </c>
    </row>
    <row r="4338" ht="15.75" customHeight="1">
      <c r="A4338" s="2" t="s">
        <v>4338</v>
      </c>
      <c r="B4338" s="2" t="str">
        <f>IFERROR(__xludf.DUMMYFUNCTION("GOOGLETRANSLATE(A4338, ""en"", ""mt"")"),"X'inhi l-iktar karatteristika distintiva ta 'Ctenophora?")</f>
        <v>X'inhi l-iktar karatteristika distintiva ta 'Ctenophora?</v>
      </c>
    </row>
    <row r="4339" ht="15.75" customHeight="1">
      <c r="A4339" s="2" t="s">
        <v>4339</v>
      </c>
      <c r="B4339" s="2" t="str">
        <f>IFERROR(__xludf.DUMMYFUNCTION("GOOGLETRANSLATE(A4339, ""en"", ""mt"")"),"Liema implikazzjoni ma tistax tiġi derivata għal P u NP hija p u ko-NP huma stabbiliti li huma inugwali?")</f>
        <v>Liema implikazzjoni ma tistax tiġi derivata għal P u NP hija p u ko-NP huma stabbiliti li huma inugwali?</v>
      </c>
    </row>
    <row r="4340" ht="15.75" customHeight="1">
      <c r="A4340" s="2" t="s">
        <v>4340</v>
      </c>
      <c r="B4340" s="2" t="str">
        <f>IFERROR(__xludf.DUMMYFUNCTION("GOOGLETRANSLATE(A4340, ""en"", ""mt"")"),"X'se jiskadi l-liċenzja biex tibni dan it-tip ta 'karozza fl-1995?")</f>
        <v>X'se jiskadi l-liċenzja biex tibni dan it-tip ta 'karozza fl-1995?</v>
      </c>
    </row>
    <row r="4341" ht="15.75" customHeight="1">
      <c r="A4341" s="2" t="s">
        <v>4341</v>
      </c>
      <c r="B4341" s="2" t="str">
        <f>IFERROR(__xludf.DUMMYFUNCTION("GOOGLETRANSLATE(A4341, ""en"", ""mt"")"),"Liema konġettura żżomm li kull numru sħiħ n akbar minn 2 jista 'jiġi espress bħala somma ta' żewġ primes?")</f>
        <v>Liema konġettura żżomm li kull numru sħiħ n akbar minn 2 jista 'jiġi espress bħala somma ta' żewġ primes?</v>
      </c>
    </row>
    <row r="4342" ht="15.75" customHeight="1">
      <c r="A4342" s="2" t="s">
        <v>4342</v>
      </c>
      <c r="B4342" s="2" t="str">
        <f>IFERROR(__xludf.DUMMYFUNCTION("GOOGLETRANSLATE(A4342, ""en"", ""mt"")"),"Xi tfisser VriScovci fil-Pollakk?")</f>
        <v>Xi tfisser VriScovci fil-Pollakk?</v>
      </c>
    </row>
    <row r="4343" ht="15.75" customHeight="1">
      <c r="A4343" s="2" t="s">
        <v>4343</v>
      </c>
      <c r="B4343" s="2" t="str">
        <f>IFERROR(__xludf.DUMMYFUNCTION("GOOGLETRANSLATE(A4343, ""en"", ""mt"")"),"Msp")</f>
        <v>Msp</v>
      </c>
    </row>
    <row r="4344" ht="15.75" customHeight="1">
      <c r="A4344" s="2" t="s">
        <v>4344</v>
      </c>
      <c r="B4344" s="2" t="str">
        <f>IFERROR(__xludf.DUMMYFUNCTION("GOOGLETRANSLATE(A4344, ""en"", ""mt"")"),"Min kien wieħed mill-aktar nies famużi li twieldu f'Varsavja?")</f>
        <v>Min kien wieħed mill-aktar nies famużi li twieldu f'Varsavja?</v>
      </c>
    </row>
    <row r="4345" ht="15.75" customHeight="1">
      <c r="A4345" s="2" t="s">
        <v>4345</v>
      </c>
      <c r="B4345" s="2" t="str">
        <f>IFERROR(__xludf.DUMMYFUNCTION("GOOGLETRANSLATE(A4345, ""en"", ""mt"")"),"Fejn kienet il-post tar-rivoluzzjoni tal-warda tal-2003?")</f>
        <v>Fejn kienet il-post tar-rivoluzzjoni tal-warda tal-2003?</v>
      </c>
    </row>
    <row r="4346" ht="15.75" customHeight="1">
      <c r="A4346" s="2" t="s">
        <v>4346</v>
      </c>
      <c r="B4346" s="2" t="str">
        <f>IFERROR(__xludf.DUMMYFUNCTION("GOOGLETRANSLATE(A4346, ""en"", ""mt"")"),"X'inhu l-għan tal-approċċ tal-inkapabilitajiet?")</f>
        <v>X'inhu l-għan tal-approċċ tal-inkapabilitajiet?</v>
      </c>
    </row>
    <row r="4347" ht="15.75" customHeight="1">
      <c r="A4347" s="2" t="s">
        <v>4347</v>
      </c>
      <c r="B4347" s="2" t="str">
        <f>IFERROR(__xludf.DUMMYFUNCTION("GOOGLETRANSLATE(A4347, ""en"", ""mt"")"),"X’għamel Basset qabel ma wasal għall-konklużjonijiet tiegħu?")</f>
        <v>X’għamel Basset qabel ma wasal għall-konklużjonijiet tiegħu?</v>
      </c>
    </row>
    <row r="4348" ht="15.75" customHeight="1">
      <c r="A4348" s="2" t="s">
        <v>4348</v>
      </c>
      <c r="B4348" s="2" t="str">
        <f>IFERROR(__xludf.DUMMYFUNCTION("GOOGLETRANSLATE(A4348, ""en"", ""mt"")"),"Newton")</f>
        <v>Newton</v>
      </c>
    </row>
    <row r="4349" ht="15.75" customHeight="1">
      <c r="A4349" s="2" t="s">
        <v>4349</v>
      </c>
      <c r="B4349" s="2" t="str">
        <f>IFERROR(__xludf.DUMMYFUNCTION("GOOGLETRANSLATE(A4349, ""en"", ""mt"")"),"Frez-Noh")</f>
        <v>Frez-Noh</v>
      </c>
    </row>
    <row r="4350" ht="15.75" customHeight="1">
      <c r="A4350" s="2" t="s">
        <v>4350</v>
      </c>
      <c r="B4350" s="2" t="str">
        <f>IFERROR(__xludf.DUMMYFUNCTION("GOOGLETRANSLATE(A4350, ""en"", ""mt"")"),"Hemm fruntiera approssimattiva bejn l-Isvizzera u liema pajjiż ieħor iffurmat mir-Renu?")</f>
        <v>Hemm fruntiera approssimattiva bejn l-Isvizzera u liema pajjiż ieħor iffurmat mir-Renu?</v>
      </c>
    </row>
    <row r="4351" ht="15.75" customHeight="1">
      <c r="A4351" s="2" t="s">
        <v>4351</v>
      </c>
      <c r="B4351" s="2" t="str">
        <f>IFERROR(__xludf.DUMMYFUNCTION("GOOGLETRANSLATE(A4351, ""en"", ""mt"")"),"X'impatt kellu l-moviment tal-edukazzjoni tal-iskola għolja fuq il-pagi tal-ħaddiema tas-sengħa?")</f>
        <v>X'impatt kellu l-moviment tal-edukazzjoni tal-iskola għolja fuq il-pagi tal-ħaddiema tas-sengħa?</v>
      </c>
    </row>
    <row r="4352" ht="15.75" customHeight="1">
      <c r="A4352" s="2" t="s">
        <v>4352</v>
      </c>
      <c r="B4352" s="2" t="str">
        <f>IFERROR(__xludf.DUMMYFUNCTION("GOOGLETRANSLATE(A4352, ""en"", ""mt"")"),"F'liema sena miet Le Roi Huguet?")</f>
        <v>F'liema sena miet Le Roi Huguet?</v>
      </c>
    </row>
    <row r="4353" ht="15.75" customHeight="1">
      <c r="A4353" s="2" t="s">
        <v>4353</v>
      </c>
      <c r="B4353" s="2" t="str">
        <f>IFERROR(__xludf.DUMMYFUNCTION("GOOGLETRANSLATE(A4353, ""en"", ""mt"")"),"Kemm streetcars topera l-Fresno Traction Company fl-1931?")</f>
        <v>Kemm streetcars topera l-Fresno Traction Company fl-1931?</v>
      </c>
    </row>
    <row r="4354" ht="15.75" customHeight="1">
      <c r="A4354" s="2" t="s">
        <v>4354</v>
      </c>
      <c r="B4354" s="2" t="str">
        <f>IFERROR(__xludf.DUMMYFUNCTION("GOOGLETRANSLATE(A4354, ""en"", ""mt"")"),"X'inhu maqsum f'ħames klassijiet?")</f>
        <v>X'inhu maqsum f'ħames klassijiet?</v>
      </c>
    </row>
    <row r="4355" ht="15.75" customHeight="1">
      <c r="A4355" s="2" t="s">
        <v>4355</v>
      </c>
      <c r="B4355" s="2" t="str">
        <f>IFERROR(__xludf.DUMMYFUNCTION("GOOGLETRANSLATE(A4355, ""en"", ""mt"")"),"Meta jsir il-weekend tal-Gallerija ta 'Varsavja?")</f>
        <v>Meta jsir il-weekend tal-Gallerija ta 'Varsavja?</v>
      </c>
    </row>
    <row r="4356" ht="15.75" customHeight="1">
      <c r="A4356" s="2" t="s">
        <v>4356</v>
      </c>
      <c r="B4356" s="2" t="str">
        <f>IFERROR(__xludf.DUMMYFUNCTION("GOOGLETRANSLATE(A4356, ""en"", ""mt"")"),"X'tip ta 'frażi tinsab fit-tramuntana tat-Tehachapis?")</f>
        <v>X'tip ta 'frażi tinsab fit-tramuntana tat-Tehachapis?</v>
      </c>
    </row>
    <row r="4357" ht="15.75" customHeight="1">
      <c r="A4357" s="2" t="s">
        <v>4357</v>
      </c>
      <c r="B4357" s="2" t="str">
        <f>IFERROR(__xludf.DUMMYFUNCTION("GOOGLETRANSLATE(A4357, ""en"", ""mt"")"),"Liema fergħa tal-UE kellha l-inqas ammont ta 'influwenza fuq l-iżvilupp tal-liġi tal-UE?")</f>
        <v>Liema fergħa tal-UE kellha l-inqas ammont ta 'influwenza fuq l-iżvilupp tal-liġi tal-UE?</v>
      </c>
    </row>
    <row r="4358" ht="15.75" customHeight="1">
      <c r="A4358" s="2" t="s">
        <v>4358</v>
      </c>
      <c r="B4358" s="2" t="str">
        <f>IFERROR(__xludf.DUMMYFUNCTION("GOOGLETRANSLATE(A4358, ""en"", ""mt"")"),"Meta saret il-Konvenzjoni Kostituzzjonali Skoċċiża?")</f>
        <v>Meta saret il-Konvenzjoni Kostituzzjonali Skoċċiża?</v>
      </c>
    </row>
    <row r="4359" ht="15.75" customHeight="1">
      <c r="A4359" s="2" t="s">
        <v>4359</v>
      </c>
      <c r="B4359" s="2" t="str">
        <f>IFERROR(__xludf.DUMMYFUNCTION("GOOGLETRANSLATE(A4359, ""en"", ""mt"")"),"Liema funzjonijiet normalment jinsabu mal-ministri tal-gvern tal-Istati Uniti?")</f>
        <v>Liema funzjonijiet normalment jinsabu mal-ministri tal-gvern tal-Istati Uniti?</v>
      </c>
    </row>
    <row r="4360" ht="15.75" customHeight="1">
      <c r="A4360" s="2" t="s">
        <v>4360</v>
      </c>
      <c r="B4360" s="2" t="str">
        <f>IFERROR(__xludf.DUMMYFUNCTION("GOOGLETRANSLATE(A4360, ""en"", ""mt"")"),"ilma baħar")</f>
        <v>ilma baħar</v>
      </c>
    </row>
    <row r="4361" ht="15.75" customHeight="1">
      <c r="A4361" s="2" t="s">
        <v>4361</v>
      </c>
      <c r="B4361" s="2" t="str">
        <f>IFERROR(__xludf.DUMMYFUNCTION("GOOGLETRANSLATE(A4361, ""en"", ""mt"")"),"Adolf Galland")</f>
        <v>Adolf Galland</v>
      </c>
    </row>
    <row r="4362" ht="15.75" customHeight="1">
      <c r="A4362" s="2" t="s">
        <v>4362</v>
      </c>
      <c r="B4362" s="2" t="str">
        <f>IFERROR(__xludf.DUMMYFUNCTION("GOOGLETRANSLATE(A4362, ""en"", ""mt"")"),"X'kienet l-ewwel battalja fl-1745?")</f>
        <v>X'kienet l-ewwel battalja fl-1745?</v>
      </c>
    </row>
    <row r="4363" ht="15.75" customHeight="1">
      <c r="A4363" s="2" t="s">
        <v>4363</v>
      </c>
      <c r="B4363" s="2" t="str">
        <f>IFERROR(__xludf.DUMMYFUNCTION("GOOGLETRANSLATE(A4363, ""en"", ""mt"")"),"Akkademji ta 'Segregazzjoni")</f>
        <v>Akkademji ta 'Segregazzjoni</v>
      </c>
    </row>
    <row r="4364" ht="15.75" customHeight="1">
      <c r="A4364" s="2" t="s">
        <v>4364</v>
      </c>
      <c r="B4364" s="2" t="str">
        <f>IFERROR(__xludf.DUMMYFUNCTION("GOOGLETRANSLATE(A4364, ""en"", ""mt"")"),"Orange, San Diego, Riverside u San Bernardino jiffurmaw erba 'mill-ħames kontej. X'inhu l-isem tal-aħħar kontea?")</f>
        <v>Orange, San Diego, Riverside u San Bernardino jiffurmaw erba 'mill-ħames kontej. X'inhu l-isem tal-aħħar kontea?</v>
      </c>
    </row>
    <row r="4365" ht="15.75" customHeight="1">
      <c r="A4365" s="2" t="s">
        <v>4365</v>
      </c>
      <c r="B4365" s="2" t="str">
        <f>IFERROR(__xludf.DUMMYFUNCTION("GOOGLETRANSLATE(A4365, ""en"", ""mt"")"),"madwar 50% kompożizzjoni ta 'ossiġnu bi pressjoni standard")</f>
        <v>madwar 50% kompożizzjoni ta 'ossiġnu bi pressjoni standard</v>
      </c>
    </row>
    <row r="4366" ht="15.75" customHeight="1">
      <c r="A4366" s="2" t="s">
        <v>4366</v>
      </c>
      <c r="B4366" s="2" t="str">
        <f>IFERROR(__xludf.DUMMYFUNCTION("GOOGLETRANSLATE(A4366, ""en"", ""mt"")"),"Min kien filosfu politiku, matematiku, awtur u wkoll membru tal-fakultà?")</f>
        <v>Min kien filosfu politiku, matematiku, awtur u wkoll membru tal-fakultà?</v>
      </c>
    </row>
    <row r="4367" ht="15.75" customHeight="1">
      <c r="A4367" s="2" t="s">
        <v>4367</v>
      </c>
      <c r="B4367" s="2" t="str">
        <f>IFERROR(__xludf.DUMMYFUNCTION("GOOGLETRANSLATE(A4367, ""en"", ""mt"")"),"X'għamlet l-infrastruttura matul l-aħħar snin?")</f>
        <v>X'għamlet l-infrastruttura matul l-aħħar snin?</v>
      </c>
    </row>
    <row r="4368" ht="15.75" customHeight="1">
      <c r="A4368" s="2" t="s">
        <v>4368</v>
      </c>
      <c r="B4368" s="2" t="str">
        <f>IFERROR(__xludf.DUMMYFUNCTION("GOOGLETRANSLATE(A4368, ""en"", ""mt"")"),"X'kienet l-ewwel battalja fl-1754?")</f>
        <v>X'kienet l-ewwel battalja fl-1754?</v>
      </c>
    </row>
    <row r="4369" ht="15.75" customHeight="1">
      <c r="A4369" s="2" t="s">
        <v>4369</v>
      </c>
      <c r="B4369" s="2" t="str">
        <f>IFERROR(__xludf.DUMMYFUNCTION("GOOGLETRANSLATE(A4369, ""en"", ""mt"")"),"47 ° 39′N 9 ° 19′E / 47.650 ° N 9.317 ° E / 47.650; 9.317")</f>
        <v>47 ° 39′N 9 ° 19′E / 47.650 ° N 9.317 ° E / 47.650; 9.317</v>
      </c>
    </row>
    <row r="4370" ht="15.75" customHeight="1">
      <c r="A4370" s="2" t="s">
        <v>4370</v>
      </c>
      <c r="B4370" s="2" t="str">
        <f>IFERROR(__xludf.DUMMYFUNCTION("GOOGLETRANSLATE(A4370, ""en"", ""mt"")"),"Ministri")</f>
        <v>Ministri</v>
      </c>
    </row>
    <row r="4371" ht="15.75" customHeight="1">
      <c r="A4371" s="2" t="s">
        <v>4371</v>
      </c>
      <c r="B4371" s="2" t="str">
        <f>IFERROR(__xludf.DUMMYFUNCTION("GOOGLETRANSLATE(A4371, ""en"", ""mt"")"),"Dak li qabel kien deskritt mill-ekwazzjoni ta 'Schrodinger?")</f>
        <v>Dak li qabel kien deskritt mill-ekwazzjoni ta 'Schrodinger?</v>
      </c>
    </row>
    <row r="4372" ht="15.75" customHeight="1">
      <c r="A4372" s="2" t="s">
        <v>4372</v>
      </c>
      <c r="B4372" s="2" t="str">
        <f>IFERROR(__xludf.DUMMYFUNCTION("GOOGLETRANSLATE(A4372, ""en"", ""mt"")"),"Liema forma huma wħud mill-bini fil-kumpless tal-Parlament?")</f>
        <v>Liema forma huma wħud mill-bini fil-kumpless tal-Parlament?</v>
      </c>
    </row>
    <row r="4373" ht="15.75" customHeight="1">
      <c r="A4373" s="2" t="s">
        <v>4373</v>
      </c>
      <c r="B4373" s="2" t="str">
        <f>IFERROR(__xludf.DUMMYFUNCTION("GOOGLETRANSLATE(A4373, ""en"", ""mt"")"),"Flimkien ma 'magni tal-baħar u unitajiet industrijali, f'liema magni kienu qed jikkombinaw popolari?")</f>
        <v>Flimkien ma 'magni tal-baħar u unitajiet industrijali, f'liema magni kienu qed jikkombinaw popolari?</v>
      </c>
    </row>
    <row r="4374" ht="15.75" customHeight="1">
      <c r="A4374" s="2" t="s">
        <v>4374</v>
      </c>
      <c r="B4374" s="2" t="str">
        <f>IFERROR(__xludf.DUMMYFUNCTION("GOOGLETRANSLATE(A4374, ""en"", ""mt"")"),"Tettonika tal-pjanċa tista 'titqies bħala l-akkoppjar intimu bejn pjanċi riġidi fuq il-wiċċ tad-dinja u xiex?")</f>
        <v>Tettonika tal-pjanċa tista 'titqies bħala l-akkoppjar intimu bejn pjanċi riġidi fuq il-wiċċ tad-dinja u xiex?</v>
      </c>
    </row>
    <row r="4375" ht="15.75" customHeight="1">
      <c r="A4375" s="2" t="s">
        <v>4375</v>
      </c>
      <c r="B4375" s="2" t="str">
        <f>IFERROR(__xludf.DUMMYFUNCTION("GOOGLETRANSLATE(A4375, ""en"", ""mt"")"),"Bucks Point")</f>
        <v>Bucks Point</v>
      </c>
    </row>
    <row r="4376" ht="15.75" customHeight="1">
      <c r="A4376" s="2" t="s">
        <v>4376</v>
      </c>
      <c r="B4376" s="2" t="str">
        <f>IFERROR(__xludf.DUMMYFUNCTION("GOOGLETRANSLATE(A4376, ""en"", ""mt"")"),"Fl-1973")</f>
        <v>Fl-1973</v>
      </c>
    </row>
    <row r="4377" ht="15.75" customHeight="1">
      <c r="A4377" s="2" t="s">
        <v>4377</v>
      </c>
      <c r="B4377" s="2" t="str">
        <f>IFERROR(__xludf.DUMMYFUNCTION("GOOGLETRANSLATE(A4377, ""en"", ""mt"")"),"X'inhu bejn L u P li jipprevjeni determinazzjoni definittiva tar-relazzjoni bejn L u P?")</f>
        <v>X'inhu bejn L u P li jipprevjeni determinazzjoni definittiva tar-relazzjoni bejn L u P?</v>
      </c>
    </row>
    <row r="4378" ht="15.75" customHeight="1">
      <c r="A4378" s="2" t="s">
        <v>4378</v>
      </c>
      <c r="B4378" s="2" t="str">
        <f>IFERROR(__xludf.DUMMYFUNCTION("GOOGLETRANSLATE(A4378, ""en"", ""mt"")"),"Fuq liema kien il-qgħad persistenti għandu effett negattiv?")</f>
        <v>Fuq liema kien il-qgħad persistenti għandu effett negattiv?</v>
      </c>
    </row>
    <row r="4379" ht="15.75" customHeight="1">
      <c r="A4379" s="2" t="s">
        <v>4379</v>
      </c>
      <c r="B4379" s="2" t="str">
        <f>IFERROR(__xludf.DUMMYFUNCTION("GOOGLETRANSLATE(A4379, ""en"", ""mt"")"),"Liema Liberali rnexxielu lil Joseph Willard bħala President?")</f>
        <v>Liema Liberali rnexxielu lil Joseph Willard bħala President?</v>
      </c>
    </row>
    <row r="4380" ht="15.75" customHeight="1">
      <c r="A4380" s="2" t="s">
        <v>4380</v>
      </c>
      <c r="B4380" s="2" t="str">
        <f>IFERROR(__xludf.DUMMYFUNCTION("GOOGLETRANSLATE(A4380, ""en"", ""mt"")"),"quċċata")</f>
        <v>quċċata</v>
      </c>
    </row>
    <row r="4381" ht="15.75" customHeight="1">
      <c r="A4381" s="2" t="s">
        <v>4381</v>
      </c>
      <c r="B4381" s="2" t="str">
        <f>IFERROR(__xludf.DUMMYFUNCTION("GOOGLETRANSLATE(A4381, ""en"", ""mt"")"),"Ir-Renu jifforma l-fruntiera bejn l-Awstrija u liema pajjiż ieħor?")</f>
        <v>Ir-Renu jifforma l-fruntiera bejn l-Awstrija u liema pajjiż ieħor?</v>
      </c>
    </row>
    <row r="4382" ht="15.75" customHeight="1">
      <c r="A4382" s="2" t="s">
        <v>4382</v>
      </c>
      <c r="B4382" s="2" t="str">
        <f>IFERROR(__xludf.DUMMYFUNCTION("GOOGLETRANSLATE(A4382, ""en"", ""mt"")"),"X’ma jispjegax il-falliment tal-vaċċini dirett lejn il-virus tal-HIV?")</f>
        <v>X’ma jispjegax il-falliment tal-vaċċini dirett lejn il-virus tal-HIV?</v>
      </c>
    </row>
    <row r="4383" ht="15.75" customHeight="1">
      <c r="A4383" s="2" t="s">
        <v>4383</v>
      </c>
      <c r="B4383" s="2" t="str">
        <f>IFERROR(__xludf.DUMMYFUNCTION("GOOGLETRANSLATE(A4383, ""en"", ""mt"")"),"fit-tramuntana")</f>
        <v>fit-tramuntana</v>
      </c>
    </row>
    <row r="4384" ht="15.75" customHeight="1">
      <c r="A4384" s="2" t="s">
        <v>4384</v>
      </c>
      <c r="B4384" s="2" t="str">
        <f>IFERROR(__xludf.DUMMYFUNCTION("GOOGLETRANSLATE(A4384, ""en"", ""mt"")"),"Barra mit-Tramuntana ta 'San Diego, liema reġjun ieħor fih distretti ta' negozju?")</f>
        <v>Barra mit-Tramuntana ta 'San Diego, liema reġjun ieħor fih distretti ta' negozju?</v>
      </c>
    </row>
    <row r="4385" ht="15.75" customHeight="1">
      <c r="A4385" s="2" t="s">
        <v>4385</v>
      </c>
      <c r="B4385" s="2" t="str">
        <f>IFERROR(__xludf.DUMMYFUNCTION("GOOGLETRANSLATE(A4385, ""en"", ""mt"")"),"splussivi fatali")</f>
        <v>splussivi fatali</v>
      </c>
    </row>
    <row r="4386" ht="15.75" customHeight="1">
      <c r="A4386" s="2" t="s">
        <v>4386</v>
      </c>
      <c r="B4386" s="2" t="str">
        <f>IFERROR(__xludf.DUMMYFUNCTION("GOOGLETRANSLATE(A4386, ""en"", ""mt"")"),"Ġeneraturi ta 'ossiġnu kimiku")</f>
        <v>Ġeneraturi ta 'ossiġnu kimiku</v>
      </c>
    </row>
    <row r="4387" ht="15.75" customHeight="1">
      <c r="A4387" s="2" t="s">
        <v>4387</v>
      </c>
      <c r="B4387" s="2" t="str">
        <f>IFERROR(__xludf.DUMMYFUNCTION("GOOGLETRANSLATE(A4387, ""en"", ""mt"")"),"Kemm mill-lag li jgħaqqad mar-Rhine tista 'tara mill-gżejjer Ġermaniżi?")</f>
        <v>Kemm mill-lag li jgħaqqad mar-Rhine tista 'tara mill-gżejjer Ġermaniżi?</v>
      </c>
    </row>
    <row r="4388" ht="15.75" customHeight="1">
      <c r="A4388" s="2" t="s">
        <v>4388</v>
      </c>
      <c r="B4388" s="2" t="str">
        <f>IFERROR(__xludf.DUMMYFUNCTION("GOOGLETRANSLATE(A4388, ""en"", ""mt"")"),"191.766 biljun PLN")</f>
        <v>191.766 biljun PLN</v>
      </c>
    </row>
    <row r="4389" ht="15.75" customHeight="1">
      <c r="A4389" s="2" t="s">
        <v>4389</v>
      </c>
      <c r="B4389" s="2" t="str">
        <f>IFERROR(__xludf.DUMMYFUNCTION("GOOGLETRANSLATE(A4389, ""en"", ""mt"")"),"X.25")</f>
        <v>X.25</v>
      </c>
    </row>
    <row r="4390" ht="15.75" customHeight="1">
      <c r="A4390" s="2" t="s">
        <v>4390</v>
      </c>
      <c r="B4390" s="2" t="str">
        <f>IFERROR(__xludf.DUMMYFUNCTION("GOOGLETRANSLATE(A4390, ""en"", ""mt"")"),"M'hemm l-ebda każ magħruf")</f>
        <v>M'hemm l-ebda każ magħruf</v>
      </c>
    </row>
    <row r="4391" ht="15.75" customHeight="1">
      <c r="A4391" s="2" t="s">
        <v>4391</v>
      </c>
      <c r="B4391" s="2" t="str">
        <f>IFERROR(__xludf.DUMMYFUNCTION("GOOGLETRANSLATE(A4391, ""en"", ""mt"")"),"Fil-Ġappun, fi tmiem il-perjodu ta 'Asuka (538-710) u l-perjodu NARA bikri (710-794), l-irġiel li ssodisfaw ir-rwoli simili għal dawk tal-ispiżjara moderni kienu rispettati ħafna. Il-post tal-ispiżjara fis-soċjetà ġie definit espressament fil-kodiċi Taihō"&amp;" (701) u ddikjarat mill-ġdid fil-kodiċi Yōrō (718). Ġew stabbiliti pożizzjonijiet ikklassifikati fil-qorti imperjali ta 'qabel il-Heian; u din l-istruttura organizzattiva baqgħet fil-biċċa l-kbira intatta sal-Meiji Restawr (1868). F'din il-ġerarkija stabb"&amp;"li ħafna, l-ispiżjara - u anke l-assistenti tal-ispiżjar - ġew assenjati status superjuri għall-oħrajn kollha f'oqsma relatati mas-saħħa bħal tobba u acupuncturists. Fid-dar Imperjali, l-ispiżjar kien saħansitra kklassifikat 'il fuq miż-żewġ tobba persona"&amp;"li tal-Imperatur.")</f>
        <v>Fil-Ġappun, fi tmiem il-perjodu ta 'Asuka (538-710) u l-perjodu NARA bikri (710-794), l-irġiel li ssodisfaw ir-rwoli simili għal dawk tal-ispiżjara moderni kienu rispettati ħafna. Il-post tal-ispiżjara fis-soċjetà ġie definit espressament fil-kodiċi Taihō (701) u ddikjarat mill-ġdid fil-kodiċi Yōrō (718). Ġew stabbiliti pożizzjonijiet ikklassifikati fil-qorti imperjali ta 'qabel il-Heian; u din l-istruttura organizzattiva baqgħet fil-biċċa l-kbira intatta sal-Meiji Restawr (1868). F'din il-ġerarkija stabbli ħafna, l-ispiżjara - u anke l-assistenti tal-ispiżjar - ġew assenjati status superjuri għall-oħrajn kollha f'oqsma relatati mas-saħħa bħal tobba u acupuncturists. Fid-dar Imperjali, l-ispiżjar kien saħansitra kklassifikat 'il fuq miż-żewġ tobba personali tal-Imperatur.</v>
      </c>
    </row>
    <row r="4392" ht="15.75" customHeight="1">
      <c r="A4392" s="2" t="s">
        <v>4392</v>
      </c>
      <c r="B4392" s="2" t="str">
        <f>IFERROR(__xludf.DUMMYFUNCTION("GOOGLETRANSLATE(A4392, ""en"", ""mt"")"),"Min hu l-Kap Eżekuttiv ta 'Microsoft u serva wkoll bħala gvernatur f'NJ?")</f>
        <v>Min hu l-Kap Eżekuttiv ta 'Microsoft u serva wkoll bħala gvernatur f'NJ?</v>
      </c>
    </row>
    <row r="4393" ht="15.75" customHeight="1">
      <c r="A4393" s="2" t="s">
        <v>4393</v>
      </c>
      <c r="B4393" s="2" t="str">
        <f>IFERROR(__xludf.DUMMYFUNCTION("GOOGLETRANSLATE(A4393, ""en"", ""mt"")"),"Liema mil-liġijiet ta 'Newton iddeskrivew ekwazzjoni ta' inerzja rotazzjonali?")</f>
        <v>Liema mil-liġijiet ta 'Newton iddeskrivew ekwazzjoni ta' inerzja rotazzjonali?</v>
      </c>
    </row>
    <row r="4394" ht="15.75" customHeight="1">
      <c r="A4394" s="2" t="s">
        <v>4394</v>
      </c>
      <c r="B4394" s="2" t="str">
        <f>IFERROR(__xludf.DUMMYFUNCTION("GOOGLETRANSLATE(A4394, ""en"", ""mt"")"),"Madwar 2.5 miljun")</f>
        <v>Madwar 2.5 miljun</v>
      </c>
    </row>
    <row r="4395" ht="15.75" customHeight="1">
      <c r="A4395" s="2" t="s">
        <v>4395</v>
      </c>
      <c r="B4395" s="2" t="str">
        <f>IFERROR(__xludf.DUMMYFUNCTION("GOOGLETRANSLATE(A4395, ""en"", ""mt"")"),"1905")</f>
        <v>1905</v>
      </c>
    </row>
    <row r="4396" ht="15.75" customHeight="1">
      <c r="A4396" s="2" t="s">
        <v>4396</v>
      </c>
      <c r="B4396" s="2" t="str">
        <f>IFERROR(__xludf.DUMMYFUNCTION("GOOGLETRANSLATE(A4396, ""en"", ""mt"")"),"Presidenti fil-partit governattiv jintroduċu liema liġijiet?")</f>
        <v>Presidenti fil-partit governattiv jintroduċu liema liġijiet?</v>
      </c>
    </row>
    <row r="4397" ht="15.75" customHeight="1">
      <c r="A4397" s="2" t="s">
        <v>4397</v>
      </c>
      <c r="B4397" s="2" t="str">
        <f>IFERROR(__xludf.DUMMYFUNCTION("GOOGLETRANSLATE(A4397, ""en"", ""mt"")"),"Għalkemm xi Akkadjani marru Franza u destinazzjonijiet oħra, għal liema belt ta 'l-Amerika ta' Fuq ma marretx?")</f>
        <v>Għalkemm xi Akkadjani marru Franza u destinazzjonijiet oħra, għal liema belt ta 'l-Amerika ta' Fuq ma marretx?</v>
      </c>
    </row>
    <row r="4398" ht="15.75" customHeight="1">
      <c r="A4398" s="2" t="s">
        <v>4398</v>
      </c>
      <c r="B4398" s="2" t="str">
        <f>IFERROR(__xludf.DUMMYFUNCTION("GOOGLETRANSLATE(A4398, ""en"", ""mt"")"),"Minn xiex jiddependi l-falliment ta 'patoġen?")</f>
        <v>Minn xiex jiddependi l-falliment ta 'patoġen?</v>
      </c>
    </row>
    <row r="4399" ht="15.75" customHeight="1">
      <c r="A4399" s="2" t="s">
        <v>4399</v>
      </c>
      <c r="B4399" s="2" t="str">
        <f>IFERROR(__xludf.DUMMYFUNCTION("GOOGLETRANSLATE(A4399, ""en"", ""mt"")"),"kinematiku")</f>
        <v>kinematiku</v>
      </c>
    </row>
    <row r="4400" ht="15.75" customHeight="1">
      <c r="A4400" s="2" t="s">
        <v>4400</v>
      </c>
      <c r="B4400" s="2" t="str">
        <f>IFERROR(__xludf.DUMMYFUNCTION("GOOGLETRANSLATE(A4400, ""en"", ""mt"")"),"Rhine Delta")</f>
        <v>Rhine Delta</v>
      </c>
    </row>
    <row r="4401" ht="15.75" customHeight="1">
      <c r="A4401" s="2" t="s">
        <v>4401</v>
      </c>
      <c r="B4401" s="2" t="str">
        <f>IFERROR(__xludf.DUMMYFUNCTION("GOOGLETRANSLATE(A4401, ""en"", ""mt"")"),"X'inhuma t-tliet sorsi tal-liġi tal-Unjoni Amerikana?")</f>
        <v>X'inhuma t-tliet sorsi tal-liġi tal-Unjoni Amerikana?</v>
      </c>
    </row>
    <row r="4402" ht="15.75" customHeight="1">
      <c r="A4402" s="2" t="s">
        <v>4402</v>
      </c>
      <c r="B4402" s="2" t="str">
        <f>IFERROR(__xludf.DUMMYFUNCTION("GOOGLETRANSLATE(A4402, ""en"", ""mt"")"),"Messikan")</f>
        <v>Messikan</v>
      </c>
    </row>
    <row r="4403" ht="15.75" customHeight="1">
      <c r="A4403" s="2" t="s">
        <v>4403</v>
      </c>
      <c r="B4403" s="2" t="str">
        <f>IFERROR(__xludf.DUMMYFUNCTION("GOOGLETRANSLATE(A4403, ""en"", ""mt"")"),"Fil-bini tal-isptar")</f>
        <v>Fil-bini tal-isptar</v>
      </c>
    </row>
    <row r="4404" ht="15.75" customHeight="1">
      <c r="A4404" s="2" t="s">
        <v>4404</v>
      </c>
      <c r="B4404" s="2" t="str">
        <f>IFERROR(__xludf.DUMMYFUNCTION("GOOGLETRANSLATE(A4404, ""en"", ""mt"")"),"Il-Pechenegs, il-Bulgars, u speċjalment it-Torok Seljuk")</f>
        <v>Il-Pechenegs, il-Bulgars, u speċjalment it-Torok Seljuk</v>
      </c>
    </row>
    <row r="4405" ht="15.75" customHeight="1">
      <c r="A4405" s="2" t="s">
        <v>4405</v>
      </c>
      <c r="B4405" s="2" t="str">
        <f>IFERROR(__xludf.DUMMYFUNCTION("GOOGLETRANSLATE(A4405, ""en"", ""mt"")"),"Liema Lords Welsh għamlu William?")</f>
        <v>Liema Lords Welsh għamlu William?</v>
      </c>
    </row>
    <row r="4406" ht="15.75" customHeight="1">
      <c r="A4406" s="2" t="s">
        <v>4406</v>
      </c>
      <c r="B4406" s="2" t="str">
        <f>IFERROR(__xludf.DUMMYFUNCTION("GOOGLETRANSLATE(A4406, ""en"", ""mt"")"),"residenzjali u mhux residenzjali (kummerċjali / istituzzjonali)")</f>
        <v>residenzjali u mhux residenzjali (kummerċjali / istituzzjonali)</v>
      </c>
    </row>
    <row r="4407" ht="15.75" customHeight="1">
      <c r="A4407" s="2" t="s">
        <v>4407</v>
      </c>
      <c r="B4407" s="2" t="str">
        <f>IFERROR(__xludf.DUMMYFUNCTION("GOOGLETRANSLATE(A4407, ""en"", ""mt"")"),"massa tas-sistema")</f>
        <v>massa tas-sistema</v>
      </c>
    </row>
    <row r="4408" ht="15.75" customHeight="1">
      <c r="A4408" s="2" t="s">
        <v>4408</v>
      </c>
      <c r="B4408" s="2" t="str">
        <f>IFERROR(__xludf.DUMMYFUNCTION("GOOGLETRANSLATE(A4408, ""en"", ""mt"")"),"Min mikrija l-Kumpanija Ingliża tal-Indja tal-Lvant?")</f>
        <v>Min mikrija l-Kumpanija Ingliża tal-Indja tal-Lvant?</v>
      </c>
    </row>
    <row r="4409" ht="15.75" customHeight="1">
      <c r="A4409" s="2" t="s">
        <v>4409</v>
      </c>
      <c r="B4409" s="2" t="str">
        <f>IFERROR(__xludf.DUMMYFUNCTION("GOOGLETRANSLATE(A4409, ""en"", ""mt"")"),"Għal liema gauge inbidlu xi linji fit-tramuntana tar-Rabat?")</f>
        <v>Għal liema gauge inbidlu xi linji fit-tramuntana tar-Rabat?</v>
      </c>
    </row>
    <row r="4410" ht="15.75" customHeight="1">
      <c r="A4410" s="2" t="s">
        <v>4410</v>
      </c>
      <c r="B4410" s="2" t="str">
        <f>IFERROR(__xludf.DUMMYFUNCTION("GOOGLETRANSLATE(A4410, ""en"", ""mt"")"),"Ostaklu naturali formidabbli")</f>
        <v>Ostaklu naturali formidabbli</v>
      </c>
    </row>
    <row r="4411" ht="15.75" customHeight="1">
      <c r="A4411" s="2" t="s">
        <v>4411</v>
      </c>
      <c r="B4411" s="2" t="str">
        <f>IFERROR(__xludf.DUMMYFUNCTION("GOOGLETRANSLATE(A4411, ""en"", ""mt"")"),"F'liema grad huwa s-servizz tal-GPS fir-Rabat?")</f>
        <v>F'liema grad huwa s-servizz tal-GPS fir-Rabat?</v>
      </c>
    </row>
    <row r="4412" ht="15.75" customHeight="1">
      <c r="A4412" s="2" t="s">
        <v>4412</v>
      </c>
      <c r="B4412" s="2" t="str">
        <f>IFERROR(__xludf.DUMMYFUNCTION("GOOGLETRANSLATE(A4412, ""en"", ""mt"")"),"id-daqs tal-istanza")</f>
        <v>id-daqs tal-istanza</v>
      </c>
    </row>
    <row r="4413" ht="15.75" customHeight="1">
      <c r="A4413" s="2" t="s">
        <v>4413</v>
      </c>
      <c r="B4413" s="2" t="str">
        <f>IFERROR(__xludf.DUMMYFUNCTION("GOOGLETRANSLATE(A4413, ""en"", ""mt"")")," F'liema kontinent minbarra l-Asja kien magħmul mill-imperu tal-Asja fl-aħħar tas-seklu 19?")</f>
        <v> F'liema kontinent minbarra l-Asja kien magħmul mill-imperu tal-Asja fl-aħħar tas-seklu 19?</v>
      </c>
    </row>
    <row r="4414" ht="15.75" customHeight="1">
      <c r="A4414" s="2" t="s">
        <v>4414</v>
      </c>
      <c r="B4414" s="2" t="str">
        <f>IFERROR(__xludf.DUMMYFUNCTION("GOOGLETRANSLATE(A4414, ""en"", ""mt"")"),"Liema sekli seħħew iż-żminijiet Rumani?")</f>
        <v>Liema sekli seħħew iż-żminijiet Rumani?</v>
      </c>
    </row>
    <row r="4415" ht="15.75" customHeight="1">
      <c r="A4415" s="2" t="s">
        <v>4415</v>
      </c>
      <c r="B4415" s="2" t="str">
        <f>IFERROR(__xludf.DUMMYFUNCTION("GOOGLETRANSLATE(A4415, ""en"", ""mt"")")," Kif kien jidher it-trattament ugwali taċ-Ċiniż kontra l-Mongoli fil-wan?")</f>
        <v> Kif kien jidher it-trattament ugwali taċ-Ċiniż kontra l-Mongoli fil-wan?</v>
      </c>
    </row>
    <row r="4416" ht="15.75" customHeight="1">
      <c r="A4416" s="2" t="s">
        <v>4416</v>
      </c>
      <c r="B4416" s="2" t="str">
        <f>IFERROR(__xludf.DUMMYFUNCTION("GOOGLETRANSLATE(A4416, ""en"", ""mt"")"),"Kampus off-off")</f>
        <v>Kampus off-off</v>
      </c>
    </row>
    <row r="4417" ht="15.75" customHeight="1">
      <c r="A4417" s="2" t="s">
        <v>4417</v>
      </c>
      <c r="B4417" s="2" t="str">
        <f>IFERROR(__xludf.DUMMYFUNCTION("GOOGLETRANSLATE(A4417, ""en"", ""mt"")"),"X'jistgħu jiddependu t-tekniċi tal-ispiżerija fuq inqas u inqas?")</f>
        <v>X'jistgħu jiddependu t-tekniċi tal-ispiżerija fuq inqas u inqas?</v>
      </c>
    </row>
    <row r="4418" ht="15.75" customHeight="1">
      <c r="A4418" s="2" t="s">
        <v>4418</v>
      </c>
      <c r="B4418" s="2" t="str">
        <f>IFERROR(__xludf.DUMMYFUNCTION("GOOGLETRANSLATE(A4418, ""en"", ""mt"")"),"Liema titlu taw lil Johnson Iroquois?")</f>
        <v>Liema titlu taw lil Johnson Iroquois?</v>
      </c>
    </row>
    <row r="4419" ht="15.75" customHeight="1">
      <c r="A4419" s="2" t="s">
        <v>4419</v>
      </c>
      <c r="B4419" s="2" t="str">
        <f>IFERROR(__xludf.DUMMYFUNCTION("GOOGLETRANSLATE(A4419, ""en"", ""mt"")")," Liema monarkija protetti t-truppi tal-Lvant?")</f>
        <v> Liema monarkija protetti t-truppi tal-Lvant?</v>
      </c>
    </row>
    <row r="4420" ht="15.75" customHeight="1">
      <c r="A4420" s="2" t="s">
        <v>4420</v>
      </c>
      <c r="B4420" s="2" t="str">
        <f>IFERROR(__xludf.DUMMYFUNCTION("GOOGLETRANSLATE(A4420, ""en"", ""mt"")"),"X'inhu l-isem tal-baċin li nħoloq minn lag magħluq?")</f>
        <v>X'inhu l-isem tal-baċin li nħoloq minn lag magħluq?</v>
      </c>
    </row>
    <row r="4421" ht="15.75" customHeight="1">
      <c r="A4421" s="2" t="s">
        <v>4421</v>
      </c>
      <c r="B4421" s="2" t="str">
        <f>IFERROR(__xludf.DUMMYFUNCTION("GOOGLETRANSLATE(A4421, ""en"", ""mt"")"),"Dikjarazzjoni tal-Gwerra fl-1756 għall-iffirmar tat-Trattat tal-Paċi fl-1763")</f>
        <v>Dikjarazzjoni tal-Gwerra fl-1756 għall-iffirmar tat-Trattat tal-Paċi fl-1763</v>
      </c>
    </row>
    <row r="4422" ht="15.75" customHeight="1">
      <c r="A4422" s="2" t="s">
        <v>4422</v>
      </c>
      <c r="B4422" s="2" t="str">
        <f>IFERROR(__xludf.DUMMYFUNCTION("GOOGLETRANSLATE(A4422, ""en"", ""mt"")"),"X'inhu l-ekwivalenti rotazzjonali tal-veloċità?")</f>
        <v>X'inhu l-ekwivalenti rotazzjonali tal-veloċità?</v>
      </c>
    </row>
    <row r="4423" ht="15.75" customHeight="1">
      <c r="A4423" s="2" t="s">
        <v>4423</v>
      </c>
      <c r="B4423" s="2" t="str">
        <f>IFERROR(__xludf.DUMMYFUNCTION("GOOGLETRANSLATE(A4423, ""en"", ""mt"")"),"Fl-UE fl-2009, x'kienet ir-rata ta 'korriment fatali fost il-ħaddiema tal-kostruzzjoni?")</f>
        <v>Fl-UE fl-2009, x'kienet ir-rata ta 'korriment fatali fost il-ħaddiema tal-kostruzzjoni?</v>
      </c>
    </row>
    <row r="4424" ht="15.75" customHeight="1">
      <c r="A4424" s="2" t="s">
        <v>4424</v>
      </c>
      <c r="B4424" s="2" t="str">
        <f>IFERROR(__xludf.DUMMYFUNCTION("GOOGLETRANSLATE(A4424, ""en"", ""mt"")"),"X'tip ta 'diżubbidjenza ċivili hija skala akbar?")</f>
        <v>X'tip ta 'diżubbidjenza ċivili hija skala akbar?</v>
      </c>
    </row>
    <row r="4425" ht="15.75" customHeight="1">
      <c r="A4425" s="2" t="s">
        <v>4425</v>
      </c>
      <c r="B4425" s="2" t="str">
        <f>IFERROR(__xludf.DUMMYFUNCTION("GOOGLETRANSLATE(A4425, ""en"", ""mt"")"),"Problemi makroekonomiċi")</f>
        <v>Problemi makroekonomiċi</v>
      </c>
    </row>
    <row r="4426" ht="15.75" customHeight="1">
      <c r="A4426" s="2" t="s">
        <v>4426</v>
      </c>
      <c r="B4426" s="2" t="str">
        <f>IFERROR(__xludf.DUMMYFUNCTION("GOOGLETRANSLATE(A4426, ""en"", ""mt"")"),"6.04 millilitri")</f>
        <v>6.04 millilitri</v>
      </c>
    </row>
    <row r="4427" ht="15.75" customHeight="1">
      <c r="A4427" s="2" t="s">
        <v>4427</v>
      </c>
      <c r="B4427" s="2" t="str">
        <f>IFERROR(__xludf.DUMMYFUNCTION("GOOGLETRANSLATE(A4427, ""en"", ""mt"")"),"f'inqas minn żmien kwadratiku")</f>
        <v>f'inqas minn żmien kwadratiku</v>
      </c>
    </row>
    <row r="4428" ht="15.75" customHeight="1">
      <c r="A4428" s="2" t="s">
        <v>4428</v>
      </c>
      <c r="B4428" s="2" t="str">
        <f>IFERROR(__xludf.DUMMYFUNCTION("GOOGLETRANSLATE(A4428, ""en"", ""mt"")"),"X'jieraw Joseph Louis von Humboldt u Alexander Gay-Lussac dwar l-ilma?")</f>
        <v>X'jieraw Joseph Louis von Humboldt u Alexander Gay-Lussac dwar l-ilma?</v>
      </c>
    </row>
    <row r="4429" ht="15.75" customHeight="1">
      <c r="A4429" s="2" t="s">
        <v>4429</v>
      </c>
      <c r="B4429" s="2" t="str">
        <f>IFERROR(__xludf.DUMMYFUNCTION("GOOGLETRANSLATE(A4429, ""en"", ""mt"")"),"mitħun")</f>
        <v>mitħun</v>
      </c>
    </row>
    <row r="4430" ht="15.75" customHeight="1">
      <c r="A4430" s="2" t="s">
        <v>4430</v>
      </c>
      <c r="B4430" s="2" t="str">
        <f>IFERROR(__xludf.DUMMYFUNCTION("GOOGLETRANSLATE(A4430, ""en"", ""mt"")"),"21 ta ’Frar 1804")</f>
        <v>21 ta ’Frar 1804</v>
      </c>
    </row>
    <row r="4431" ht="15.75" customHeight="1">
      <c r="A4431" s="2" t="s">
        <v>4431</v>
      </c>
      <c r="B4431" s="2" t="str">
        <f>IFERROR(__xludf.DUMMYFUNCTION("GOOGLETRANSLATE(A4431, ""en"", ""mt"")"),"Il-protesta għandha tinżamm it-triq kollha")</f>
        <v>Il-protesta għandha tinżamm it-triq kollha</v>
      </c>
    </row>
    <row r="4432" ht="15.75" customHeight="1">
      <c r="A4432" s="2" t="s">
        <v>4432</v>
      </c>
      <c r="B4432" s="2" t="str">
        <f>IFERROR(__xludf.DUMMYFUNCTION("GOOGLETRANSLATE(A4432, ""en"", ""mt"")"),"X'inhi varjabbli waħda li t-tħaddim tal-ħin ma jkunx kontinġenti?")</f>
        <v>X'inhi varjabbli waħda li t-tħaddim tal-ħin ma jkunx kontinġenti?</v>
      </c>
    </row>
    <row r="4433" ht="15.75" customHeight="1">
      <c r="A4433" s="2" t="s">
        <v>4433</v>
      </c>
      <c r="B4433" s="2" t="str">
        <f>IFERROR(__xludf.DUMMYFUNCTION("GOOGLETRANSLATE(A4433, ""en"", ""mt"")"),"Konservattiv")</f>
        <v>Konservattiv</v>
      </c>
    </row>
    <row r="4434" ht="15.75" customHeight="1">
      <c r="A4434" s="2" t="s">
        <v>4434</v>
      </c>
      <c r="B4434" s="2" t="str">
        <f>IFERROR(__xludf.DUMMYFUNCTION("GOOGLETRANSLATE(A4434, ""en"", ""mt"")"),"subtropikali")</f>
        <v>subtropikali</v>
      </c>
    </row>
    <row r="4435" ht="15.75" customHeight="1">
      <c r="A4435" s="2" t="s">
        <v>4435</v>
      </c>
      <c r="B4435" s="2" t="str">
        <f>IFERROR(__xludf.DUMMYFUNCTION("GOOGLETRANSLATE(A4435, ""en"", ""mt"")"),"X'inhu l-isem tat-tielet, il-Knisja Permanenti Huguenot fi New Rochelle?")</f>
        <v>X'inhu l-isem tat-tielet, il-Knisja Permanenti Huguenot fi New Rochelle?</v>
      </c>
    </row>
    <row r="4436" ht="15.75" customHeight="1">
      <c r="A4436" s="2" t="s">
        <v>4436</v>
      </c>
      <c r="B4436" s="2" t="str">
        <f>IFERROR(__xludf.DUMMYFUNCTION("GOOGLETRANSLATE(A4436, ""en"", ""mt"")"),"Liema bini huwa l-iktar interessanti tal-arkitettura tard tas-seklu 18?")</f>
        <v>Liema bini huwa l-iktar interessanti tal-arkitettura tard tas-seklu 18?</v>
      </c>
    </row>
    <row r="4437" ht="15.75" customHeight="1">
      <c r="A4437" s="2" t="s">
        <v>4437</v>
      </c>
      <c r="B4437" s="2" t="str">
        <f>IFERROR(__xludf.DUMMYFUNCTION("GOOGLETRANSLATE(A4437, ""en"", ""mt"")"),"Kemm organizzazzjonijiet ħarġu d-dikjarazzjoni konġunta dwar it-tibdil fil-klima?")</f>
        <v>Kemm organizzazzjonijiet ħarġu d-dikjarazzjoni konġunta dwar it-tibdil fil-klima?</v>
      </c>
    </row>
    <row r="4438" ht="15.75" customHeight="1">
      <c r="A4438" s="2" t="s">
        <v>4438</v>
      </c>
      <c r="B4438" s="2" t="str">
        <f>IFERROR(__xludf.DUMMYFUNCTION("GOOGLETRANSLATE(A4438, ""en"", ""mt"")"),"Marzu 1974.")</f>
        <v>Marzu 1974.</v>
      </c>
    </row>
    <row r="4439" ht="15.75" customHeight="1">
      <c r="A4439" s="2" t="s">
        <v>4439</v>
      </c>
      <c r="B4439" s="2" t="str">
        <f>IFERROR(__xludf.DUMMYFUNCTION("GOOGLETRANSLATE(A4439, ""en"", ""mt"")"),"X’ma segwewx l-elezzjoni tal-Partit Laburista tar-Renju Unit lill-Gvern?")</f>
        <v>X’ma segwewx l-elezzjoni tal-Partit Laburista tar-Renju Unit lill-Gvern?</v>
      </c>
    </row>
    <row r="4440" ht="15.75" customHeight="1">
      <c r="A4440" s="2" t="s">
        <v>4440</v>
      </c>
      <c r="B4440" s="2" t="str">
        <f>IFERROR(__xludf.DUMMYFUNCTION("GOOGLETRANSLATE(A4440, ""en"", ""mt"")"),"Meta bdew l-Olanda Bdew jokkupaw il-Wied Glaċjali tard?")</f>
        <v>Meta bdew l-Olanda Bdew jokkupaw il-Wied Glaċjali tard?</v>
      </c>
    </row>
    <row r="4441" ht="15.75" customHeight="1">
      <c r="A4441" s="2" t="s">
        <v>4441</v>
      </c>
      <c r="B4441" s="2" t="str">
        <f>IFERROR(__xludf.DUMMYFUNCTION("GOOGLETRANSLATE(A4441, ""en"", ""mt"")")," Liema ritwali segwew Kublai biex jeqred l-immaġni tiegħu?")</f>
        <v> Liema ritwali segwew Kublai biex jeqred l-immaġni tiegħu?</v>
      </c>
    </row>
    <row r="4442" ht="15.75" customHeight="1">
      <c r="A4442" s="2" t="s">
        <v>4442</v>
      </c>
      <c r="B4442" s="2" t="str">
        <f>IFERROR(__xludf.DUMMYFUNCTION("GOOGLETRANSLATE(A4442, ""en"", ""mt"")")," Min kien ir-Re Uighur ta 'Qocho kklassifikat hawn taħt?")</f>
        <v> Min kien ir-Re Uighur ta 'Qocho kklassifikat hawn taħt?</v>
      </c>
    </row>
    <row r="4443" ht="15.75" customHeight="1">
      <c r="A4443" s="2" t="s">
        <v>4443</v>
      </c>
      <c r="B4443" s="2" t="str">
        <f>IFERROR(__xludf.DUMMYFUNCTION("GOOGLETRANSLATE(A4443, ""en"", ""mt"")"),"qalulhom biex jitilqu")</f>
        <v>qalulhom biex jitilqu</v>
      </c>
    </row>
    <row r="4444" ht="15.75" customHeight="1">
      <c r="A4444" s="2" t="s">
        <v>4444</v>
      </c>
      <c r="B4444" s="2" t="str">
        <f>IFERROR(__xludf.DUMMYFUNCTION("GOOGLETRANSLATE(A4444, ""en"", ""mt"")"),"Saul Alinsky")</f>
        <v>Saul Alinsky</v>
      </c>
    </row>
    <row r="4445" ht="15.75" customHeight="1">
      <c r="A4445" s="2" t="s">
        <v>4445</v>
      </c>
      <c r="B4445" s="2" t="str">
        <f>IFERROR(__xludf.DUMMYFUNCTION("GOOGLETRANSLATE(A4445, ""en"", ""mt"")"),"spiritwali")</f>
        <v>spiritwali</v>
      </c>
    </row>
    <row r="4446" ht="15.75" customHeight="1">
      <c r="A4446" s="2" t="s">
        <v>4446</v>
      </c>
      <c r="B4446" s="2" t="str">
        <f>IFERROR(__xludf.DUMMYFUNCTION("GOOGLETRANSLATE(A4446, ""en"", ""mt"")"),"X’tost Thoreau dwar il-maġġoranza?")</f>
        <v>X’tost Thoreau dwar il-maġġoranza?</v>
      </c>
    </row>
    <row r="4447" ht="15.75" customHeight="1">
      <c r="A4447" s="2" t="s">
        <v>4447</v>
      </c>
      <c r="B4447" s="2" t="str">
        <f>IFERROR(__xludf.DUMMYFUNCTION("GOOGLETRANSLATE(A4447, ""en"", ""mt"")"),"Uffiċċju politiku ogħla")</f>
        <v>Uffiċċju politiku ogħla</v>
      </c>
    </row>
    <row r="4448" ht="15.75" customHeight="1">
      <c r="A4448" s="2" t="s">
        <v>4448</v>
      </c>
      <c r="B4448" s="2" t="str">
        <f>IFERROR(__xludf.DUMMYFUNCTION("GOOGLETRANSLATE(A4448, ""en"", ""mt"")"),"Skop ta 'telnet")</f>
        <v>Skop ta 'telnet</v>
      </c>
    </row>
    <row r="4449" ht="15.75" customHeight="1">
      <c r="A4449" s="2" t="s">
        <v>4449</v>
      </c>
      <c r="B4449" s="2" t="str">
        <f>IFERROR(__xludf.DUMMYFUNCTION("GOOGLETRANSLATE(A4449, ""en"", ""mt"")"),"L-individwu")</f>
        <v>L-individwu</v>
      </c>
    </row>
    <row r="4450" ht="15.75" customHeight="1">
      <c r="A4450" s="2" t="s">
        <v>4450</v>
      </c>
      <c r="B4450" s="2" t="str">
        <f>IFERROR(__xludf.DUMMYFUNCTION("GOOGLETRANSLATE(A4450, ""en"", ""mt"")"),"pixxini kbar ta 'kumpens")</f>
        <v>pixxini kbar ta 'kumpens</v>
      </c>
    </row>
    <row r="4451" ht="15.75" customHeight="1">
      <c r="A4451" s="2" t="s">
        <v>4451</v>
      </c>
      <c r="B4451" s="2" t="str">
        <f>IFERROR(__xludf.DUMMYFUNCTION("GOOGLETRANSLATE(A4451, ""en"", ""mt"")"),"X'jagħmlu l-waal u n-Nederrijn-lek li jfasslu t-throguh?")</f>
        <v>X'jagħmlu l-waal u n-Nederrijn-lek li jfasslu t-throguh?</v>
      </c>
    </row>
    <row r="4452" ht="15.75" customHeight="1">
      <c r="A4452" s="2" t="s">
        <v>4452</v>
      </c>
      <c r="B4452" s="2" t="str">
        <f>IFERROR(__xludf.DUMMYFUNCTION("GOOGLETRANSLATE(A4452, ""en"", ""mt"")"),"1987")</f>
        <v>1987</v>
      </c>
    </row>
    <row r="4453" ht="15.75" customHeight="1">
      <c r="A4453" s="2" t="s">
        <v>4453</v>
      </c>
      <c r="B4453" s="2" t="str">
        <f>IFERROR(__xludf.DUMMYFUNCTION("GOOGLETRANSLATE(A4453, ""en"", ""mt"")"),"li ddgħajjef l-ideoloġija komunista")</f>
        <v>li ddgħajjef l-ideoloġija komunista</v>
      </c>
    </row>
    <row r="4454" ht="15.75" customHeight="1">
      <c r="A4454" s="2" t="s">
        <v>4454</v>
      </c>
      <c r="B4454" s="2" t="str">
        <f>IFERROR(__xludf.DUMMYFUNCTION("GOOGLETRANSLATE(A4454, ""en"", ""mt"")"),"kamp manjetiku")</f>
        <v>kamp manjetiku</v>
      </c>
    </row>
    <row r="4455" ht="15.75" customHeight="1">
      <c r="A4455" s="2" t="s">
        <v>4455</v>
      </c>
      <c r="B4455" s="2" t="str">
        <f>IFERROR(__xludf.DUMMYFUNCTION("GOOGLETRANSLATE(A4455, ""en"", ""mt"")"),"Min kien l-uniku stat membru li ma jivverifikax il-Karta Soċjali li l-Karta Soċjali ġiet inkluża bħala l-Karta Soċjali tat-Trattat ta 'Masstricht?")</f>
        <v>Min kien l-uniku stat membru li ma jivverifikax il-Karta Soċjali li l-Karta Soċjali ġiet inkluża bħala l-Karta Soċjali tat-Trattat ta 'Masstricht?</v>
      </c>
    </row>
    <row r="4456" ht="15.75" customHeight="1">
      <c r="A4456" s="2" t="s">
        <v>4456</v>
      </c>
      <c r="B4456" s="2" t="str">
        <f>IFERROR(__xludf.DUMMYFUNCTION("GOOGLETRANSLATE(A4456, ""en"", ""mt"")"),"Jista 'jkolli kiser xi liġijiet speċifiċi, imma jien ħati li ma għamilt l-ebda ħażin")</f>
        <v>Jista 'jkolli kiser xi liġijiet speċifiċi, imma jien ħati li ma għamilt l-ebda ħażin</v>
      </c>
    </row>
    <row r="4457" ht="15.75" customHeight="1">
      <c r="A4457" s="2" t="s">
        <v>4457</v>
      </c>
      <c r="B4457" s="2" t="str">
        <f>IFERROR(__xludf.DUMMYFUNCTION("GOOGLETRANSLATE(A4457, ""en"", ""mt"")"),"L-ewwel Huguenots li jitilqu minn Franza fittxew il-ħelsien mill-persekuzzjoni fl-Isvizzera u l-Olanda. [Ċitazzjoni meħtieġa] Grupp ta 'Huguenots kien parti mill-kolonizzaturi Franċiżi li waslu fil-Brażil fl-1555 biex sabu Franza l-Antartiku. Koppja ta 'v"&amp;"apuri b'madwar 500 persuna waslu fil-bajja ta' Guanabara, Rio de Janeiro preżenti, u stabbilixxew fi gżira żgħira. Fort, bl-isem ta 'Fort Coligny, inbena biex jipproteġihom mill-attakk mit-truppi Portugiżi u l-Amerikani Nattivi Brażiljani. Kien attentat b"&amp;"iex tistabbilixxi kolonja Franċiża fl-Amerika t'Isfel. Il-forti nqered fl-1560 mill-Portugiż, li qabad parti mill-Huguenots. Il-Portugiż hedded lill-priġunieri bil-mewt jekk ma kkonvertux għall-Kattoliċiżmu. Il-Huguenots ta 'Guanabara, kif inhuma magħrufa"&amp;" issa, ipproduċew dikjarazzjoni ta' fidi biex jesprimu t-twemmin tagħhom lill-Portugiż. Din kienet is-sentenza tal-mewt tagħhom. Dan id-dokument, il-Qrar tal-Fidi Guanabara, sar l-ewwel konfessjoni Protestanti tal-Fidi fl-Amerika kollha. [Ċitazzjoni meħti"&amp;"eġa]")</f>
        <v>L-ewwel Huguenots li jitilqu minn Franza fittxew il-ħelsien mill-persekuzzjoni fl-Isvizzera u l-Olanda. [Ċitazzjoni meħtieġa] Grupp ta 'Huguenots kien parti mill-kolonizzaturi Franċiżi li waslu fil-Brażil fl-1555 biex sabu Franza l-Antartiku. Koppja ta 'vapuri b'madwar 500 persuna waslu fil-bajja ta' Guanabara, Rio de Janeiro preżenti, u stabbilixxew fi gżira żgħira. Fort, bl-isem ta 'Fort Coligny, inbena biex jipproteġihom mill-attakk mit-truppi Portugiżi u l-Amerikani Nattivi Brażiljani. Kien attentat biex tistabbilixxi kolonja Franċiża fl-Amerika t'Isfel. Il-forti nqered fl-1560 mill-Portugiż, li qabad parti mill-Huguenots. Il-Portugiż hedded lill-priġunieri bil-mewt jekk ma kkonvertux għall-Kattoliċiżmu. Il-Huguenots ta 'Guanabara, kif inhuma magħrufa issa, ipproduċew dikjarazzjoni ta' fidi biex jesprimu t-twemmin tagħhom lill-Portugiż. Din kienet is-sentenza tal-mewt tagħhom. Dan id-dokument, il-Qrar tal-Fidi Guanabara, sar l-ewwel konfessjoni Protestanti tal-Fidi fl-Amerika kollha. [Ċitazzjoni meħtieġa]</v>
      </c>
    </row>
    <row r="4458" ht="15.75" customHeight="1">
      <c r="A4458" s="2" t="s">
        <v>4458</v>
      </c>
      <c r="B4458" s="2" t="str">
        <f>IFERROR(__xludf.DUMMYFUNCTION("GOOGLETRANSLATE(A4458, ""en"", ""mt"")"),"X'impatt id-distribuzzjoni tal-ġid meta ma tevalwax ix-xogħol?")</f>
        <v>X'impatt id-distribuzzjoni tal-ġid meta ma tevalwax ix-xogħol?</v>
      </c>
    </row>
    <row r="4459" ht="15.75" customHeight="1">
      <c r="A4459" s="2" t="s">
        <v>4459</v>
      </c>
      <c r="B4459" s="2" t="str">
        <f>IFERROR(__xludf.DUMMYFUNCTION("GOOGLETRANSLATE(A4459, ""en"", ""mt"")"),"6 miljun lira")</f>
        <v>6 miljun lira</v>
      </c>
    </row>
    <row r="4460" ht="15.75" customHeight="1">
      <c r="A4460" s="2" t="s">
        <v>4460</v>
      </c>
      <c r="B4460" s="2" t="str">
        <f>IFERROR(__xludf.DUMMYFUNCTION("GOOGLETRANSLATE(A4460, ""en"", ""mt"")"),"Liema università kienet John of London alum ta '?")</f>
        <v>Liema università kienet John of London alum ta '?</v>
      </c>
    </row>
    <row r="4461" ht="15.75" customHeight="1">
      <c r="A4461" s="2" t="s">
        <v>4461</v>
      </c>
      <c r="B4461" s="2" t="str">
        <f>IFERROR(__xludf.DUMMYFUNCTION("GOOGLETRANSLATE(A4461, ""en"", ""mt"")"),"Alan Turing")</f>
        <v>Alan Turing</v>
      </c>
    </row>
    <row r="4462" ht="15.75" customHeight="1">
      <c r="A4462" s="2" t="s">
        <v>4462</v>
      </c>
      <c r="B4462" s="2" t="str">
        <f>IFERROR(__xludf.DUMMYFUNCTION("GOOGLETRANSLATE(A4462, ""en"", ""mt"")"),"Minbarra l-istudju tan-numri ewlenin, liema teorija ġenerali kienet ikkunsidrata bħala l-eżempju uffiċjali tal-matematika pura?")</f>
        <v>Minbarra l-istudju tan-numri ewlenin, liema teorija ġenerali kienet ikkunsidrata bħala l-eżempju uffiċjali tal-matematika pura?</v>
      </c>
    </row>
    <row r="4463" ht="15.75" customHeight="1">
      <c r="A4463" s="2" t="s">
        <v>4463</v>
      </c>
      <c r="B4463" s="2" t="str">
        <f>IFERROR(__xludf.DUMMYFUNCTION("GOOGLETRANSLATE(A4463, ""en"", ""mt"")"),"Lag ta ’fuq")</f>
        <v>Lag ta ’fuq</v>
      </c>
    </row>
    <row r="4464" ht="15.75" customHeight="1">
      <c r="A4464" s="2" t="s">
        <v>4464</v>
      </c>
      <c r="B4464" s="2" t="str">
        <f>IFERROR(__xludf.DUMMYFUNCTION("GOOGLETRANSLATE(A4464, ""en"", ""mt"")"),"Illum, it-Trattat ta 'Lisbona jipprojbixxi ftehimiet anti-kompetittivi fl-Artikolu 101 (1), inkluż l-iffissar tal-prezzijiet. Skond l-Artikolu 101 (2) kwalunkwe ftehim bħal dan huwa awtomatikament bla effett. L-Artikolu 101 (3) jistabbilixxi eżenzjonijiet"&amp;", jekk il-kollużjoni hija għal innovazzjoni distribuzzjoni jew teknoloġika, tagħti lill-konsumaturi ""sehem ġust"" tal-benefiċċju u ma jinkludix trażżin mhux raġonevoli li l-eliminazzjoni tar-riskju tal-kompetizzjoni kullimkien (jew konformi mal-prinċipju"&amp;" ġenerali tal-liġi tal-Unjoni Ewropea ta 'proporzjonalità). L-Artikolu 102 jipprojbixxi l-abbuż ta 'pożizzjoni dominanti, bħal diskriminazzjoni fil-prezz u trattament esklussiv. L-Artikolu 102 jippermetti lill-Kunsill Ewropew jirregola l-għaqdiet bejn id-"&amp;"ditti (ir-regolament attwali huwa r-Regolament 139/2004 / KE). It-test ġenerali huwa jekk konċentrazzjoni (i.e. għaqda jew akkwist) b'dimensjoni tal-komunità (i.e. taffettwa numru ta 'stati membri tal-UE) jista' jimpedixxi b'mod sinifikanti l-kompetizzjon"&amp;"i effettiva. L-Artikoli 106 u 107 jipprovdu li d-dritt tal-Istat Membru li jagħti servizzi pubbliku ma jistax jiġi ostakolat, iżda li inkella l-intrapriżi pubbliċi għandhom jaderixxu mal-istess prinċipji tal-kompetizzjoni bħall-kumpaniji. L-Artikolu 107 j"&amp;"istabbilixxi regola ġenerali li l-Istat ma jistax jgħin jew jissussidja partijiet privati ​​fit-tgħawwiġ ta 'kompetizzjoni b'xejn u jipprovdi eżenzjonijiet għal karitajiet, għanijiet ta' żvilupp reġjonali u f'każ ta 'diżastru naturali.")</f>
        <v>Illum, it-Trattat ta 'Lisbona jipprojbixxi ftehimiet anti-kompetittivi fl-Artikolu 101 (1), inkluż l-iffissar tal-prezzijiet. Skond l-Artikolu 101 (2) kwalunkwe ftehim bħal dan huwa awtomatikament bla effett. L-Artikolu 101 (3) jistabbilixxi eżenzjonijiet, jekk il-kollużjoni hija għal innovazzjoni distribuzzjoni jew teknoloġika, tagħti lill-konsumaturi "sehem ġust" tal-benefiċċju u ma jinkludix trażżin mhux raġonevoli li l-eliminazzjoni tar-riskju tal-kompetizzjoni kullimkien (jew konformi mal-prinċipju ġenerali tal-liġi tal-Unjoni Ewropea ta 'proporzjonalità). L-Artikolu 102 jipprojbixxi l-abbuż ta 'pożizzjoni dominanti, bħal diskriminazzjoni fil-prezz u trattament esklussiv. L-Artikolu 102 jippermetti lill-Kunsill Ewropew jirregola l-għaqdiet bejn id-ditti (ir-regolament attwali huwa r-Regolament 139/2004 / KE). It-test ġenerali huwa jekk konċentrazzjoni (i.e. għaqda jew akkwist) b'dimensjoni tal-komunità (i.e. taffettwa numru ta 'stati membri tal-UE) jista' jimpedixxi b'mod sinifikanti l-kompetizzjoni effettiva. L-Artikoli 106 u 107 jipprovdu li d-dritt tal-Istat Membru li jagħti servizzi pubbliku ma jistax jiġi ostakolat, iżda li inkella l-intrapriżi pubbliċi għandhom jaderixxu mal-istess prinċipji tal-kompetizzjoni bħall-kumpaniji. L-Artikolu 107 jistabbilixxi regola ġenerali li l-Istat ma jistax jgħin jew jissussidja partijiet privati ​​fit-tgħawwiġ ta 'kompetizzjoni b'xejn u jipprovdi eżenzjonijiet għal karitajiet, għanijiet ta' żvilupp reġjonali u f'każ ta 'diżastru naturali.</v>
      </c>
    </row>
    <row r="4465" ht="15.75" customHeight="1">
      <c r="A4465" s="2" t="s">
        <v>4465</v>
      </c>
      <c r="B4465" s="2" t="str">
        <f>IFERROR(__xludf.DUMMYFUNCTION("GOOGLETRANSLATE(A4465, ""en"", ""mt"")"),"Meta l-Ġermanja sabet l-ewwel soluzzjoni tagħhom?")</f>
        <v>Meta l-Ġermanja sabet l-ewwel soluzzjoni tagħhom?</v>
      </c>
    </row>
    <row r="4466" ht="15.75" customHeight="1">
      <c r="A4466" s="2" t="s">
        <v>4466</v>
      </c>
      <c r="B4466" s="2" t="str">
        <f>IFERROR(__xludf.DUMMYFUNCTION("GOOGLETRANSLATE(A4466, ""en"", ""mt"")"),"Kemm hemm nazzjonijiet fil-Baċin tal-Amażonja?")</f>
        <v>Kemm hemm nazzjonijiet fil-Baċin tal-Amażonja?</v>
      </c>
    </row>
    <row r="4467" ht="15.75" customHeight="1">
      <c r="A4467" s="2" t="s">
        <v>4467</v>
      </c>
      <c r="B4467" s="2" t="str">
        <f>IFERROR(__xludf.DUMMYFUNCTION("GOOGLETRANSLATE(A4467, ""en"", ""mt"")"),"In-nisġa")</f>
        <v>In-nisġa</v>
      </c>
    </row>
    <row r="4468" ht="15.75" customHeight="1">
      <c r="A4468" s="2" t="s">
        <v>4468</v>
      </c>
      <c r="B4468" s="2" t="str">
        <f>IFERROR(__xludf.DUMMYFUNCTION("GOOGLETRANSLATE(A4468, ""en"", ""mt"")"),"tliet reġjuni")</f>
        <v>tliet reġjuni</v>
      </c>
    </row>
    <row r="4469" ht="15.75" customHeight="1">
      <c r="A4469" s="2" t="s">
        <v>4469</v>
      </c>
      <c r="B4469" s="2" t="str">
        <f>IFERROR(__xludf.DUMMYFUNCTION("GOOGLETRANSLATE(A4469, ""en"", ""mt"")"),"X’kidħ id-Dipartiment tad-Difiża tal-Istati Uniti mill-finanzjament tagħhom lil Rand Corporation?")</f>
        <v>X’kidħ id-Dipartiment tad-Difiża tal-Istati Uniti mill-finanzjament tagħhom lil Rand Corporation?</v>
      </c>
    </row>
    <row r="4470" ht="15.75" customHeight="1">
      <c r="A4470" s="2" t="s">
        <v>4470</v>
      </c>
      <c r="B4470" s="2" t="str">
        <f>IFERROR(__xludf.DUMMYFUNCTION("GOOGLETRANSLATE(A4470, ""en"", ""mt"")"),"l-Istati Uniti")</f>
        <v>l-Istati Uniti</v>
      </c>
    </row>
    <row r="4471" ht="15.75" customHeight="1">
      <c r="A4471" s="2" t="s">
        <v>4471</v>
      </c>
      <c r="B4471" s="2" t="str">
        <f>IFERROR(__xludf.DUMMYFUNCTION("GOOGLETRANSLATE(A4471, ""en"", ""mt"")"),"tard tas-snin 1980")</f>
        <v>tard tas-snin 1980</v>
      </c>
    </row>
    <row r="4472" ht="15.75" customHeight="1">
      <c r="A4472" s="2" t="s">
        <v>4472</v>
      </c>
      <c r="B4472" s="2" t="str">
        <f>IFERROR(__xludf.DUMMYFUNCTION("GOOGLETRANSLATE(A4472, ""en"", ""mt"")"),"Problemi kompluti NP")</f>
        <v>Problemi kompluti NP</v>
      </c>
    </row>
    <row r="4473" ht="15.75" customHeight="1">
      <c r="A4473" s="2" t="s">
        <v>4473</v>
      </c>
      <c r="B4473" s="2" t="str">
        <f>IFERROR(__xludf.DUMMYFUNCTION("GOOGLETRANSLATE(A4473, ""en"", ""mt"")"),"Minn fejn joħroġ l-isem Rhine?")</f>
        <v>Minn fejn joħroġ l-isem Rhine?</v>
      </c>
    </row>
    <row r="4474" ht="15.75" customHeight="1">
      <c r="A4474" s="2" t="s">
        <v>4474</v>
      </c>
      <c r="B4474" s="2" t="str">
        <f>IFERROR(__xludf.DUMMYFUNCTION("GOOGLETRANSLATE(A4474, ""en"", ""mt"")"),"maħsub li żvantaġġja l-applikanti tal-minoranza bi dħul baxx u mhux rappreżentati")</f>
        <v>maħsub li żvantaġġja l-applikanti tal-minoranza bi dħul baxx u mhux rappreżentati</v>
      </c>
    </row>
    <row r="4475" ht="15.75" customHeight="1">
      <c r="A4475" s="2" t="s">
        <v>4475</v>
      </c>
      <c r="B4475" s="2" t="str">
        <f>IFERROR(__xludf.DUMMYFUNCTION("GOOGLETRANSLATE(A4475, ""en"", ""mt"")"),"Kif u meta għamlet l-ewwel varjant ta 'y. Pestis tidħol fl-Ewropa?")</f>
        <v>Kif u meta għamlet l-ewwel varjant ta 'y. Pestis tidħol fl-Ewropa?</v>
      </c>
    </row>
    <row r="4476" ht="15.75" customHeight="1">
      <c r="A4476" s="2" t="s">
        <v>4476</v>
      </c>
      <c r="B4476" s="2" t="str">
        <f>IFERROR(__xludf.DUMMYFUNCTION("GOOGLETRANSLATE(A4476, ""en"", ""mt"")")," Liema reliġjon Kublai ċaħdet?")</f>
        <v> Liema reliġjon Kublai ċaħdet?</v>
      </c>
    </row>
    <row r="4477" ht="15.75" customHeight="1">
      <c r="A4477" s="2" t="s">
        <v>4477</v>
      </c>
      <c r="B4477" s="2" t="str">
        <f>IFERROR(__xludf.DUMMYFUNCTION("GOOGLETRANSLATE(A4477, ""en"", ""mt"")"),"Meta sar il-kalendarju ta 'Gou l-kalendarju uffiċjali tal-Yuan?")</f>
        <v>Meta sar il-kalendarju ta 'Gou l-kalendarju uffiċjali tal-Yuan?</v>
      </c>
    </row>
    <row r="4478" ht="15.75" customHeight="1">
      <c r="A4478" s="2" t="s">
        <v>4478</v>
      </c>
      <c r="B4478" s="2" t="str">
        <f>IFERROR(__xludf.DUMMYFUNCTION("GOOGLETRANSLATE(A4478, ""en"", ""mt"")"),"Fil-kwart tal-ħarifa tal-2014, kemm studenti ffirmaw għall-kulleġġ?")</f>
        <v>Fil-kwart tal-ħarifa tal-2014, kemm studenti ffirmaw għall-kulleġġ?</v>
      </c>
    </row>
    <row r="4479" ht="15.75" customHeight="1">
      <c r="A4479" s="2" t="s">
        <v>4479</v>
      </c>
      <c r="B4479" s="2" t="str">
        <f>IFERROR(__xludf.DUMMYFUNCTION("GOOGLETRANSLATE(A4479, ""en"", ""mt"")"),"Ir-Rhine (Romansh: Rein, Ġermaniż: Rhein, Franċiż: Le Rhin, Olandiż: Rijn) hija xmara Ewropea li tibda fil-canton Żvizzeru ta 'Graubünden fl-Alpi Żvizzeri tax-Xlokk, tifforma parti mill-fruntiera Żvizzera-Awstrija, Żvizzera-Liechtenstein , Svizzeru-Ġerman"&amp;"iż u mbagħad il-fruntiera Franco-Ġermaniża, imbagħad tgħaddi mir-Rhineland u eventwalment tbattal fil-Baħar tat-Tramuntana fl-Olanda. L-akbar belt fuq ix-Xmara Rhine hija Cologne, il-Ġermanja b'popolazzjoni ta 'aktar minn 1,050,000 persuna. Hija t-tieni l"&amp;"-itwal xmara fl-Ewropa Ċentrali u tal-Punent (wara d-Danubju), għal madwar 1,230 km (760 mi), [nota 2] [nota 1] b'kariga medja ta 'madwar 2,900 m3 / s (100,000 cu ft / s).")</f>
        <v>Ir-Rhine (Romansh: Rein, Ġermaniż: Rhein, Franċiż: Le Rhin, Olandiż: Rijn) hija xmara Ewropea li tibda fil-canton Żvizzeru ta 'Graubünden fl-Alpi Żvizzeri tax-Xlokk, tifforma parti mill-fruntiera Żvizzera-Awstrija, Żvizzera-Liechtenstein , Svizzeru-Ġermaniż u mbagħad il-fruntiera Franco-Ġermaniża, imbagħad tgħaddi mir-Rhineland u eventwalment tbattal fil-Baħar tat-Tramuntana fl-Olanda. L-akbar belt fuq ix-Xmara Rhine hija Cologne, il-Ġermanja b'popolazzjoni ta 'aktar minn 1,050,000 persuna. Hija t-tieni l-itwal xmara fl-Ewropa Ċentrali u tal-Punent (wara d-Danubju), għal madwar 1,230 km (760 mi), [nota 2] [nota 1] b'kariga medja ta 'madwar 2,900 m3 / s (100,000 cu ft / s).</v>
      </c>
    </row>
    <row r="4480" ht="15.75" customHeight="1">
      <c r="A4480" s="2" t="s">
        <v>4480</v>
      </c>
      <c r="B4480" s="2" t="str">
        <f>IFERROR(__xludf.DUMMYFUNCTION("GOOGLETRANSLATE(A4480, ""en"", ""mt"")"),"Il-paleoklimatologi jkejlu l-proporzjon ta 'ossiġenu-18 u ossiġenu-16 fil-qxur u skeletri ta' organiżmi tal-baħar biex jiddeterminaw liema kienet il-klima bħal miljuni ta 'snin ilu (ara ċ-ċiklu tal-proporzjon tal-iżotopi tal-ossiġnu). Molekuli tal-ilma ba"&amp;"ħar li fihom l-iżotopi eħfef, ossiġenu-16, jevaporaw b'rata kemmxejn aktar mgħaġġla minn molekuli tal-ilma li fihom it-12% itqal ossiġenu-18; Din id-disparità tiżdied f'temperaturi aktar baxxi. Matul perjodi ta 'temperaturi globali aktar baxxi, il-borra u"&amp;" x-xita minn dak l-ilma evaporat għandu tendenza li jkun ogħla fl-ossiġnu-16, u l-ilma baħar li jibqa' warajh għandu tendenza li jkun ogħla fl-ossiġnu-18. L-organiżmi tal-baħar imbagħad jinkorporaw aktar ossiġenu-18 fl-iskeletri u l-qxur tagħhom milli kie"&amp;"nu fi klima aktar sħuna. Il-paleoklimatoloġi wkoll ikejlu direttament dan il-proporzjon fil-molekuli tal-ilma ta 'kampjuni tal-qalba tas-silġ li għandhom sa bosta mijiet ta' eluf ta 'snin.")</f>
        <v>Il-paleoklimatologi jkejlu l-proporzjon ta 'ossiġenu-18 u ossiġenu-16 fil-qxur u skeletri ta' organiżmi tal-baħar biex jiddeterminaw liema kienet il-klima bħal miljuni ta 'snin ilu (ara ċ-ċiklu tal-proporzjon tal-iżotopi tal-ossiġnu). Molekuli tal-ilma baħar li fihom l-iżotopi eħfef, ossiġenu-16, jevaporaw b'rata kemmxejn aktar mgħaġġla minn molekuli tal-ilma li fihom it-12% itqal ossiġenu-18; Din id-disparità tiżdied f'temperaturi aktar baxxi. Matul perjodi ta 'temperaturi globali aktar baxxi, il-borra u x-xita minn dak l-ilma evaporat għandu tendenza li jkun ogħla fl-ossiġnu-16, u l-ilma baħar li jibqa' warajh għandu tendenza li jkun ogħla fl-ossiġnu-18. L-organiżmi tal-baħar imbagħad jinkorporaw aktar ossiġenu-18 fl-iskeletri u l-qxur tagħhom milli kienu fi klima aktar sħuna. Il-paleoklimatoloġi wkoll ikejlu direttament dan il-proporzjon fil-molekuli tal-ilma ta 'kampjuni tal-qalba tas-silġ li għandhom sa bosta mijiet ta' eluf ta 'snin.</v>
      </c>
    </row>
    <row r="4481" ht="15.75" customHeight="1">
      <c r="A4481" s="2" t="s">
        <v>4481</v>
      </c>
      <c r="B4481" s="2" t="str">
        <f>IFERROR(__xludf.DUMMYFUNCTION("GOOGLETRANSLATE(A4481, ""en"", ""mt"")"),"Paga baxxa")</f>
        <v>Paga baxxa</v>
      </c>
    </row>
    <row r="4482" ht="15.75" customHeight="1">
      <c r="A4482" s="2" t="s">
        <v>4482</v>
      </c>
      <c r="B4482" s="2" t="str">
        <f>IFERROR(__xludf.DUMMYFUNCTION("GOOGLETRANSLATE(A4482, ""en"", ""mt"")"),"Esplora netwerking tal-kompjuter")</f>
        <v>Esplora netwerking tal-kompjuter</v>
      </c>
    </row>
    <row r="4483" ht="15.75" customHeight="1">
      <c r="A4483" s="2" t="s">
        <v>4483</v>
      </c>
      <c r="B4483" s="2" t="str">
        <f>IFERROR(__xludf.DUMMYFUNCTION("GOOGLETRANSLATE(A4483, ""en"", ""mt"")"),"Liema organizzazzjoni l-Ġeneral Gaafar al-Nimeiry stieden lill-membri biex iservu fil-gvern tiegħu?")</f>
        <v>Liema organizzazzjoni l-Ġeneral Gaafar al-Nimeiry stieden lill-membri biex iservu fil-gvern tiegħu?</v>
      </c>
    </row>
    <row r="4484" ht="15.75" customHeight="1">
      <c r="A4484" s="2" t="s">
        <v>4484</v>
      </c>
      <c r="B4484" s="2" t="str">
        <f>IFERROR(__xludf.DUMMYFUNCTION("GOOGLETRANSLATE(A4484, ""en"", ""mt"")"),"Qrati tal-Istati Membri")</f>
        <v>Qrati tal-Istati Membri</v>
      </c>
    </row>
    <row r="4485" ht="15.75" customHeight="1">
      <c r="A4485" s="2" t="s">
        <v>4485</v>
      </c>
      <c r="B4485" s="2" t="str">
        <f>IFERROR(__xludf.DUMMYFUNCTION("GOOGLETRANSLATE(A4485, ""en"", ""mt"")"),"X'inhu l-isem tal-faċilità tal-baskitbol ta 'Harvard?")</f>
        <v>X'inhu l-isem tal-faċilità tal-baskitbol ta 'Harvard?</v>
      </c>
    </row>
    <row r="4486" ht="15.75" customHeight="1">
      <c r="A4486" s="2" t="s">
        <v>4486</v>
      </c>
      <c r="B4486" s="2" t="str">
        <f>IFERROR(__xludf.DUMMYFUNCTION("GOOGLETRANSLATE(A4486, ""en"", ""mt"")"),"Minbarra 1,3 u 7, liema numru ieħor għandu l-primes kollha akbar minn 5 jispiċċaw?")</f>
        <v>Minbarra 1,3 u 7, liema numru ieħor għandu l-primes kollha akbar minn 5 jispiċċaw?</v>
      </c>
    </row>
    <row r="4487" ht="15.75" customHeight="1">
      <c r="A4487" s="2" t="s">
        <v>4487</v>
      </c>
      <c r="B4487" s="2" t="str">
        <f>IFERROR(__xludf.DUMMYFUNCTION("GOOGLETRANSLATE(A4487, ""en"", ""mt"")"),"moderat")</f>
        <v>moderat</v>
      </c>
    </row>
    <row r="4488" ht="15.75" customHeight="1">
      <c r="A4488" s="2" t="s">
        <v>4488</v>
      </c>
      <c r="B4488" s="2" t="str">
        <f>IFERROR(__xludf.DUMMYFUNCTION("GOOGLETRANSLATE(A4488, ""en"", ""mt"")"),"Wara kull elezzjoni għall-Parlament Skoċċiż, fil-bidu ta 'kull sessjoni parlamentari, il-Parlament jagħżel MSP wieħed biex iservi bħala uffiċjal li jippresiedi, l-ekwivalenti tal-kelliem (bħalissa Tricia Marwick), u żewġ MSPs biex iservu bħala deputati (b"&amp;"ħalissa Elaine Smith u John Scott). L-uffiċjal li jippresiedi u d-deputati huma eletti minn votazzjoni sigrieta tal-129 MSPs, li hija l-unika votazzjoni sigrieta mmexxija fil-Parlament Skoċċiż. Prinċipalment, ir-rwol tal-uffiċjal li jippresiedi huwa li ji"&amp;"ppresjedi l-proċeduri tal-kamra u l-korp korporattiv Parlamentari Skoċċiż. Meta jippresjedi laqgħat tal-Parlament, l-uffiċjal li jippresiedi u d-deputati tiegħu / tagħha għandhom ikunu politikament imparzjali. Waqt id-dibattiti, l-uffiċjal li jippresiedi "&amp;"(jew id-deputat) huwa megħjun mill-iskrivani Parlamentari, li jagħtu pariri dwar kif jiġu interpretati l-ordnijiet permanenti li jirregolaw il-proċeduri tal-laqgħat. Skrivan tal-vot joqgħod quddiem l-uffiċjal li jippresiedi u jopera t-tagħmir tal-vot elet"&amp;"troniku u l-arloġġi tal-kamra.")</f>
        <v>Wara kull elezzjoni għall-Parlament Skoċċiż, fil-bidu ta 'kull sessjoni parlamentari, il-Parlament jagħżel MSP wieħed biex iservi bħala uffiċjal li jippresiedi, l-ekwivalenti tal-kelliem (bħalissa Tricia Marwick), u żewġ MSPs biex iservu bħala deputati (bħalissa Elaine Smith u John Scott). L-uffiċjal li jippresiedi u d-deputati huma eletti minn votazzjoni sigrieta tal-129 MSPs, li hija l-unika votazzjoni sigrieta mmexxija fil-Parlament Skoċċiż. Prinċipalment, ir-rwol tal-uffiċjal li jippresiedi huwa li jippresjedi l-proċeduri tal-kamra u l-korp korporattiv Parlamentari Skoċċiż. Meta jippresjedi laqgħat tal-Parlament, l-uffiċjal li jippresiedi u d-deputati tiegħu / tagħha għandhom ikunu politikament imparzjali. Waqt id-dibattiti, l-uffiċjal li jippresiedi (jew id-deputat) huwa megħjun mill-iskrivani Parlamentari, li jagħtu pariri dwar kif jiġu interpretati l-ordnijiet permanenti li jirregolaw il-proċeduri tal-laqgħat. Skrivan tal-vot joqgħod quddiem l-uffiċjal li jippresiedi u jopera t-tagħmir tal-vot elettroniku u l-arloġġi tal-kamra.</v>
      </c>
    </row>
    <row r="4489" ht="15.75" customHeight="1">
      <c r="A4489" s="2" t="s">
        <v>4489</v>
      </c>
      <c r="B4489" s="2" t="str">
        <f>IFERROR(__xludf.DUMMYFUNCTION("GOOGLETRANSLATE(A4489, ""en"", ""mt"")"),"Soċjaliżmu f'pajjiż wieħed """)</f>
        <v>Soċjaliżmu f'pajjiż wieħed "</v>
      </c>
    </row>
    <row r="4490" ht="15.75" customHeight="1">
      <c r="A4490" s="2" t="s">
        <v>4490</v>
      </c>
      <c r="B4490" s="2" t="str">
        <f>IFERROR(__xludf.DUMMYFUNCTION("GOOGLETRANSLATE(A4490, ""en"", ""mt"")"),"Problema tal-komputazzjoni")</f>
        <v>Problema tal-komputazzjoni</v>
      </c>
    </row>
    <row r="4491" ht="15.75" customHeight="1">
      <c r="A4491" s="2" t="s">
        <v>4491</v>
      </c>
      <c r="B4491" s="2" t="str">
        <f>IFERROR(__xludf.DUMMYFUNCTION("GOOGLETRANSLATE(A4491, ""en"", ""mt"")"),"il-koordinatur tal-proġett")</f>
        <v>il-koordinatur tal-proġett</v>
      </c>
    </row>
    <row r="4492" ht="15.75" customHeight="1">
      <c r="A4492" s="2" t="s">
        <v>4492</v>
      </c>
      <c r="B4492" s="2" t="str">
        <f>IFERROR(__xludf.DUMMYFUNCTION("GOOGLETRANSLATE(A4492, ""en"", ""mt"")"),"Is-Servizz tan-Netwerk tas-sinsla ta 'veloċità għolja ħafna (VBNS) ġie onlajn f'April 1995 bħala parti minn proġett sponsorjat tal-Fondazzjoni Nazzjonali tax-Xjenza (NSF) biex jipprovdi interkonnessjoni ta' veloċità għolja bejn ċentri ta 'superkompjuters "&amp;"sponsorjati mill-NSF u punti ta' aċċess magħżula fl-Istati Uniti. In-netwerk kien inġinerija u mħaddem minn telekomunikazzjonijiet MCI taħt ftehim kooperattiv mal-NSF. Sal-1998, il-VBNs kienu kibru biex jgħaqqdu aktar minn 100 università u istituzzjonijie"&amp;"t ta 'riċerka u inġinerija permezz ta '12 -il punt nazzjonali ta' preżenza ma 'DS-3 (45 mbit / s), OC-3C (155 mbit / s), u OC-12C ( 622 Mbit / s) links fuq is-sinsla kollha tal-OC-12C, proeza sostanzjali ta 'inġinerija għal dak iż-żmien. Il-VBNs installaw"&amp;" waħda mill-ewwel produzzjoni ta ’links IP OC-48C (2.5 GBIT / S) fi Frar 1999 u kompliet taġġorna s-sinsla kollha għal OC-48C.")</f>
        <v>Is-Servizz tan-Netwerk tas-sinsla ta 'veloċità għolja ħafna (VBNS) ġie onlajn f'April 1995 bħala parti minn proġett sponsorjat tal-Fondazzjoni Nazzjonali tax-Xjenza (NSF) biex jipprovdi interkonnessjoni ta' veloċità għolja bejn ċentri ta 'superkompjuters sponsorjati mill-NSF u punti ta' aċċess magħżula fl-Istati Uniti. In-netwerk kien inġinerija u mħaddem minn telekomunikazzjonijiet MCI taħt ftehim kooperattiv mal-NSF. Sal-1998, il-VBNs kienu kibru biex jgħaqqdu aktar minn 100 università u istituzzjonijiet ta 'riċerka u inġinerija permezz ta '12 -il punt nazzjonali ta' preżenza ma 'DS-3 (45 mbit / s), OC-3C (155 mbit / s), u OC-12C ( 622 Mbit / s) links fuq is-sinsla kollha tal-OC-12C, proeza sostanzjali ta 'inġinerija għal dak iż-żmien. Il-VBNs installaw waħda mill-ewwel produzzjoni ta ’links IP OC-48C (2.5 GBIT / S) fi Frar 1999 u kompliet taġġorna s-sinsla kollha għal OC-48C.</v>
      </c>
    </row>
    <row r="4493" ht="15.75" customHeight="1">
      <c r="A4493" s="2" t="s">
        <v>4493</v>
      </c>
      <c r="B4493" s="2" t="str">
        <f>IFERROR(__xludf.DUMMYFUNCTION("GOOGLETRANSLATE(A4493, ""en"", ""mt"")"),"Sojja")</f>
        <v>Sojja</v>
      </c>
    </row>
    <row r="4494" ht="15.75" customHeight="1">
      <c r="A4494" s="2" t="s">
        <v>4494</v>
      </c>
      <c r="B4494" s="2" t="str">
        <f>IFERROR(__xludf.DUMMYFUNCTION("GOOGLETRANSLATE(A4494, ""en"", ""mt"")"),"Liema każ kienu viġilanti Franċiżi jgħinu lill-vjeġġi ta 'frawli Spanjoli?")</f>
        <v>Liema każ kienu viġilanti Franċiżi jgħinu lill-vjeġġi ta 'frawli Spanjoli?</v>
      </c>
    </row>
    <row r="4495" ht="15.75" customHeight="1">
      <c r="A4495" s="2" t="s">
        <v>4495</v>
      </c>
      <c r="B4495" s="2" t="str">
        <f>IFERROR(__xludf.DUMMYFUNCTION("GOOGLETRANSLATE(A4495, ""en"", ""mt"")"),"Fl-Istati Uniti, kien hemm spinta biex tillegalizza l-importazzjoni ta 'mediċini mill-Kanada u pajjiżi oħra, sabiex jitnaqqsu l-ispejjeż tal-konsumatur. Filwaqt li fil-biċċa l-kbira tal-każijiet l-importazzjoni ta 'mediċini bir-riċetta tikser ir-regolamen"&amp;"ti tal-Amministrazzjoni tal-Ikel u d-Droga (FDA) u l-liġijiet federali, l-infurzar huwa ġeneralment immirat lejn fornituri tad-droga internazzjonali, aktar milli għall-konsumaturi. M'hemm l-ebda każ magħruf ta 'xi ċittadini ta' l-Istati Uniti li jixtru dr"&amp;"ogi Kanadiżi għal użu personali bi preskrizzjoni, li qatt ġie akkużat mill-awtoritajiet.")</f>
        <v>Fl-Istati Uniti, kien hemm spinta biex tillegalizza l-importazzjoni ta 'mediċini mill-Kanada u pajjiżi oħra, sabiex jitnaqqsu l-ispejjeż tal-konsumatur. Filwaqt li fil-biċċa l-kbira tal-każijiet l-importazzjoni ta 'mediċini bir-riċetta tikser ir-regolamenti tal-Amministrazzjoni tal-Ikel u d-Droga (FDA) u l-liġijiet federali, l-infurzar huwa ġeneralment immirat lejn fornituri tad-droga internazzjonali, aktar milli għall-konsumaturi. M'hemm l-ebda każ magħruf ta 'xi ċittadini ta' l-Istati Uniti li jixtru drogi Kanadiżi għal użu personali bi preskrizzjoni, li qatt ġie akkużat mill-awtoritajiet.</v>
      </c>
    </row>
    <row r="4496" ht="15.75" customHeight="1">
      <c r="A4496" s="2" t="s">
        <v>4496</v>
      </c>
      <c r="B4496" s="2" t="str">
        <f>IFERROR(__xludf.DUMMYFUNCTION("GOOGLETRANSLATE(A4496, ""en"", ""mt"")"),"Min ma jħobbx il-programm ta 'affiljat?")</f>
        <v>Min ma jħobbx il-programm ta 'affiljat?</v>
      </c>
    </row>
    <row r="4497" ht="15.75" customHeight="1">
      <c r="A4497" s="2" t="s">
        <v>4497</v>
      </c>
      <c r="B4497" s="2" t="str">
        <f>IFERROR(__xludf.DUMMYFUNCTION("GOOGLETRANSLATE(A4497, ""en"", ""mt"")"),"Kemm irnexxiet l-isforzi riveduti Franċiżi?")</f>
        <v>Kemm irnexxiet l-isforzi riveduti Franċiżi?</v>
      </c>
    </row>
    <row r="4498" ht="15.75" customHeight="1">
      <c r="A4498" s="2" t="s">
        <v>4498</v>
      </c>
      <c r="B4498" s="2" t="str">
        <f>IFERROR(__xludf.DUMMYFUNCTION("GOOGLETRANSLATE(A4498, ""en"", ""mt"")"),"Legalizza l-importazzjoni ta 'mediċini mill-Kanada u pajjiżi oħra")</f>
        <v>Legalizza l-importazzjoni ta 'mediċini mill-Kanada u pajjiżi oħra</v>
      </c>
    </row>
    <row r="4499" ht="15.75" customHeight="1">
      <c r="A4499" s="2" t="s">
        <v>4499</v>
      </c>
      <c r="B4499" s="2" t="str">
        <f>IFERROR(__xludf.DUMMYFUNCTION("GOOGLETRANSLATE(A4499, ""en"", ""mt"")"),"Il-Punent ra l-Lvant bħala xiex?")</f>
        <v>Il-Punent ra l-Lvant bħala xiex?</v>
      </c>
    </row>
    <row r="4500" ht="15.75" customHeight="1">
      <c r="A4500" s="2" t="s">
        <v>4500</v>
      </c>
      <c r="B4500" s="2" t="str">
        <f>IFERROR(__xludf.DUMMYFUNCTION("GOOGLETRANSLATE(A4500, ""en"", ""mt"")"),"in-numru wieħed biss")</f>
        <v>in-numru wieħed biss</v>
      </c>
    </row>
    <row r="4501" ht="15.75" customHeight="1">
      <c r="A4501" s="2" t="s">
        <v>4501</v>
      </c>
      <c r="B4501" s="2" t="str">
        <f>IFERROR(__xludf.DUMMYFUNCTION("GOOGLETRANSLATE(A4501, ""en"", ""mt"")"),"Merkurju")</f>
        <v>Merkurju</v>
      </c>
    </row>
    <row r="4502" ht="15.75" customHeight="1">
      <c r="A4502" s="2" t="s">
        <v>4502</v>
      </c>
      <c r="B4502" s="2" t="str">
        <f>IFERROR(__xludf.DUMMYFUNCTION("GOOGLETRANSLATE(A4502, ""en"", ""mt"")"),"Kemm hi mgħaġġla l-pesta pnewmonika ġeneralment toqtol ħafna nies meta titħalla mhux trattata?")</f>
        <v>Kemm hi mgħaġġla l-pesta pnewmonika ġeneralment toqtol ħafna nies meta titħalla mhux trattata?</v>
      </c>
    </row>
    <row r="4503" ht="15.75" customHeight="1">
      <c r="A4503" s="2" t="s">
        <v>4503</v>
      </c>
      <c r="B4503" s="2" t="str">
        <f>IFERROR(__xludf.DUMMYFUNCTION("GOOGLETRANSLATE(A4503, ""en"", ""mt"")"),"Uniformitarjiżmu")</f>
        <v>Uniformitarjiżmu</v>
      </c>
    </row>
    <row r="4504" ht="15.75" customHeight="1">
      <c r="A4504" s="2" t="s">
        <v>4504</v>
      </c>
      <c r="B4504" s="2" t="str">
        <f>IFERROR(__xludf.DUMMYFUNCTION("GOOGLETRANSLATE(A4504, ""en"", ""mt"")"),"F’liema sena Alpha Phi Omega stima li madwar 10% tal-istudenti pparteċipaw f’sororitajiet / fraternitajiet?")</f>
        <v>F’liema sena Alpha Phi Omega stima li madwar 10% tal-istudenti pparteċipaw f’sororitajiet / fraternitajiet?</v>
      </c>
    </row>
    <row r="4505" ht="15.75" customHeight="1">
      <c r="A4505" s="2" t="s">
        <v>4505</v>
      </c>
      <c r="B4505" s="2" t="str">
        <f>IFERROR(__xludf.DUMMYFUNCTION("GOOGLETRANSLATE(A4505, ""en"", ""mt"")"),"It-tensjoni tal-istress")</f>
        <v>It-tensjoni tal-istress</v>
      </c>
    </row>
    <row r="4506" ht="15.75" customHeight="1">
      <c r="A4506" s="2" t="s">
        <v>4506</v>
      </c>
      <c r="B4506" s="2" t="str">
        <f>IFERROR(__xludf.DUMMYFUNCTION("GOOGLETRANSLATE(A4506, ""en"", ""mt"")"),"Ir-Renju Unit")</f>
        <v>Ir-Renju Unit</v>
      </c>
    </row>
    <row r="4507" ht="15.75" customHeight="1">
      <c r="A4507" s="2" t="s">
        <v>4507</v>
      </c>
      <c r="B4507" s="2" t="str">
        <f>IFERROR(__xludf.DUMMYFUNCTION("GOOGLETRANSLATE(A4507, ""en"", ""mt"")"),"X'inhu l-ossiġnu fid-Dinja, O, imsejjaħ?")</f>
        <v>X'inhu l-ossiġnu fid-Dinja, O, imsejjaħ?</v>
      </c>
    </row>
    <row r="4508" ht="15.75" customHeight="1">
      <c r="A4508" s="2" t="s">
        <v>4508</v>
      </c>
      <c r="B4508" s="2" t="str">
        <f>IFERROR(__xludf.DUMMYFUNCTION("GOOGLETRANSLATE(A4508, ""en"", ""mt"")"),"Tkabbir ekonomiku fit-tul")</f>
        <v>Tkabbir ekonomiku fit-tul</v>
      </c>
    </row>
    <row r="4509" ht="15.75" customHeight="1">
      <c r="A4509" s="2" t="s">
        <v>4509</v>
      </c>
      <c r="B4509" s="2" t="str">
        <f>IFERROR(__xludf.DUMMYFUNCTION("GOOGLETRANSLATE(A4509, ""en"", ""mt"")"),"X'inhu t-terminu għat-trab minfuħ tar-riħ fi tundra?")</f>
        <v>X'inhu t-terminu għat-trab minfuħ tar-riħ fi tundra?</v>
      </c>
    </row>
    <row r="4510" ht="15.75" customHeight="1">
      <c r="A4510" s="2" t="s">
        <v>4510</v>
      </c>
      <c r="B4510" s="2" t="str">
        <f>IFERROR(__xludf.DUMMYFUNCTION("GOOGLETRANSLATE(A4510, ""en"", ""mt"")"),"28 ta 'Novembru, 1995")</f>
        <v>28 ta 'Novembru, 1995</v>
      </c>
    </row>
    <row r="4511" ht="15.75" customHeight="1">
      <c r="A4511" s="2" t="s">
        <v>4511</v>
      </c>
      <c r="B4511" s="2" t="str">
        <f>IFERROR(__xludf.DUMMYFUNCTION("GOOGLETRANSLATE(A4511, ""en"", ""mt"")"),"Baċin Solimões")</f>
        <v>Baċin Solimões</v>
      </c>
    </row>
    <row r="4512" ht="15.75" customHeight="1">
      <c r="A4512" s="2" t="s">
        <v>4512</v>
      </c>
      <c r="B4512" s="2" t="str">
        <f>IFERROR(__xludf.DUMMYFUNCTION("GOOGLETRANSLATE(A4512, ""en"", ""mt"")"),"It-2 Seklu BCE")</f>
        <v>It-2 Seklu BCE</v>
      </c>
    </row>
    <row r="4513" ht="15.75" customHeight="1">
      <c r="A4513" s="2" t="s">
        <v>4513</v>
      </c>
      <c r="B4513" s="2" t="str">
        <f>IFERROR(__xludf.DUMMYFUNCTION("GOOGLETRANSLATE(A4513, ""en"", ""mt"")"),"L-ilma fuq in-naħa tal-Lvant ħareġ lejn l-Atlantiku,")</f>
        <v>L-ilma fuq in-naħa tal-Lvant ħareġ lejn l-Atlantiku,</v>
      </c>
    </row>
    <row r="4514" ht="15.75" customHeight="1">
      <c r="A4514" s="2" t="s">
        <v>4514</v>
      </c>
      <c r="B4514" s="2" t="str">
        <f>IFERROR(__xludf.DUMMYFUNCTION("GOOGLETRANSLATE(A4514, ""en"", ""mt"")"),"Kemm kotba huma approvati mill-Assoċjazzjoni Amerikana tal-Librerija?")</f>
        <v>Kemm kotba huma approvati mill-Assoċjazzjoni Amerikana tal-Librerija?</v>
      </c>
    </row>
    <row r="4515" ht="15.75" customHeight="1">
      <c r="A4515" s="2" t="s">
        <v>4515</v>
      </c>
      <c r="B4515" s="2" t="str">
        <f>IFERROR(__xludf.DUMMYFUNCTION("GOOGLETRANSLATE(A4515, ""en"", ""mt"")")," Meta twieled Mongke Khan?")</f>
        <v> Meta twieled Mongke Khan?</v>
      </c>
    </row>
    <row r="4516" ht="15.75" customHeight="1">
      <c r="A4516" s="2" t="s">
        <v>4516</v>
      </c>
      <c r="B4516" s="2" t="str">
        <f>IFERROR(__xludf.DUMMYFUNCTION("GOOGLETRANSLATE(A4516, ""en"", ""mt"")"),"skart tossiku")</f>
        <v>skart tossiku</v>
      </c>
    </row>
    <row r="4517" ht="15.75" customHeight="1">
      <c r="A4517" s="2" t="s">
        <v>4517</v>
      </c>
      <c r="B4517" s="2" t="str">
        <f>IFERROR(__xludf.DUMMYFUNCTION("GOOGLETRANSLATE(A4517, ""en"", ""mt"")"),"Kemm-il ġurnata ddum ir-rewwixta tal-Armata l-Ħamra?")</f>
        <v>Kemm-il ġurnata ddum ir-rewwixta tal-Armata l-Ħamra?</v>
      </c>
    </row>
    <row r="4518" ht="15.75" customHeight="1">
      <c r="A4518" s="2" t="s">
        <v>4518</v>
      </c>
      <c r="B4518" s="2" t="str">
        <f>IFERROR(__xludf.DUMMYFUNCTION("GOOGLETRANSLATE(A4518, ""en"", ""mt"")"),"X'inhi okkorrenza komuni matul il-jiem tas-sajf?")</f>
        <v>X'inhi okkorrenza komuni matul il-jiem tas-sajf?</v>
      </c>
    </row>
    <row r="4519" ht="15.75" customHeight="1">
      <c r="A4519" s="2" t="s">
        <v>4519</v>
      </c>
      <c r="B4519" s="2" t="str">
        <f>IFERROR(__xludf.DUMMYFUNCTION("GOOGLETRANSLATE(A4519, ""en"", ""mt"")"),"Minħabba d-dgħjufija tal-forzi Franċiżi fi Louisbourg, x’għamel Loudoun?")</f>
        <v>Minħabba d-dgħjufija tal-forzi Franċiżi fi Louisbourg, x’għamel Loudoun?</v>
      </c>
    </row>
    <row r="4520" ht="15.75" customHeight="1">
      <c r="A4520" s="2" t="s">
        <v>4520</v>
      </c>
      <c r="B4520" s="2" t="str">
        <f>IFERROR(__xludf.DUMMYFUNCTION("GOOGLETRANSLATE(A4520, ""en"", ""mt"")"),"Skejjel tal-Istat jew tal-Gvern")</f>
        <v>Skejjel tal-Istat jew tal-Gvern</v>
      </c>
    </row>
    <row r="4521" ht="15.75" customHeight="1">
      <c r="A4521" s="2" t="s">
        <v>4521</v>
      </c>
      <c r="B4521" s="2" t="str">
        <f>IFERROR(__xludf.DUMMYFUNCTION("GOOGLETRANSLATE(A4521, ""en"", ""mt"")"),"Iż-żewġ simboli l-aktar komunement assoċjati mal-ispiżerija f'pajjiżi li jitkellmu bl-Ingliż huma l-mehrież u l-lida u l-karattru ℞ (reċipjent), li ħafna drabi huwa miktub bħala ""rx"" fit-test ittajpjat. Il-globu tal-ispettaklu ntuża wkoll sal-bidu tas-s"&amp;"eklu 20. L-organizzazzjonijiet tal-ispiżerija spiss jużaw simboli oħra, bħall-iskutella ta 'l-iġeia li ħafna drabi tintuża fl-Olanda, miżuri koniċi, u kaduċewes fil-logos tagħhom. Simboli oħra huma komuni f'pajjiżi differenti: is-Salib Grieg aħdar fi Fran"&amp;"za, l-Arġentina, ir-Renju Unit, il-Belġju, l-Irlanda, l-Italja, Spanja, u l-Indja, il-Gaper dejjem aktar rari fl-Olanda, u ittra stilizzata ħamra A fil-Ġermanja u l-Awstrija (Minn Apotheke, il-kelma Ġermaniża għall-ispiżerija, mill-istess għerq Griega bħa"&amp;"ll-kelma Ingliża 'Apothecary').")</f>
        <v>Iż-żewġ simboli l-aktar komunement assoċjati mal-ispiżerija f'pajjiżi li jitkellmu bl-Ingliż huma l-mehrież u l-lida u l-karattru ℞ (reċipjent), li ħafna drabi huwa miktub bħala "rx" fit-test ittajpjat. Il-globu tal-ispettaklu ntuża wkoll sal-bidu tas-seklu 20. L-organizzazzjonijiet tal-ispiżerija spiss jużaw simboli oħra, bħall-iskutella ta 'l-iġeia li ħafna drabi tintuża fl-Olanda, miżuri koniċi, u kaduċewes fil-logos tagħhom. Simboli oħra huma komuni f'pajjiżi differenti: is-Salib Grieg aħdar fi Franza, l-Arġentina, ir-Renju Unit, il-Belġju, l-Irlanda, l-Italja, Spanja, u l-Indja, il-Gaper dejjem aktar rari fl-Olanda, u ittra stilizzata ħamra A fil-Ġermanja u l-Awstrija (Minn Apotheke, il-kelma Ġermaniża għall-ispiżerija, mill-istess għerq Griega bħall-kelma Ingliża 'Apothecary').</v>
      </c>
    </row>
    <row r="4522" ht="15.75" customHeight="1">
      <c r="A4522" s="2" t="s">
        <v>4522</v>
      </c>
      <c r="B4522" s="2" t="str">
        <f>IFERROR(__xludf.DUMMYFUNCTION("GOOGLETRANSLATE(A4522, ""en"", ""mt"")"),"Kathmandu")</f>
        <v>Kathmandu</v>
      </c>
    </row>
    <row r="4523" ht="15.75" customHeight="1">
      <c r="A4523" s="2" t="s">
        <v>4523</v>
      </c>
      <c r="B4523" s="2" t="str">
        <f>IFERROR(__xludf.DUMMYFUNCTION("GOOGLETRANSLATE(A4523, ""en"", ""mt"")"),"mill-inqas 90%")</f>
        <v>mill-inqas 90%</v>
      </c>
    </row>
    <row r="4524" ht="15.75" customHeight="1">
      <c r="A4524" s="2" t="s">
        <v>4524</v>
      </c>
      <c r="B4524" s="2" t="str">
        <f>IFERROR(__xludf.DUMMYFUNCTION("GOOGLETRANSLATE(A4524, ""en"", ""mt"")"),"Netwerk ta 'Komunikazzjonijiet fuq skala kbira, imqassma, li jista' jibqa 'ħaj")</f>
        <v>Netwerk ta 'Komunikazzjonijiet fuq skala kbira, imqassma, li jista' jibqa 'ħaj</v>
      </c>
    </row>
    <row r="4525" ht="15.75" customHeight="1">
      <c r="A4525" s="2" t="s">
        <v>4525</v>
      </c>
      <c r="B4525" s="2" t="str">
        <f>IFERROR(__xludf.DUMMYFUNCTION("GOOGLETRANSLATE(A4525, ""en"", ""mt"")"),"Minbarra l-ipoteżi ta 'Riemann, ħafna iktar konġetturi li jduru dwar il-primes ġew maħluqa. Ħafna drabi jkollhom formulazzjoni elementari, ħafna minn dawn il-konġetturi rreżistew prova għal għexieren ta 'snin: l-erba' problemi ta 'Landau mill-1912 għadhom"&amp;" mhux solvuti. Waħda minnhom hija l-konġettura ta 'Goldbach, li tafferma li kull numru sħiħ n akbar minn 2 jista' jinkiteb bħala somma ta 'żewġ primes. Minn Frar 2011 [aġġornament], din il-konġettura ġiet ivverifikata għan-numri kollha sa n = 2 · 1017. Di"&amp;"kjarazzjonijiet aktar dgħajfa minn dan ġew ippruvati, pereżempju t-teorema ta 'Vinogradov tgħid li kull numru sħiħ fard kbir biżżejjed jista' jinkiteb bħala somma ta ' tliet primes. It-teorema ta 'Chen tgħid li kull numru kbir biżżejjed uniformi jista' ji"&amp;"ġi espress bħala s-somma ta 'prim u semiprime, il-prodott ta' żewġ primes. Ukoll, kwalunkwe numru sħiħ jista 'jinkiteb bħala s-somma ta' sitt primes. Il-fergħa tat-teorija tan-numri li tistudja dawn il-mistoqsijiet tissejjaħ teorija tan-numru tal-addittiv"&amp;".")</f>
        <v>Minbarra l-ipoteżi ta 'Riemann, ħafna iktar konġetturi li jduru dwar il-primes ġew maħluqa. Ħafna drabi jkollhom formulazzjoni elementari, ħafna minn dawn il-konġetturi rreżistew prova għal għexieren ta 'snin: l-erba' problemi ta 'Landau mill-1912 għadhom mhux solvuti. Waħda minnhom hija l-konġettura ta 'Goldbach, li tafferma li kull numru sħiħ n akbar minn 2 jista' jinkiteb bħala somma ta 'żewġ primes. Minn Frar 2011 [aġġornament], din il-konġettura ġiet ivverifikata għan-numri kollha sa n = 2 · 1017. Dikjarazzjonijiet aktar dgħajfa minn dan ġew ippruvati, pereżempju t-teorema ta 'Vinogradov tgħid li kull numru sħiħ fard kbir biżżejjed jista' jinkiteb bħala somma ta ' tliet primes. It-teorema ta 'Chen tgħid li kull numru kbir biżżejjed uniformi jista' jiġi espress bħala s-somma ta 'prim u semiprime, il-prodott ta' żewġ primes. Ukoll, kwalunkwe numru sħiħ jista 'jinkiteb bħala s-somma ta' sitt primes. Il-fergħa tat-teorija tan-numri li tistudja dawn il-mistoqsijiet tissejjaħ teorija tan-numru tal-addittiv.</v>
      </c>
    </row>
    <row r="4526" ht="15.75" customHeight="1">
      <c r="A4526" s="2" t="s">
        <v>4526</v>
      </c>
      <c r="B4526" s="2" t="str">
        <f>IFERROR(__xludf.DUMMYFUNCTION("GOOGLETRANSLATE(A4526, ""en"", ""mt"")"),"Shiphrah u Puah irrifjutaw ordni diretta tal-Fargħun iżda rrappreżentaw ħażin kif għamlu dan")</f>
        <v>Shiphrah u Puah irrifjutaw ordni diretta tal-Fargħun iżda rrappreżentaw ħażin kif għamlu dan</v>
      </c>
    </row>
    <row r="4527" ht="15.75" customHeight="1">
      <c r="A4527" s="2" t="s">
        <v>4527</v>
      </c>
      <c r="B4527" s="2" t="str">
        <f>IFERROR(__xludf.DUMMYFUNCTION("GOOGLETRANSLATE(A4527, ""en"", ""mt"")"),"Ġermanja")</f>
        <v>Ġermanja</v>
      </c>
    </row>
    <row r="4528" ht="15.75" customHeight="1">
      <c r="A4528" s="2" t="s">
        <v>4528</v>
      </c>
      <c r="B4528" s="2" t="str">
        <f>IFERROR(__xludf.DUMMYFUNCTION("GOOGLETRANSLATE(A4528, ""en"", ""mt"")"),"Matul l-istadju tal-kompressjoni taċ-ċiklu tal-effiċjenza, f'liema stat huwa l-fluwidu tax-xogħol?")</f>
        <v>Matul l-istadju tal-kompressjoni taċ-ċiklu tal-effiċjenza, f'liema stat huwa l-fluwidu tax-xogħol?</v>
      </c>
    </row>
    <row r="4529" ht="15.75" customHeight="1">
      <c r="A4529" s="2" t="s">
        <v>4529</v>
      </c>
      <c r="B4529" s="2" t="str">
        <f>IFERROR(__xludf.DUMMYFUNCTION("GOOGLETRANSLATE(A4529, ""en"", ""mt"")"),"Konservattiv")</f>
        <v>Konservattiv</v>
      </c>
    </row>
    <row r="4530" ht="15.75" customHeight="1">
      <c r="A4530" s="2" t="s">
        <v>4530</v>
      </c>
      <c r="B4530" s="2" t="str">
        <f>IFERROR(__xludf.DUMMYFUNCTION("GOOGLETRANSLATE(A4530, ""en"", ""mt"")"),"Kemm irġiel ikbar minn 18-il sena hemm għal kull 100 mara?")</f>
        <v>Kemm irġiel ikbar minn 18-il sena hemm għal kull 100 mara?</v>
      </c>
    </row>
    <row r="4531" ht="15.75" customHeight="1">
      <c r="A4531" s="2" t="s">
        <v>4531</v>
      </c>
      <c r="B4531" s="2" t="str">
        <f>IFERROR(__xludf.DUMMYFUNCTION("GOOGLETRANSLATE(A4531, ""en"", ""mt"")"),"In-nequalità fil-preżenza tal-perfezzjonijiet tas-suq tal-kreditu għandha x'tip ta 'effett fuq il-formazzjoni tal-kapital uman?")</f>
        <v>In-nequalità fil-preżenza tal-perfezzjonijiet tas-suq tal-kreditu għandha x'tip ta 'effett fuq il-formazzjoni tal-kapital uman?</v>
      </c>
    </row>
    <row r="4532" ht="15.75" customHeight="1">
      <c r="A4532" s="2" t="s">
        <v>4532</v>
      </c>
      <c r="B4532" s="2" t="str">
        <f>IFERROR(__xludf.DUMMYFUNCTION("GOOGLETRANSLATE(A4532, ""en"", ""mt"")"),"F’liema seklu Mayow u Boyle wettqu l-esperimenti tagħhom?")</f>
        <v>F’liema seklu Mayow u Boyle wettqu l-esperimenti tagħhom?</v>
      </c>
    </row>
    <row r="4533" ht="15.75" customHeight="1">
      <c r="A4533" s="2" t="s">
        <v>4533</v>
      </c>
      <c r="B4533" s="2" t="str">
        <f>IFERROR(__xludf.DUMMYFUNCTION("GOOGLETRANSLATE(A4533, ""en"", ""mt"")"),"Fis-17 ta 'Marzu, 1752, il-Gvernatur Ġenerali ta' New France, Marquis de la Jonquière, miet u ġie sostitwit temporanjament minn Charles Le Moyne de Longueuil. Is-sostituzzjoni permanenti tiegħu, il-Markiz Duquesne, ma waslitx fi Franza l-ġdida sal-1752 bi"&amp;"ex tieħu f'idejha l-lasta. L-attività Brittanika kontinwa fit-territorji ta 'Ohio wasslet lil Longueuil biex jibgħat spedizzjoni oħra lejn iż-żona taħt il-kmand ta' Charles Michel de Langlade, uffiċjal fit-Troupes de la Marine. Langlade ingħata 300 irġiel"&amp;", inklużi Franċiżi-Kanadiżi u ġellieda tal-Ottawa. L-għan tiegħu kien li jikkastiga lin-nies ta ’Miami ta’ Pickawillany talli ma segwewx l-ordnijiet ta ’Céloron biex jieqfu jinnegozjaw mal-Ingliżi. Fil-21 ta 'Ġunju, il-partit tal-gwerra Franċiż attakka ċ-"&amp;"ċentru tal-kummerċ fi Pickawillany, qabad tliet negozjanti u qatel 14-il persuna tan-nazzjon ta' Miami, inkluż il-Brittaniku Old. Huwa kien rappurtat li kien ritually cannibalized minn xi membri aboriġini ta 'l-ispedizzjoni.")</f>
        <v>Fis-17 ta 'Marzu, 1752, il-Gvernatur Ġenerali ta' New France, Marquis de la Jonquière, miet u ġie sostitwit temporanjament minn Charles Le Moyne de Longueuil. Is-sostituzzjoni permanenti tiegħu, il-Markiz Duquesne, ma waslitx fi Franza l-ġdida sal-1752 biex tieħu f'idejha l-lasta. L-attività Brittanika kontinwa fit-territorji ta 'Ohio wasslet lil Longueuil biex jibgħat spedizzjoni oħra lejn iż-żona taħt il-kmand ta' Charles Michel de Langlade, uffiċjal fit-Troupes de la Marine. Langlade ingħata 300 irġiel, inklużi Franċiżi-Kanadiżi u ġellieda tal-Ottawa. L-għan tiegħu kien li jikkastiga lin-nies ta ’Miami ta’ Pickawillany talli ma segwewx l-ordnijiet ta ’Céloron biex jieqfu jinnegozjaw mal-Ingliżi. Fil-21 ta 'Ġunju, il-partit tal-gwerra Franċiż attakka ċ-ċentru tal-kummerċ fi Pickawillany, qabad tliet negozjanti u qatel 14-il persuna tan-nazzjon ta' Miami, inkluż il-Brittaniku Old. Huwa kien rappurtat li kien ritually cannibalized minn xi membri aboriġini ta 'l-ispedizzjoni.</v>
      </c>
    </row>
    <row r="4534" ht="15.75" customHeight="1">
      <c r="A4534" s="2" t="s">
        <v>4534</v>
      </c>
      <c r="B4534" s="2" t="str">
        <f>IFERROR(__xludf.DUMMYFUNCTION("GOOGLETRANSLATE(A4534, ""en"", ""mt"")"),"X'inhi kelma oħra biex tnaqqas il-blat bil-Franċiż?")</f>
        <v>X'inhi kelma oħra biex tnaqqas il-blat bil-Franċiż?</v>
      </c>
    </row>
    <row r="4535" ht="15.75" customHeight="1">
      <c r="A4535" s="2" t="s">
        <v>4535</v>
      </c>
      <c r="B4535" s="2" t="str">
        <f>IFERROR(__xludf.DUMMYFUNCTION("GOOGLETRANSLATE(A4535, ""en"", ""mt"")"),"Dijossidu tal-karbonju")</f>
        <v>Dijossidu tal-karbonju</v>
      </c>
    </row>
    <row r="4536" ht="15.75" customHeight="1">
      <c r="A4536" s="2" t="s">
        <v>4536</v>
      </c>
      <c r="B4536" s="2" t="str">
        <f>IFERROR(__xludf.DUMMYFUNCTION("GOOGLETRANSLATE(A4536, ""en"", ""mt"")"),"Pressjoni ikbar tal-fwar u aktar qawwa")</f>
        <v>Pressjoni ikbar tal-fwar u aktar qawwa</v>
      </c>
    </row>
    <row r="4537" ht="15.75" customHeight="1">
      <c r="A4537" s="2" t="s">
        <v>4537</v>
      </c>
      <c r="B4537" s="2" t="str">
        <f>IFERROR(__xludf.DUMMYFUNCTION("GOOGLETRANSLATE(A4537, ""en"", ""mt"")"),"Meta ġiet approvata l-Karta tal-Belt ta 'Jacksonville?")</f>
        <v>Meta ġiet approvata l-Karta tal-Belt ta 'Jacksonville?</v>
      </c>
    </row>
    <row r="4538" ht="15.75" customHeight="1">
      <c r="A4538" s="2" t="s">
        <v>4538</v>
      </c>
      <c r="B4538" s="2" t="str">
        <f>IFERROR(__xludf.DUMMYFUNCTION("GOOGLETRANSLATE(A4538, ""en"", ""mt"")"),"Liema sena l-kulleġġ kellu l-ogħla rata ta 'aċċettazzjoni fl-istorja tiegħu?")</f>
        <v>Liema sena l-kulleġġ kellu l-ogħla rata ta 'aċċettazzjoni fl-istorja tiegħu?</v>
      </c>
    </row>
    <row r="4539" ht="15.75" customHeight="1">
      <c r="A4539" s="2" t="s">
        <v>4539</v>
      </c>
      <c r="B4539" s="2" t="str">
        <f>IFERROR(__xludf.DUMMYFUNCTION("GOOGLETRANSLATE(A4539, ""en"", ""mt"")"),"Il-Filippini")</f>
        <v>Il-Filippini</v>
      </c>
    </row>
    <row r="4540" ht="15.75" customHeight="1">
      <c r="A4540" s="2" t="s">
        <v>4540</v>
      </c>
      <c r="B4540" s="2" t="str">
        <f>IFERROR(__xludf.DUMMYFUNCTION("GOOGLETRANSLATE(A4540, ""en"", ""mt"")"),"Liema entità ma ħaditx il-fehma li l-għan speċifiku tal-kummerċ ħieles huwa sostnut mill-għanijiet ġenerali ta 'titjib tal-benesseri tan-nies?")</f>
        <v>Liema entità ma ħaditx il-fehma li l-għan speċifiku tal-kummerċ ħieles huwa sostnut mill-għanijiet ġenerali ta 'titjib tal-benesseri tan-nies?</v>
      </c>
    </row>
    <row r="4541" ht="15.75" customHeight="1">
      <c r="A4541" s="2" t="s">
        <v>4541</v>
      </c>
      <c r="B4541" s="2" t="str">
        <f>IFERROR(__xludf.DUMMYFUNCTION("GOOGLETRANSLATE(A4541, ""en"", ""mt"")"),"sistema ta 'kanali interni")</f>
        <v>sistema ta 'kanali interni</v>
      </c>
    </row>
    <row r="4542" ht="15.75" customHeight="1">
      <c r="A4542" s="2" t="s">
        <v>4542</v>
      </c>
      <c r="B4542" s="2" t="str">
        <f>IFERROR(__xludf.DUMMYFUNCTION("GOOGLETRANSLATE(A4542, ""en"", ""mt"")"),"L-ossiġenu huwa element kimiku bis-simbolu O u n-numru atomiku 8. Huwa membru tal-grupp ta 'chalcogen fuq it-tabella perjodika u huwa aġent mhux immetattiv u ossidanti reattiv ħafna li faċilment jifforma komposti (l-aktar ossidi) b'ħafna elementi. Bil-mas"&amp;"sa, l-ossiġnu huwa t-tielet l-iktar element abbundanti fl-univers, wara l-idroġenu u l-elju. F'temperatura u pressjoni standard, żewġ atomi ta 'l-element jorbtu biex jiffurmaw dijossiġnu, gass diatomiku bla kulur u bla riħa bil-formula o
2. Il-gass ossiġe"&amp;"nu diatomiku jikkostitwixxi 20.8% tal-atmosfera tad-dinja. Madankollu, il-monitoraġġ tal-livelli ta 'ossiġnu atmosferiku juri xejra' l isfel globali, minħabba ħruq ta 'fjuwils fossili. L-ossiġnu huwa l-iktar element abbundanti bil-massa fil-qoxra tad-dinj"&amp;"a bħala parti mill-komposti ta 'ossidu bħal dijossidu tas-silikon, li jifforma kważi nofs il-massa tal-qoxra.")</f>
        <v>L-ossiġenu huwa element kimiku bis-simbolu O u n-numru atomiku 8. Huwa membru tal-grupp ta 'chalcogen fuq it-tabella perjodika u huwa aġent mhux immetattiv u ossidanti reattiv ħafna li faċilment jifforma komposti (l-aktar ossidi) b'ħafna elementi. Bil-massa, l-ossiġnu huwa t-tielet l-iktar element abbundanti fl-univers, wara l-idroġenu u l-elju. F'temperatura u pressjoni standard, żewġ atomi ta 'l-element jorbtu biex jiffurmaw dijossiġnu, gass diatomiku bla kulur u bla riħa bil-formula o
2. Il-gass ossiġenu diatomiku jikkostitwixxi 20.8% tal-atmosfera tad-dinja. Madankollu, il-monitoraġġ tal-livelli ta 'ossiġnu atmosferiku juri xejra' l isfel globali, minħabba ħruq ta 'fjuwils fossili. L-ossiġnu huwa l-iktar element abbundanti bil-massa fil-qoxra tad-dinja bħala parti mill-komposti ta 'ossidu bħal dijossidu tas-silikon, li jifforma kważi nofs il-massa tal-qoxra.</v>
      </c>
    </row>
    <row r="4543" ht="15.75" customHeight="1">
      <c r="A4543" s="2" t="s">
        <v>4543</v>
      </c>
      <c r="B4543" s="2" t="str">
        <f>IFERROR(__xludf.DUMMYFUNCTION("GOOGLETRANSLATE(A4543, ""en"", ""mt"")"),"Liema ftehim sar għall-kummerċ ma 'indiġeni u Ingliżi?")</f>
        <v>Liema ftehim sar għall-kummerċ ma 'indiġeni u Ingliżi?</v>
      </c>
    </row>
    <row r="4544" ht="15.75" customHeight="1">
      <c r="A4544" s="2" t="s">
        <v>4544</v>
      </c>
      <c r="B4544" s="2" t="str">
        <f>IFERROR(__xludf.DUMMYFUNCTION("GOOGLETRANSLATE(A4544, ""en"", ""mt"")"),"Fejn ġie osservat l-ewwel gvernatur ċentrifugali minn Watt?")</f>
        <v>Fejn ġie osservat l-ewwel gvernatur ċentrifugali minn Watt?</v>
      </c>
    </row>
    <row r="4545" ht="15.75" customHeight="1">
      <c r="A4545" s="2" t="s">
        <v>4545</v>
      </c>
      <c r="B4545" s="2" t="str">
        <f>IFERROR(__xludf.DUMMYFUNCTION("GOOGLETRANSLATE(A4545, ""en"", ""mt"")"),"ħafif u xemxi")</f>
        <v>ħafif u xemxi</v>
      </c>
    </row>
    <row r="4546" ht="15.75" customHeight="1">
      <c r="A4546" s="2" t="s">
        <v>4546</v>
      </c>
      <c r="B4546" s="2" t="str">
        <f>IFERROR(__xludf.DUMMYFUNCTION("GOOGLETRANSLATE(A4546, ""en"", ""mt"")"),"Librerija Harvard")</f>
        <v>Librerija Harvard</v>
      </c>
    </row>
    <row r="4547" ht="15.75" customHeight="1">
      <c r="A4547" s="2" t="s">
        <v>4547</v>
      </c>
      <c r="B4547" s="2" t="str">
        <f>IFERROR(__xludf.DUMMYFUNCTION("GOOGLETRANSLATE(A4547, ""en"", ""mt"")"),"X'inhu qatt involut f'reviżjoni ta 'mediċini preskritti?")</f>
        <v>X'inhu qatt involut f'reviżjoni ta 'mediċini preskritti?</v>
      </c>
    </row>
    <row r="4548" ht="15.75" customHeight="1">
      <c r="A4548" s="2" t="s">
        <v>4548</v>
      </c>
      <c r="B4548" s="2" t="str">
        <f>IFERROR(__xludf.DUMMYFUNCTION("GOOGLETRANSLATE(A4548, ""en"", ""mt"")"),"X'tip ta 'ċelloli T għandhom l-iskop li jimmodulaw ir-rispons immuni?")</f>
        <v>X'tip ta 'ċelloli T għandhom l-iskop li jimmodulaw ir-rispons immuni?</v>
      </c>
    </row>
    <row r="4549" ht="15.75" customHeight="1">
      <c r="A4549" s="2" t="s">
        <v>4549</v>
      </c>
      <c r="B4549" s="2" t="str">
        <f>IFERROR(__xludf.DUMMYFUNCTION("GOOGLETRANSLATE(A4549, ""en"", ""mt"")"),"Liema pajjiżi jużaw is-salib aħdar Grieg bħala simbolu tal-ispiżerija?")</f>
        <v>Liema pajjiżi jużaw is-salib aħdar Grieg bħala simbolu tal-ispiżerija?</v>
      </c>
    </row>
    <row r="4550" ht="15.75" customHeight="1">
      <c r="A4550" s="2" t="s">
        <v>4550</v>
      </c>
      <c r="B4550" s="2" t="str">
        <f>IFERROR(__xludf.DUMMYFUNCTION("GOOGLETRANSLATE(A4550, ""en"", ""mt"")"),"20 sa 1")</f>
        <v>20 sa 1</v>
      </c>
    </row>
    <row r="4551" ht="15.75" customHeight="1">
      <c r="A4551" s="2" t="s">
        <v>4551</v>
      </c>
      <c r="B4551" s="2" t="str">
        <f>IFERROR(__xludf.DUMMYFUNCTION("GOOGLETRANSLATE(A4551, ""en"", ""mt"")"),"60")</f>
        <v>60</v>
      </c>
    </row>
    <row r="4552" ht="15.75" customHeight="1">
      <c r="A4552" s="2" t="s">
        <v>4552</v>
      </c>
      <c r="B4552" s="2" t="str">
        <f>IFERROR(__xludf.DUMMYFUNCTION("GOOGLETRANSLATE(A4552, ""en"", ""mt"")"),"X'għandu jkun f'temperatura ta '28 ° C?")</f>
        <v>X'għandu jkun f'temperatura ta '28 ° C?</v>
      </c>
    </row>
    <row r="4553" ht="15.75" customHeight="1">
      <c r="A4553" s="2" t="s">
        <v>4553</v>
      </c>
      <c r="B4553" s="2" t="str">
        <f>IFERROR(__xludf.DUMMYFUNCTION("GOOGLETRANSLATE(A4553, ""en"", ""mt"")"),"Fi Frar 2010, bi tweġiba għal kontroversji rigward talbiet fir-Raba 'Rapport ta' Valutazzjoni, ħames xjenzati dwar il-klima - l-awturi kollha li jikkontribwixxu jew iwasslu għall-IPCC - kitbu fil-ġurnal Nature li jitolbu bidliet fl-IPCC. Huma ssuġġerew fi"&amp;"rxa ta 'għażliet organizzattivi ġodda, mill-issikkar tal-għażla ta' awturi ewlenin u kontributuri, biex jarmuha favur korp permanenti żgħir, jew saħansitra jibdlu l-proċess kollu ta 'valutazzjoni tax-xjenza dwar il-klima f'wikipedia-IPCC moderat ""ħaj"". "&amp;"Rakkomandazzjonijiet oħra inkludew li l-bord jimpjega persunal full-time u jneħħi s-sorveljanza tal-gvern mill-proċessi tiegħu biex tevita interferenza politika.")</f>
        <v>Fi Frar 2010, bi tweġiba għal kontroversji rigward talbiet fir-Raba 'Rapport ta' Valutazzjoni, ħames xjenzati dwar il-klima - l-awturi kollha li jikkontribwixxu jew iwasslu għall-IPCC - kitbu fil-ġurnal Nature li jitolbu bidliet fl-IPCC. Huma ssuġġerew firxa ta 'għażliet organizzattivi ġodda, mill-issikkar tal-għażla ta' awturi ewlenin u kontributuri, biex jarmuha favur korp permanenti żgħir, jew saħansitra jibdlu l-proċess kollu ta 'valutazzjoni tax-xjenza dwar il-klima f'wikipedia-IPCC moderat "ħaj". Rakkomandazzjonijiet oħra inkludew li l-bord jimpjega persunal full-time u jneħħi s-sorveljanza tal-gvern mill-proċessi tiegħu biex tevita interferenza politika.</v>
      </c>
    </row>
    <row r="4554" ht="15.75" customHeight="1">
      <c r="A4554" s="2" t="s">
        <v>4554</v>
      </c>
      <c r="B4554" s="2" t="str">
        <f>IFERROR(__xludf.DUMMYFUNCTION("GOOGLETRANSLATE(A4554, ""en"", ""mt"")"),"Fit-teorija taċ-ċirku, il-kunċett ta 'numru ġeneralment jinbidel ma' dak ta 'ideal. L-ideali ewlenin, li jiġġeneralizzaw l-elementi ewlenin fis-sens li l-ideali prinċipali ġġenerat minn element ewlieni huwa ideali ewlieni, huma għodda importanti u oġġett "&amp;"ta 'studju fl-alġebra kommutattiva, teorija ta' numri alġebriċi u ġeometrija alġebrika. L-ideali ewlenin taċ-ċirku ta 'numri interi huma l-ideali (0), (2), (3), (5), (7), (11), ... it-teorema fundamentali ta' l-aritmetika tiġġeneralizza għat-teorema Laske"&amp;"r-Noether, li Jesprimi kull ideali f'ċirku kommutattiv Noeterjan bħala intersezzjoni ta 'ideali primarji, li huma l-ġeneralizzazzjonijiet xierqa tal-poteri ewlenin.")</f>
        <v>Fit-teorija taċ-ċirku, il-kunċett ta 'numru ġeneralment jinbidel ma' dak ta 'ideal. L-ideali ewlenin, li jiġġeneralizzaw l-elementi ewlenin fis-sens li l-ideali prinċipali ġġenerat minn element ewlieni huwa ideali ewlieni, huma għodda importanti u oġġett ta 'studju fl-alġebra kommutattiva, teorija ta' numri alġebriċi u ġeometrija alġebrika. L-ideali ewlenin taċ-ċirku ta 'numri interi huma l-ideali (0), (2), (3), (5), (7), (11), ... it-teorema fundamentali ta' l-aritmetika tiġġeneralizza għat-teorema Lasker-Noether, li Jesprimi kull ideali f'ċirku kommutattiv Noeterjan bħala intersezzjoni ta 'ideali primarji, li huma l-ġeneralizzazzjonijiet xierqa tal-poteri ewlenin.</v>
      </c>
    </row>
    <row r="4555" ht="15.75" customHeight="1">
      <c r="A4555" s="2" t="s">
        <v>4555</v>
      </c>
      <c r="B4555" s="2" t="str">
        <f>IFERROR(__xludf.DUMMYFUNCTION("GOOGLETRANSLATE(A4555, ""en"", ""mt"")"),"Min ma kienx fuq l-ispedizzjoni ta 'Celeron?")</f>
        <v>Min ma kienx fuq l-ispedizzjoni ta 'Celeron?</v>
      </c>
    </row>
    <row r="4556" ht="15.75" customHeight="1">
      <c r="A4556" s="2" t="s">
        <v>4556</v>
      </c>
      <c r="B4556" s="2" t="str">
        <f>IFERROR(__xludf.DUMMYFUNCTION("GOOGLETRANSLATE(A4556, ""en"", ""mt"")"),"Shi Bingzhi")</f>
        <v>Shi Bingzhi</v>
      </c>
    </row>
    <row r="4557" ht="15.75" customHeight="1">
      <c r="A4557" s="2" t="s">
        <v>4557</v>
      </c>
      <c r="B4557" s="2" t="str">
        <f>IFERROR(__xludf.DUMMYFUNCTION("GOOGLETRANSLATE(A4557, ""en"", ""mt"")"),"Meta miet Hutton?")</f>
        <v>Meta miet Hutton?</v>
      </c>
    </row>
    <row r="4558" ht="15.75" customHeight="1">
      <c r="A4558" s="2" t="s">
        <v>4558</v>
      </c>
      <c r="B4558" s="2" t="str">
        <f>IFERROR(__xludf.DUMMYFUNCTION("GOOGLETRANSLATE(A4558, ""en"", ""mt"")"),"pseudorandom")</f>
        <v>pseudorandom</v>
      </c>
    </row>
    <row r="4559" ht="15.75" customHeight="1">
      <c r="A4559" s="2" t="s">
        <v>4559</v>
      </c>
      <c r="B4559" s="2" t="str">
        <f>IFERROR(__xludf.DUMMYFUNCTION("GOOGLETRANSLATE(A4559, ""en"", ""mt"")"),"Liema kumpanija tipprovdi servizz tal-ferrovija fi Fresno?")</f>
        <v>Liema kumpanija tipprovdi servizz tal-ferrovija fi Fresno?</v>
      </c>
    </row>
    <row r="4560" ht="15.75" customHeight="1">
      <c r="A4560" s="2" t="s">
        <v>4560</v>
      </c>
      <c r="B4560" s="2" t="str">
        <f>IFERROR(__xludf.DUMMYFUNCTION("GOOGLETRANSLATE(A4560, ""en"", ""mt"")"),"X'kienet l-intenzjoni tal-expedition ta 'Celeron?")</f>
        <v>X'kienet l-intenzjoni tal-expedition ta 'Celeron?</v>
      </c>
    </row>
    <row r="4561" ht="15.75" customHeight="1">
      <c r="A4561" s="2" t="s">
        <v>4561</v>
      </c>
      <c r="B4561" s="2" t="str">
        <f>IFERROR(__xludf.DUMMYFUNCTION("GOOGLETRANSLATE(A4561, ""en"", ""mt"")"),"Sweyn Forkbeard")</f>
        <v>Sweyn Forkbeard</v>
      </c>
    </row>
    <row r="4562" ht="15.75" customHeight="1">
      <c r="A4562" s="2" t="s">
        <v>4562</v>
      </c>
      <c r="B4562" s="2" t="str">
        <f>IFERROR(__xludf.DUMMYFUNCTION("GOOGLETRANSLATE(A4562, ""en"", ""mt"")"),"F'liema sena kien il-massakru ta 'Satyagraha?")</f>
        <v>F'liema sena kien il-massakru ta 'Satyagraha?</v>
      </c>
    </row>
    <row r="4563" ht="15.75" customHeight="1">
      <c r="A4563" s="2" t="s">
        <v>4563</v>
      </c>
      <c r="B4563" s="2" t="str">
        <f>IFERROR(__xludf.DUMMYFUNCTION("GOOGLETRANSLATE(A4563, ""en"", ""mt"")"),"Dħul mhux mill-ħolqien tal-ġid imma billi taqbad sehem akbar minnu jafu lill-ekonomisti b'liema terminu?")</f>
        <v>Dħul mhux mill-ħolqien tal-ġid imma billi taqbad sehem akbar minnu jafu lill-ekonomisti b'liema terminu?</v>
      </c>
    </row>
    <row r="4564" ht="15.75" customHeight="1">
      <c r="A4564" s="2" t="s">
        <v>4564</v>
      </c>
      <c r="B4564" s="2" t="str">
        <f>IFERROR(__xludf.DUMMYFUNCTION("GOOGLETRANSLATE(A4564, ""en"", ""mt"")"),"Liema kumpanija għandha ABC?")</f>
        <v>Liema kumpanija għandha ABC?</v>
      </c>
    </row>
    <row r="4565" ht="15.75" customHeight="1">
      <c r="A4565" s="2" t="s">
        <v>4565</v>
      </c>
      <c r="B4565" s="2" t="str">
        <f>IFERROR(__xludf.DUMMYFUNCTION("GOOGLETRANSLATE(A4565, ""en"", ""mt"")"),"Kemm għoli l-livell tal-baħar żdied matul l-età tas-silġ?")</f>
        <v>Kemm għoli l-livell tal-baħar żdied matul l-età tas-silġ?</v>
      </c>
    </row>
    <row r="4566" ht="15.75" customHeight="1">
      <c r="A4566" s="2" t="s">
        <v>4566</v>
      </c>
      <c r="B4566" s="2" t="str">
        <f>IFERROR(__xludf.DUMMYFUNCTION("GOOGLETRANSLATE(A4566, ""en"", ""mt"")"),"kisru xi liġijiet speċifiċi, imma jien ħati li ma għamilt l-ebda w")</f>
        <v>kisru xi liġijiet speċifiċi, imma jien ħati li ma għamilt l-ebda w</v>
      </c>
    </row>
    <row r="4567" ht="15.75" customHeight="1">
      <c r="A4567" s="2" t="s">
        <v>4567</v>
      </c>
      <c r="B4567" s="2" t="str">
        <f>IFERROR(__xludf.DUMMYFUNCTION("GOOGLETRANSLATE(A4567, ""en"", ""mt"")")," X'taħseb li Mote s-sistema tal-klassi Yuan ma rrappreżentatx?")</f>
        <v> X'taħseb li Mote s-sistema tal-klassi Yuan ma rrappreżentatx?</v>
      </c>
    </row>
    <row r="4568" ht="15.75" customHeight="1">
      <c r="A4568" s="2" t="s">
        <v>4568</v>
      </c>
      <c r="B4568" s="2" t="str">
        <f>IFERROR(__xludf.DUMMYFUNCTION("GOOGLETRANSLATE(A4568, ""en"", ""mt"")"),"Valley Buckland")</f>
        <v>Valley Buckland</v>
      </c>
    </row>
    <row r="4569" ht="15.75" customHeight="1">
      <c r="A4569" s="2" t="s">
        <v>4569</v>
      </c>
      <c r="B4569" s="2" t="str">
        <f>IFERROR(__xludf.DUMMYFUNCTION("GOOGLETRANSLATE(A4569, ""en"", ""mt"")"),"Ippubblika s-sejbiet tiegħu l-ewwel")</f>
        <v>Ippubblika s-sejbiet tiegħu l-ewwel</v>
      </c>
    </row>
    <row r="4570" ht="15.75" customHeight="1">
      <c r="A4570" s="2" t="s">
        <v>4570</v>
      </c>
      <c r="B4570" s="2" t="str">
        <f>IFERROR(__xludf.DUMMYFUNCTION("GOOGLETRANSLATE(A4570, ""en"", ""mt"")"),"ħin jew spazju")</f>
        <v>ħin jew spazju</v>
      </c>
    </row>
    <row r="4571" ht="15.75" customHeight="1">
      <c r="A4571" s="2" t="s">
        <v>4571</v>
      </c>
      <c r="B4571" s="2" t="str">
        <f>IFERROR(__xludf.DUMMYFUNCTION("GOOGLETRANSLATE(A4571, ""en"", ""mt"")"),"X'inhi r-rata medja ta 'preċipitazzjoni f'Lulju?")</f>
        <v>X'inhi r-rata medja ta 'preċipitazzjoni f'Lulju?</v>
      </c>
    </row>
    <row r="4572" ht="15.75" customHeight="1">
      <c r="A4572" s="2" t="s">
        <v>4572</v>
      </c>
      <c r="B4572" s="2" t="str">
        <f>IFERROR(__xludf.DUMMYFUNCTION("GOOGLETRANSLATE(A4572, ""en"", ""mt"")"),"X'kienu l-pjanijiet ta 'Loudoun għall-1775?")</f>
        <v>X'kienu l-pjanijiet ta 'Loudoun għall-1775?</v>
      </c>
    </row>
    <row r="4573" ht="15.75" customHeight="1">
      <c r="A4573" s="2" t="s">
        <v>4573</v>
      </c>
      <c r="B4573" s="2" t="str">
        <f>IFERROR(__xludf.DUMMYFUNCTION("GOOGLETRANSLATE(A4573, ""en"", ""mt"")"),"merkantiliżmu")</f>
        <v>merkantiliżmu</v>
      </c>
    </row>
    <row r="4574" ht="15.75" customHeight="1">
      <c r="A4574" s="2" t="s">
        <v>4574</v>
      </c>
      <c r="B4574" s="2" t="str">
        <f>IFERROR(__xludf.DUMMYFUNCTION("GOOGLETRANSLATE(A4574, ""en"", ""mt"")"),"Kemm hemm żoni metropolitani tal-popolazzjoni tan-Nofsinhar ta 'California?")</f>
        <v>Kemm hemm żoni metropolitani tal-popolazzjoni tan-Nofsinhar ta 'California?</v>
      </c>
    </row>
    <row r="4575" ht="15.75" customHeight="1">
      <c r="A4575" s="2" t="s">
        <v>4575</v>
      </c>
      <c r="B4575" s="2" t="str">
        <f>IFERROR(__xludf.DUMMYFUNCTION("GOOGLETRANSLATE(A4575, ""en"", ""mt"")"),"F'liema intervall huma wħud mill-ikbar primes mingħajr ċifra distinta skoperta?")</f>
        <v>F'liema intervall huma wħud mill-ikbar primes mingħajr ċifra distinta skoperta?</v>
      </c>
    </row>
    <row r="4576" ht="15.75" customHeight="1">
      <c r="A4576" s="2" t="s">
        <v>4576</v>
      </c>
      <c r="B4576" s="2" t="str">
        <f>IFERROR(__xludf.DUMMYFUNCTION("GOOGLETRANSLATE(A4576, ""en"", ""mt"")"),"Liema jaġixxi fl-ebda direzzjoni partikolari?")</f>
        <v>Liema jaġixxi fl-ebda direzzjoni partikolari?</v>
      </c>
    </row>
    <row r="4577" ht="15.75" customHeight="1">
      <c r="A4577" s="2" t="s">
        <v>4577</v>
      </c>
      <c r="B4577" s="2" t="str">
        <f>IFERROR(__xludf.DUMMYFUNCTION("GOOGLETRANSLATE(A4577, ""en"", ""mt"")"),"Min hu s-satelliti li l-istazzjonijiet il-ġodda bla ħlas jiġu mxandra?")</f>
        <v>Min hu s-satelliti li l-istazzjonijiet il-ġodda bla ħlas jiġu mxandra?</v>
      </c>
    </row>
    <row r="4578" ht="15.75" customHeight="1">
      <c r="A4578" s="2" t="s">
        <v>4578</v>
      </c>
      <c r="B4578" s="2" t="str">
        <f>IFERROR(__xludf.DUMMYFUNCTION("GOOGLETRANSLATE(A4578, ""en"", ""mt"")"),"X'inhu rarament ikkunsidrat minn dawk involuti fid-disinn u l-eżekuzzjoni ta 'infatruttura?")</f>
        <v>X'inhu rarament ikkunsidrat minn dawk involuti fid-disinn u l-eżekuzzjoni ta 'infatruttura?</v>
      </c>
    </row>
    <row r="4579" ht="15.75" customHeight="1">
      <c r="A4579" s="2" t="s">
        <v>4579</v>
      </c>
      <c r="B4579" s="2" t="str">
        <f>IFERROR(__xludf.DUMMYFUNCTION("GOOGLETRANSLATE(A4579, ""en"", ""mt"")"),"Min kiteb il-prinċipji tas-suċċessjoni faunal?")</f>
        <v>Min kiteb il-prinċipji tas-suċċessjoni faunal?</v>
      </c>
    </row>
    <row r="4580" ht="15.75" customHeight="1">
      <c r="A4580" s="2" t="s">
        <v>4580</v>
      </c>
      <c r="B4580" s="2" t="str">
        <f>IFERROR(__xludf.DUMMYFUNCTION("GOOGLETRANSLATE(A4580, ""en"", ""mt"")"),"Liema forza taġixxi fuq oġġett sospiż fuq skala tar-rebbiegħa minbarra l-gravità?")</f>
        <v>Liema forza taġixxi fuq oġġett sospiż fuq skala tar-rebbiegħa minbarra l-gravità?</v>
      </c>
    </row>
    <row r="4581" ht="15.75" customHeight="1">
      <c r="A4581" s="2" t="s">
        <v>4581</v>
      </c>
      <c r="B4581" s="2" t="str">
        <f>IFERROR(__xludf.DUMMYFUNCTION("GOOGLETRANSLATE(A4581, ""en"", ""mt"")"),"X'jagħmel il-limiti jiddependu mid-dettalji speċifiċi tal-mudell tal-komputazzjoni?")</f>
        <v>X'jagħmel il-limiti jiddependu mid-dettalji speċifiċi tal-mudell tal-komputazzjoni?</v>
      </c>
    </row>
    <row r="4582" ht="15.75" customHeight="1">
      <c r="A4582" s="2" t="s">
        <v>4582</v>
      </c>
      <c r="B4582" s="2" t="str">
        <f>IFERROR(__xludf.DUMMYFUNCTION("GOOGLETRANSLATE(A4582, ""en"", ""mt"")"),"Liema plateau għandu gruppi ta 'fosos tat-tafal?")</f>
        <v>Liema plateau għandu gruppi ta 'fosos tat-tafal?</v>
      </c>
    </row>
    <row r="4583" ht="15.75" customHeight="1">
      <c r="A4583" s="2" t="s">
        <v>4583</v>
      </c>
      <c r="B4583" s="2" t="str">
        <f>IFERROR(__xludf.DUMMYFUNCTION("GOOGLETRANSLATE(A4583, ""en"", ""mt"")"),"Liema satellita ntużat meta tnediet Sky Digital?")</f>
        <v>Liema satellita ntużat meta tnediet Sky Digital?</v>
      </c>
    </row>
    <row r="4584" ht="15.75" customHeight="1">
      <c r="A4584" s="2" t="s">
        <v>4584</v>
      </c>
      <c r="B4584" s="2" t="str">
        <f>IFERROR(__xludf.DUMMYFUNCTION("GOOGLETRANSLATE(A4584, ""en"", ""mt"")"),"L-akbar proġetti ta 'kostruzzjoni huma magħrufa bħala?")</f>
        <v>L-akbar proġetti ta 'kostruzzjoni huma magħrufa bħala?</v>
      </c>
    </row>
    <row r="4585" ht="15.75" customHeight="1">
      <c r="A4585" s="2" t="s">
        <v>4585</v>
      </c>
      <c r="B4585" s="2" t="str">
        <f>IFERROR(__xludf.DUMMYFUNCTION("GOOGLETRANSLATE(A4585, ""en"", ""mt"")"),"Edukazzjoni")</f>
        <v>Edukazzjoni</v>
      </c>
    </row>
    <row r="4586" ht="15.75" customHeight="1">
      <c r="A4586" s="2" t="s">
        <v>4586</v>
      </c>
      <c r="B4586" s="2" t="str">
        <f>IFERROR(__xludf.DUMMYFUNCTION("GOOGLETRANSLATE(A4586, ""en"", ""mt"")"),"Sistema immunitarja adattiva.")</f>
        <v>Sistema immunitarja adattiva.</v>
      </c>
    </row>
    <row r="4587" ht="15.75" customHeight="1">
      <c r="A4587" s="2" t="s">
        <v>4587</v>
      </c>
      <c r="B4587" s="2" t="str">
        <f>IFERROR(__xludf.DUMMYFUNCTION("GOOGLETRANSLATE(A4587, ""en"", ""mt"")"),"Il-kunflitt Iżrael-Liban tal-2006")</f>
        <v>Il-kunflitt Iżrael-Liban tal-2006</v>
      </c>
    </row>
    <row r="4588" ht="15.75" customHeight="1">
      <c r="A4588" s="2" t="s">
        <v>4588</v>
      </c>
      <c r="B4588" s="2" t="str">
        <f>IFERROR(__xludf.DUMMYFUNCTION("GOOGLETRANSLATE(A4588, ""en"", ""mt"")"),"X'inhu 2H02?")</f>
        <v>X'inhu 2H02?</v>
      </c>
    </row>
    <row r="4589" ht="15.75" customHeight="1">
      <c r="A4589" s="2" t="s">
        <v>4589</v>
      </c>
      <c r="B4589" s="2" t="str">
        <f>IFERROR(__xludf.DUMMYFUNCTION("GOOGLETRANSLATE(A4589, ""en"", ""mt"")"),"Ordni mill-ġdid")</f>
        <v>Ordni mill-ġdid</v>
      </c>
    </row>
    <row r="4590" ht="15.75" customHeight="1">
      <c r="A4590" s="2" t="s">
        <v>4590</v>
      </c>
      <c r="B4590" s="2" t="str">
        <f>IFERROR(__xludf.DUMMYFUNCTION("GOOGLETRANSLATE(A4590, ""en"", ""mt"")"),"3 miljun")</f>
        <v>3 miljun</v>
      </c>
    </row>
    <row r="4591" ht="15.75" customHeight="1">
      <c r="A4591" s="2" t="s">
        <v>4591</v>
      </c>
      <c r="B4591" s="2" t="str">
        <f>IFERROR(__xludf.DUMMYFUNCTION("GOOGLETRANSLATE(A4591, ""en"", ""mt"")"),"Il-Knisja Kattolika fi Franza")</f>
        <v>Il-Knisja Kattolika fi Franza</v>
      </c>
    </row>
    <row r="4592" ht="15.75" customHeight="1">
      <c r="A4592" s="2" t="s">
        <v>4592</v>
      </c>
      <c r="B4592" s="2" t="str">
        <f>IFERROR(__xludf.DUMMYFUNCTION("GOOGLETRANSLATE(A4592, ""en"", ""mt"")"),"Fejn jiffurmaw diks?")</f>
        <v>Fejn jiffurmaw diks?</v>
      </c>
    </row>
    <row r="4593" ht="15.75" customHeight="1">
      <c r="A4593" s="2" t="s">
        <v>4593</v>
      </c>
      <c r="B4593" s="2" t="str">
        <f>IFERROR(__xludf.DUMMYFUNCTION("GOOGLETRANSLATE(A4593, ""en"", ""mt"")"),"Minbarra l-Konfucjaniżmu, il-Buddiżmu, u l-Iżlam, liema reliġjonijiet ma kinux ittollerati matul il-wan?")</f>
        <v>Minbarra l-Konfucjaniżmu, il-Buddiżmu, u l-Iżlam, liema reliġjonijiet ma kinux ittollerati matul il-wan?</v>
      </c>
    </row>
    <row r="4594" ht="15.75" customHeight="1">
      <c r="A4594" s="2" t="s">
        <v>4594</v>
      </c>
      <c r="B4594" s="2" t="str">
        <f>IFERROR(__xludf.DUMMYFUNCTION("GOOGLETRANSLATE(A4594, ""en"", ""mt"")"),"Għaliex Ghandi kiteb il-maskra ta 'l-anarkija?")</f>
        <v>Għaliex Ghandi kiteb il-maskra ta 'l-anarkija?</v>
      </c>
    </row>
    <row r="4595" ht="15.75" customHeight="1">
      <c r="A4595" s="2" t="s">
        <v>4595</v>
      </c>
      <c r="B4595" s="2" t="str">
        <f>IFERROR(__xludf.DUMMYFUNCTION("GOOGLETRANSLATE(A4595, ""en"", ""mt"")"),"Band Ku universali LNB (9.75 / 10.600 GHz) li hija mwaħħla fl-aħħar tad-dixx u indikata lejn il-kostellazzjoni tas-satellita korretta; Il-biċċa l-kbira tar-riċevituri diġitali jirċievu l-kanali tal-ajru bla ħlas. Xi xandiriet huma bla ħlas u mhux ikkripta"&amp;"ti, uħud huma kriptati iżda ma jeħtiġux abbonament ta 'kull xahar (magħrufa bħala free-to-view), uħud huma kriptati u jeħtieġu abbonament kull xahar, u xi wħud huma servizzi ta' ħlas għal kull veduta. Biex tara l-kontenut encrypted, hemm bżonn ta 'riċevit"&amp;"ur mgħammar tar-Renju Unit (li kollha huma ddedikati għas-servizz tas-sema, u ma jistgħux jintużaw biex jiddekriptaw servizzi oħra) jeħtieġ li jintużaw. CAMs mhux uffiċjali issa huma disponibbli biex jaraw is-servizz, għalkemm l-użu tagħhom jikser il-kunt"&amp;"ratt tal-utent ma 'Sky u jinvalida d-drittijiet tal-utent biex juża l-karta.")</f>
        <v>Band Ku universali LNB (9.75 / 10.600 GHz) li hija mwaħħla fl-aħħar tad-dixx u indikata lejn il-kostellazzjoni tas-satellita korretta; Il-biċċa l-kbira tar-riċevituri diġitali jirċievu l-kanali tal-ajru bla ħlas. Xi xandiriet huma bla ħlas u mhux ikkriptati, uħud huma kriptati iżda ma jeħtiġux abbonament ta 'kull xahar (magħrufa bħala free-to-view), uħud huma kriptati u jeħtieġu abbonament kull xahar, u xi wħud huma servizzi ta' ħlas għal kull veduta. Biex tara l-kontenut encrypted, hemm bżonn ta 'riċevitur mgħammar tar-Renju Unit (li kollha huma ddedikati għas-servizz tas-sema, u ma jistgħux jintużaw biex jiddekriptaw servizzi oħra) jeħtieġ li jintużaw. CAMs mhux uffiċjali issa huma disponibbli biex jaraw is-servizz, għalkemm l-użu tagħhom jikser il-kuntratt tal-utent ma 'Sky u jinvalida d-drittijiet tal-utent biex juża l-karta.</v>
      </c>
    </row>
    <row r="4596" ht="15.75" customHeight="1">
      <c r="A4596" s="2" t="s">
        <v>4596</v>
      </c>
      <c r="B4596" s="2" t="str">
        <f>IFERROR(__xludf.DUMMYFUNCTION("GOOGLETRANSLATE(A4596, ""en"", ""mt"")"),"Bażi tal-metodoloġija")</f>
        <v>Bażi tal-metodoloġija</v>
      </c>
    </row>
    <row r="4597" ht="15.75" customHeight="1">
      <c r="A4597" s="2" t="s">
        <v>4597</v>
      </c>
      <c r="B4597" s="2" t="str">
        <f>IFERROR(__xludf.DUMMYFUNCTION("GOOGLETRANSLATE(A4597, ""en"", ""mt"")"),"F'liema grad huma l-pistuni ta 'kompost b'żewġ ċilindri konnessi mal-krankijiet?")</f>
        <v>F'liema grad huma l-pistuni ta 'kompost b'żewġ ċilindri konnessi mal-krankijiet?</v>
      </c>
    </row>
    <row r="4598" ht="15.75" customHeight="1">
      <c r="A4598" s="2" t="s">
        <v>4598</v>
      </c>
      <c r="B4598" s="2" t="str">
        <f>IFERROR(__xludf.DUMMYFUNCTION("GOOGLETRANSLATE(A4598, ""en"", ""mt"")"),"Halo")</f>
        <v>Halo</v>
      </c>
    </row>
    <row r="4599" ht="15.75" customHeight="1">
      <c r="A4599" s="2" t="s">
        <v>4599</v>
      </c>
      <c r="B4599" s="2" t="str">
        <f>IFERROR(__xludf.DUMMYFUNCTION("GOOGLETRANSLATE(A4599, ""en"", ""mt"")"),"It-triq tal-linja mgħawġa fl-ispazju-ħin hija meqjusa bħala liema linja fl-ispazju?")</f>
        <v>It-triq tal-linja mgħawġa fl-ispazju-ħin hija meqjusa bħala liema linja fl-ispazju?</v>
      </c>
    </row>
    <row r="4600" ht="15.75" customHeight="1">
      <c r="A4600" s="2" t="s">
        <v>4600</v>
      </c>
      <c r="B4600" s="2" t="str">
        <f>IFERROR(__xludf.DUMMYFUNCTION("GOOGLETRANSLATE(A4600, ""en"", ""mt"")"),"Tiżgura li r-riċetta hija valida")</f>
        <v>Tiżgura li r-riċetta hija valida</v>
      </c>
    </row>
    <row r="4601" ht="15.75" customHeight="1">
      <c r="A4601" s="2" t="s">
        <v>4601</v>
      </c>
      <c r="B4601" s="2" t="str">
        <f>IFERROR(__xludf.DUMMYFUNCTION("GOOGLETRANSLATE(A4601, ""en"", ""mt"")"),"Min hu l-ewwel senatur Ġappuniż?")</f>
        <v>Min hu l-ewwel senatur Ġappuniż?</v>
      </c>
    </row>
    <row r="4602" ht="15.75" customHeight="1">
      <c r="A4602" s="2" t="s">
        <v>4602</v>
      </c>
      <c r="B4602" s="2" t="str">
        <f>IFERROR(__xludf.DUMMYFUNCTION("GOOGLETRANSLATE(A4602, ""en"", ""mt"")"),"X'inhi d-Delta fir-Rhine delimitat fil-Lvant?")</f>
        <v>X'inhi d-Delta fir-Rhine delimitat fil-Lvant?</v>
      </c>
    </row>
    <row r="4603" ht="15.75" customHeight="1">
      <c r="A4603" s="2" t="s">
        <v>4603</v>
      </c>
      <c r="B4603" s="2" t="str">
        <f>IFERROR(__xludf.DUMMYFUNCTION("GOOGLETRANSLATE(A4603, ""en"", ""mt"")"),"Mudelli numeriċi")</f>
        <v>Mudelli numeriċi</v>
      </c>
    </row>
    <row r="4604" ht="15.75" customHeight="1">
      <c r="A4604" s="2" t="s">
        <v>4604</v>
      </c>
      <c r="B4604" s="2" t="str">
        <f>IFERROR(__xludf.DUMMYFUNCTION("GOOGLETRANSLATE(A4604, ""en"", ""mt"")"),"Xi jfisser il-bidla tal-pakketti minn qabel?")</f>
        <v>Xi jfisser il-bidla tal-pakketti minn qabel?</v>
      </c>
    </row>
    <row r="4605" ht="15.75" customHeight="1">
      <c r="A4605" s="2" t="s">
        <v>4605</v>
      </c>
      <c r="B4605" s="2" t="str">
        <f>IFERROR(__xludf.DUMMYFUNCTION("GOOGLETRANSLATE(A4605, ""en"", ""mt"")"),"sport")</f>
        <v>sport</v>
      </c>
    </row>
    <row r="4606" ht="15.75" customHeight="1">
      <c r="A4606" s="2" t="s">
        <v>4606</v>
      </c>
      <c r="B4606" s="2" t="str">
        <f>IFERROR(__xludf.DUMMYFUNCTION("GOOGLETRANSLATE(A4606, ""en"", ""mt"")")," Meta twaqqfet it-tielet Imperu Ġermaniż?")</f>
        <v> Meta twaqqfet it-tielet Imperu Ġermaniż?</v>
      </c>
    </row>
    <row r="4607" ht="15.75" customHeight="1">
      <c r="A4607" s="2" t="s">
        <v>4607</v>
      </c>
      <c r="B4607" s="2" t="str">
        <f>IFERROR(__xludf.DUMMYFUNCTION("GOOGLETRANSLATE(A4607, ""en"", ""mt"")"),"X'jiġri mill-plugs fużibbli taċ-ċomb jekk il-livell tal-ilma tal-bojler jonqos?")</f>
        <v>X'jiġri mill-plugs fużibbli taċ-ċomb jekk il-livell tal-ilma tal-bojler jonqos?</v>
      </c>
    </row>
    <row r="4608" ht="15.75" customHeight="1">
      <c r="A4608" s="2" t="s">
        <v>4608</v>
      </c>
      <c r="B4608" s="2" t="str">
        <f>IFERROR(__xludf.DUMMYFUNCTION("GOOGLETRANSLATE(A4608, ""en"", ""mt"")"),"Mill-Dynasties Sui u Tang")</f>
        <v>Mill-Dynasties Sui u Tang</v>
      </c>
    </row>
    <row r="4609" ht="15.75" customHeight="1">
      <c r="A4609" s="2" t="s">
        <v>4609</v>
      </c>
      <c r="B4609" s="2" t="str">
        <f>IFERROR(__xludf.DUMMYFUNCTION("GOOGLETRANSLATE(A4609, ""en"", ""mt"")"),"Ctenophores, cnidarians u liema grupp ieħor huma ttikkettjati diplobastic?")</f>
        <v>Ctenophores, cnidarians u liema grupp ieħor huma ttikkettjati diplobastic?</v>
      </c>
    </row>
    <row r="4610" ht="15.75" customHeight="1">
      <c r="A4610" s="2" t="s">
        <v>4610</v>
      </c>
      <c r="B4610" s="2" t="str">
        <f>IFERROR(__xludf.DUMMYFUNCTION("GOOGLETRANSLATE(A4610, ""en"", ""mt"")"),"Fejn imxew ħafna Kattoliċi Spanjoli wara l-akkwist Ingliż fi Florida?")</f>
        <v>Fejn imxew ħafna Kattoliċi Spanjoli wara l-akkwist Ingliż fi Florida?</v>
      </c>
    </row>
    <row r="4611" ht="15.75" customHeight="1">
      <c r="A4611" s="2" t="s">
        <v>4611</v>
      </c>
      <c r="B4611" s="2" t="str">
        <f>IFERROR(__xludf.DUMMYFUNCTION("GOOGLETRANSLATE(A4611, ""en"", ""mt"")"),"kemm l-armata kif ukoll il-popolazzjoni")</f>
        <v>kemm l-armata kif ukoll il-popolazzjoni</v>
      </c>
    </row>
    <row r="4612" ht="15.75" customHeight="1">
      <c r="A4612" s="2" t="s">
        <v>4612</v>
      </c>
      <c r="B4612" s="2" t="str">
        <f>IFERROR(__xludf.DUMMYFUNCTION("GOOGLETRANSLATE(A4612, ""en"", ""mt"")"),"Liema antiġeni jippreżentaw b'mod differenti minn antiġeni virali?")</f>
        <v>Liema antiġeni jippreżentaw b'mod differenti minn antiġeni virali?</v>
      </c>
    </row>
    <row r="4613" ht="15.75" customHeight="1">
      <c r="A4613" s="2" t="s">
        <v>4613</v>
      </c>
      <c r="B4613" s="2" t="str">
        <f>IFERROR(__xludf.DUMMYFUNCTION("GOOGLETRANSLATE(A4613, ""en"", ""mt"")"),"X'sar fil-Klabb tal-Yacht ta 'San Diego mill-1985 sal-1998?")</f>
        <v>X'sar fil-Klabb tal-Yacht ta 'San Diego mill-1985 sal-1998?</v>
      </c>
    </row>
    <row r="4614" ht="15.75" customHeight="1">
      <c r="A4614" s="2" t="s">
        <v>4614</v>
      </c>
      <c r="B4614" s="2" t="str">
        <f>IFERROR(__xludf.DUMMYFUNCTION("GOOGLETRANSLATE(A4614, ""en"", ""mt"")"),"3.07")</f>
        <v>3.07</v>
      </c>
    </row>
    <row r="4615" ht="15.75" customHeight="1">
      <c r="A4615" s="2" t="s">
        <v>4615</v>
      </c>
      <c r="B4615" s="2" t="str">
        <f>IFERROR(__xludf.DUMMYFUNCTION("GOOGLETRANSLATE(A4615, ""en"", ""mt"")"),"toqgħod id-dar")</f>
        <v>toqgħod id-dar</v>
      </c>
    </row>
    <row r="4616" ht="15.75" customHeight="1">
      <c r="A4616" s="2" t="s">
        <v>4616</v>
      </c>
      <c r="B4616" s="2" t="str">
        <f>IFERROR(__xludf.DUMMYFUNCTION("GOOGLETRANSLATE(A4616, ""en"", ""mt"")"),"F’liema sena Alexandre Yersin skopra l-Yersinia Pestis?")</f>
        <v>F’liema sena Alexandre Yersin skopra l-Yersinia Pestis?</v>
      </c>
    </row>
    <row r="4617" ht="15.75" customHeight="1">
      <c r="A4617" s="2" t="s">
        <v>4617</v>
      </c>
      <c r="B4617" s="2" t="str">
        <f>IFERROR(__xludf.DUMMYFUNCTION("GOOGLETRANSLATE(A4617, ""en"", ""mt"")"),"2008")</f>
        <v>2008</v>
      </c>
    </row>
    <row r="4618" ht="15.75" customHeight="1">
      <c r="A4618" s="2" t="s">
        <v>4618</v>
      </c>
      <c r="B4618" s="2" t="str">
        <f>IFERROR(__xludf.DUMMYFUNCTION("GOOGLETRANSLATE(A4618, ""en"", ""mt"")"),"Il-partit, jew il-partijiet, li jżommu l-maġġoranza tas-siġġijiet fil-Parlament jiffurmaw il-gvern Skoċċiż. B'kuntrast ma 'ħafna sistemi parlamentari oħra, il-Parlament jeleġġi l-ewwel ministru minn numru ta' kandidati fil-bidu ta 'kull terminu parlamenta"&amp;"ri (wara elezzjoni ġenerali). Kull membru jista 'jressaq isimhom biex ikun l-ewwel ministru, u jittieħed vot mill-membri kollha tal-Parlament. Normalment, il-mexxej tal-akbar partit jiġi rritornat bħala l-Ewwel Ministru, u l-Kap tal-Gvern Skoċċiż. Teoreti"&amp;"kament, il-Parlament jagħżel ukoll il-ministri Skoċċiżi li jiffurmaw il-gvern tal-Iskozja u joqogħdu fil-kabinett Skoċċiż, iżda dawn il-ministri huma, fil-prattika, maħtura għar-rwoli tagħhom mill-Ewwel Ministru. Il-ministri tal-Junior, li ma jattendux il"&amp;"-kabinett, huma wkoll maħtura biex jgħinu lill-ministri Skoċċiżi fid-dipartimenti tagħhom. Il-biċċa l-kbira tal-ministri u l-juniors tagħhom huma meħuda minn fost l-MSPs eletti, bl-eċċezzjoni tal-uffiċjali ewlenin tal-liġi tal-Iskozja: l-Avukat tal-Mulej "&amp;"u l-avukat ġenerali. Filwaqt li l-ewwel ministru jagħżel il-ministri - u jista 'jiddeċiedi li jneħħihom fi kwalunkwe ħin - il-ħatra formali jew it-tkeċċija ssir mis-sovran.")</f>
        <v>Il-partit, jew il-partijiet, li jżommu l-maġġoranza tas-siġġijiet fil-Parlament jiffurmaw il-gvern Skoċċiż. B'kuntrast ma 'ħafna sistemi parlamentari oħra, il-Parlament jeleġġi l-ewwel ministru minn numru ta' kandidati fil-bidu ta 'kull terminu parlamentari (wara elezzjoni ġenerali). Kull membru jista 'jressaq isimhom biex ikun l-ewwel ministru, u jittieħed vot mill-membri kollha tal-Parlament. Normalment, il-mexxej tal-akbar partit jiġi rritornat bħala l-Ewwel Ministru, u l-Kap tal-Gvern Skoċċiż. Teoretikament, il-Parlament jagħżel ukoll il-ministri Skoċċiżi li jiffurmaw il-gvern tal-Iskozja u joqogħdu fil-kabinett Skoċċiż, iżda dawn il-ministri huma, fil-prattika, maħtura għar-rwoli tagħhom mill-Ewwel Ministru. Il-ministri tal-Junior, li ma jattendux il-kabinett, huma wkoll maħtura biex jgħinu lill-ministri Skoċċiżi fid-dipartimenti tagħhom. Il-biċċa l-kbira tal-ministri u l-juniors tagħhom huma meħuda minn fost l-MSPs eletti, bl-eċċezzjoni tal-uffiċjali ewlenin tal-liġi tal-Iskozja: l-Avukat tal-Mulej u l-avukat ġenerali. Filwaqt li l-ewwel ministru jagħżel il-ministri - u jista 'jiddeċiedi li jneħħihom fi kwalunkwe ħin - il-ħatra formali jew it-tkeċċija ssir mis-sovran.</v>
      </c>
    </row>
    <row r="4619" ht="15.75" customHeight="1">
      <c r="A4619" s="2" t="s">
        <v>4619</v>
      </c>
      <c r="B4619" s="2" t="str">
        <f>IFERROR(__xludf.DUMMYFUNCTION("GOOGLETRANSLATE(A4619, ""en"", ""mt"")"),"Ġerarkija xierqa fuq il-klassijiet")</f>
        <v>Ġerarkija xierqa fuq il-klassijiet</v>
      </c>
    </row>
    <row r="4620" ht="15.75" customHeight="1">
      <c r="A4620" s="2" t="s">
        <v>4620</v>
      </c>
      <c r="B4620" s="2" t="str">
        <f>IFERROR(__xludf.DUMMYFUNCTION("GOOGLETRANSLATE(A4620, ""en"", ""mt"")"),"X'inhu maħruġ ladarba l-kostruzzjoni tkun kompluta u għaddiet spezzjoni finali?")</f>
        <v>X'inhu maħruġ ladarba l-kostruzzjoni tkun kompluta u għaddiet spezzjoni finali?</v>
      </c>
    </row>
    <row r="4621" ht="15.75" customHeight="1">
      <c r="A4621" s="2" t="s">
        <v>4621</v>
      </c>
      <c r="B4621" s="2" t="str">
        <f>IFERROR(__xludf.DUMMYFUNCTION("GOOGLETRANSLATE(A4621, ""en"", ""mt"")"),"Xi tfisser magna tat-turing fuq strixxa ta 'tejp?")</f>
        <v>Xi tfisser magna tat-turing fuq strixxa ta 'tejp?</v>
      </c>
    </row>
    <row r="4622" ht="15.75" customHeight="1">
      <c r="A4622" s="2" t="s">
        <v>4622</v>
      </c>
      <c r="B4622" s="2" t="str">
        <f>IFERROR(__xludf.DUMMYFUNCTION("GOOGLETRANSLATE(A4622, ""en"", ""mt"")"),"komunitajiet suburbani u użu ta 'karozzi u awtostradi")</f>
        <v>komunitajiet suburbani u użu ta 'karozzi u awtostradi</v>
      </c>
    </row>
    <row r="4623" ht="15.75" customHeight="1">
      <c r="A4623" s="2" t="s">
        <v>4623</v>
      </c>
      <c r="B4623" s="2" t="str">
        <f>IFERROR(__xludf.DUMMYFUNCTION("GOOGLETRANSLATE(A4623, ""en"", ""mt"")"),"Siġar tal-palm għoljin")</f>
        <v>Siġar tal-palm għoljin</v>
      </c>
    </row>
    <row r="4624" ht="15.75" customHeight="1">
      <c r="A4624" s="2" t="s">
        <v>4624</v>
      </c>
      <c r="B4624" s="2" t="str">
        <f>IFERROR(__xludf.DUMMYFUNCTION("GOOGLETRANSLATE(A4624, ""en"", ""mt"")"),"Meta nbniet l-ewwel dar tal-Parlament fir-Rabat?")</f>
        <v>Meta nbniet l-ewwel dar tal-Parlament fir-Rabat?</v>
      </c>
    </row>
    <row r="4625" ht="15.75" customHeight="1">
      <c r="A4625" s="2" t="s">
        <v>4625</v>
      </c>
      <c r="B4625" s="2" t="str">
        <f>IFERROR(__xludf.DUMMYFUNCTION("GOOGLETRANSLATE(A4625, ""en"", ""mt"")"),"Min kien id-directer ta 'Noè fl-2014?")</f>
        <v>Min kien id-directer ta 'Noè fl-2014?</v>
      </c>
    </row>
    <row r="4626" ht="15.75" customHeight="1">
      <c r="A4626" s="2" t="s">
        <v>4626</v>
      </c>
      <c r="B4626" s="2" t="str">
        <f>IFERROR(__xludf.DUMMYFUNCTION("GOOGLETRANSLATE(A4626, ""en"", ""mt"")"),"1,000 suldat Ingliż")</f>
        <v>1,000 suldat Ingliż</v>
      </c>
    </row>
    <row r="4627" ht="15.75" customHeight="1">
      <c r="A4627" s="2" t="s">
        <v>4627</v>
      </c>
      <c r="B4627" s="2" t="str">
        <f>IFERROR(__xludf.DUMMYFUNCTION("GOOGLETRANSLATE(A4627, ""en"", ""mt"")"),"Liema politiki ġew promossi minħabba l-enerġija nukleari?")</f>
        <v>Liema politiki ġew promossi minħabba l-enerġija nukleari?</v>
      </c>
    </row>
    <row r="4628" ht="15.75" customHeight="1">
      <c r="A4628" s="2" t="s">
        <v>4628</v>
      </c>
      <c r="B4628" s="2" t="str">
        <f>IFERROR(__xludf.DUMMYFUNCTION("GOOGLETRANSLATE(A4628, ""en"", ""mt"")"),"Sussidenza tettonika kontinwa")</f>
        <v>Sussidenza tettonika kontinwa</v>
      </c>
    </row>
    <row r="4629" ht="15.75" customHeight="1">
      <c r="A4629" s="2" t="s">
        <v>4629</v>
      </c>
      <c r="B4629" s="2" t="str">
        <f>IFERROR(__xludf.DUMMYFUNCTION("GOOGLETRANSLATE(A4629, ""en"", ""mt"")"),"X'inhu l-isem tal-fergħa l-qadima tat-Tramuntana tar-Renu?")</f>
        <v>X'inhu l-isem tal-fergħa l-qadima tat-Tramuntana tar-Renu?</v>
      </c>
    </row>
    <row r="4630" ht="15.75" customHeight="1">
      <c r="A4630" s="2" t="s">
        <v>4630</v>
      </c>
      <c r="B4630" s="2" t="str">
        <f>IFERROR(__xludf.DUMMYFUNCTION("GOOGLETRANSLATE(A4630, ""en"", ""mt"")"),"Fejn jinsabu l-ebda spiżeriji fl-isptar?")</f>
        <v>Fejn jinsabu l-ebda spiżeriji fl-isptar?</v>
      </c>
    </row>
    <row r="4631" ht="15.75" customHeight="1">
      <c r="A4631" s="2" t="s">
        <v>4631</v>
      </c>
      <c r="B4631" s="2" t="str">
        <f>IFERROR(__xludf.DUMMYFUNCTION("GOOGLETRANSLATE(A4631, ""en"", ""mt"")"),"F'liema sena rċeviet l-indipendenza tagħha l-Malasja?")</f>
        <v>F'liema sena rċeviet l-indipendenza tagħha l-Malasja?</v>
      </c>
    </row>
    <row r="4632" ht="15.75" customHeight="1">
      <c r="A4632" s="2" t="s">
        <v>4632</v>
      </c>
      <c r="B4632" s="2" t="str">
        <f>IFERROR(__xludf.DUMMYFUNCTION("GOOGLETRANSLATE(A4632, ""en"", ""mt"")"),"L-ebda imperjalizmu ma sar bl-użu ta 'liema metodu ta' trasport?")</f>
        <v>L-ebda imperjalizmu ma sar bl-użu ta 'liema metodu ta' trasport?</v>
      </c>
    </row>
    <row r="4633" ht="15.75" customHeight="1">
      <c r="A4633" s="2" t="s">
        <v>4633</v>
      </c>
      <c r="B4633" s="2" t="str">
        <f>IFERROR(__xludf.DUMMYFUNCTION("GOOGLETRANSLATE(A4633, ""en"", ""mt"")"),"Relazzjonijiet ta 'qtugħ")</f>
        <v>Relazzjonijiet ta 'qtugħ</v>
      </c>
    </row>
    <row r="4634" ht="15.75" customHeight="1">
      <c r="A4634" s="2" t="s">
        <v>4634</v>
      </c>
      <c r="B4634" s="2" t="str">
        <f>IFERROR(__xludf.DUMMYFUNCTION("GOOGLETRANSLATE(A4634, ""en"", ""mt"")"),"Liema postijiet ta 'unitajiet iżgħar' il fuq minn unitajiet anzjani?")</f>
        <v>Liema postijiet ta 'unitajiet iżgħar' il fuq minn unitajiet anzjani?</v>
      </c>
    </row>
    <row r="4635" ht="15.75" customHeight="1">
      <c r="A4635" s="2" t="s">
        <v>4635</v>
      </c>
      <c r="B4635" s="2" t="str">
        <f>IFERROR(__xludf.DUMMYFUNCTION("GOOGLETRANSLATE(A4635, ""en"", ""mt"")"),"X'kien l-isem tal-ħabs erojku Ġermaniż infami?")</f>
        <v>X'kien l-isem tal-ħabs erojku Ġermaniż infami?</v>
      </c>
    </row>
    <row r="4636" ht="15.75" customHeight="1">
      <c r="A4636" s="2" t="s">
        <v>4636</v>
      </c>
      <c r="B4636" s="2" t="str">
        <f>IFERROR(__xludf.DUMMYFUNCTION("GOOGLETRANSLATE(A4636, ""en"", ""mt"")"),"X'tip ta 'komposti bħall-aċetun, fihom ossiġnu?")</f>
        <v>X'tip ta 'komposti bħall-aċetun, fihom ossiġnu?</v>
      </c>
    </row>
    <row r="4637" ht="15.75" customHeight="1">
      <c r="A4637" s="2" t="s">
        <v>4637</v>
      </c>
      <c r="B4637" s="2" t="str">
        <f>IFERROR(__xludf.DUMMYFUNCTION("GOOGLETRANSLATE(A4637, ""en"", ""mt"")"),"Min jiffinanzja s-segretarju tal-IPCC?")</f>
        <v>Min jiffinanzja s-segretarju tal-IPCC?</v>
      </c>
    </row>
    <row r="4638" ht="15.75" customHeight="1">
      <c r="A4638" s="2" t="s">
        <v>4638</v>
      </c>
      <c r="B4638" s="2" t="str">
        <f>IFERROR(__xludf.DUMMYFUNCTION("GOOGLETRANSLATE(A4638, ""en"", ""mt"")"),"Anglo-Sassonu")</f>
        <v>Anglo-Sassonu</v>
      </c>
    </row>
    <row r="4639" ht="15.75" customHeight="1">
      <c r="A4639" s="2" t="s">
        <v>4639</v>
      </c>
      <c r="B4639" s="2" t="str">
        <f>IFERROR(__xludf.DUMMYFUNCTION("GOOGLETRANSLATE(A4639, ""en"", ""mt"")"),"L-imperjalizmu kulturali huwa meta l-influwenza ta 'pajjiż tinħass fiċ-ċrieki soċjali u kulturali, i.e. il-poter artab tiegħu, tali li tbiddel il-fehma tad-dinja morali, kulturali u tas-soċjetà ta' ieħor. Dan huwa iktar minn sempliċement mużika, televiżjo"&amp;"ni jew film ""barranin"" li qed isiru popolari maż-żgħażagħ, iżda dik il-kultura popolari tbiddel l-aspettattivi tagħhom stess tal-ħajja u x-xewqa tagħhom għal pajjiżhom stess biex isiru aktar bħall-pajjiż barrani mpinġi. Pereżempju, rappreżentazzjonijiet"&amp;" ta 'stili ta' ħajja Amerikani opulenti fis-sapun ta 'Dallas matul il-Gwerra Bierda biddlu l-aspettattivi tar-Rumeni; Eżempju aktar reċenti huwa l-influwenza tas-serje tad-drama tal-Korea t'Isfel fil-Korea ta 'Fuq. L-importanza tal-poter artab ma tintilif"&amp;"x fuq reġimi awtoritarji, tiġġieled din l-influwenza ma 'projbizzjonijiet fuq kultura popolari barranija, kontroll tal-internet u platti satellitari mhux awtorizzati eċċ. Lanqas ma jkun riċenti tali użu tal-kultura, bħala parti mill-imperjalizmu Ruman li "&amp;"l-elite lokali Esposti għall-benefiċċji u l-lussu tal-kultura u l-istil ta 'ħajja Rumani, bil-għan li mbagħad isiru parteċipanti lesti.")</f>
        <v>L-imperjalizmu kulturali huwa meta l-influwenza ta 'pajjiż tinħass fiċ-ċrieki soċjali u kulturali, i.e. il-poter artab tiegħu, tali li tbiddel il-fehma tad-dinja morali, kulturali u tas-soċjetà ta' ieħor. Dan huwa iktar minn sempliċement mużika, televiżjoni jew film "barranin" li qed isiru popolari maż-żgħażagħ, iżda dik il-kultura popolari tbiddel l-aspettattivi tagħhom stess tal-ħajja u x-xewqa tagħhom għal pajjiżhom stess biex isiru aktar bħall-pajjiż barrani mpinġi. Pereżempju, rappreżentazzjonijiet ta 'stili ta' ħajja Amerikani opulenti fis-sapun ta 'Dallas matul il-Gwerra Bierda biddlu l-aspettattivi tar-Rumeni; Eżempju aktar reċenti huwa l-influwenza tas-serje tad-drama tal-Korea t'Isfel fil-Korea ta 'Fuq. L-importanza tal-poter artab ma tintilifx fuq reġimi awtoritarji, tiġġieled din l-influwenza ma 'projbizzjonijiet fuq kultura popolari barranija, kontroll tal-internet u platti satellitari mhux awtorizzati eċċ. Lanqas ma jkun riċenti tali użu tal-kultura, bħala parti mill-imperjalizmu Ruman li l-elite lokali Esposti għall-benefiċċji u l-lussu tal-kultura u l-istil ta 'ħajja Rumani, bil-għan li mbagħad isiru parteċipanti lesti.</v>
      </c>
    </row>
    <row r="4640" ht="15.75" customHeight="1">
      <c r="A4640" s="2" t="s">
        <v>4640</v>
      </c>
      <c r="B4640" s="2" t="str">
        <f>IFERROR(__xludf.DUMMYFUNCTION("GOOGLETRANSLATE(A4640, ""en"", ""mt"")"),"35.7")</f>
        <v>35.7</v>
      </c>
    </row>
    <row r="4641" ht="15.75" customHeight="1">
      <c r="A4641" s="2" t="s">
        <v>4641</v>
      </c>
      <c r="B4641" s="2" t="str">
        <f>IFERROR(__xludf.DUMMYFUNCTION("GOOGLETRANSLATE(A4641, ""en"", ""mt"")"),"F'liema sessjoni tinsab il-Parlament Skoċċiż?")</f>
        <v>F'liema sessjoni tinsab il-Parlament Skoċċiż?</v>
      </c>
    </row>
    <row r="4642" ht="15.75" customHeight="1">
      <c r="A4642" s="2" t="s">
        <v>4642</v>
      </c>
      <c r="B4642" s="2" t="str">
        <f>IFERROR(__xludf.DUMMYFUNCTION("GOOGLETRANSLATE(A4642, ""en"", ""mt"")"),"Kemm nies għexu f'Varsavja fl-1939?")</f>
        <v>Kemm nies għexu f'Varsavja fl-1939?</v>
      </c>
    </row>
    <row r="4643" ht="15.75" customHeight="1">
      <c r="A4643" s="2" t="s">
        <v>4643</v>
      </c>
      <c r="B4643" s="2" t="str">
        <f>IFERROR(__xludf.DUMMYFUNCTION("GOOGLETRANSLATE(A4643, ""en"", ""mt"")"),"X'kien l-isem tal-HD Channel l-ieħor Virgin Media jista 'jġorr fil-futur?")</f>
        <v>X'kien l-isem tal-HD Channel l-ieħor Virgin Media jista 'jġorr fil-futur?</v>
      </c>
    </row>
    <row r="4644" ht="15.75" customHeight="1">
      <c r="A4644" s="2" t="s">
        <v>4644</v>
      </c>
      <c r="B4644" s="2" t="str">
        <f>IFERROR(__xludf.DUMMYFUNCTION("GOOGLETRANSLATE(A4644, ""en"", ""mt"")"),"9")</f>
        <v>9</v>
      </c>
    </row>
    <row r="4645" ht="15.75" customHeight="1">
      <c r="A4645" s="2" t="s">
        <v>4645</v>
      </c>
      <c r="B4645" s="2" t="str">
        <f>IFERROR(__xludf.DUMMYFUNCTION("GOOGLETRANSLATE(A4645, ""en"", ""mt"")"),"Min kien miġbud lejn Jacksonville fl-1910?")</f>
        <v>Min kien miġbud lejn Jacksonville fl-1910?</v>
      </c>
    </row>
    <row r="4646" ht="15.75" customHeight="1">
      <c r="A4646" s="2" t="s">
        <v>4646</v>
      </c>
      <c r="B4646" s="2" t="str">
        <f>IFERROR(__xludf.DUMMYFUNCTION("GOOGLETRANSLATE(A4646, ""en"", ""mt"")"),"F'dak li l-president reġa 'enfasizza l-atletika fl-università?")</f>
        <v>F'dak li l-president reġa 'enfasizza l-atletika fl-università?</v>
      </c>
    </row>
    <row r="4647" ht="15.75" customHeight="1">
      <c r="A4647" s="2" t="s">
        <v>4647</v>
      </c>
      <c r="B4647" s="2" t="str">
        <f>IFERROR(__xludf.DUMMYFUNCTION("GOOGLETRANSLATE(A4647, ""en"", ""mt"")"),"Min għen biex jiżviluppa l-ewwel reazzjoni nukleari magħmula minnha nnifisha?")</f>
        <v>Min għen biex jiżviluppa l-ewwel reazzjoni nukleari magħmula minnha nnifisha?</v>
      </c>
    </row>
    <row r="4648" ht="15.75" customHeight="1">
      <c r="A4648" s="2" t="s">
        <v>4648</v>
      </c>
      <c r="B4648" s="2" t="str">
        <f>IFERROR(__xludf.DUMMYFUNCTION("GOOGLETRANSLATE(A4648, ""en"", ""mt"")"),"F'liema temperaturi l-O2 huwa aktar solubbli?")</f>
        <v>F'liema temperaturi l-O2 huwa aktar solubbli?</v>
      </c>
    </row>
    <row r="4649" ht="15.75" customHeight="1">
      <c r="A4649" s="2" t="s">
        <v>4649</v>
      </c>
      <c r="B4649" s="2" t="str">
        <f>IFERROR(__xludf.DUMMYFUNCTION("GOOGLETRANSLATE(A4649, ""en"", ""mt"")"),"X'tip ta 'magni użaw is-sistema ta' bilanċ ta 'l-ischlick-tweedy Yarrow?")</f>
        <v>X'tip ta 'magni użaw is-sistema ta' bilanċ ta 'l-ischlick-tweedy Yarrow?</v>
      </c>
    </row>
    <row r="4650" ht="15.75" customHeight="1">
      <c r="A4650" s="2" t="s">
        <v>4650</v>
      </c>
      <c r="B4650" s="2" t="str">
        <f>IFERROR(__xludf.DUMMYFUNCTION("GOOGLETRANSLATE(A4650, ""en"", ""mt"")"),"Min ħabbar li ma kinitx se tnaqqas bħala mexxej tal-partit?")</f>
        <v>Min ħabbar li ma kinitx se tnaqqas bħala mexxej tal-partit?</v>
      </c>
    </row>
    <row r="4651" ht="15.75" customHeight="1">
      <c r="A4651" s="2" t="s">
        <v>4651</v>
      </c>
      <c r="B4651" s="2" t="str">
        <f>IFERROR(__xludf.DUMMYFUNCTION("GOOGLETRANSLATE(A4651, ""en"", ""mt"")"),"Il-problema ta 'fatturizzazzjoni sħiħa essenzjalment tfittex li tiddetermina jekk il-valur ta' input hu inqas minn liema varjabbli?")</f>
        <v>Il-problema ta 'fatturizzazzjoni sħiħa essenzjalment tfittex li tiddetermina jekk il-valur ta' input hu inqas minn liema varjabbli?</v>
      </c>
    </row>
    <row r="4652" ht="15.75" customHeight="1">
      <c r="A4652" s="2" t="s">
        <v>4652</v>
      </c>
      <c r="B4652" s="2" t="str">
        <f>IFERROR(__xludf.DUMMYFUNCTION("GOOGLETRANSLATE(A4652, ""en"", ""mt"")"),"President")</f>
        <v>President</v>
      </c>
    </row>
    <row r="4653" ht="15.75" customHeight="1">
      <c r="A4653" s="2" t="s">
        <v>4653</v>
      </c>
      <c r="B4653" s="2" t="str">
        <f>IFERROR(__xludf.DUMMYFUNCTION("GOOGLETRANSLATE(A4653, ""en"", ""mt"")"),"Il-bijodiversità ta 'x'inhu l-inqas fid-dinja?")</f>
        <v>Il-bijodiversità ta 'x'inhu l-inqas fid-dinja?</v>
      </c>
    </row>
    <row r="4654" ht="15.75" customHeight="1">
      <c r="A4654" s="2" t="s">
        <v>4654</v>
      </c>
      <c r="B4654" s="2" t="str">
        <f>IFERROR(__xludf.DUMMYFUNCTION("GOOGLETRANSLATE(A4654, ""en"", ""mt"")"),"Id-disponibbiltà tal-Bibbja f'lingwi vernakulari kienet importanti għat-tixrid tal-moviment Protestant u l-iżvilupp tal-Knisja Riformata fi Franza. Il-pajjiż kellu storja twila ta 'ġlidiet mal-papat sa meta fl-aħħar waslet ir-Riforma Protestanta. Madwar l"&amp;"-1294, verżjoni Franċiża tal-Iskrittura ġiet ippreparata mill-Kappillan Kattoliku Ruman, Guyard de Moulin. Verżjoni ta 'parafrażi tal-folio illustrata b'żewġ volumi bbażata fuq il-manuskritt tiegħu, minn Jean de Rély, ġiet stampata f'Pariġi fl-1487.")</f>
        <v>Id-disponibbiltà tal-Bibbja f'lingwi vernakulari kienet importanti għat-tixrid tal-moviment Protestant u l-iżvilupp tal-Knisja Riformata fi Franza. Il-pajjiż kellu storja twila ta 'ġlidiet mal-papat sa meta fl-aħħar waslet ir-Riforma Protestanta. Madwar l-1294, verżjoni Franċiża tal-Iskrittura ġiet ippreparata mill-Kappillan Kattoliku Ruman, Guyard de Moulin. Verżjoni ta 'parafrażi tal-folio illustrata b'żewġ volumi bbażata fuq il-manuskritt tiegħu, minn Jean de Rély, ġiet stampata f'Pariġi fl-1487.</v>
      </c>
    </row>
    <row r="4655" ht="15.75" customHeight="1">
      <c r="A4655" s="2" t="s">
        <v>4655</v>
      </c>
      <c r="B4655" s="2" t="str">
        <f>IFERROR(__xludf.DUMMYFUNCTION("GOOGLETRANSLATE(A4655, ""en"", ""mt"")"),"sterjoskopiku")</f>
        <v>sterjoskopiku</v>
      </c>
    </row>
    <row r="4656" ht="15.75" customHeight="1">
      <c r="A4656" s="2" t="s">
        <v>4656</v>
      </c>
      <c r="B4656" s="2" t="str">
        <f>IFERROR(__xludf.DUMMYFUNCTION("GOOGLETRANSLATE(A4656, ""en"", ""mt"")"),"Rebeljoni Iżlamika")</f>
        <v>Rebeljoni Iżlamika</v>
      </c>
    </row>
    <row r="4657" ht="15.75" customHeight="1">
      <c r="A4657" s="2" t="s">
        <v>4657</v>
      </c>
      <c r="B4657" s="2" t="str">
        <f>IFERROR(__xludf.DUMMYFUNCTION("GOOGLETRANSLATE(A4657, ""en"", ""mt"")"),"Liema sena rat l-ewwel użu rreġistrat tal-indikatur tal-magna bil-fwar?")</f>
        <v>Liema sena rat l-ewwel użu rreġistrat tal-indikatur tal-magna bil-fwar?</v>
      </c>
    </row>
    <row r="4658" ht="15.75" customHeight="1">
      <c r="A4658" s="2" t="s">
        <v>4658</v>
      </c>
      <c r="B4658" s="2" t="str">
        <f>IFERROR(__xludf.DUMMYFUNCTION("GOOGLETRANSLATE(A4658, ""en"", ""mt"")"),"Fuq xiex iserraħ Ctenophora għad-diġestjoni u r-respirazzjoni?")</f>
        <v>Fuq xiex iserraħ Ctenophora għad-diġestjoni u r-respirazzjoni?</v>
      </c>
    </row>
    <row r="4659" ht="15.75" customHeight="1">
      <c r="A4659" s="2" t="s">
        <v>4659</v>
      </c>
      <c r="B4659" s="2" t="str">
        <f>IFERROR(__xludf.DUMMYFUNCTION("GOOGLETRANSLATE(A4659, ""en"", ""mt"")"),"Liema trattat intemm il-gwerer tar-reliġjon?")</f>
        <v>Liema trattat intemm il-gwerer tar-reliġjon?</v>
      </c>
    </row>
    <row r="4660" ht="15.75" customHeight="1">
      <c r="A4660" s="2" t="s">
        <v>4660</v>
      </c>
      <c r="B4660" s="2" t="str">
        <f>IFERROR(__xludf.DUMMYFUNCTION("GOOGLETRANSLATE(A4660, ""en"", ""mt"")"),"X'inhi t-temperatura approssimattiva tad-dħul tat-turbina ta 'turbina tal-pompa?")</f>
        <v>X'inhi t-temperatura approssimattiva tad-dħul tat-turbina ta 'turbina tal-pompa?</v>
      </c>
    </row>
    <row r="4661" ht="15.75" customHeight="1">
      <c r="A4661" s="2" t="s">
        <v>4661</v>
      </c>
      <c r="B4661" s="2" t="str">
        <f>IFERROR(__xludf.DUMMYFUNCTION("GOOGLETRANSLATE(A4661, ""en"", ""mt"")"),"metodi ta 'ħażna")</f>
        <v>metodi ta 'ħażna</v>
      </c>
    </row>
    <row r="4662" ht="15.75" customHeight="1">
      <c r="A4662" s="2" t="s">
        <v>4662</v>
      </c>
      <c r="B4662" s="2" t="str">
        <f>IFERROR(__xludf.DUMMYFUNCTION("GOOGLETRANSLATE(A4662, ""en"", ""mt"")"),"X'kien żviluppat fl-1859?")</f>
        <v>X'kien żviluppat fl-1859?</v>
      </c>
    </row>
    <row r="4663" ht="15.75" customHeight="1">
      <c r="A4663" s="2" t="s">
        <v>4663</v>
      </c>
      <c r="B4663" s="2" t="str">
        <f>IFERROR(__xludf.DUMMYFUNCTION("GOOGLETRANSLATE(A4663, ""en"", ""mt"")"),"Liema indiġeni ġew spostati mill-akkwist Ingliż fi Florida?")</f>
        <v>Liema indiġeni ġew spostati mill-akkwist Ingliż fi Florida?</v>
      </c>
    </row>
    <row r="4664" ht="15.75" customHeight="1">
      <c r="A4664" s="2" t="s">
        <v>4664</v>
      </c>
      <c r="B4664" s="2" t="str">
        <f>IFERROR(__xludf.DUMMYFUNCTION("GOOGLETRANSLATE(A4664, ""en"", ""mt"")"),"L-Amazon Forest taħżen liema persentaġġ tad-dijossidu tal-karbonju tad-dinja")</f>
        <v>L-Amazon Forest taħżen liema persentaġġ tad-dijossidu tal-karbonju tad-dinja</v>
      </c>
    </row>
    <row r="4665" ht="15.75" customHeight="1">
      <c r="A4665" s="2" t="s">
        <v>4665</v>
      </c>
      <c r="B4665" s="2" t="str">
        <f>IFERROR(__xludf.DUMMYFUNCTION("GOOGLETRANSLATE(A4665, ""en"", ""mt"")"),"Min bħalissa huwa l-Ispeaker tal-Parlament Skoċċiż?")</f>
        <v>Min bħalissa huwa l-Ispeaker tal-Parlament Skoċċiż?</v>
      </c>
    </row>
    <row r="4666" ht="15.75" customHeight="1">
      <c r="A4666" s="2" t="s">
        <v>4666</v>
      </c>
      <c r="B4666" s="2" t="str">
        <f>IFERROR(__xludf.DUMMYFUNCTION("GOOGLETRANSLATE(A4666, ""en"", ""mt"")"),"X'inhu l-isem tal-kurrikulu ewlieni tal-università?")</f>
        <v>X'inhu l-isem tal-kurrikulu ewlieni tal-università?</v>
      </c>
    </row>
    <row r="4667" ht="15.75" customHeight="1">
      <c r="A4667" s="2" t="s">
        <v>4667</v>
      </c>
      <c r="B4667" s="2" t="str">
        <f>IFERROR(__xludf.DUMMYFUNCTION("GOOGLETRANSLATE(A4667, ""en"", ""mt"")"),"Applikazzjonijiet ta 'appoġġ bħal imħatri onlajn, applikazzjonijiet finanzjarji")</f>
        <v>Applikazzjonijiet ta 'appoġġ bħal imħatri onlajn, applikazzjonijiet finanzjarji</v>
      </c>
    </row>
    <row r="4668" ht="15.75" customHeight="1">
      <c r="A4668" s="2" t="s">
        <v>4668</v>
      </c>
      <c r="B4668" s="2" t="str">
        <f>IFERROR(__xludf.DUMMYFUNCTION("GOOGLETRANSLATE(A4668, ""en"", ""mt"")"),"Meta ġie introdott il-kunċett ta 'ekonomija tas-suq soċjali fil-liġi tal-UE?")</f>
        <v>Meta ġie introdott il-kunċett ta 'ekonomija tas-suq soċjali fil-liġi tal-UE?</v>
      </c>
    </row>
    <row r="4669" ht="15.75" customHeight="1">
      <c r="A4669" s="2" t="s">
        <v>4669</v>
      </c>
      <c r="B4669" s="2" t="str">
        <f>IFERROR(__xludf.DUMMYFUNCTION("GOOGLETRANSLATE(A4669, ""en"", ""mt"")"),"Din it-tip ta 'sistema hija magħrufa bħala")</f>
        <v>Din it-tip ta 'sistema hija magħrufa bħala</v>
      </c>
    </row>
    <row r="4670" ht="15.75" customHeight="1">
      <c r="A4670" s="2" t="s">
        <v>4670</v>
      </c>
      <c r="B4670" s="2" t="str">
        <f>IFERROR(__xludf.DUMMYFUNCTION("GOOGLETRANSLATE(A4670, ""en"", ""mt"")"),"Kemm kontej inizjalment għamlu d-definizzjoni tan-Nofsinhar ta 'California?")</f>
        <v>Kemm kontej inizjalment għamlu d-definizzjoni tan-Nofsinhar ta 'California?</v>
      </c>
    </row>
    <row r="4671" ht="15.75" customHeight="1">
      <c r="A4671" s="2" t="s">
        <v>4671</v>
      </c>
      <c r="B4671" s="2" t="str">
        <f>IFERROR(__xludf.DUMMYFUNCTION("GOOGLETRANSLATE(A4671, ""en"", ""mt"")"),"Maine")</f>
        <v>Maine</v>
      </c>
    </row>
    <row r="4672" ht="15.75" customHeight="1">
      <c r="A4672" s="2" t="s">
        <v>4672</v>
      </c>
      <c r="B4672" s="2" t="str">
        <f>IFERROR(__xludf.DUMMYFUNCTION("GOOGLETRANSLATE(A4672, ""en"", ""mt"")"),"solari")</f>
        <v>solari</v>
      </c>
    </row>
    <row r="4673" ht="15.75" customHeight="1">
      <c r="A4673" s="2" t="s">
        <v>4673</v>
      </c>
      <c r="B4673" s="2" t="str">
        <f>IFERROR(__xludf.DUMMYFUNCTION("GOOGLETRANSLATE(A4673, ""en"", ""mt"")"),"X'jiġri l-Beriods kostali bħala snien?")</f>
        <v>X'jiġri l-Beriods kostali bħala snien?</v>
      </c>
    </row>
    <row r="4674" ht="15.75" customHeight="1">
      <c r="A4674" s="2" t="s">
        <v>4674</v>
      </c>
      <c r="B4674" s="2" t="str">
        <f>IFERROR(__xludf.DUMMYFUNCTION("GOOGLETRANSLATE(A4674, ""en"", ""mt"")"),"Ewropa Ċentrali u tal-Punent")</f>
        <v>Ewropa Ċentrali u tal-Punent</v>
      </c>
    </row>
    <row r="4675" ht="15.75" customHeight="1">
      <c r="A4675" s="2" t="s">
        <v>4675</v>
      </c>
      <c r="B4675" s="2" t="str">
        <f>IFERROR(__xludf.DUMMYFUNCTION("GOOGLETRANSLATE(A4675, ""en"", ""mt"")"),"Qabel l-1960 liema metodu kien użat biex jitneħħew il-foresta?")</f>
        <v>Qabel l-1960 liema metodu kien użat biex jitneħħew il-foresta?</v>
      </c>
    </row>
    <row r="4676" ht="15.75" customHeight="1">
      <c r="A4676" s="2" t="s">
        <v>4676</v>
      </c>
      <c r="B4676" s="2" t="str">
        <f>IFERROR(__xludf.DUMMYFUNCTION("GOOGLETRANSLATE(A4676, ""en"", ""mt"")"),"Min ivvinta l-kunċett ta 'dmir ta' magna bil-fwar?")</f>
        <v>Min ivvinta l-kunċett ta 'dmir ta' magna bil-fwar?</v>
      </c>
    </row>
    <row r="4677" ht="15.75" customHeight="1">
      <c r="A4677" s="2" t="s">
        <v>4677</v>
      </c>
      <c r="B4677" s="2" t="str">
        <f>IFERROR(__xludf.DUMMYFUNCTION("GOOGLETRANSLATE(A4677, ""en"", ""mt"")"),"X'jista 'jinqasam ukoll fir-residenzjali u mhux residenzjali?")</f>
        <v>X'jista 'jinqasam ukoll fir-residenzjali u mhux residenzjali?</v>
      </c>
    </row>
    <row r="4678" ht="15.75" customHeight="1">
      <c r="A4678" s="2" t="s">
        <v>4678</v>
      </c>
      <c r="B4678" s="2" t="str">
        <f>IFERROR(__xludf.DUMMYFUNCTION("GOOGLETRANSLATE(A4678, ""en"", ""mt"")"),"Kull Mejju mill-1987, l-Università ta ’Chicago kellha l-Università ta’ Chicago Scavenger Hunt, li fiha timijiet kbar ta ’studenti jikkompetu biex jiksbu oġġetti esoteriċi notorjament minn lista. Mill-1963, il-Festival tal-Arti (FOTA) jieħu f'idejh il-kamp"&amp;"us għal 7-10 ijiem ta 'esibizzjonijiet u sforzi artistiċi interattivi. Kull Jannar, l-università għandha festival tax-xitwa tul ġimgħa, Kuviasungnerk / Kangeiko, li jinkludu rutini ta 'eżerċizzju kmieni filgħodu u workshops ta' fitness. L-università kull "&amp;"sena għandha wkoll karnival u kunċert tas-sajf imsejjaħ Summer Breeze li tospita mużiċisti barra, u hija d-dar għal Doc Films, studenti tas-soċjetà tal-films imwaqqfa fl-1932 li tiskrinja films filgħaxija fl-università. Mill-1946, l-università organizzat "&amp;"id-dibattitu Latke-Hamantash, li jinvolvi diskussjonijiet umoristiċi dwar il-merti relattivi u t-tifsiriet ta 'Latkes u Hamantashen.")</f>
        <v>Kull Mejju mill-1987, l-Università ta ’Chicago kellha l-Università ta’ Chicago Scavenger Hunt, li fiha timijiet kbar ta ’studenti jikkompetu biex jiksbu oġġetti esoteriċi notorjament minn lista. Mill-1963, il-Festival tal-Arti (FOTA) jieħu f'idejh il-kampus għal 7-10 ijiem ta 'esibizzjonijiet u sforzi artistiċi interattivi. Kull Jannar, l-università għandha festival tax-xitwa tul ġimgħa, Kuviasungnerk / Kangeiko, li jinkludu rutini ta 'eżerċizzju kmieni filgħodu u workshops ta' fitness. L-università kull sena għandha wkoll karnival u kunċert tas-sajf imsejjaħ Summer Breeze li tospita mużiċisti barra, u hija d-dar għal Doc Films, studenti tas-soċjetà tal-films imwaqqfa fl-1932 li tiskrinja films filgħaxija fl-università. Mill-1946, l-università organizzat id-dibattitu Latke-Hamantash, li jinvolvi diskussjonijiet umoristiċi dwar il-merti relattivi u t-tifsiriet ta 'Latkes u Hamantashen.</v>
      </c>
    </row>
    <row r="4679" ht="15.75" customHeight="1">
      <c r="A4679" s="2" t="s">
        <v>4679</v>
      </c>
      <c r="B4679" s="2" t="str">
        <f>IFERROR(__xludf.DUMMYFUNCTION("GOOGLETRANSLATE(A4679, ""en"", ""mt"")"),"Min kien l-esploratur Brittaniku mikrija x-Xmara San Ġwann?")</f>
        <v>Min kien l-esploratur Brittaniku mikrija x-Xmara San Ġwann?</v>
      </c>
    </row>
    <row r="4680" ht="15.75" customHeight="1">
      <c r="A4680" s="2" t="s">
        <v>4680</v>
      </c>
      <c r="B4680" s="2" t="str">
        <f>IFERROR(__xludf.DUMMYFUNCTION("GOOGLETRANSLATE(A4680, ""en"", ""mt"")"),"Fryderyk Chopin University of Music")</f>
        <v>Fryderyk Chopin University of Music</v>
      </c>
    </row>
    <row r="4681" ht="15.75" customHeight="1">
      <c r="A4681" s="2" t="s">
        <v>4681</v>
      </c>
      <c r="B4681" s="2" t="str">
        <f>IFERROR(__xludf.DUMMYFUNCTION("GOOGLETRANSLATE(A4681, ""en"", ""mt"")"),"X'kien l-ewwel stat li stabbilixxa standards edukattivi?")</f>
        <v>X'kien l-ewwel stat li stabbilixxa standards edukattivi?</v>
      </c>
    </row>
    <row r="4682" ht="15.75" customHeight="1">
      <c r="A4682" s="2" t="s">
        <v>4682</v>
      </c>
      <c r="B4682" s="2" t="str">
        <f>IFERROR(__xludf.DUMMYFUNCTION("GOOGLETRANSLATE(A4682, ""en"", ""mt"")"),"forzi bħala dovuti għal gradjent tal-potenzjal")</f>
        <v>forzi bħala dovuti għal gradjent tal-potenzjal</v>
      </c>
    </row>
    <row r="4683" ht="15.75" customHeight="1">
      <c r="A4683" s="2" t="s">
        <v>4683</v>
      </c>
      <c r="B4683" s="2" t="str">
        <f>IFERROR(__xludf.DUMMYFUNCTION("GOOGLETRANSLATE(A4683, ""en"", ""mt"")"),"Avveniment ewlieni")</f>
        <v>Avveniment ewlieni</v>
      </c>
    </row>
    <row r="4684" ht="15.75" customHeight="1">
      <c r="A4684" s="2" t="s">
        <v>4684</v>
      </c>
      <c r="B4684" s="2" t="str">
        <f>IFERROR(__xludf.DUMMYFUNCTION("GOOGLETRANSLATE(A4684, ""en"", ""mt"")"),"Liema tliet industriji huma ċċentrati f'Hollywood?")</f>
        <v>Liema tliet industriji huma ċċentrati f'Hollywood?</v>
      </c>
    </row>
    <row r="4685" ht="15.75" customHeight="1">
      <c r="A4685" s="2" t="s">
        <v>4685</v>
      </c>
      <c r="B4685" s="2" t="str">
        <f>IFERROR(__xludf.DUMMYFUNCTION("GOOGLETRANSLATE(A4685, ""en"", ""mt"")"),"Madwar 200-300")</f>
        <v>Madwar 200-300</v>
      </c>
    </row>
    <row r="4686" ht="15.75" customHeight="1">
      <c r="A4686" s="2" t="s">
        <v>4686</v>
      </c>
      <c r="B4686" s="2" t="str">
        <f>IFERROR(__xludf.DUMMYFUNCTION("GOOGLETRANSLATE(A4686, ""en"", ""mt"")"),"X'inhuma r-riżultati tal-politiki li jużaw l-enerġija rinnovabbli?")</f>
        <v>X'inhuma r-riżultati tal-politiki li jużaw l-enerġija rinnovabbli?</v>
      </c>
    </row>
    <row r="4687" ht="15.75" customHeight="1">
      <c r="A4687" s="2" t="s">
        <v>4687</v>
      </c>
      <c r="B4687" s="2" t="str">
        <f>IFERROR(__xludf.DUMMYFUNCTION("GOOGLETRANSLATE(A4687, ""en"", ""mt"")"),"iżgħar")</f>
        <v>iżgħar</v>
      </c>
    </row>
    <row r="4688" ht="15.75" customHeight="1">
      <c r="A4688" s="2" t="s">
        <v>4688</v>
      </c>
      <c r="B4688" s="2" t="str">
        <f>IFERROR(__xludf.DUMMYFUNCTION("GOOGLETRANSLATE(A4688, ""en"", ""mt"")"),"X'inhu konsiderazzjonijiet ta 'Malum f'SE?")</f>
        <v>X'inhu konsiderazzjonijiet ta 'Malum f'SE?</v>
      </c>
    </row>
    <row r="4689" ht="15.75" customHeight="1">
      <c r="A4689" s="2" t="s">
        <v>4689</v>
      </c>
      <c r="B4689" s="2" t="str">
        <f>IFERROR(__xludf.DUMMYFUNCTION("GOOGLETRANSLATE(A4689, ""en"", ""mt"")"),"Involvi fi djalogu morali")</f>
        <v>Involvi fi djalogu morali</v>
      </c>
    </row>
    <row r="4690" ht="15.75" customHeight="1">
      <c r="A4690" s="2" t="s">
        <v>4690</v>
      </c>
      <c r="B4690" s="2" t="str">
        <f>IFERROR(__xludf.DUMMYFUNCTION("GOOGLETRANSLATE(A4690, ""en"", ""mt"")"),"X'tipi ta 'riżultati tas-saħħa qatt ma għandhom mal-pazjenti tagħhom?")</f>
        <v>X'tipi ta 'riżultati tas-saħħa qatt ma għandhom mal-pazjenti tagħhom?</v>
      </c>
    </row>
    <row r="4691" ht="15.75" customHeight="1">
      <c r="A4691" s="2" t="s">
        <v>4691</v>
      </c>
      <c r="B4691" s="2" t="str">
        <f>IFERROR(__xludf.DUMMYFUNCTION("GOOGLETRANSLATE(A4691, ""en"", ""mt"")"),"Kemm nies jinġabru tul il-banek tal-Vistula għall-festival tal-kuruni?")</f>
        <v>Kemm nies jinġabru tul il-banek tal-Vistula għall-festival tal-kuruni?</v>
      </c>
    </row>
    <row r="4692" ht="15.75" customHeight="1">
      <c r="A4692" s="2" t="s">
        <v>4692</v>
      </c>
      <c r="B4692" s="2" t="str">
        <f>IFERROR(__xludf.DUMMYFUNCTION("GOOGLETRANSLATE(A4692, ""en"", ""mt"")"),"il-Paċifiku")</f>
        <v>il-Paċifiku</v>
      </c>
    </row>
    <row r="4693" ht="15.75" customHeight="1">
      <c r="A4693" s="2" t="s">
        <v>4693</v>
      </c>
      <c r="B4693" s="2" t="str">
        <f>IFERROR(__xludf.DUMMYFUNCTION("GOOGLETRANSLATE(A4693, ""en"", ""mt"")"),"sieq l-arblu")</f>
        <v>sieq l-arblu</v>
      </c>
    </row>
    <row r="4694" ht="15.75" customHeight="1">
      <c r="A4694" s="2" t="s">
        <v>4694</v>
      </c>
      <c r="B4694" s="2" t="str">
        <f>IFERROR(__xludf.DUMMYFUNCTION("GOOGLETRANSLATE(A4694, ""en"", ""mt"")"),"X'għandu l-larva tal-ħut li kkawża qatra qawwija?")</f>
        <v>X'għandu l-larva tal-ħut li kkawża qatra qawwija?</v>
      </c>
    </row>
    <row r="4695" ht="15.75" customHeight="1">
      <c r="A4695" s="2" t="s">
        <v>4695</v>
      </c>
      <c r="B4695" s="2" t="str">
        <f>IFERROR(__xludf.DUMMYFUNCTION("GOOGLETRANSLATE(A4695, ""en"", ""mt"")"),"Liema persentaġġ ta 'lewkoċiti jirrappreżentaw in-newtrofili?")</f>
        <v>Liema persentaġġ ta 'lewkoċiti jirrappreżentaw in-newtrofili?</v>
      </c>
    </row>
    <row r="4696" ht="15.75" customHeight="1">
      <c r="A4696" s="2" t="s">
        <v>4696</v>
      </c>
      <c r="B4696" s="2" t="str">
        <f>IFERROR(__xludf.DUMMYFUNCTION("GOOGLETRANSLATE(A4696, ""en"", ""mt"")"),"Distribuzzjoni u tfixkil fil-prezz")</f>
        <v>Distribuzzjoni u tfixkil fil-prezz</v>
      </c>
    </row>
    <row r="4697" ht="15.75" customHeight="1">
      <c r="A4697" s="2" t="s">
        <v>4697</v>
      </c>
      <c r="B4697" s="2" t="str">
        <f>IFERROR(__xludf.DUMMYFUNCTION("GOOGLETRANSLATE(A4697, ""en"", ""mt"")"),"Żiffa tas-Sajf")</f>
        <v>Żiffa tas-Sajf</v>
      </c>
    </row>
    <row r="4698" ht="15.75" customHeight="1">
      <c r="A4698" s="2" t="s">
        <v>4698</v>
      </c>
      <c r="B4698" s="2" t="str">
        <f>IFERROR(__xludf.DUMMYFUNCTION("GOOGLETRANSLATE(A4698, ""en"", ""mt"")"),"X'inhi l-iqsar xmara fil-Ġermanja?")</f>
        <v>X'inhi l-iqsar xmara fil-Ġermanja?</v>
      </c>
    </row>
    <row r="4699" ht="15.75" customHeight="1">
      <c r="A4699" s="2" t="s">
        <v>4699</v>
      </c>
      <c r="B4699" s="2" t="str">
        <f>IFERROR(__xludf.DUMMYFUNCTION("GOOGLETRANSLATE(A4699, ""en"", ""mt"")"),"X'kienet il-kanal HD Lineari Virgin Media Channel wieħed minn Novembru 2006 sa Lulju 2009?")</f>
        <v>X'kienet il-kanal HD Lineari Virgin Media Channel wieħed minn Novembru 2006 sa Lulju 2009?</v>
      </c>
    </row>
    <row r="4700" ht="15.75" customHeight="1">
      <c r="A4700" s="2" t="s">
        <v>4700</v>
      </c>
      <c r="B4700" s="2" t="str">
        <f>IFERROR(__xludf.DUMMYFUNCTION("GOOGLETRANSLATE(A4700, ""en"", ""mt"")"),"Shaun White")</f>
        <v>Shaun White</v>
      </c>
    </row>
    <row r="4701" ht="15.75" customHeight="1">
      <c r="A4701" s="2" t="s">
        <v>4701</v>
      </c>
      <c r="B4701" s="2" t="str">
        <f>IFERROR(__xludf.DUMMYFUNCTION("GOOGLETRANSLATE(A4701, ""en"", ""mt"")"),"Il-kunċett ""forza"" żżomm it-tifsira tagħha fil-mekkanika kwantistika, għalkemm issa wieħed qed jittratta ma 'operaturi minflok varjabbli klassiċi u għalkemm il-fiżika issa hija deskritta mill-ekwazzjoni ta' Schrödinger minflok l-ekwazzjonijiet Newtonjan"&amp;"i. Dan għandu l-konsegwenza li r-riżultati ta 'kejl issa huma xi kultant ""kwantifikati"", i.e. jidhru f'porzjonijiet diskreti. Dan huwa, ovvjament, diffiċli li wieħed jimmaġina fil-kuntest ta '""forzi"". Madankollu, il-potenzjal V (x, y, z) jew oqsma, li"&amp;" minnhom il-forzi ġeneralment jistgħu jiġu derivati, huma trattati simili għal varjabbli ta 'pożizzjoni klassika, i.e.,.")</f>
        <v>Il-kunċett "forza" żżomm it-tifsira tagħha fil-mekkanika kwantistika, għalkemm issa wieħed qed jittratta ma 'operaturi minflok varjabbli klassiċi u għalkemm il-fiżika issa hija deskritta mill-ekwazzjoni ta' Schrödinger minflok l-ekwazzjonijiet Newtonjani. Dan għandu l-konsegwenza li r-riżultati ta 'kejl issa huma xi kultant "kwantifikati", i.e. jidhru f'porzjonijiet diskreti. Dan huwa, ovvjament, diffiċli li wieħed jimmaġina fil-kuntest ta '"forzi". Madankollu, il-potenzjal V (x, y, z) jew oqsma, li minnhom il-forzi ġeneralment jistgħu jiġu derivati, huma trattati simili għal varjabbli ta 'pożizzjoni klassika, i.e.,.</v>
      </c>
    </row>
    <row r="4702" ht="15.75" customHeight="1">
      <c r="A4702" s="2" t="s">
        <v>4702</v>
      </c>
      <c r="B4702" s="2" t="str">
        <f>IFERROR(__xludf.DUMMYFUNCTION("GOOGLETRANSLATE(A4702, ""en"", ""mt"")"),"Liema sistema għandha impatt fuq l-inugwaljanza tad-dħul?")</f>
        <v>Liema sistema għandha impatt fuq l-inugwaljanza tad-dħul?</v>
      </c>
    </row>
    <row r="4703" ht="15.75" customHeight="1">
      <c r="A4703" s="2" t="s">
        <v>4703</v>
      </c>
      <c r="B4703" s="2" t="str">
        <f>IFERROR(__xludf.DUMMYFUNCTION("GOOGLETRANSLATE(A4703, ""en"", ""mt"")"),"Qerda ta 'Iżrael")</f>
        <v>Qerda ta 'Iżrael</v>
      </c>
    </row>
    <row r="4704" ht="15.75" customHeight="1">
      <c r="A4704" s="2" t="s">
        <v>4704</v>
      </c>
      <c r="B4704" s="2" t="str">
        <f>IFERROR(__xludf.DUMMYFUNCTION("GOOGLETRANSLATE(A4704, ""en"", ""mt"")"),"X’għamlu l-aktar sinjuri 400 Amerikani bħala tfal li għenuhom ikunu adulti ta ’suċċess?")</f>
        <v>X’għamlu l-aktar sinjuri 400 Amerikani bħala tfal li għenuhom ikunu adulti ta ’suċċess?</v>
      </c>
    </row>
    <row r="4705" ht="15.75" customHeight="1">
      <c r="A4705" s="2" t="s">
        <v>4705</v>
      </c>
      <c r="B4705" s="2" t="str">
        <f>IFERROR(__xludf.DUMMYFUNCTION("GOOGLETRANSLATE(A4705, ""en"", ""mt"")"),"X'inhu jassorbi r-raġġi UBV?")</f>
        <v>X'inhu jassorbi r-raġġi UBV?</v>
      </c>
    </row>
    <row r="4706" ht="15.75" customHeight="1">
      <c r="A4706" s="2" t="s">
        <v>4706</v>
      </c>
      <c r="B4706" s="2" t="str">
        <f>IFERROR(__xludf.DUMMYFUNCTION("GOOGLETRANSLATE(A4706, ""en"", ""mt"")"),"Il-Qorti Ewropea tal-Ġustizzja")</f>
        <v>Il-Qorti Ewropea tal-Ġustizzja</v>
      </c>
    </row>
    <row r="4707" ht="15.75" customHeight="1">
      <c r="A4707" s="2" t="s">
        <v>4707</v>
      </c>
      <c r="B4707" s="2" t="str">
        <f>IFERROR(__xludf.DUMMYFUNCTION("GOOGLETRANSLATE(A4707, ""en"", ""mt"")"),"virali")</f>
        <v>virali</v>
      </c>
    </row>
    <row r="4708" ht="15.75" customHeight="1">
      <c r="A4708" s="2" t="s">
        <v>4708</v>
      </c>
      <c r="B4708" s="2" t="str">
        <f>IFERROR(__xludf.DUMMYFUNCTION("GOOGLETRANSLATE(A4708, ""en"", ""mt"")"),"Liema Campaigh mexxa l-Partit Nazzjonali Skoċċiż (SNP)?")</f>
        <v>Liema Campaigh mexxa l-Partit Nazzjonali Skoċċiż (SNP)?</v>
      </c>
    </row>
    <row r="4709" ht="15.75" customHeight="1">
      <c r="A4709" s="2" t="s">
        <v>4709</v>
      </c>
      <c r="B4709" s="2" t="str">
        <f>IFERROR(__xludf.DUMMYFUNCTION("GOOGLETRANSLATE(A4709, ""en"", ""mt"")"),"Ġeneraturi ta 'ossiġnu kimiku jew xemgħat ta' ossiġnu")</f>
        <v>Ġeneraturi ta 'ossiġnu kimiku jew xemgħat ta' ossiġnu</v>
      </c>
    </row>
    <row r="4710" ht="15.75" customHeight="1">
      <c r="A4710" s="2" t="s">
        <v>4710</v>
      </c>
      <c r="B4710" s="2" t="str">
        <f>IFERROR(__xludf.DUMMYFUNCTION("GOOGLETRANSLATE(A4710, ""en"", ""mt"")"),"Il-kulleġġ jagħti baċellerat fix-xjenza / l-arti gradi f'50 minorenni u kemm hemm kumpanniji prinċipali?")</f>
        <v>Il-kulleġġ jagħti baċellerat fix-xjenza / l-arti gradi f'50 minorenni u kemm hemm kumpanniji prinċipali?</v>
      </c>
    </row>
    <row r="4711" ht="15.75" customHeight="1">
      <c r="A4711" s="2" t="s">
        <v>4711</v>
      </c>
      <c r="B4711" s="2" t="str">
        <f>IFERROR(__xludf.DUMMYFUNCTION("GOOGLETRANSLATE(A4711, ""en"", ""mt"")"),"Meta x-xita tipikament taqa 'f'Jacksonville?")</f>
        <v>Meta x-xita tipikament taqa 'f'Jacksonville?</v>
      </c>
    </row>
    <row r="4712" ht="15.75" customHeight="1">
      <c r="A4712" s="2" t="s">
        <v>4712</v>
      </c>
      <c r="B4712" s="2" t="str">
        <f>IFERROR(__xludf.DUMMYFUNCTION("GOOGLETRANSLATE(A4712, ""en"", ""mt"")"),"X'inhi l-ogħla temperatura ta 'kull xahar tar-Rabat?")</f>
        <v>X'inhi l-ogħla temperatura ta 'kull xahar tar-Rabat?</v>
      </c>
    </row>
    <row r="4713" ht="15.75" customHeight="1">
      <c r="A4713" s="2" t="s">
        <v>4713</v>
      </c>
      <c r="B4713" s="2" t="str">
        <f>IFERROR(__xludf.DUMMYFUNCTION("GOOGLETRANSLATE(A4713, ""en"", ""mt"")"),"L-Ewropa nnifisha.")</f>
        <v>L-Ewropa nnifisha.</v>
      </c>
    </row>
    <row r="4714" ht="15.75" customHeight="1">
      <c r="A4714" s="2" t="s">
        <v>4714</v>
      </c>
      <c r="B4714" s="2" t="str">
        <f>IFERROR(__xludf.DUMMYFUNCTION("GOOGLETRANSLATE(A4714, ""en"", ""mt"")"),"membri oħra")</f>
        <v>membri oħra</v>
      </c>
    </row>
    <row r="4715" ht="15.75" customHeight="1">
      <c r="A4715" s="2" t="s">
        <v>4715</v>
      </c>
      <c r="B4715" s="2" t="str">
        <f>IFERROR(__xludf.DUMMYFUNCTION("GOOGLETRANSLATE(A4715, ""en"", ""mt"")"),"5,792")</f>
        <v>5,792</v>
      </c>
    </row>
    <row r="4716" ht="15.75" customHeight="1">
      <c r="A4716" s="2" t="s">
        <v>4716</v>
      </c>
      <c r="B4716" s="2" t="str">
        <f>IFERROR(__xludf.DUMMYFUNCTION("GOOGLETRANSLATE(A4716, ""en"", ""mt"")"),"X'kien ir-rwol ta 'Martin Parry fl-IPCC?")</f>
        <v>X'kien ir-rwol ta 'Martin Parry fl-IPCC?</v>
      </c>
    </row>
    <row r="4717" ht="15.75" customHeight="1">
      <c r="A4717" s="2" t="s">
        <v>4717</v>
      </c>
      <c r="B4717" s="2" t="str">
        <f>IFERROR(__xludf.DUMMYFUNCTION("GOOGLETRANSLATE(A4717, ""en"", ""mt"")"),"X'inhi l-akbar sistema ta 'librerija akkademika u privata tad-dinja?")</f>
        <v>X'inhi l-akbar sistema ta 'librerija akkademika u privata tad-dinja?</v>
      </c>
    </row>
    <row r="4718" ht="15.75" customHeight="1">
      <c r="A4718" s="2" t="s">
        <v>4718</v>
      </c>
      <c r="B4718" s="2" t="str">
        <f>IFERROR(__xludf.DUMMYFUNCTION("GOOGLETRANSLATE(A4718, ""en"", ""mt"")"),"Għaliex id-ditti jissostitwixxu tagħmir għall-ħaddiema?")</f>
        <v>Għaliex id-ditti jissostitwixxu tagħmir għall-ħaddiema?</v>
      </c>
    </row>
    <row r="4719" ht="15.75" customHeight="1">
      <c r="A4719" s="2" t="s">
        <v>4719</v>
      </c>
      <c r="B4719" s="2" t="str">
        <f>IFERROR(__xludf.DUMMYFUNCTION("GOOGLETRANSLATE(A4719, ""en"", ""mt"")"),"Kemm mili, ladarba jitlestew, il-Lewis S. Eaton Trail Cover?")</f>
        <v>Kemm mili, ladarba jitlestew, il-Lewis S. Eaton Trail Cover?</v>
      </c>
    </row>
    <row r="4720" ht="15.75" customHeight="1">
      <c r="A4720" s="2" t="s">
        <v>4720</v>
      </c>
      <c r="B4720" s="2" t="str">
        <f>IFERROR(__xludf.DUMMYFUNCTION("GOOGLETRANSLATE(A4720, ""en"", ""mt"")"),"Moxt bħal faxex ta 'ċili huma msejħa xiex?")</f>
        <v>Moxt bħal faxex ta 'ċili huma msejħa xiex?</v>
      </c>
    </row>
    <row r="4721" ht="15.75" customHeight="1">
      <c r="A4721" s="2" t="s">
        <v>4721</v>
      </c>
      <c r="B4721" s="2" t="str">
        <f>IFERROR(__xludf.DUMMYFUNCTION("GOOGLETRANSLATE(A4721, ""en"", ""mt"")"),"X'inhu R-OOC-R?")</f>
        <v>X'inhu R-OOC-R?</v>
      </c>
    </row>
    <row r="4722" ht="15.75" customHeight="1">
      <c r="A4722" s="2" t="s">
        <v>4722</v>
      </c>
      <c r="B4722" s="2" t="str">
        <f>IFERROR(__xludf.DUMMYFUNCTION("GOOGLETRANSLATE(A4722, ""en"", ""mt"")"),"Meta waslu l-festi Kalvinisti u l-ideat tradizzjonali biex jiddominaw l-universitajiet?")</f>
        <v>Meta waslu l-festi Kalvinisti u l-ideat tradizzjonali biex jiddominaw l-universitajiet?</v>
      </c>
    </row>
    <row r="4723" ht="15.75" customHeight="1">
      <c r="A4723" s="2" t="s">
        <v>4723</v>
      </c>
      <c r="B4723" s="2" t="str">
        <f>IFERROR(__xludf.DUMMYFUNCTION("GOOGLETRANSLATE(A4723, ""en"", ""mt"")"),"X'inhu eżempju ta 'riżorsa riveduta mill-pari?")</f>
        <v>X'inhu eżempju ta 'riżorsa riveduta mill-pari?</v>
      </c>
    </row>
    <row r="4724" ht="15.75" customHeight="1">
      <c r="A4724" s="2" t="s">
        <v>4724</v>
      </c>
      <c r="B4724" s="2" t="str">
        <f>IFERROR(__xludf.DUMMYFUNCTION("GOOGLETRANSLATE(A4724, ""en"", ""mt"")"),"Dak li s-Senat żar Jacksonville fl-1888?")</f>
        <v>Dak li s-Senat żar Jacksonville fl-1888?</v>
      </c>
    </row>
    <row r="4725" ht="15.75" customHeight="1">
      <c r="A4725" s="2" t="s">
        <v>4725</v>
      </c>
      <c r="B4725" s="2" t="str">
        <f>IFERROR(__xludf.DUMMYFUNCTION("GOOGLETRANSLATE(A4725, ""en"", ""mt"")"),"Antigone kien dramm magħmul minn min?")</f>
        <v>Antigone kien dramm magħmul minn min?</v>
      </c>
    </row>
    <row r="4726" ht="15.75" customHeight="1">
      <c r="A4726" s="2" t="s">
        <v>4726</v>
      </c>
      <c r="B4726" s="2" t="str">
        <f>IFERROR(__xludf.DUMMYFUNCTION("GOOGLETRANSLATE(A4726, ""en"", ""mt"")"),"Liema stat fl-Awstralja vvinta l-biedja tal-ħalib?")</f>
        <v>Liema stat fl-Awstralja vvinta l-biedja tal-ħalib?</v>
      </c>
    </row>
    <row r="4727" ht="15.75" customHeight="1">
      <c r="A4727" s="2" t="s">
        <v>4727</v>
      </c>
      <c r="B4727" s="2" t="str">
        <f>IFERROR(__xludf.DUMMYFUNCTION("GOOGLETRANSLATE(A4727, ""en"", ""mt"")"),"Alfred Wegener")</f>
        <v>Alfred Wegener</v>
      </c>
    </row>
    <row r="4728" ht="15.75" customHeight="1">
      <c r="A4728" s="2" t="s">
        <v>4728</v>
      </c>
      <c r="B4728" s="2" t="str">
        <f>IFERROR(__xludf.DUMMYFUNCTION("GOOGLETRANSLATE(A4728, ""en"", ""mt"")"),"Meta temm il-BSKYB is-servizz analogu tagħhom?")</f>
        <v>Meta temm il-BSKYB is-servizz analogu tagħhom?</v>
      </c>
    </row>
    <row r="4729" ht="15.75" customHeight="1">
      <c r="A4729" s="2" t="s">
        <v>4729</v>
      </c>
      <c r="B4729" s="2" t="str">
        <f>IFERROR(__xludf.DUMMYFUNCTION("GOOGLETRANSLATE(A4729, ""en"", ""mt"")"),"Liġijiet inġusti")</f>
        <v>Liġijiet inġusti</v>
      </c>
    </row>
    <row r="4730" ht="15.75" customHeight="1">
      <c r="A4730" s="2" t="s">
        <v>4730</v>
      </c>
      <c r="B4730" s="2" t="str">
        <f>IFERROR(__xludf.DUMMYFUNCTION("GOOGLETRANSLATE(A4730, ""en"", ""mt"")"),"Dak li jqisu li huma inġusti")</f>
        <v>Dak li jqisu li huma inġusti</v>
      </c>
    </row>
    <row r="4731" ht="15.75" customHeight="1">
      <c r="A4731" s="2" t="s">
        <v>4731</v>
      </c>
      <c r="B4731" s="2" t="str">
        <f>IFERROR(__xludf.DUMMYFUNCTION("GOOGLETRANSLATE(A4731, ""en"", ""mt"")"),"Meta xxandret l-ewwel darba l-KMJ-TV?")</f>
        <v>Meta xxandret l-ewwel darba l-KMJ-TV?</v>
      </c>
    </row>
    <row r="4732" ht="15.75" customHeight="1">
      <c r="A4732" s="2" t="s">
        <v>4732</v>
      </c>
      <c r="B4732" s="2" t="str">
        <f>IFERROR(__xludf.DUMMYFUNCTION("GOOGLETRANSLATE(A4732, ""en"", ""mt"")"),"Fl-2012 l-Unità tal-Intelliġenza Ekonomista kklassifikat lil Varsavja bħala t-32 belt l-iktar li tista 'tgħix fid-dinja. Kien ikklassifikat ukoll bħala waħda mill-iktar bliet ħajjin fl-Ewropa Ċentrali. Illum Varsavja hija meqjusa bħala belt globali ""alfa"&amp;" -"", destinazzjoni turistika internazzjonali ewlenija u hub kulturali, politiku u ekonomiku sinifikanti. L-ekonomija ta 'Varsavja, minn varjetà wiesgħa ta' industriji, hija kkaratterizzata minn manifattura FMCG, proċessar tal-metall, azzar u manifattura "&amp;"elettronika u proċessar tal-ikel. Il-belt hija ċentru sinifikanti ta 'riċerka u żvilupp, BPO, ITO, kif ukoll ta' l-industrija tal-midja Pollakka. Il-Borża ta 'Varsavja hija waħda mill-ikbar u l-iktar importanti fl-Ewropa Ċentrali u tal-Lvant. Frontex, l-A"&amp;"ġenzija tal-Unjoni Ewropea għas-Sigurtà Esterna tal-Fruntiera, għandha l-kwartieri ġenerali tagħha f'Varsavja. Intqal li Varsavja, flimkien ma 'Frankfurt, Londra, Pariġi u Barċellona hija waħda mill-ibliet bl-ogħla numru ta' bini għoli fl-Unjoni Ewropea. "&amp;"Varsavja ġiet imsejħa wkoll ""il-kapitali kulturali chic tal-Ewropa tal-Lvant b'xeni tal-arti u klabbs b'saħħithom u ristoranti serji"".")</f>
        <v>Fl-2012 l-Unità tal-Intelliġenza Ekonomista kklassifikat lil Varsavja bħala t-32 belt l-iktar li tista 'tgħix fid-dinja. Kien ikklassifikat ukoll bħala waħda mill-iktar bliet ħajjin fl-Ewropa Ċentrali. Illum Varsavja hija meqjusa bħala belt globali "alfa -", destinazzjoni turistika internazzjonali ewlenija u hub kulturali, politiku u ekonomiku sinifikanti. L-ekonomija ta 'Varsavja, minn varjetà wiesgħa ta' industriji, hija kkaratterizzata minn manifattura FMCG, proċessar tal-metall, azzar u manifattura elettronika u proċessar tal-ikel. Il-belt hija ċentru sinifikanti ta 'riċerka u żvilupp, BPO, ITO, kif ukoll ta' l-industrija tal-midja Pollakka. Il-Borża ta 'Varsavja hija waħda mill-ikbar u l-iktar importanti fl-Ewropa Ċentrali u tal-Lvant. Frontex, l-Aġenzija tal-Unjoni Ewropea għas-Sigurtà Esterna tal-Fruntiera, għandha l-kwartieri ġenerali tagħha f'Varsavja. Intqal li Varsavja, flimkien ma 'Frankfurt, Londra, Pariġi u Barċellona hija waħda mill-ibliet bl-ogħla numru ta' bini għoli fl-Unjoni Ewropea. Varsavja ġiet imsejħa wkoll "il-kapitali kulturali chic tal-Ewropa tal-Lvant b'xeni tal-arti u klabbs b'saħħithom u ristoranti serji".</v>
      </c>
    </row>
    <row r="4733" ht="15.75" customHeight="1">
      <c r="A4733" s="2" t="s">
        <v>4733</v>
      </c>
      <c r="B4733" s="2" t="str">
        <f>IFERROR(__xludf.DUMMYFUNCTION("GOOGLETRANSLATE(A4733, ""en"", ""mt"")"),"X'jistgħu jintużaw bidliet fl-abitat biex jipprovdu dwar formazzjonijiet?")</f>
        <v>X'jistgħu jintużaw bidliet fl-abitat biex jipprovdu dwar formazzjonijiet?</v>
      </c>
    </row>
    <row r="4734" ht="15.75" customHeight="1">
      <c r="A4734" s="2" t="s">
        <v>4734</v>
      </c>
      <c r="B4734" s="2" t="str">
        <f>IFERROR(__xludf.DUMMYFUNCTION("GOOGLETRANSLATE(A4734, ""en"", ""mt"")"),"It-teorema fundamentali tal-Euclid tal-aritmetika")</f>
        <v>It-teorema fundamentali tal-Euclid tal-aritmetika</v>
      </c>
    </row>
    <row r="4735" ht="15.75" customHeight="1">
      <c r="A4735" s="2" t="s">
        <v>4735</v>
      </c>
      <c r="B4735" s="2" t="str">
        <f>IFERROR(__xludf.DUMMYFUNCTION("GOOGLETRANSLATE(A4735, ""en"", ""mt"")"),"Għal xiex tispikka l-VBNS")</f>
        <v>Għal xiex tispikka l-VBNS</v>
      </c>
    </row>
    <row r="4736" ht="15.75" customHeight="1">
      <c r="A4736" s="2" t="s">
        <v>4736</v>
      </c>
      <c r="B4736" s="2" t="str">
        <f>IFERROR(__xludf.DUMMYFUNCTION("GOOGLETRANSLATE(A4736, ""en"", ""mt"")"),"X'kienu l-elezzjonijiet nazzjonali fl-1991 ikkanċellati minn?")</f>
        <v>X'kienu l-elezzjonijiet nazzjonali fl-1991 ikkanċellati minn?</v>
      </c>
    </row>
    <row r="4737" ht="15.75" customHeight="1">
      <c r="A4737" s="2" t="s">
        <v>4737</v>
      </c>
      <c r="B4737" s="2" t="str">
        <f>IFERROR(__xludf.DUMMYFUNCTION("GOOGLETRANSLATE(A4737, ""en"", ""mt"")"),"Min hi l-akbar kumpanija tat-televiżjoni diġitali tar-Renju Unit?")</f>
        <v>Min hi l-akbar kumpanija tat-televiżjoni diġitali tar-Renju Unit?</v>
      </c>
    </row>
    <row r="4738" ht="15.75" customHeight="1">
      <c r="A4738" s="2" t="s">
        <v>4738</v>
      </c>
      <c r="B4738" s="2" t="str">
        <f>IFERROR(__xludf.DUMMYFUNCTION("GOOGLETRANSLATE(A4738, ""en"", ""mt"")"),"Liema politiki tal-wan ma jħobbux il-Musulmani?")</f>
        <v>Liema politiki tal-wan ma jħobbux il-Musulmani?</v>
      </c>
    </row>
    <row r="4739" ht="15.75" customHeight="1">
      <c r="A4739" s="2" t="s">
        <v>4739</v>
      </c>
      <c r="B4739" s="2" t="str">
        <f>IFERROR(__xludf.DUMMYFUNCTION("GOOGLETRANSLATE(A4739, ""en"", ""mt"")"),"Min ġie miċħud bħala s-sostituzzjoni għal Duke Yansheng Kong Duanyou?")</f>
        <v>Min ġie miċħud bħala s-sostituzzjoni għal Duke Yansheng Kong Duanyou?</v>
      </c>
    </row>
    <row r="4740" ht="15.75" customHeight="1">
      <c r="A4740" s="2" t="s">
        <v>4740</v>
      </c>
      <c r="B4740" s="2" t="str">
        <f>IFERROR(__xludf.DUMMYFUNCTION("GOOGLETRANSLATE(A4740, ""en"", ""mt"")"),"Mill-Italja, il-marda nfirxet lejn il-majjistral madwar l-Ewropa, li tolqot Franza, Spanja, il-Portugall u l-Ingilterra sa Ġunju 1348, imbagħad inbidlet u nfirxet lejn il-Lvant mill-Ġermanja u l-Iskandinavja mill-1348 sal-1350. Ġie introdott fin-Norveġja "&amp;"fl-1349 meta vapur żbarka f'Askøy, Imbagħad infirex għal Bjørgvin (modern Bergen) u l-Islanda. Fl-aħħarnett infirex lejn il-majjistral tar-Russja fl-1351. Il-pesta kienet kemmxejn inqas komuni f'partijiet tal-Ewropa li kellhom relazzjonijiet kummerċjali i"&amp;"żgħar mal-ġirien tagħhom, inkluż ir-Renju tal-Polonja, il-maġġoranza tal-pajjiż Bask, partijiet iżolati tal-Belġju u l-Olanda, u Irħula alpini iżolati madwar il-kontinent.")</f>
        <v>Mill-Italja, il-marda nfirxet lejn il-majjistral madwar l-Ewropa, li tolqot Franza, Spanja, il-Portugall u l-Ingilterra sa Ġunju 1348, imbagħad inbidlet u nfirxet lejn il-Lvant mill-Ġermanja u l-Iskandinavja mill-1348 sal-1350. Ġie introdott fin-Norveġja fl-1349 meta vapur żbarka f'Askøy, Imbagħad infirex għal Bjørgvin (modern Bergen) u l-Islanda. Fl-aħħarnett infirex lejn il-majjistral tar-Russja fl-1351. Il-pesta kienet kemmxejn inqas komuni f'partijiet tal-Ewropa li kellhom relazzjonijiet kummerċjali iżgħar mal-ġirien tagħhom, inkluż ir-Renju tal-Polonja, il-maġġoranza tal-pajjiż Bask, partijiet iżolati tal-Belġju u l-Olanda, u Irħula alpini iżolati madwar il-kontinent.</v>
      </c>
    </row>
    <row r="4741" ht="15.75" customHeight="1">
      <c r="A4741" s="2" t="s">
        <v>4741</v>
      </c>
      <c r="B4741" s="2" t="str">
        <f>IFERROR(__xludf.DUMMYFUNCTION("GOOGLETRANSLATE(A4741, ""en"", ""mt"")"),"Uża l-proċeduri bħala forum")</f>
        <v>Uża l-proċeduri bħala forum</v>
      </c>
    </row>
    <row r="4742" ht="15.75" customHeight="1">
      <c r="A4742" s="2" t="s">
        <v>4742</v>
      </c>
      <c r="B4742" s="2" t="str">
        <f>IFERROR(__xludf.DUMMYFUNCTION("GOOGLETRANSLATE(A4742, ""en"", ""mt"")"),"X'inhuma d-differenzi kbar fil-ġid mhux attribwiti mis-soċjalisti?")</f>
        <v>X'inhuma d-differenzi kbar fil-ġid mhux attribwiti mis-soċjalisti?</v>
      </c>
    </row>
    <row r="4743" ht="15.75" customHeight="1">
      <c r="A4743" s="2" t="s">
        <v>4743</v>
      </c>
      <c r="B4743" s="2" t="str">
        <f>IFERROR(__xludf.DUMMYFUNCTION("GOOGLETRANSLATE(A4743, ""en"", ""mt"")"),"X'kienu t-tliet partijiet tal-gvern ta 'Kublai?")</f>
        <v>X'kienu t-tliet partijiet tal-gvern ta 'Kublai?</v>
      </c>
    </row>
    <row r="4744" ht="15.75" customHeight="1">
      <c r="A4744" s="2" t="s">
        <v>4744</v>
      </c>
      <c r="B4744" s="2" t="str">
        <f>IFERROR(__xludf.DUMMYFUNCTION("GOOGLETRANSLATE(A4744, ""en"", ""mt"")"),"Kif inkella jista 'tabib ma jieħu vantaġġ mill-interess innifsu?")</f>
        <v>Kif inkella jista 'tabib ma jieħu vantaġġ mill-interess innifsu?</v>
      </c>
    </row>
    <row r="4745" ht="15.75" customHeight="1">
      <c r="A4745" s="2" t="s">
        <v>4745</v>
      </c>
      <c r="B4745" s="2" t="str">
        <f>IFERROR(__xludf.DUMMYFUNCTION("GOOGLETRANSLATE(A4745, ""en"", ""mt"")"),"fluwidu tax-xogħol")</f>
        <v>fluwidu tax-xogħol</v>
      </c>
    </row>
    <row r="4746" ht="15.75" customHeight="1">
      <c r="A4746" s="2" t="s">
        <v>4746</v>
      </c>
      <c r="B4746" s="2" t="str">
        <f>IFERROR(__xludf.DUMMYFUNCTION("GOOGLETRANSLATE(A4746, ""en"", ""mt"")"),"Min esplora t-territorju ta 'Ohio fl-1570?")</f>
        <v>Min esplora t-territorju ta 'Ohio fl-1570?</v>
      </c>
    </row>
    <row r="4747" ht="15.75" customHeight="1">
      <c r="A4747" s="2" t="s">
        <v>4747</v>
      </c>
      <c r="B4747" s="2" t="str">
        <f>IFERROR(__xludf.DUMMYFUNCTION("GOOGLETRANSLATE(A4747, ""en"", ""mt"")"),"Il-gwerra reliġjuża mġedda fl-1620s ikkawżat li l-privileġġi politiċi u militari tal-Huguenots jiġu aboliti wara t-telfa tagħhom. Huma żammew id-dispożizzjonijiet reliġjużi tal-editt ta 'Nantes sakemm ir-regola ta' Louis XIV, li żiedet progressivament il-"&amp;"persekuzzjoni tagħhom sakemm ħareġ l-editt ta 'Fontainebleau (1685), li abolixxa r-rikonoxximent legali kollu tal-Protestantiżmu fi Franza, u ġiegħel lill-Huguenots biex jikkonvertu - Filwaqt li kważi tliet kwarti eventwalment inqatlu jew ġew sottomessi, "&amp;"bejn wieħed u ieħor 500,000 Huguenots ħarbu minn Franza sal-bidu tas-seklu 18 [ċitazzjoni meħtieġa].")</f>
        <v>Il-gwerra reliġjuża mġedda fl-1620s ikkawżat li l-privileġġi politiċi u militari tal-Huguenots jiġu aboliti wara t-telfa tagħhom. Huma żammew id-dispożizzjonijiet reliġjużi tal-editt ta 'Nantes sakemm ir-regola ta' Louis XIV, li żiedet progressivament il-persekuzzjoni tagħhom sakemm ħareġ l-editt ta 'Fontainebleau (1685), li abolixxa r-rikonoxximent legali kollu tal-Protestantiżmu fi Franza, u ġiegħel lill-Huguenots biex jikkonvertu - Filwaqt li kważi tliet kwarti eventwalment inqatlu jew ġew sottomessi, bejn wieħed u ieħor 500,000 Huguenots ħarbu minn Franza sal-bidu tas-seklu 18 [ċitazzjoni meħtieġa].</v>
      </c>
    </row>
    <row r="4748" ht="15.75" customHeight="1">
      <c r="A4748" s="2" t="s">
        <v>4748</v>
      </c>
      <c r="B4748" s="2" t="str">
        <f>IFERROR(__xludf.DUMMYFUNCTION("GOOGLETRANSLATE(A4748, ""en"", ""mt"")"),"Liema qasam tax-xjenza qed jifhem li jinbidel bil-mod?")</f>
        <v>Liema qasam tax-xjenza qed jifhem li jinbidel bil-mod?</v>
      </c>
    </row>
    <row r="4749" ht="15.75" customHeight="1">
      <c r="A4749" s="2" t="s">
        <v>4749</v>
      </c>
      <c r="B4749" s="2" t="str">
        <f>IFERROR(__xludf.DUMMYFUNCTION("GOOGLETRANSLATE(A4749, ""en"", ""mt"")"),"Il-fuljetti għandhom jingħataw lill-ġurija tal-fuljett stess bħala evidenza")</f>
        <v>Il-fuljetti għandhom jingħataw lill-ġurija tal-fuljett stess bħala evidenza</v>
      </c>
    </row>
    <row r="4750" ht="15.75" customHeight="1">
      <c r="A4750" s="2" t="s">
        <v>4750</v>
      </c>
      <c r="B4750" s="2" t="str">
        <f>IFERROR(__xludf.DUMMYFUNCTION("GOOGLETRANSLATE(A4750, ""en"", ""mt"")"),"Kif huma ffinanzjati ErgänZungsschulen?")</f>
        <v>Kif huma ffinanzjati ErgänZungsschulen?</v>
      </c>
    </row>
    <row r="4751" ht="15.75" customHeight="1">
      <c r="A4751" s="2" t="s">
        <v>4751</v>
      </c>
      <c r="B4751" s="2" t="str">
        <f>IFERROR(__xludf.DUMMYFUNCTION("GOOGLETRANSLATE(A4751, ""en"", ""mt"")"),"Fejn il-kontroll tal-konfederazzjoni Iroquois?")</f>
        <v>Fejn il-kontroll tal-konfederazzjoni Iroquois?</v>
      </c>
    </row>
    <row r="4752" ht="15.75" customHeight="1">
      <c r="A4752" s="2" t="s">
        <v>4752</v>
      </c>
      <c r="B4752" s="2" t="str">
        <f>IFERROR(__xludf.DUMMYFUNCTION("GOOGLETRANSLATE(A4752, ""en"", ""mt"")"),"Punt Ticonderoga")</f>
        <v>Punt Ticonderoga</v>
      </c>
    </row>
    <row r="4753" ht="15.75" customHeight="1">
      <c r="A4753" s="2" t="s">
        <v>4753</v>
      </c>
      <c r="B4753" s="2" t="str">
        <f>IFERROR(__xludf.DUMMYFUNCTION("GOOGLETRANSLATE(A4753, ""en"", ""mt"")"),"Tentattiv biex tirriforma l-liġi kostituzzjonali tal-Unjoni Ewropea u tagħmilha aktar trasparenti")</f>
        <v>Tentattiv biex tirriforma l-liġi kostituzzjonali tal-Unjoni Ewropea u tagħmilha aktar trasparenti</v>
      </c>
    </row>
    <row r="4754" ht="15.75" customHeight="1">
      <c r="A4754" s="2" t="s">
        <v>4754</v>
      </c>
      <c r="B4754" s="2" t="str">
        <f>IFERROR(__xludf.DUMMYFUNCTION("GOOGLETRANSLATE(A4754, ""en"", ""mt"")"),"Sa liema sena kien ibiegħ it-tfal fi skjavitù komuni fost il-Mongoli?")</f>
        <v>Sa liema sena kien ibiegħ it-tfal fi skjavitù komuni fost il-Mongoli?</v>
      </c>
    </row>
    <row r="4755" ht="15.75" customHeight="1">
      <c r="A4755" s="2" t="s">
        <v>4755</v>
      </c>
      <c r="B4755" s="2" t="str">
        <f>IFERROR(__xludf.DUMMYFUNCTION("GOOGLETRANSLATE(A4755, ""en"", ""mt"")"),"Bħala mezz biex tgħin l-iżvilupp edukattiv u ekonomiku tal-istat")</f>
        <v>Bħala mezz biex tgħin l-iżvilupp edukattiv u ekonomiku tal-istat</v>
      </c>
    </row>
    <row r="4756" ht="15.75" customHeight="1">
      <c r="A4756" s="2" t="s">
        <v>4756</v>
      </c>
      <c r="B4756" s="2" t="str">
        <f>IFERROR(__xludf.DUMMYFUNCTION("GOOGLETRANSLATE(A4756, ""en"", ""mt"")"),"Min qed jiġbed il-mapep tal-artijiet antenati tagħhom?")</f>
        <v>Min qed jiġbed il-mapep tal-artijiet antenati tagħhom?</v>
      </c>
    </row>
    <row r="4757" ht="15.75" customHeight="1">
      <c r="A4757" s="2" t="s">
        <v>4757</v>
      </c>
      <c r="B4757" s="2" t="str">
        <f>IFERROR(__xludf.DUMMYFUNCTION("GOOGLETRANSLATE(A4757, ""en"", ""mt"")"),"X'inhi problema bl-ispiżeriji tal-internet?")</f>
        <v>X'inhi problema bl-ispiżeriji tal-internet?</v>
      </c>
    </row>
    <row r="4758" ht="15.75" customHeight="1">
      <c r="A4758" s="2" t="s">
        <v>4758</v>
      </c>
      <c r="B4758" s="2" t="str">
        <f>IFERROR(__xludf.DUMMYFUNCTION("GOOGLETRANSLATE(A4758, ""en"", ""mt"")"),"Xi jfisser it-telf għal Franza?")</f>
        <v>Xi jfisser it-telf għal Franza?</v>
      </c>
    </row>
    <row r="4759" ht="15.75" customHeight="1">
      <c r="A4759" s="2" t="s">
        <v>4759</v>
      </c>
      <c r="B4759" s="2" t="str">
        <f>IFERROR(__xludf.DUMMYFUNCTION("GOOGLETRANSLATE(A4759, ""en"", ""mt"")"),"ir-referendum fi Franza u r-referendum fl-Olanda")</f>
        <v>ir-referendum fi Franza u r-referendum fl-Olanda</v>
      </c>
    </row>
    <row r="4760" ht="15.75" customHeight="1">
      <c r="A4760" s="2" t="s">
        <v>4760</v>
      </c>
      <c r="B4760" s="2" t="str">
        <f>IFERROR(__xludf.DUMMYFUNCTION("GOOGLETRANSLATE(A4760, ""en"", ""mt"")"),"abjad")</f>
        <v>abjad</v>
      </c>
    </row>
    <row r="4761" ht="15.75" customHeight="1">
      <c r="A4761" s="2" t="s">
        <v>4761</v>
      </c>
      <c r="B4761" s="2" t="str">
        <f>IFERROR(__xludf.DUMMYFUNCTION("GOOGLETRANSLATE(A4761, ""en"", ""mt"")"),"Kampanja għal Indja Ħieles")</f>
        <v>Kampanja għal Indja Ħieles</v>
      </c>
    </row>
    <row r="4762" ht="15.75" customHeight="1">
      <c r="A4762" s="2" t="s">
        <v>4762</v>
      </c>
      <c r="B4762" s="2" t="str">
        <f>IFERROR(__xludf.DUMMYFUNCTION("GOOGLETRANSLATE(A4762, ""en"", ""mt"")"),"It-territorji indiġeni qed jiġu ppreservati permezz ta ’x’tip ta’ sforzi ta ’konservazzjoni?")</f>
        <v>It-territorji indiġeni qed jiġu ppreservati permezz ta ’x’tip ta’ sforzi ta ’konservazzjoni?</v>
      </c>
    </row>
    <row r="4763" ht="15.75" customHeight="1">
      <c r="A4763" s="2" t="s">
        <v>4763</v>
      </c>
      <c r="B4763" s="2" t="str">
        <f>IFERROR(__xludf.DUMMYFUNCTION("GOOGLETRANSLATE(A4763, ""en"", ""mt"")"),"Bricks għal Varsavja")</f>
        <v>Bricks għal Varsavja</v>
      </c>
    </row>
    <row r="4764" ht="15.75" customHeight="1">
      <c r="A4764" s="2" t="s">
        <v>4764</v>
      </c>
      <c r="B4764" s="2" t="str">
        <f>IFERROR(__xludf.DUMMYFUNCTION("GOOGLETRANSLATE(A4764, ""en"", ""mt"")"),"Liema liġi għandha 3 klijenti?")</f>
        <v>Liema liġi għandha 3 klijenti?</v>
      </c>
    </row>
    <row r="4765" ht="15.75" customHeight="1">
      <c r="A4765" s="2" t="s">
        <v>4765</v>
      </c>
      <c r="B4765" s="2" t="str">
        <f>IFERROR(__xludf.DUMMYFUNCTION("GOOGLETRANSLATE(A4765, ""en"", ""mt"")"),"X’inbidel id-Delta tar-Rhine?")</f>
        <v>X’inbidel id-Delta tar-Rhine?</v>
      </c>
    </row>
    <row r="4766" ht="15.75" customHeight="1">
      <c r="A4766" s="2" t="s">
        <v>4766</v>
      </c>
      <c r="B4766" s="2" t="str">
        <f>IFERROR(__xludf.DUMMYFUNCTION("GOOGLETRANSLATE(A4766, ""en"", ""mt"")"),"Louis XIV")</f>
        <v>Louis XIV</v>
      </c>
    </row>
    <row r="4767" ht="15.75" customHeight="1">
      <c r="A4767" s="2" t="s">
        <v>4767</v>
      </c>
      <c r="B4767" s="2" t="str">
        <f>IFERROR(__xludf.DUMMYFUNCTION("GOOGLETRANSLATE(A4767, ""en"", ""mt"")"),"Fondazzjoni Nazzjonali tax-Xjenza")</f>
        <v>Fondazzjoni Nazzjonali tax-Xjenza</v>
      </c>
    </row>
    <row r="4768" ht="15.75" customHeight="1">
      <c r="A4768" s="2" t="s">
        <v>4768</v>
      </c>
      <c r="B4768" s="2" t="str">
        <f>IFERROR(__xludf.DUMMYFUNCTION("GOOGLETRANSLATE(A4768, ""en"", ""mt"")"),"Nuqqas ta 'dispjaċir")</f>
        <v>Nuqqas ta 'dispjaċir</v>
      </c>
    </row>
    <row r="4769" ht="15.75" customHeight="1">
      <c r="A4769" s="2" t="s">
        <v>4769</v>
      </c>
      <c r="B4769" s="2" t="str">
        <f>IFERROR(__xludf.DUMMYFUNCTION("GOOGLETRANSLATE(A4769, ""en"", ""mt"")"),"Fejn kienet Shirley qed tippjana spedizzjoni?")</f>
        <v>Fejn kienet Shirley qed tippjana spedizzjoni?</v>
      </c>
    </row>
    <row r="4770" ht="15.75" customHeight="1">
      <c r="A4770" s="2" t="s">
        <v>4770</v>
      </c>
      <c r="B4770" s="2" t="str">
        <f>IFERROR(__xludf.DUMMYFUNCTION("GOOGLETRANSLATE(A4770, ""en"", ""mt"")"),"Kif akkwistaw il-Mongoli Teknoloġija tal-Istampar Ġappuniża?")</f>
        <v>Kif akkwistaw il-Mongoli Teknoloġija tal-Istampar Ġappuniża?</v>
      </c>
    </row>
    <row r="4771" ht="15.75" customHeight="1">
      <c r="A4771" s="2" t="s">
        <v>4771</v>
      </c>
      <c r="B4771" s="2" t="str">
        <f>IFERROR(__xludf.DUMMYFUNCTION("GOOGLETRANSLATE(A4771, ""en"", ""mt"")"),"madwar terz")</f>
        <v>madwar terz</v>
      </c>
    </row>
    <row r="4772" ht="15.75" customHeight="1">
      <c r="A4772" s="2" t="s">
        <v>4772</v>
      </c>
      <c r="B4772" s="2" t="str">
        <f>IFERROR(__xludf.DUMMYFUNCTION("GOOGLETRANSLATE(A4772, ""en"", ""mt"")"),"Fil-mod ta 'produzzjoni purament kapitalist (i.e. fejn organizzazzjonijiet professjonali u tax-xogħol ma jistgħux jillimitaw in-numru ta' ħaddiema) il-pagi tal-ħaddiema mhux se jiġu kkontrollati minn dawn l-organizzazzjonijiet, jew minn min iħaddem, iżda "&amp;"pjuttost mis-suq. Il-pagi jaħdmu bl-istess mod bħall-prezzijiet għal kull ġid ieħor. Għalhekk, il-pagi jistgħu jitqiesu bħala funzjoni tal-prezz tas-suq tal-ħila. U għalhekk, l-inugwaljanza hija mmexxija minn dan il-prezz. Taħt il-liġi tal-provvista u d-d"&amp;"omanda, il-prezz tal-ħila huwa determinat minn tellieqa bejn id-domanda għall-ħaddiem tas-sengħa u l-provvista tal-ħaddiem tas-sengħa. ""Min-naħa l-oħra, is-swieq jistgħu wkoll jikkonċentraw il-ġid, jgħaddu l-ispejjeż ambjentali fuq is-soċjetà, u jabbużaw"&amp;" mill-ħaddiema u l-konsumaturi."" ""Is-swieq, waħedhom, anke meta huma stabbli, ħafna drabi jwasslu għal livelli għoljin ta 'inugwaljanza, riżultati li huma meqjusa b'mod wiesa' bħala inġusti."" Min iħaddem li joffri paga taħt is-suq se jsib li n-negozju "&amp;"tagħhom huwa kronikament sottovalutat. Il-kompetituri tagħhom se jieħdu vantaġġ mis-sitwazzjoni billi joffru paga ogħla l-aħjar ta 'xogħolhom. Għal negozjant li għandu l-motiv tal-profitt bħala l-interess ewlieni, hija proposta li titlef li toffri taħt je"&amp;"w 'il fuq mill-pagi tas-suq lill-ħaddiema.")</f>
        <v>Fil-mod ta 'produzzjoni purament kapitalist (i.e. fejn organizzazzjonijiet professjonali u tax-xogħol ma jistgħux jillimitaw in-numru ta' ħaddiema) il-pagi tal-ħaddiema mhux se jiġu kkontrollati minn dawn l-organizzazzjonijiet, jew minn min iħaddem, iżda pjuttost mis-suq. Il-pagi jaħdmu bl-istess mod bħall-prezzijiet għal kull ġid ieħor. Għalhekk, il-pagi jistgħu jitqiesu bħala funzjoni tal-prezz tas-suq tal-ħila. U għalhekk, l-inugwaljanza hija mmexxija minn dan il-prezz. Taħt il-liġi tal-provvista u d-domanda, il-prezz tal-ħila huwa determinat minn tellieqa bejn id-domanda għall-ħaddiem tas-sengħa u l-provvista tal-ħaddiem tas-sengħa. "Min-naħa l-oħra, is-swieq jistgħu wkoll jikkonċentraw il-ġid, jgħaddu l-ispejjeż ambjentali fuq is-soċjetà, u jabbużaw mill-ħaddiema u l-konsumaturi." "Is-swieq, waħedhom, anke meta huma stabbli, ħafna drabi jwasslu għal livelli għoljin ta 'inugwaljanza, riżultati li huma meqjusa b'mod wiesa' bħala inġusti." Min iħaddem li joffri paga taħt is-suq se jsib li n-negozju tagħhom huwa kronikament sottovalutat. Il-kompetituri tagħhom se jieħdu vantaġġ mis-sitwazzjoni billi joffru paga ogħla l-aħjar ta 'xogħolhom. Għal negozjant li għandu l-motiv tal-profitt bħala l-interess ewlieni, hija proposta li titlef li toffri taħt jew 'il fuq mill-pagi tas-suq lill-ħaddiema.</v>
      </c>
    </row>
    <row r="4773" ht="15.75" customHeight="1">
      <c r="A4773" s="2" t="s">
        <v>4773</v>
      </c>
      <c r="B4773" s="2" t="str">
        <f>IFERROR(__xludf.DUMMYFUNCTION("GOOGLETRANSLATE(A4773, ""en"", ""mt"")"),"Jerónimo de Ayanz y Beaumont")</f>
        <v>Jerónimo de Ayanz y Beaumont</v>
      </c>
    </row>
    <row r="4774" ht="15.75" customHeight="1">
      <c r="A4774" s="2" t="s">
        <v>4774</v>
      </c>
      <c r="B4774" s="2" t="str">
        <f>IFERROR(__xludf.DUMMYFUNCTION("GOOGLETRANSLATE(A4774, ""en"", ""mt"")"),"Għal kull wieħed mit-28 stat membru, kemm il-kummissarju huma rappreżentati għal kull wieħed?")</f>
        <v>Għal kull wieħed mit-28 stat membru, kemm il-kummissarju huma rappreżentati għal kull wieħed?</v>
      </c>
    </row>
    <row r="4775" ht="15.75" customHeight="1">
      <c r="A4775" s="2" t="s">
        <v>4775</v>
      </c>
      <c r="B4775" s="2" t="str">
        <f>IFERROR(__xludf.DUMMYFUNCTION("GOOGLETRANSLATE(A4775, ""en"", ""mt"")"),"Il-Bruins jappartjenu għal liema kulleġġ?")</f>
        <v>Il-Bruins jappartjenu għal liema kulleġġ?</v>
      </c>
    </row>
    <row r="4776" ht="15.75" customHeight="1">
      <c r="A4776" s="2" t="s">
        <v>4776</v>
      </c>
      <c r="B4776" s="2" t="str">
        <f>IFERROR(__xludf.DUMMYFUNCTION("GOOGLETRANSLATE(A4776, ""en"", ""mt"")"),"Boulevard Huntington")</f>
        <v>Boulevard Huntington</v>
      </c>
    </row>
    <row r="4777" ht="15.75" customHeight="1">
      <c r="A4777" s="2" t="s">
        <v>4777</v>
      </c>
      <c r="B4777" s="2" t="str">
        <f>IFERROR(__xludf.DUMMYFUNCTION("GOOGLETRANSLATE(A4777, ""en"", ""mt"")"),"3.5 miljun")</f>
        <v>3.5 miljun</v>
      </c>
    </row>
    <row r="4778" ht="15.75" customHeight="1">
      <c r="A4778" s="2" t="s">
        <v>4778</v>
      </c>
      <c r="B4778" s="2" t="str">
        <f>IFERROR(__xludf.DUMMYFUNCTION("GOOGLETRANSLATE(A4778, ""en"", ""mt"")"),"Minn min għandu BSKYB għandu liċenzja operattiva?")</f>
        <v>Minn min għandu BSKYB għandu liċenzja operattiva?</v>
      </c>
    </row>
    <row r="4779" ht="15.75" customHeight="1">
      <c r="A4779" s="2" t="s">
        <v>4779</v>
      </c>
      <c r="B4779" s="2" t="str">
        <f>IFERROR(__xludf.DUMMYFUNCTION("GOOGLETRANSLATE(A4779, ""en"", ""mt"")"),"fil-kisba ta 'medikazzjoni kosteffikaċi u tevita l-użu bla bżonn ta' medikazzjoni li jista 'jkollha effetti sekondarji")</f>
        <v>fil-kisba ta 'medikazzjoni kosteffikaċi u tevita l-użu bla bżonn ta' medikazzjoni li jista 'jkollha effetti sekondarji</v>
      </c>
    </row>
    <row r="4780" ht="15.75" customHeight="1">
      <c r="A4780" s="2" t="s">
        <v>4780</v>
      </c>
      <c r="B4780" s="2" t="str">
        <f>IFERROR(__xludf.DUMMYFUNCTION("GOOGLETRANSLATE(A4780, ""en"", ""mt"")"),"Ir-rapport tal-WWF")</f>
        <v>Ir-rapport tal-WWF</v>
      </c>
    </row>
    <row r="4781" ht="15.75" customHeight="1">
      <c r="A4781" s="2" t="s">
        <v>4781</v>
      </c>
      <c r="B4781" s="2" t="str">
        <f>IFERROR(__xludf.DUMMYFUNCTION("GOOGLETRANSLATE(A4781, ""en"", ""mt"")"),"James Bryant Conant")</f>
        <v>James Bryant Conant</v>
      </c>
    </row>
    <row r="4782" ht="15.75" customHeight="1">
      <c r="A4782" s="2" t="s">
        <v>4782</v>
      </c>
      <c r="B4782" s="2" t="str">
        <f>IFERROR(__xludf.DUMMYFUNCTION("GOOGLETRANSLATE(A4782, ""en"", ""mt"")"),"X’kienu fehmu ċ-ċittadini Pollakki li għandhom il-kliem ta ’Ġwanni Pawlu II?")</f>
        <v>X’kienu fehmu ċ-ċittadini Pollakki li għandhom il-kliem ta ’Ġwanni Pawlu II?</v>
      </c>
    </row>
    <row r="4783" ht="15.75" customHeight="1">
      <c r="A4783" s="2" t="s">
        <v>4783</v>
      </c>
      <c r="B4783" s="2" t="str">
        <f>IFERROR(__xludf.DUMMYFUNCTION("GOOGLETRANSLATE(A4783, ""en"", ""mt"")"),"Kemm hu kbir il-viċinat ta 'Allston f'Boston?")</f>
        <v>Kemm hu kbir il-viċinat ta 'Allston f'Boston?</v>
      </c>
    </row>
    <row r="4784" ht="15.75" customHeight="1">
      <c r="A4784" s="2" t="s">
        <v>4784</v>
      </c>
      <c r="B4784" s="2" t="str">
        <f>IFERROR(__xludf.DUMMYFUNCTION("GOOGLETRANSLATE(A4784, ""en"", ""mt"")"),"Kemm iż-żona tkopri l-librerija tal-università?")</f>
        <v>Kemm iż-żona tkopri l-librerija tal-università?</v>
      </c>
    </row>
    <row r="4785" ht="15.75" customHeight="1">
      <c r="A4785" s="2" t="s">
        <v>4785</v>
      </c>
      <c r="B4785" s="2" t="str">
        <f>IFERROR(__xludf.DUMMYFUNCTION("GOOGLETRANSLATE(A4785, ""en"", ""mt"")"),"Min jaħdem biex il-ħaddiema jiksbu kumpens ogħla?")</f>
        <v>Min jaħdem biex il-ħaddiema jiksbu kumpens ogħla?</v>
      </c>
    </row>
    <row r="4786" ht="15.75" customHeight="1">
      <c r="A4786" s="2" t="s">
        <v>4786</v>
      </c>
      <c r="B4786" s="2" t="str">
        <f>IFERROR(__xludf.DUMMYFUNCTION("GOOGLETRANSLATE(A4786, ""en"", ""mt"")"),"Forza elettrostatika")</f>
        <v>Forza elettrostatika</v>
      </c>
    </row>
    <row r="4787" ht="15.75" customHeight="1">
      <c r="A4787" s="2" t="s">
        <v>4787</v>
      </c>
      <c r="B4787" s="2" t="str">
        <f>IFERROR(__xludf.DUMMYFUNCTION("GOOGLETRANSLATE(A4787, ""en"", ""mt"")"),"Ir-referendum biex jistabbilixxi assemblea Skoċċiża devolta rnexxiet f'liema sena?")</f>
        <v>Ir-referendum biex jistabbilixxi assemblea Skoċċiża devolta rnexxiet f'liema sena?</v>
      </c>
    </row>
    <row r="4788" ht="15.75" customHeight="1">
      <c r="A4788" s="2" t="s">
        <v>4788</v>
      </c>
      <c r="B4788" s="2" t="str">
        <f>IFERROR(__xludf.DUMMYFUNCTION("GOOGLETRANSLATE(A4788, ""en"", ""mt"")"),"Avtozaz")</f>
        <v>Avtozaz</v>
      </c>
    </row>
    <row r="4789" ht="15.75" customHeight="1">
      <c r="A4789" s="2" t="s">
        <v>4789</v>
      </c>
      <c r="B4789" s="2" t="str">
        <f>IFERROR(__xludf.DUMMYFUNCTION("GOOGLETRANSLATE(A4789, ""en"", ""mt"")"),"BBC HD")</f>
        <v>BBC HD</v>
      </c>
    </row>
    <row r="4790" ht="15.75" customHeight="1">
      <c r="A4790" s="2" t="s">
        <v>4790</v>
      </c>
      <c r="B4790" s="2" t="str">
        <f>IFERROR(__xludf.DUMMYFUNCTION("GOOGLETRANSLATE(A4790, ""en"", ""mt"")"),"Gasquet (1908) sostna li l-isem Latin Atra Mors (Black Death) għall-epidemija tas-seklu 14 deher l-ewwel darba fiż-żminijiet moderni fl-1631 fi ktieb dwar l-istorja Daniża minn J.I. Pontanus: ""Vocatibant Mortem Vulgo &amp; Ab Effectu Atram. Isem. Fl-Ingilter"&amp;"ra, ma kienx sal-1823 li l-epidemija medjevali kienet l-ewwel imsejħa l-Black Death.")</f>
        <v>Gasquet (1908) sostna li l-isem Latin Atra Mors (Black Death) għall-epidemija tas-seklu 14 deher l-ewwel darba fiż-żminijiet moderni fl-1631 fi ktieb dwar l-istorja Daniża minn J.I. Pontanus: "Vocatibant Mortem Vulgo &amp; Ab Effectu Atram. Isem. Fl-Ingilterra, ma kienx sal-1823 li l-epidemija medjevali kienet l-ewwel imsejħa l-Black Death.</v>
      </c>
    </row>
    <row r="4791" ht="15.75" customHeight="1">
      <c r="A4791" s="2" t="s">
        <v>4791</v>
      </c>
      <c r="B4791" s="2" t="str">
        <f>IFERROR(__xludf.DUMMYFUNCTION("GOOGLETRANSLATE(A4791, ""en"", ""mt"")"),"Kemm kolonisti Franċiżi ma nkisbux mill-Ingliżi?")</f>
        <v>Kemm kolonisti Franċiżi ma nkisbux mill-Ingliżi?</v>
      </c>
    </row>
    <row r="4792" ht="15.75" customHeight="1">
      <c r="A4792" s="2" t="s">
        <v>4792</v>
      </c>
      <c r="B4792" s="2" t="str">
        <f>IFERROR(__xludf.DUMMYFUNCTION("GOOGLETRANSLATE(A4792, ""en"", ""mt"")"),"il-Pac-12")</f>
        <v>il-Pac-12</v>
      </c>
    </row>
    <row r="4793" ht="15.75" customHeight="1">
      <c r="A4793" s="2" t="s">
        <v>4793</v>
      </c>
      <c r="B4793" s="2" t="str">
        <f>IFERROR(__xludf.DUMMYFUNCTION("GOOGLETRANSLATE(A4793, ""en"", ""mt"")"),"Parti kkmanda maġġoranza parlamentari")</f>
        <v>Parti kkmanda maġġoranza parlamentari</v>
      </c>
    </row>
    <row r="4794" ht="15.75" customHeight="1">
      <c r="A4794" s="2" t="s">
        <v>4794</v>
      </c>
      <c r="B4794" s="2" t="str">
        <f>IFERROR(__xludf.DUMMYFUNCTION("GOOGLETRANSLATE(A4794, ""en"", ""mt"")")," Meta l-IL-Khanate waqaf jesperimenta bil-flus tal-karti?")</f>
        <v> Meta l-IL-Khanate waqaf jesperimenta bil-flus tal-karti?</v>
      </c>
    </row>
    <row r="4795" ht="15.75" customHeight="1">
      <c r="A4795" s="2" t="s">
        <v>4795</v>
      </c>
      <c r="B4795" s="2" t="str">
        <f>IFERROR(__xludf.DUMMYFUNCTION("GOOGLETRANSLATE(A4795, ""en"", ""mt"")"),"Minn April 2014, hemm 88 skejjel privati ​​fi New Zealand, li jħejju għal madwar 28,000 student jew 3.7% tal-popolazzjoni tal-istudenti kollha. In-numri ta 'skejjel privati ​​ilhom jonqsu minn nofs is-snin sebgħin bħala riżultat ta' ħafna skejjel privati "&amp;"​​li jagħżlu li jsiru skejjel integrati fl-istat, l-aktar dovuti minn diffikultajiet finanzjarji li joħorġu minn bidliet fin-numri tal-istudenti u / jew fl-ekonomija. L-iskejjel integrati fl-istat iżommu l-karattru speċjali tal-iskola privata tagħhom u ji"&amp;"rċievu fondi tal-istat biex ikollhom joperaw bħal skola tal-istat, p.e. Għandhom jgħallmu l-kurrikulu tal-istat, iridu jimpjegaw għalliema rreġistrati, u ma jistgħux jiċċarġjaw miżati ta 'tagħlim (jistgħu jiċċarġjaw ""drittijiet ta' attendenza"" għaż-żamm"&amp;"a fuq l-art u l-bini tal-iskola li għadha privata). L-akbar tnaqqis fin-numri tal-iskejjel privati ​​seħħ bejn l-1979 u l-1984, meta s-sistema skolastika Kattolika ta 'dak iż-żmien kienet integrata. Bħala riżultat, skejjel privati ​​fi New Zealand issa hu"&amp;"ma fil-biċċa l-kbira ristretti għall-ikbar bliet (Auckland, Hamilton, Wellington u Christchurch) u swieq niċċa.")</f>
        <v>Minn April 2014, hemm 88 skejjel privati ​​fi New Zealand, li jħejju għal madwar 28,000 student jew 3.7% tal-popolazzjoni tal-istudenti kollha. In-numri ta 'skejjel privati ​​ilhom jonqsu minn nofs is-snin sebgħin bħala riżultat ta' ħafna skejjel privati ​​li jagħżlu li jsiru skejjel integrati fl-istat, l-aktar dovuti minn diffikultajiet finanzjarji li joħorġu minn bidliet fin-numri tal-istudenti u / jew fl-ekonomija. L-iskejjel integrati fl-istat iżommu l-karattru speċjali tal-iskola privata tagħhom u jirċievu fondi tal-istat biex ikollhom joperaw bħal skola tal-istat, p.e. Għandhom jgħallmu l-kurrikulu tal-istat, iridu jimpjegaw għalliema rreġistrati, u ma jistgħux jiċċarġjaw miżati ta 'tagħlim (jistgħu jiċċarġjaw "drittijiet ta' attendenza" għaż-żamma fuq l-art u l-bini tal-iskola li għadha privata). L-akbar tnaqqis fin-numri tal-iskejjel privati ​​seħħ bejn l-1979 u l-1984, meta s-sistema skolastika Kattolika ta 'dak iż-żmien kienet integrata. Bħala riżultat, skejjel privati ​​fi New Zealand issa huma fil-biċċa l-kbira ristretti għall-ikbar bliet (Auckland, Hamilton, Wellington u Christchurch) u swieq niċċa.</v>
      </c>
    </row>
    <row r="4796" ht="15.75" customHeight="1">
      <c r="A4796" s="2" t="s">
        <v>4796</v>
      </c>
      <c r="B4796" s="2" t="str">
        <f>IFERROR(__xludf.DUMMYFUNCTION("GOOGLETRANSLATE(A4796, ""en"", ""mt"")"),"Liema linja hija fi 30 grad, 36 minuta?")</f>
        <v>Liema linja hija fi 30 grad, 36 minuta?</v>
      </c>
    </row>
    <row r="4797" ht="15.75" customHeight="1">
      <c r="A4797" s="2" t="s">
        <v>4797</v>
      </c>
      <c r="B4797" s="2" t="str">
        <f>IFERROR(__xludf.DUMMYFUNCTION("GOOGLETRANSLATE(A4797, ""en"", ""mt"")"),"Il-Prinċipju ta ’Esklużjoni ta’ Pauli")</f>
        <v>Il-Prinċipju ta ’Esklużjoni ta’ Pauli</v>
      </c>
    </row>
    <row r="4798" ht="15.75" customHeight="1">
      <c r="A4798" s="2" t="s">
        <v>4798</v>
      </c>
      <c r="B4798" s="2" t="str">
        <f>IFERROR(__xludf.DUMMYFUNCTION("GOOGLETRANSLATE(A4798, ""en"", ""mt"")"),"inversament")</f>
        <v>inversament</v>
      </c>
    </row>
    <row r="4799" ht="15.75" customHeight="1">
      <c r="A4799" s="2" t="s">
        <v>4799</v>
      </c>
      <c r="B4799" s="2" t="str">
        <f>IFERROR(__xludf.DUMMYFUNCTION("GOOGLETRANSLATE(A4799, ""en"", ""mt"")"),"negozjati multilaterali")</f>
        <v>negozjati multilaterali</v>
      </c>
    </row>
    <row r="4800" ht="15.75" customHeight="1">
      <c r="A4800" s="2" t="s">
        <v>4800</v>
      </c>
      <c r="B4800" s="2" t="str">
        <f>IFERROR(__xludf.DUMMYFUNCTION("GOOGLETRANSLATE(A4800, ""en"", ""mt"")"),"X’għamlu l-Musulmani li għamlu l-Musulmani?")</f>
        <v>X’għamlu l-Musulmani li għamlu l-Musulmani?</v>
      </c>
    </row>
    <row r="4801" ht="15.75" customHeight="1">
      <c r="A4801" s="2" t="s">
        <v>4801</v>
      </c>
      <c r="B4801" s="2" t="str">
        <f>IFERROR(__xludf.DUMMYFUNCTION("GOOGLETRANSLATE(A4801, ""en"", ""mt"")"),"Min ħareġ il-proklamazzjoni rjali tal-1763?")</f>
        <v>Min ħareġ il-proklamazzjoni rjali tal-1763?</v>
      </c>
    </row>
    <row r="4802" ht="15.75" customHeight="1">
      <c r="A4802" s="2" t="s">
        <v>4802</v>
      </c>
      <c r="B4802" s="2" t="str">
        <f>IFERROR(__xludf.DUMMYFUNCTION("GOOGLETRANSLATE(A4802, ""en"", ""mt"")"),"Liema persentaġġ tal-baqar tal-ħalib tal-Awstralja jinstabu fir-Rabat?")</f>
        <v>Liema persentaġġ tal-baqar tal-ħalib tal-Awstralja jinstabu fir-Rabat?</v>
      </c>
    </row>
    <row r="4803" ht="15.75" customHeight="1">
      <c r="A4803" s="2" t="s">
        <v>4803</v>
      </c>
      <c r="B4803" s="2" t="str">
        <f>IFERROR(__xludf.DUMMYFUNCTION("GOOGLETRANSLATE(A4803, ""en"", ""mt"")"),"Sensing mill-bogħod")</f>
        <v>Sensing mill-bogħod</v>
      </c>
    </row>
    <row r="4804" ht="15.75" customHeight="1">
      <c r="A4804" s="2" t="s">
        <v>4804</v>
      </c>
      <c r="B4804" s="2" t="str">
        <f>IFERROR(__xludf.DUMMYFUNCTION("GOOGLETRANSLATE(A4804, ""en"", ""mt"")"),"X'inhu l-livell tnejn tal-operazzjoni orjentata lejn il-konnessjoni?")</f>
        <v>X'inhu l-livell tnejn tal-operazzjoni orjentata lejn il-konnessjoni?</v>
      </c>
    </row>
    <row r="4805" ht="15.75" customHeight="1">
      <c r="A4805" s="2" t="s">
        <v>4805</v>
      </c>
      <c r="B4805" s="2" t="str">
        <f>IFERROR(__xludf.DUMMYFUNCTION("GOOGLETRANSLATE(A4805, ""en"", ""mt"")"),"sfruttament tal-assi u l-provvisti siewja tan-nazzjon li ġie maħkum")</f>
        <v>sfruttament tal-assi u l-provvisti siewja tan-nazzjon li ġie maħkum</v>
      </c>
    </row>
    <row r="4806" ht="15.75" customHeight="1">
      <c r="A4806" s="2" t="s">
        <v>4806</v>
      </c>
      <c r="B4806" s="2" t="str">
        <f>IFERROR(__xludf.DUMMYFUNCTION("GOOGLETRANSLATE(A4806, ""en"", ""mt"")"),"Aktar minn 100 università")</f>
        <v>Aktar minn 100 università</v>
      </c>
    </row>
    <row r="4807" ht="15.75" customHeight="1">
      <c r="A4807" s="2" t="s">
        <v>4807</v>
      </c>
      <c r="B4807" s="2" t="str">
        <f>IFERROR(__xludf.DUMMYFUNCTION("GOOGLETRANSLATE(A4807, ""en"", ""mt"")"),"X'kien l-iżvilupp aħħari tal-magna orizzontali?")</f>
        <v>X'kien l-iżvilupp aħħari tal-magna orizzontali?</v>
      </c>
    </row>
    <row r="4808" ht="15.75" customHeight="1">
      <c r="A4808" s="2" t="s">
        <v>4808</v>
      </c>
      <c r="B4808" s="2" t="str">
        <f>IFERROR(__xludf.DUMMYFUNCTION("GOOGLETRANSLATE(A4808, ""en"", ""mt"")"),"Virginia")</f>
        <v>Virginia</v>
      </c>
    </row>
    <row r="4809" ht="15.75" customHeight="1">
      <c r="A4809" s="2" t="s">
        <v>4809</v>
      </c>
      <c r="B4809" s="2" t="str">
        <f>IFERROR(__xludf.DUMMYFUNCTION("GOOGLETRANSLATE(A4809, ""en"", ""mt"")"),"Minbarra Leibniz, liema matematiku ieħor wera l-validità tat-teorema żgħira ta 'Fermat?")</f>
        <v>Minbarra Leibniz, liema matematiku ieħor wera l-validità tat-teorema żgħira ta 'Fermat?</v>
      </c>
    </row>
    <row r="4810" ht="15.75" customHeight="1">
      <c r="A4810" s="2" t="s">
        <v>4810</v>
      </c>
      <c r="B4810" s="2" t="str">
        <f>IFERROR(__xludf.DUMMYFUNCTION("GOOGLETRANSLATE(A4810, ""en"", ""mt"")"),"Bl-istess mod, mhux magħruf jekk L (is-sett tal-problemi kollha li jistgħu jiġu solvuti fl-ispazju logaritmiku) jinsab strettament f'P jew daqs P. ugwali għal P., hemm ħafna klassijiet ta 'kumplessità bejn it-tnejn, bħal NL u NC, u Mhux magħruf jekk humie"&amp;"x klassijiet distinti jew ugwali.")</f>
        <v>Bl-istess mod, mhux magħruf jekk L (is-sett tal-problemi kollha li jistgħu jiġu solvuti fl-ispazju logaritmiku) jinsab strettament f'P jew daqs P. ugwali għal P., hemm ħafna klassijiet ta 'kumplessità bejn it-tnejn, bħal NL u NC, u Mhux magħruf jekk humiex klassijiet distinti jew ugwali.</v>
      </c>
    </row>
    <row r="4811" ht="15.75" customHeight="1">
      <c r="A4811" s="2" t="s">
        <v>4811</v>
      </c>
      <c r="B4811" s="2" t="str">
        <f>IFERROR(__xludf.DUMMYFUNCTION("GOOGLETRANSLATE(A4811, ""en"", ""mt"")"),"Trunnion")</f>
        <v>Trunnion</v>
      </c>
    </row>
    <row r="4812" ht="15.75" customHeight="1">
      <c r="A4812" s="2" t="s">
        <v>4812</v>
      </c>
      <c r="B4812" s="2" t="str">
        <f>IFERROR(__xludf.DUMMYFUNCTION("GOOGLETRANSLATE(A4812, ""en"", ""mt"")"),"X'inhi l-aħħar linja ta 'difiża kontra l-infezzjoni?")</f>
        <v>X'inhi l-aħħar linja ta 'difiża kontra l-infezzjoni?</v>
      </c>
    </row>
    <row r="4813" ht="15.75" customHeight="1">
      <c r="A4813" s="2" t="s">
        <v>4813</v>
      </c>
      <c r="B4813" s="2" t="str">
        <f>IFERROR(__xludf.DUMMYFUNCTION("GOOGLETRANSLATE(A4813, ""en"", ""mt"")"),"Il-Ġurnal tan-Natura")</f>
        <v>Il-Ġurnal tan-Natura</v>
      </c>
    </row>
    <row r="4814" ht="15.75" customHeight="1">
      <c r="A4814" s="2" t="s">
        <v>4814</v>
      </c>
      <c r="B4814" s="2" t="str">
        <f>IFERROR(__xludf.DUMMYFUNCTION("GOOGLETRANSLATE(A4814, ""en"", ""mt"")"),"356 ± 47 tunnellata")</f>
        <v>356 ± 47 tunnellata</v>
      </c>
    </row>
    <row r="4815" ht="15.75" customHeight="1">
      <c r="A4815" s="2" t="s">
        <v>4815</v>
      </c>
      <c r="B4815" s="2" t="str">
        <f>IFERROR(__xludf.DUMMYFUNCTION("GOOGLETRANSLATE(A4815, ""en"", ""mt"")"),"Liema Ġeneral Franċiż innegozja f'Montreal?")</f>
        <v>Liema Ġeneral Franċiż innegozja f'Montreal?</v>
      </c>
    </row>
    <row r="4816" ht="15.75" customHeight="1">
      <c r="A4816" s="2" t="s">
        <v>4816</v>
      </c>
      <c r="B4816" s="2" t="str">
        <f>IFERROR(__xludf.DUMMYFUNCTION("GOOGLETRANSLATE(A4816, ""en"", ""mt"")"),"Rwol importanti ieħor tas-sistema immuni huwa li tidentifika u telimina t-tumuri. Din tissejjaħ sorveljanza immuni. Iċ-ċelloli trasformati tat-tumuri jesprimu antiġeni li ma jinstabux fuq ċelloli normali. Għas-sistema immunitarja, dawn l-antiġeni jidhru b"&amp;"arranin, u l-preżenza tagħhom tikkawża ċelloli immuni biex jattakkaw iċ-ċelloli tat-tumur trasformati. L-antiġeni espressi minn tumuri għandhom diversi sorsi; Xi wħud huma derivati ​​minn viruses onkoġeniċi bħall-papillomavirus uman, li jikkawża kanċer ċe"&amp;"rvikali, filwaqt li oħrajn huma l-proteini tal-organiżmu stess li jseħħu f'livelli baxxi f'ċelloli normali iżda jilħqu livelli għoljin fiċ-ċelloli tat-tumur. Eżempju wieħed huwa enzima msejħa tyrosinase li, meta espressa f'livelli għoljin, tittrasforma ċe"&amp;"rti ċelloli tal-ġilda (e.g. melanocytes) f'tumuri msejħa melanomas. It-tielet sors possibbli ta 'antiġeni tat-tumur huma proteini normalment importanti għar-regolazzjoni tat-tkabbir taċ-ċelluli u s-sopravivenza, li komunement jimmutaw f'molekuli li jikkaw"&amp;"żaw il-kanċer imsejħa onkoġeni.")</f>
        <v>Rwol importanti ieħor tas-sistema immuni huwa li tidentifika u telimina t-tumuri. Din tissejjaħ sorveljanza immuni. Iċ-ċelloli trasformati tat-tumuri jesprimu antiġeni li ma jinstabux fuq ċelloli normali. Għas-sistema immunitarja, dawn l-antiġeni jidhru barranin, u l-preżenza tagħhom tikkawża ċelloli immuni biex jattakkaw iċ-ċelloli tat-tumur trasformati. L-antiġeni espressi minn tumuri għandhom diversi sorsi; Xi wħud huma derivati ​​minn viruses onkoġeniċi bħall-papillomavirus uman, li jikkawża kanċer ċervikali, filwaqt li oħrajn huma l-proteini tal-organiżmu stess li jseħħu f'livelli baxxi f'ċelloli normali iżda jilħqu livelli għoljin fiċ-ċelloli tat-tumur. Eżempju wieħed huwa enzima msejħa tyrosinase li, meta espressa f'livelli għoljin, tittrasforma ċerti ċelloli tal-ġilda (e.g. melanocytes) f'tumuri msejħa melanomas. It-tielet sors possibbli ta 'antiġeni tat-tumur huma proteini normalment importanti għar-regolazzjoni tat-tkabbir taċ-ċelluli u s-sopravivenza, li komunement jimmutaw f'molekuli li jikkawżaw il-kanċer imsejħa onkoġeni.</v>
      </c>
    </row>
    <row r="4817" ht="15.75" customHeight="1">
      <c r="A4817" s="2" t="s">
        <v>4817</v>
      </c>
      <c r="B4817" s="2" t="str">
        <f>IFERROR(__xludf.DUMMYFUNCTION("GOOGLETRANSLATE(A4817, ""en"", ""mt"")"),"X'inhi l-applikazzjoni tan-numri ewlenin użati fit-teknoloġija tal-informazzjoni li tuża l-fatt li l-fattur ta 'numri ewlenin kbar ħafna huwa ta' sfida ħafna?")</f>
        <v>X'inhi l-applikazzjoni tan-numri ewlenin użati fit-teknoloġija tal-informazzjoni li tuża l-fatt li l-fattur ta 'numri ewlenin kbar ħafna huwa ta' sfida ħafna?</v>
      </c>
    </row>
    <row r="4818" ht="15.75" customHeight="1">
      <c r="A4818" s="2" t="s">
        <v>4818</v>
      </c>
      <c r="B4818" s="2" t="str">
        <f>IFERROR(__xludf.DUMMYFUNCTION("GOOGLETRANSLATE(A4818, ""en"", ""mt"")"),"Liema persentaġġ ta 'enerġija elettrika fl-Istati Uniti huwa magħmul minn turbini tal-fwar?")</f>
        <v>Liema persentaġġ ta 'enerġija elettrika fl-Istati Uniti huwa magħmul minn turbini tal-fwar?</v>
      </c>
    </row>
    <row r="4819" ht="15.75" customHeight="1">
      <c r="A4819" s="2" t="s">
        <v>4819</v>
      </c>
      <c r="B4819" s="2" t="str">
        <f>IFERROR(__xludf.DUMMYFUNCTION("GOOGLETRANSLATE(A4819, ""en"", ""mt"")"),"Funzjoni tal-paviment")</f>
        <v>Funzjoni tal-paviment</v>
      </c>
    </row>
    <row r="4820" ht="15.75" customHeight="1">
      <c r="A4820" s="2" t="s">
        <v>4820</v>
      </c>
      <c r="B4820" s="2" t="str">
        <f>IFERROR(__xludf.DUMMYFUNCTION("GOOGLETRANSLATE(A4820, ""en"", ""mt"")"),"Min id-differenza fil-pagi bejn is-sessi tipprovdi żvantaġġ?")</f>
        <v>Min id-differenza fil-pagi bejn is-sessi tipprovdi żvantaġġ?</v>
      </c>
    </row>
    <row r="4821" ht="15.75" customHeight="1">
      <c r="A4821" s="2" t="s">
        <v>4821</v>
      </c>
      <c r="B4821" s="2" t="str">
        <f>IFERROR(__xludf.DUMMYFUNCTION("GOOGLETRANSLATE(A4821, ""en"", ""mt"")"),"realtajiet tas-suq u tat-teknoloġija")</f>
        <v>realtajiet tas-suq u tat-teknoloġija</v>
      </c>
    </row>
    <row r="4822" ht="15.75" customHeight="1">
      <c r="A4822" s="2" t="s">
        <v>4822</v>
      </c>
      <c r="B4822" s="2" t="str">
        <f>IFERROR(__xludf.DUMMYFUNCTION("GOOGLETRANSLATE(A4822, ""en"", ""mt"")"),"Strings ideali li huma bla massa, mingħajr frizzjoni, li ma jistgħux jinbdew, u li ma jistgħux")</f>
        <v>Strings ideali li huma bla massa, mingħajr frizzjoni, li ma jistgħux jinbdew, u li ma jistgħux</v>
      </c>
    </row>
    <row r="4823" ht="15.75" customHeight="1">
      <c r="A4823" s="2" t="s">
        <v>4823</v>
      </c>
      <c r="B4823" s="2" t="str">
        <f>IFERROR(__xludf.DUMMYFUNCTION("GOOGLETRANSLATE(A4823, ""en"", ""mt"")"),"riżultat")</f>
        <v>riżultat</v>
      </c>
    </row>
    <row r="4824" ht="15.75" customHeight="1">
      <c r="A4824" s="2" t="s">
        <v>4824</v>
      </c>
      <c r="B4824" s="2" t="str">
        <f>IFERROR(__xludf.DUMMYFUNCTION("GOOGLETRANSLATE(A4824, ""en"", ""mt"")"),"biex tnaddafhom")</f>
        <v>biex tnaddafhom</v>
      </c>
    </row>
    <row r="4825" ht="15.75" customHeight="1">
      <c r="A4825" s="2" t="s">
        <v>4825</v>
      </c>
      <c r="B4825" s="2" t="str">
        <f>IFERROR(__xludf.DUMMYFUNCTION("GOOGLETRANSLATE(A4825, ""en"", ""mt"")"),"Matul liema era l-aztek u l-imperi incan jirnexxu?")</f>
        <v>Matul liema era l-aztek u l-imperi incan jirnexxu?</v>
      </c>
    </row>
    <row r="4826" ht="15.75" customHeight="1">
      <c r="A4826" s="2" t="s">
        <v>4826</v>
      </c>
      <c r="B4826" s="2" t="str">
        <f>IFERROR(__xludf.DUMMYFUNCTION("GOOGLETRANSLATE(A4826, ""en"", ""mt"")"),"Kif iżomm il-volumi tal-bniedem is-sistema tal-librerija tal-Università ta 'Chicago?")</f>
        <v>Kif iżomm il-volumi tal-bniedem is-sistema tal-librerija tal-Università ta 'Chicago?</v>
      </c>
    </row>
    <row r="4827" ht="15.75" customHeight="1">
      <c r="A4827" s="2" t="s">
        <v>4827</v>
      </c>
      <c r="B4827" s="2" t="str">
        <f>IFERROR(__xludf.DUMMYFUNCTION("GOOGLETRANSLATE(A4827, ""en"", ""mt"")"),"Kemm il-flus inħallu Francovich jitlob mill-gvern Taljan fid-danni?")</f>
        <v>Kemm il-flus inħallu Francovich jitlob mill-gvern Taljan fid-danni?</v>
      </c>
    </row>
    <row r="4828" ht="15.75" customHeight="1">
      <c r="A4828" s="2" t="s">
        <v>4828</v>
      </c>
      <c r="B4828" s="2" t="str">
        <f>IFERROR(__xludf.DUMMYFUNCTION("GOOGLETRANSLATE(A4828, ""en"", ""mt"")"),"Għal ħafna mill-istorja tal-bniedem livelli ta 'ħajja ogħla - stonku sħiħ, aċċess għal ilma nadif u sħana mill-fjuwil - wassal għal saħħa aħjar u ħajja itwal. Dan ix-xejra ta 'ħajja ogħla ta' dħul li għadha kemm hi żżomm fost pajjiżi l-aktar fqar, fejn l-"&amp;"istennija tal-ħajja tiżdied malajr hekk kif id-dħul per capita jiżdied, iżda f'dawn l-aħħar għexieren ta 'snin naqas fost il-pajjiżi tad-dħul medju u plateaued fost l-aktar sinjuri tletin pajjiż jew aktar fid-dinja. L-Amerikani jgħixu bħala medja (madwar "&amp;"77 sena fl-2004) minn Griegi (78 sena) jew New Zealanders (78), għalkemm l-Istati Uniti għandhom PGD ogħla per capita. L-istennija tal-ħajja fl-Iżvezja (80 sena) u l-Ġappun (82) - fejn id-dħul kien imqassam aktar bl-istess mod - kien itwal.")</f>
        <v>Għal ħafna mill-istorja tal-bniedem livelli ta 'ħajja ogħla - stonku sħiħ, aċċess għal ilma nadif u sħana mill-fjuwil - wassal għal saħħa aħjar u ħajja itwal. Dan ix-xejra ta 'ħajja ogħla ta' dħul li għadha kemm hi żżomm fost pajjiżi l-aktar fqar, fejn l-istennija tal-ħajja tiżdied malajr hekk kif id-dħul per capita jiżdied, iżda f'dawn l-aħħar għexieren ta 'snin naqas fost il-pajjiżi tad-dħul medju u plateaued fost l-aktar sinjuri tletin pajjiż jew aktar fid-dinja. L-Amerikani jgħixu bħala medja (madwar 77 sena fl-2004) minn Griegi (78 sena) jew New Zealanders (78), għalkemm l-Istati Uniti għandhom PGD ogħla per capita. L-istennija tal-ħajja fl-Iżvezja (80 sena) u l-Ġappun (82) - fejn id-dħul kien imqassam aktar bl-istess mod - kien itwal.</v>
      </c>
    </row>
    <row r="4829" ht="15.75" customHeight="1">
      <c r="A4829" s="2" t="s">
        <v>4829</v>
      </c>
      <c r="B4829" s="2" t="str">
        <f>IFERROR(__xludf.DUMMYFUNCTION("GOOGLETRANSLATE(A4829, ""en"", ""mt"")"),"Liema lag m’għadx għandu xi ħama?")</f>
        <v>Liema lag m’għadx għandu xi ħama?</v>
      </c>
    </row>
    <row r="4830" ht="15.75" customHeight="1">
      <c r="A4830" s="2" t="s">
        <v>4830</v>
      </c>
      <c r="B4830" s="2" t="str">
        <f>IFERROR(__xludf.DUMMYFUNCTION("GOOGLETRANSLATE(A4830, ""en"", ""mt"")"),"widien u depressjonijiet fl-art")</f>
        <v>widien u depressjonijiet fl-art</v>
      </c>
    </row>
    <row r="4831" ht="15.75" customHeight="1">
      <c r="A4831" s="2" t="s">
        <v>4831</v>
      </c>
      <c r="B4831" s="2" t="str">
        <f>IFERROR(__xludf.DUMMYFUNCTION("GOOGLETRANSLATE(A4831, ""en"", ""mt"")"),"X'jistgħu jaħdmu n-nies jekk ma jiġux miċħuda l-funzjonijiet, il-kapaċitajiet u l-aġenzija tagħhom?")</f>
        <v>X'jistgħu jaħdmu n-nies jekk ma jiġux miċħuda l-funzjonijiet, il-kapaċitajiet u l-aġenzija tagħhom?</v>
      </c>
    </row>
    <row r="4832" ht="15.75" customHeight="1">
      <c r="A4832" s="2" t="s">
        <v>4832</v>
      </c>
      <c r="B4832" s="2" t="str">
        <f>IFERROR(__xludf.DUMMYFUNCTION("GOOGLETRANSLATE(A4832, ""en"", ""mt"")"),"Ir-Renju Unit")</f>
        <v>Ir-Renju Unit</v>
      </c>
    </row>
    <row r="4833" ht="15.75" customHeight="1">
      <c r="A4833" s="2" t="s">
        <v>4833</v>
      </c>
      <c r="B4833" s="2" t="str">
        <f>IFERROR(__xludf.DUMMYFUNCTION("GOOGLETRANSLATE(A4833, ""en"", ""mt"")"),"Ħafna bidliet fil-veġetazzjoni tal-Amazon Rainforest seħħew mill-aħħar massimu glaċjali, li kien kemm snin ilu?")</f>
        <v>Ħafna bidliet fil-veġetazzjoni tal-Amazon Rainforest seħħew mill-aħħar massimu glaċjali, li kien kemm snin ilu?</v>
      </c>
    </row>
    <row r="4834" ht="15.75" customHeight="1">
      <c r="A4834" s="2" t="s">
        <v>4834</v>
      </c>
      <c r="B4834" s="2" t="str">
        <f>IFERROR(__xludf.DUMMYFUNCTION("GOOGLETRANSLATE(A4834, ""en"", ""mt"")"),"Charles Porter")</f>
        <v>Charles Porter</v>
      </c>
    </row>
    <row r="4835" ht="15.75" customHeight="1">
      <c r="A4835" s="2" t="s">
        <v>4835</v>
      </c>
      <c r="B4835" s="2" t="str">
        <f>IFERROR(__xludf.DUMMYFUNCTION("GOOGLETRANSLATE(A4835, ""en"", ""mt"")"),"Xi jfisser id-domanda għat-trasport u l-ħażna għas-sigurtà fit-trattament tal-ossiġnu?")</f>
        <v>Xi jfisser id-domanda għat-trasport u l-ħażna għas-sigurtà fit-trattament tal-ossiġnu?</v>
      </c>
    </row>
    <row r="4836" ht="15.75" customHeight="1">
      <c r="A4836" s="2" t="s">
        <v>4836</v>
      </c>
      <c r="B4836" s="2" t="str">
        <f>IFERROR(__xludf.DUMMYFUNCTION("GOOGLETRANSLATE(A4836, ""en"", ""mt"")"),"Ċirku kommutattiv r")</f>
        <v>Ċirku kommutattiv r</v>
      </c>
    </row>
    <row r="4837" ht="15.75" customHeight="1">
      <c r="A4837" s="2" t="s">
        <v>4837</v>
      </c>
      <c r="B4837" s="2" t="str">
        <f>IFERROR(__xludf.DUMMYFUNCTION("GOOGLETRANSLATE(A4837, ""en"", ""mt"")"),"Liema element fihom l-squalene u l-karoteni?")</f>
        <v>Liema element fihom l-squalene u l-karoteni?</v>
      </c>
    </row>
    <row r="4838" ht="15.75" customHeight="1">
      <c r="A4838" s="2" t="s">
        <v>4838</v>
      </c>
      <c r="B4838" s="2" t="str">
        <f>IFERROR(__xludf.DUMMYFUNCTION("GOOGLETRANSLATE(A4838, ""en"", ""mt"")"),"2 metri (6 ft 7 in)")</f>
        <v>2 metri (6 ft 7 in)</v>
      </c>
    </row>
    <row r="4839" ht="15.75" customHeight="1">
      <c r="A4839" s="2" t="s">
        <v>4839</v>
      </c>
      <c r="B4839" s="2" t="str">
        <f>IFERROR(__xludf.DUMMYFUNCTION("GOOGLETRANSLATE(A4839, ""en"", ""mt"")"),"ugwali bl-istess mod")</f>
        <v>ugwali bl-istess mod</v>
      </c>
    </row>
    <row r="4840" ht="15.75" customHeight="1">
      <c r="A4840" s="2" t="s">
        <v>4840</v>
      </c>
      <c r="B4840" s="2" t="str">
        <f>IFERROR(__xludf.DUMMYFUNCTION("GOOGLETRANSLATE(A4840, ""en"", ""mt"")"),"Id-deforestazzjoni żdiedet fil-Brażil matul liema snin?")</f>
        <v>Id-deforestazzjoni żdiedet fil-Brażil matul liema snin?</v>
      </c>
    </row>
    <row r="4841" ht="15.75" customHeight="1">
      <c r="A4841" s="2" t="s">
        <v>4841</v>
      </c>
      <c r="B4841" s="2" t="str">
        <f>IFERROR(__xludf.DUMMYFUNCTION("GOOGLETRANSLATE(A4841, ""en"", ""mt"")"),"Min żviluppa l-batterija tal-jone tal-litju li ħalliha twassal id-dating?")</f>
        <v>Min żviluppa l-batterija tal-jone tal-litju li ħalliha twassal id-dating?</v>
      </c>
    </row>
    <row r="4842" ht="15.75" customHeight="1">
      <c r="A4842" s="2" t="s">
        <v>4842</v>
      </c>
      <c r="B4842" s="2" t="str">
        <f>IFERROR(__xludf.DUMMYFUNCTION("GOOGLETRANSLATE(A4842, ""en"", ""mt"")"),"Noetherjan")</f>
        <v>Noetherjan</v>
      </c>
    </row>
    <row r="4843" ht="15.75" customHeight="1">
      <c r="A4843" s="2" t="s">
        <v>4843</v>
      </c>
      <c r="B4843" s="2" t="str">
        <f>IFERROR(__xludf.DUMMYFUNCTION("GOOGLETRANSLATE(A4843, ""en"", ""mt"")"),"Għaliex inbidel il-kejl tar-Rhine?")</f>
        <v>Għaliex inbidel il-kejl tar-Rhine?</v>
      </c>
    </row>
    <row r="4844" ht="15.75" customHeight="1">
      <c r="A4844" s="2" t="s">
        <v>4844</v>
      </c>
      <c r="B4844" s="2" t="str">
        <f>IFERROR(__xludf.DUMMYFUNCTION("GOOGLETRANSLATE(A4844, ""en"", ""mt"")"),"L-Arabja Sawdita")</f>
        <v>L-Arabja Sawdita</v>
      </c>
    </row>
    <row r="4845" ht="15.75" customHeight="1">
      <c r="A4845" s="2" t="s">
        <v>4845</v>
      </c>
      <c r="B4845" s="2" t="str">
        <f>IFERROR(__xludf.DUMMYFUNCTION("GOOGLETRANSLATE(A4845, ""en"", ""mt"")"),"mill-inqas erbgħa")</f>
        <v>mill-inqas erbgħa</v>
      </c>
    </row>
    <row r="4846" ht="15.75" customHeight="1">
      <c r="A4846" s="2" t="s">
        <v>4846</v>
      </c>
      <c r="B4846" s="2" t="str">
        <f>IFERROR(__xludf.DUMMYFUNCTION("GOOGLETRANSLATE(A4846, ""en"", ""mt"")"),"Flimkien mal-ġugarelli, fejn tipikament jintużaw magni tal-fwar taċ-ċilindru li joxxillaw?")</f>
        <v>Flimkien mal-ġugarelli, fejn tipikament jintużaw magni tal-fwar taċ-ċilindru li joxxillaw?</v>
      </c>
    </row>
    <row r="4847" ht="15.75" customHeight="1">
      <c r="A4847" s="2" t="s">
        <v>4847</v>
      </c>
      <c r="B4847" s="2" t="str">
        <f>IFERROR(__xludf.DUMMYFUNCTION("GOOGLETRANSLATE(A4847, ""en"", ""mt"")"),"Konfederat")</f>
        <v>Konfederat</v>
      </c>
    </row>
    <row r="4848" ht="15.75" customHeight="1">
      <c r="A4848" s="2" t="s">
        <v>4848</v>
      </c>
      <c r="B4848" s="2" t="str">
        <f>IFERROR(__xludf.DUMMYFUNCTION("GOOGLETRANSLATE(A4848, ""en"", ""mt"")"),"tmiem is-seklu 19")</f>
        <v>tmiem is-seklu 19</v>
      </c>
    </row>
    <row r="4849" ht="15.75" customHeight="1">
      <c r="A4849" s="2" t="s">
        <v>4849</v>
      </c>
      <c r="B4849" s="2" t="str">
        <f>IFERROR(__xludf.DUMMYFUNCTION("GOOGLETRANSLATE(A4849, ""en"", ""mt"")"),"49.6%")</f>
        <v>49.6%</v>
      </c>
    </row>
    <row r="4850" ht="15.75" customHeight="1">
      <c r="A4850" s="2" t="s">
        <v>4850</v>
      </c>
      <c r="B4850" s="2" t="str">
        <f>IFERROR(__xludf.DUMMYFUNCTION("GOOGLETRANSLATE(A4850, ""en"", ""mt"")"),"Wara l-avveniment ta 'estinzjoni tal-Kretaċeju-Paleogene, l-estinzjoni tad-dinosawri u l-klima aktar mxarrba setgħu ppermettew lill-foresta tropikali tropikali tinfirex madwar il-kontinent. Minn 66-34 MYA, il-foresta tropikali estendiet sa 45 °. Il-varjaz"&amp;"zjonijiet fil-klima matul l-aħħar 34 miljun sena ppermettew lir-reġjuni ta 'Savanna jespandu fit-tropiċi. Matul l-Oligocene, pereżempju, il-foresta tropikali mifruxa faxxa relattivament dejqa. Hija espandiet mill-ġdid matul il-Miocene tan-nofs, imbagħad t"&amp;"inġibed għal formazzjoni l-aktar interna fl-aħħar massimu glaċjali. Madankollu, il-foresta tropikali xorta rnexxielha tiffjorixxi matul dawn il-perjodi glaċjali, li tippermetti s-sopravivenza u l-evoluzzjoni ta 'diversità wiesgħa ta' speċi.")</f>
        <v>Wara l-avveniment ta 'estinzjoni tal-Kretaċeju-Paleogene, l-estinzjoni tad-dinosawri u l-klima aktar mxarrba setgħu ppermettew lill-foresta tropikali tropikali tinfirex madwar il-kontinent. Minn 66-34 MYA, il-foresta tropikali estendiet sa 45 °. Il-varjazzjonijiet fil-klima matul l-aħħar 34 miljun sena ppermettew lir-reġjuni ta 'Savanna jespandu fit-tropiċi. Matul l-Oligocene, pereżempju, il-foresta tropikali mifruxa faxxa relattivament dejqa. Hija espandiet mill-ġdid matul il-Miocene tan-nofs, imbagħad tinġibed għal formazzjoni l-aktar interna fl-aħħar massimu glaċjali. Madankollu, il-foresta tropikali xorta rnexxielha tiffjorixxi matul dawn il-perjodi glaċjali, li tippermetti s-sopravivenza u l-evoluzzjoni ta 'diversità wiesgħa ta' speċi.</v>
      </c>
    </row>
    <row r="4851" ht="15.75" customHeight="1">
      <c r="A4851" s="2" t="s">
        <v>4851</v>
      </c>
      <c r="B4851" s="2" t="str">
        <f>IFERROR(__xludf.DUMMYFUNCTION("GOOGLETRANSLATE(A4851, ""en"", ""mt"")"),"Madwar 75,000")</f>
        <v>Madwar 75,000</v>
      </c>
    </row>
    <row r="4852" ht="15.75" customHeight="1">
      <c r="A4852" s="2" t="s">
        <v>4852</v>
      </c>
      <c r="B4852" s="2" t="str">
        <f>IFERROR(__xludf.DUMMYFUNCTION("GOOGLETRANSLATE(A4852, ""en"", ""mt"")"),"Alka")</f>
        <v>Alka</v>
      </c>
    </row>
    <row r="4853" ht="15.75" customHeight="1">
      <c r="A4853" s="2" t="s">
        <v>4853</v>
      </c>
      <c r="B4853" s="2" t="str">
        <f>IFERROR(__xludf.DUMMYFUNCTION("GOOGLETRANSLATE(A4853, ""en"", ""mt"")"),"""tagħlaq"" id-dibattitu")</f>
        <v>"tagħlaq" id-dibattitu</v>
      </c>
    </row>
    <row r="4854" ht="15.75" customHeight="1">
      <c r="A4854" s="2" t="s">
        <v>4854</v>
      </c>
      <c r="B4854" s="2" t="str">
        <f>IFERROR(__xludf.DUMMYFUNCTION("GOOGLETRANSLATE(A4854, ""en"", ""mt"")"),"Fid-djalett Alemannic lokali, x'inhi l-forma singulari tal-ismijiet tal-gżejjer iffurmati mir-Rhine?")</f>
        <v>Fid-djalett Alemannic lokali, x'inhi l-forma singulari tal-ismijiet tal-gżejjer iffurmati mir-Rhine?</v>
      </c>
    </row>
    <row r="4855" ht="15.75" customHeight="1">
      <c r="A4855" s="2" t="s">
        <v>4855</v>
      </c>
      <c r="B4855" s="2" t="str">
        <f>IFERROR(__xludf.DUMMYFUNCTION("GOOGLETRANSLATE(A4855, ""en"", ""mt"")"),"Uri l-globu")</f>
        <v>Uri l-globu</v>
      </c>
    </row>
    <row r="4856" ht="15.75" customHeight="1">
      <c r="A4856" s="2" t="s">
        <v>4856</v>
      </c>
      <c r="B4856" s="2" t="str">
        <f>IFERROR(__xludf.DUMMYFUNCTION("GOOGLETRANSLATE(A4856, ""en"", ""mt"")"),"X'inhu l-proċess li bih il-kumpless tal-antiġen / antikorpi huwa pproċessat fil-peptidi?")</f>
        <v>X'inhu l-proċess li bih il-kumpless tal-antiġen / antikorpi huwa pproċessat fil-peptidi?</v>
      </c>
    </row>
    <row r="4857" ht="15.75" customHeight="1">
      <c r="A4857" s="2" t="s">
        <v>4857</v>
      </c>
      <c r="B4857" s="2" t="str">
        <f>IFERROR(__xludf.DUMMYFUNCTION("GOOGLETRANSLATE(A4857, ""en"", ""mt"")"),"Makrofaġi u limfoċiti")</f>
        <v>Makrofaġi u limfoċiti</v>
      </c>
    </row>
    <row r="4858" ht="15.75" customHeight="1">
      <c r="A4858" s="2" t="s">
        <v>4858</v>
      </c>
      <c r="B4858" s="2" t="str">
        <f>IFERROR(__xludf.DUMMYFUNCTION("GOOGLETRANSLATE(A4858, ""en"", ""mt"")"),"żieda fl-għargħar u sedimentazzjoni")</f>
        <v>żieda fl-għargħar u sedimentazzjoni</v>
      </c>
    </row>
    <row r="4859" ht="15.75" customHeight="1">
      <c r="A4859" s="2" t="s">
        <v>4859</v>
      </c>
      <c r="B4859" s="2" t="str">
        <f>IFERROR(__xludf.DUMMYFUNCTION("GOOGLETRANSLATE(A4859, ""en"", ""mt"")"),"Min rebaħ il-gwerra tas-seba 'snin?")</f>
        <v>Min rebaħ il-gwerra tas-seba 'snin?</v>
      </c>
    </row>
    <row r="4860" ht="15.75" customHeight="1">
      <c r="A4860" s="2" t="s">
        <v>4860</v>
      </c>
      <c r="B4860" s="2" t="str">
        <f>IFERROR(__xludf.DUMMYFUNCTION("GOOGLETRANSLATE(A4860, ""en"", ""mt"")"),"CBSE")</f>
        <v>CBSE</v>
      </c>
    </row>
    <row r="4861" ht="15.75" customHeight="1">
      <c r="A4861" s="2" t="s">
        <v>4861</v>
      </c>
      <c r="B4861" s="2" t="str">
        <f>IFERROR(__xludf.DUMMYFUNCTION("GOOGLETRANSLATE(A4861, ""en"", ""mt"")"),"Dak li juża sett flessibbli ta 'regoli biex jiddetermina l-azzjonijiet futuri tiegħu?")</f>
        <v>Dak li juża sett flessibbli ta 'regoli biex jiddetermina l-azzjonijiet futuri tiegħu?</v>
      </c>
    </row>
    <row r="4862" ht="15.75" customHeight="1">
      <c r="A4862" s="2" t="s">
        <v>4862</v>
      </c>
      <c r="B4862" s="2" t="str">
        <f>IFERROR(__xludf.DUMMYFUNCTION("GOOGLETRANSLATE(A4862, ""en"", ""mt"")"),"Qabel l-Ewwel Gwerra Dinjija,")</f>
        <v>Qabel l-Ewwel Gwerra Dinjija,</v>
      </c>
    </row>
    <row r="4863" ht="15.75" customHeight="1">
      <c r="A4863" s="2" t="s">
        <v>4863</v>
      </c>
      <c r="B4863" s="2" t="str">
        <f>IFERROR(__xludf.DUMMYFUNCTION("GOOGLETRANSLATE(A4863, ""en"", ""mt"")"),"kalamita qawwija")</f>
        <v>kalamita qawwija</v>
      </c>
    </row>
    <row r="4864" ht="15.75" customHeight="1">
      <c r="A4864" s="2" t="s">
        <v>4864</v>
      </c>
      <c r="B4864" s="2" t="str">
        <f>IFERROR(__xludf.DUMMYFUNCTION("GOOGLETRANSLATE(A4864, ""en"", ""mt"")"),"Iċ-ċelloli T Delta Gamma għandhom verżjoni differenti ta 'liema riċettur?")</f>
        <v>Iċ-ċelloli T Delta Gamma għandhom verżjoni differenti ta 'liema riċettur?</v>
      </c>
    </row>
    <row r="4865" ht="15.75" customHeight="1">
      <c r="A4865" s="2" t="s">
        <v>4865</v>
      </c>
      <c r="B4865" s="2" t="str">
        <f>IFERROR(__xludf.DUMMYFUNCTION("GOOGLETRANSLATE(A4865, ""en"", ""mt"")"),"Xi tagħmel ħsara lill-inugwaljanza li tonqos?")</f>
        <v>Xi tagħmel ħsara lill-inugwaljanza li tonqos?</v>
      </c>
    </row>
    <row r="4866" ht="15.75" customHeight="1">
      <c r="A4866" s="2" t="s">
        <v>4866</v>
      </c>
      <c r="B4866" s="2" t="str">
        <f>IFERROR(__xludf.DUMMYFUNCTION("GOOGLETRANSLATE(A4866, ""en"", ""mt"")"),"Għal liema tipi ta 'riżultati tas-saħħa jimmiraw mal-pazjenti tagħhom?")</f>
        <v>Għal liema tipi ta 'riżultati tas-saħħa jimmiraw mal-pazjenti tagħhom?</v>
      </c>
    </row>
    <row r="4867" ht="15.75" customHeight="1">
      <c r="A4867" s="2" t="s">
        <v>4867</v>
      </c>
      <c r="B4867" s="2" t="str">
        <f>IFERROR(__xludf.DUMMYFUNCTION("GOOGLETRANSLATE(A4867, ""en"", ""mt"")"),"X’meċidiet Warner Sinback")</f>
        <v>X’meċidiet Warner Sinback</v>
      </c>
    </row>
    <row r="4868" ht="15.75" customHeight="1">
      <c r="A4868" s="2" t="s">
        <v>4868</v>
      </c>
      <c r="B4868" s="2" t="str">
        <f>IFERROR(__xludf.DUMMYFUNCTION("GOOGLETRANSLATE(A4868, ""en"", ""mt"")"),"X'inhuma żewġ modi li t-tajn ma jinbidilx fil-volum?")</f>
        <v>X'inhuma żewġ modi li t-tajn ma jinbidilx fil-volum?</v>
      </c>
    </row>
    <row r="4869" ht="15.75" customHeight="1">
      <c r="A4869" s="2" t="s">
        <v>4869</v>
      </c>
      <c r="B4869" s="2" t="str">
        <f>IFERROR(__xludf.DUMMYFUNCTION("GOOGLETRANSLATE(A4869, ""en"", ""mt"")"),"Kif jissejjaħ ir-Rhine bl-Olandiż?")</f>
        <v>Kif jissejjaħ ir-Rhine bl-Olandiż?</v>
      </c>
    </row>
    <row r="4870" ht="15.75" customHeight="1">
      <c r="A4870" s="2" t="s">
        <v>4870</v>
      </c>
      <c r="B4870" s="2" t="str">
        <f>IFERROR(__xludf.DUMMYFUNCTION("GOOGLETRANSLATE(A4870, ""en"", ""mt"")"),"X'tip ta 'riżultati tal-kaskata meta l-proteini li jikkumplimentaw jorbtu mal-mikrobi u jattivaw l-attività tal-protease tagħhom?")</f>
        <v>X'tip ta 'riżultati tal-kaskata meta l-proteini li jikkumplimentaw jorbtu mal-mikrobi u jattivaw l-attività tal-protease tagħhom?</v>
      </c>
    </row>
    <row r="4871" ht="15.75" customHeight="1">
      <c r="A4871" s="2" t="s">
        <v>4871</v>
      </c>
      <c r="B4871" s="2" t="str">
        <f>IFERROR(__xludf.DUMMYFUNCTION("GOOGLETRANSLATE(A4871, ""en"", ""mt"")"),"Fattur importanti fil-ħolqien ta 'inugwaljanza huwa l-varjazzjoni fl-aċċess ta' individwi għall-edukazzjoni. L-edukazzjoni, speċjalment f'qasam fejn hemm domanda għolja għall-ħaddiema, toħloq pagi għoljin għal dawk b'din l-edukazzjoni, madankollu, żidiet "&amp;"fl-edukazzjoni l-ewwel jiżdiedu u mbagħad inaqqsu t-tkabbir kif ukoll l-inugwaljanza tad-dħul. Bħala riżultat, dawk li ma jistgħux jaffordjaw edukazzjoni, jew jagħżlu li ma jsegwux edukazzjoni fakultattiva, ġeneralment jirċievu pagi ferm aktar baxxi. Il-ġ"&amp;"ustifikazzjoni għal dan hija li nuqqas ta 'edukazzjoni jwassal direttament għal dħul aktar baxx, u b'hekk aktar baxxi ffrankar u investiment aggregat. Bil-maqlub, l-edukazzjoni tqajjem id-dħul u tippromwovi t-tkabbir minħabba li tgħin biex tinħeles il-pot"&amp;"enzjal produttiv tal-foqra.")</f>
        <v>Fattur importanti fil-ħolqien ta 'inugwaljanza huwa l-varjazzjoni fl-aċċess ta' individwi għall-edukazzjoni. L-edukazzjoni, speċjalment f'qasam fejn hemm domanda għolja għall-ħaddiema, toħloq pagi għoljin għal dawk b'din l-edukazzjoni, madankollu, żidiet fl-edukazzjoni l-ewwel jiżdiedu u mbagħad inaqqsu t-tkabbir kif ukoll l-inugwaljanza tad-dħul. Bħala riżultat, dawk li ma jistgħux jaffordjaw edukazzjoni, jew jagħżlu li ma jsegwux edukazzjoni fakultattiva, ġeneralment jirċievu pagi ferm aktar baxxi. Il-ġustifikazzjoni għal dan hija li nuqqas ta 'edukazzjoni jwassal direttament għal dħul aktar baxx, u b'hekk aktar baxxi ffrankar u investiment aggregat. Bil-maqlub, l-edukazzjoni tqajjem id-dħul u tippromwovi t-tkabbir minħabba li tgħin biex tinħeles il-potenzjal produttiv tal-foqra.</v>
      </c>
    </row>
    <row r="4872" ht="15.75" customHeight="1">
      <c r="A4872" s="2" t="s">
        <v>4872</v>
      </c>
      <c r="B4872" s="2" t="str">
        <f>IFERROR(__xludf.DUMMYFUNCTION("GOOGLETRANSLATE(A4872, ""en"", ""mt"")"),"19")</f>
        <v>19</v>
      </c>
    </row>
    <row r="4873" ht="15.75" customHeight="1">
      <c r="A4873" s="2" t="s">
        <v>4873</v>
      </c>
      <c r="B4873" s="2" t="str">
        <f>IFERROR(__xludf.DUMMYFUNCTION("GOOGLETRANSLATE(A4873, ""en"", ""mt"")"),"status superjuri għall-oħrajn kollha f'oqsma relatati mas-saħħa bħal tobba u acupuncturists")</f>
        <v>status superjuri għall-oħrajn kollha f'oqsma relatati mas-saħħa bħal tobba u acupuncturists</v>
      </c>
    </row>
    <row r="4874" ht="15.75" customHeight="1">
      <c r="A4874" s="2" t="s">
        <v>4874</v>
      </c>
      <c r="B4874" s="2" t="str">
        <f>IFERROR(__xludf.DUMMYFUNCTION("GOOGLETRANSLATE(A4874, ""en"", ""mt"")"),"Abilene")</f>
        <v>Abilene</v>
      </c>
    </row>
    <row r="4875" ht="15.75" customHeight="1">
      <c r="A4875" s="2" t="s">
        <v>4875</v>
      </c>
      <c r="B4875" s="2" t="str">
        <f>IFERROR(__xludf.DUMMYFUNCTION("GOOGLETRANSLATE(A4875, ""en"", ""mt"")"),"1271")</f>
        <v>1271</v>
      </c>
    </row>
    <row r="4876" ht="15.75" customHeight="1">
      <c r="A4876" s="2" t="s">
        <v>4876</v>
      </c>
      <c r="B4876" s="2" t="str">
        <f>IFERROR(__xludf.DUMMYFUNCTION("GOOGLETRANSLATE(A4876, ""en"", ""mt"")"),"Il-flora tal-belt tista 'titqies rikka ħafna fl-ispeċi. Ir-rikkezza tal-ispeċi hija dovuta l-aktar għall-lok ta 'Varsavja fir-reġjun tal-fruntiera ta' bosta reġjuni kbar tal-fjuri li jinkludu proporzjonijiet sostanzjali ta 'żoni mill-qrib għall-għaqda (fo"&amp;"resti naturali, artijiet mistagħdra tul il-vistula) kif ukoll art li tinħadem, mergħat u foresti. Bielany Forest, li tinsab fil-fruntieri ta 'Varsavja, hija l-bqija tal-foresta primordjali Masovjana. Ir-Riżerva Naturali tal-Foresti Bielany hija konnessa m"&amp;"al-Forest Kampinos. Huwa d-dar ta 'Fawna Rich u Flora. Fil-foresta hemm tliet traċċi taċ-ċikliżmu u tal-mixi. Żona kbira oħra tal-foresta hija l-foresta Kabaty mill-fruntiera tan-Nofsinhar tal-Belt. Varsavja għandha wkoll żewġ ġonna botaniċi: mill-Park ła"&amp;"zienki (unità ta ’riċerka didattika tal-Università ta’ Varsavja) kif ukoll mill-Park tal-Kultura u l-mistrieħ fil-Powsin (unità tal-Akkademja tax-Xjenza Pollakka).")</f>
        <v>Il-flora tal-belt tista 'titqies rikka ħafna fl-ispeċi. Ir-rikkezza tal-ispeċi hija dovuta l-aktar għall-lok ta 'Varsavja fir-reġjun tal-fruntiera ta' bosta reġjuni kbar tal-fjuri li jinkludu proporzjonijiet sostanzjali ta 'żoni mill-qrib għall-għaqda (foresti naturali, artijiet mistagħdra tul il-vistula) kif ukoll art li tinħadem, mergħat u foresti. Bielany Forest, li tinsab fil-fruntieri ta 'Varsavja, hija l-bqija tal-foresta primordjali Masovjana. Ir-Riżerva Naturali tal-Foresti Bielany hija konnessa mal-Forest Kampinos. Huwa d-dar ta 'Fawna Rich u Flora. Fil-foresta hemm tliet traċċi taċ-ċikliżmu u tal-mixi. Żona kbira oħra tal-foresta hija l-foresta Kabaty mill-fruntiera tan-Nofsinhar tal-Belt. Varsavja għandha wkoll żewġ ġonna botaniċi: mill-Park łazienki (unità ta ’riċerka didattika tal-Università ta’ Varsavja) kif ukoll mill-Park tal-Kultura u l-mistrieħ fil-Powsin (unità tal-Akkademja tax-Xjenza Pollakka).</v>
      </c>
    </row>
    <row r="4877" ht="15.75" customHeight="1">
      <c r="A4877" s="2" t="s">
        <v>4877</v>
      </c>
      <c r="B4877" s="2" t="str">
        <f>IFERROR(__xludf.DUMMYFUNCTION("GOOGLETRANSLATE(A4877, ""en"", ""mt"")"),"L-embargo kellu influwenza negattiva fuq l-ekonomija tal-Istati Uniti billi kkawża talbiet immedjati biex jindirizzaw it-theddid għas-sigurtà tal-enerġija tal-Istati Uniti. Fuq livell internazzjonali, iż-żidiet fil-prezz biddlu pożizzjonijiet kompetittivi"&amp;" f'ħafna industriji, bħal karozzi. Problemi makroekonomiċi kienu jikkonsistu f'impatti inflazzjonarji u deflazzjonarji. L-embargo ħalla kumpaniji taż-żejt ifittxu modi ġodda biex iżidu l-provvisti taż-żejt, anke f'art imħatteb bħall-Artiku. Is-sejba taż-ż"&amp;"ejt u l-iżvilupp ta 'oqsma ġodda ġeneralment tkun meħtieġa ħames sa għaxar snin qabel produzzjoni sinifikanti.")</f>
        <v>L-embargo kellu influwenza negattiva fuq l-ekonomija tal-Istati Uniti billi kkawża talbiet immedjati biex jindirizzaw it-theddid għas-sigurtà tal-enerġija tal-Istati Uniti. Fuq livell internazzjonali, iż-żidiet fil-prezz biddlu pożizzjonijiet kompetittivi f'ħafna industriji, bħal karozzi. Problemi makroekonomiċi kienu jikkonsistu f'impatti inflazzjonarji u deflazzjonarji. L-embargo ħalla kumpaniji taż-żejt ifittxu modi ġodda biex iżidu l-provvisti taż-żejt, anke f'art imħatteb bħall-Artiku. Is-sejba taż-żejt u l-iżvilupp ta 'oqsma ġodda ġeneralment tkun meħtieġa ħames sa għaxar snin qabel produzzjoni sinifikanti.</v>
      </c>
    </row>
    <row r="4878" ht="15.75" customHeight="1">
      <c r="A4878" s="2" t="s">
        <v>4878</v>
      </c>
      <c r="B4878" s="2" t="str">
        <f>IFERROR(__xludf.DUMMYFUNCTION("GOOGLETRANSLATE(A4878, ""en"", ""mt"")"),"Kmieni seklu għoxrin")</f>
        <v>Kmieni seklu għoxrin</v>
      </c>
    </row>
    <row r="4879" ht="15.75" customHeight="1">
      <c r="A4879" s="2" t="s">
        <v>4879</v>
      </c>
      <c r="B4879" s="2" t="str">
        <f>IFERROR(__xludf.DUMMYFUNCTION("GOOGLETRANSLATE(A4879, ""en"", ""mt"")"),"Meta l-Ewropa ġiet forestata kompletament u rkuprata mill-aħħar età tas-silġ?")</f>
        <v>Meta l-Ewropa ġiet forestata kompletament u rkuprata mill-aħħar età tas-silġ?</v>
      </c>
    </row>
    <row r="4880" ht="15.75" customHeight="1">
      <c r="A4880" s="2" t="s">
        <v>4880</v>
      </c>
      <c r="B4880" s="2" t="str">
        <f>IFERROR(__xludf.DUMMYFUNCTION("GOOGLETRANSLATE(A4880, ""en"", ""mt"")"),"ermafroditiżmu u riproduzzjoni bikrija")</f>
        <v>ermafroditiżmu u riproduzzjoni bikrija</v>
      </c>
    </row>
    <row r="4881" ht="15.75" customHeight="1">
      <c r="A4881" s="2" t="s">
        <v>4881</v>
      </c>
      <c r="B4881" s="2" t="str">
        <f>IFERROR(__xludf.DUMMYFUNCTION("GOOGLETRANSLATE(A4881, ""en"", ""mt"")"),"Fejn hi differenti l-Mesoglea f'partijiet oħra tas-sistema tal-kanal?")</f>
        <v>Fejn hi differenti l-Mesoglea f'partijiet oħra tas-sistema tal-kanal?</v>
      </c>
    </row>
    <row r="4882" ht="15.75" customHeight="1">
      <c r="A4882" s="2" t="s">
        <v>4882</v>
      </c>
      <c r="B4882" s="2" t="str">
        <f>IFERROR(__xludf.DUMMYFUNCTION("GOOGLETRANSLATE(A4882, ""en"", ""mt"")"),"dgħajjef ħafna")</f>
        <v>dgħajjef ħafna</v>
      </c>
    </row>
    <row r="4883" ht="15.75" customHeight="1">
      <c r="A4883" s="2" t="s">
        <v>4883</v>
      </c>
      <c r="B4883" s="2" t="str">
        <f>IFERROR(__xludf.DUMMYFUNCTION("GOOGLETRANSLATE(A4883, ""en"", ""mt"")"),"L-USGS")</f>
        <v>L-USGS</v>
      </c>
    </row>
    <row r="4884" ht="15.75" customHeight="1">
      <c r="A4884" s="2" t="s">
        <v>4884</v>
      </c>
      <c r="B4884" s="2" t="str">
        <f>IFERROR(__xludf.DUMMYFUNCTION("GOOGLETRANSLATE(A4884, ""en"", ""mt"")"),"Meta ġie introdott Ctenophore Mnemiopsis Leidyi fil-Baħar l-Iswed u fil-Baħar ta 'Azov?")</f>
        <v>Meta ġie introdott Ctenophore Mnemiopsis Leidyi fil-Baħar l-Iswed u fil-Baħar ta 'Azov?</v>
      </c>
    </row>
    <row r="4885" ht="15.75" customHeight="1">
      <c r="A4885" s="2" t="s">
        <v>4885</v>
      </c>
      <c r="B4885" s="2" t="str">
        <f>IFERROR(__xludf.DUMMYFUNCTION("GOOGLETRANSLATE(A4885, ""en"", ""mt"")"),"X'għandu jkollu l-adozzjoni ta 'liġijiet li ma jkollhomx effett legali fl-UE?")</f>
        <v>X'għandu jkollu l-adozzjoni ta 'liġijiet li ma jkollhomx effett legali fl-UE?</v>
      </c>
    </row>
    <row r="4886" ht="15.75" customHeight="1">
      <c r="A4886" s="2" t="s">
        <v>4886</v>
      </c>
      <c r="B4886" s="2" t="str">
        <f>IFERROR(__xludf.DUMMYFUNCTION("GOOGLETRANSLATE(A4886, ""en"", ""mt"")"),"Kemm tunnellata ta 'tadam tipproduċi Victoria?")</f>
        <v>Kemm tunnellata ta 'tadam tipproduċi Victoria?</v>
      </c>
    </row>
    <row r="4887" ht="15.75" customHeight="1">
      <c r="A4887" s="2" t="s">
        <v>4887</v>
      </c>
      <c r="B4887" s="2" t="str">
        <f>IFERROR(__xludf.DUMMYFUNCTION("GOOGLETRANSLATE(A4887, ""en"", ""mt"")"),"F’liema sena twieled Henry of Navarra?")</f>
        <v>F’liema sena twieled Henry of Navarra?</v>
      </c>
    </row>
    <row r="4888" ht="15.75" customHeight="1">
      <c r="A4888" s="2" t="s">
        <v>4888</v>
      </c>
      <c r="B4888" s="2" t="str">
        <f>IFERROR(__xludf.DUMMYFUNCTION("GOOGLETRANSLATE(A4888, ""en"", ""mt"")"),"ix-xogħol ta 'fiżiċi teoretiċi ewlenin")</f>
        <v>ix-xogħol ta 'fiżiċi teoretiċi ewlenin</v>
      </c>
    </row>
    <row r="4889" ht="15.75" customHeight="1">
      <c r="A4889" s="2" t="s">
        <v>4889</v>
      </c>
      <c r="B4889" s="2" t="str">
        <f>IFERROR(__xludf.DUMMYFUNCTION("GOOGLETRANSLATE(A4889, ""en"", ""mt"")"),"Kattoliku")</f>
        <v>Kattoliku</v>
      </c>
    </row>
    <row r="4890" ht="15.75" customHeight="1">
      <c r="A4890" s="2" t="s">
        <v>4890</v>
      </c>
      <c r="B4890" s="2" t="str">
        <f>IFERROR(__xludf.DUMMYFUNCTION("GOOGLETRANSLATE(A4890, ""en"", ""mt"")"),"King Charles III")</f>
        <v>King Charles III</v>
      </c>
    </row>
    <row r="4891" ht="15.75" customHeight="1">
      <c r="A4891" s="2" t="s">
        <v>4891</v>
      </c>
      <c r="B4891" s="2" t="str">
        <f>IFERROR(__xludf.DUMMYFUNCTION("GOOGLETRANSLATE(A4891, ""en"", ""mt"")"),"X’għandhom is-setgħa li jiggvernaw is-CBSE u s-CISCE?")</f>
        <v>X’għandhom is-setgħa li jiggvernaw is-CBSE u s-CISCE?</v>
      </c>
    </row>
    <row r="4892" ht="15.75" customHeight="1">
      <c r="A4892" s="2" t="s">
        <v>4892</v>
      </c>
      <c r="B4892" s="2" t="str">
        <f>IFERROR(__xludf.DUMMYFUNCTION("GOOGLETRANSLATE(A4892, ""en"", ""mt"")"),"Contrecœur mexxa 500 irġiel fin-Nofsinhar minn Fort Venango fil-5 ta 'April, 1754")</f>
        <v>Contrecœur mexxa 500 irġiel fin-Nofsinhar minn Fort Venango fil-5 ta 'April, 1754</v>
      </c>
    </row>
    <row r="4893" ht="15.75" customHeight="1">
      <c r="A4893" s="2" t="s">
        <v>4893</v>
      </c>
      <c r="B4893" s="2" t="str">
        <f>IFERROR(__xludf.DUMMYFUNCTION("GOOGLETRANSLATE(A4893, ""en"", ""mt"")"),"Alexius Komnenos")</f>
        <v>Alexius Komnenos</v>
      </c>
    </row>
    <row r="4894" ht="15.75" customHeight="1">
      <c r="A4894" s="2" t="s">
        <v>4894</v>
      </c>
      <c r="B4894" s="2" t="str">
        <f>IFERROR(__xludf.DUMMYFUNCTION("GOOGLETRANSLATE(A4894, ""en"", ""mt"")"),"Min jargumenta li l-gvern jerġa 'jqassam il-ġid bil-paċi?")</f>
        <v>Min jargumenta li l-gvern jerġa 'jqassam il-ġid bil-paċi?</v>
      </c>
    </row>
    <row r="4895" ht="15.75" customHeight="1">
      <c r="A4895" s="2" t="s">
        <v>4895</v>
      </c>
      <c r="B4895" s="2" t="str">
        <f>IFERROR(__xludf.DUMMYFUNCTION("GOOGLETRANSLATE(A4895, ""en"", ""mt"")"),"Allston")</f>
        <v>Allston</v>
      </c>
    </row>
    <row r="4896" ht="15.75" customHeight="1">
      <c r="A4896" s="2" t="s">
        <v>4896</v>
      </c>
      <c r="B4896" s="2" t="str">
        <f>IFERROR(__xludf.DUMMYFUNCTION("GOOGLETRANSLATE(A4896, ""en"", ""mt"")"),"żidiet ipproġettati fil-livelli tal-baħar")</f>
        <v>żidiet ipproġettati fil-livelli tal-baħar</v>
      </c>
    </row>
    <row r="4897" ht="15.75" customHeight="1">
      <c r="A4897" s="2" t="s">
        <v>4897</v>
      </c>
      <c r="B4897" s="2" t="str">
        <f>IFERROR(__xludf.DUMMYFUNCTION("GOOGLETRANSLATE(A4897, ""en"", ""mt"")"),"Input kontinwu tas-sediment")</f>
        <v>Input kontinwu tas-sediment</v>
      </c>
    </row>
    <row r="4898" ht="15.75" customHeight="1">
      <c r="A4898" s="2" t="s">
        <v>4898</v>
      </c>
      <c r="B4898" s="2" t="str">
        <f>IFERROR(__xludf.DUMMYFUNCTION("GOOGLETRANSLATE(A4898, ""en"", ""mt"")"),"Kemm pari ta 'orbitali 2P jinsabu tul l-assi O-O?")</f>
        <v>Kemm pari ta 'orbitali 2P jinsabu tul l-assi O-O?</v>
      </c>
    </row>
    <row r="4899" ht="15.75" customHeight="1">
      <c r="A4899" s="2" t="s">
        <v>4899</v>
      </c>
      <c r="B4899" s="2" t="str">
        <f>IFERROR(__xludf.DUMMYFUNCTION("GOOGLETRANSLATE(A4899, ""en"", ""mt"")"),"Steven Barkan jikteb li jekk l-imputati jinvokaw mhux ħatja, ""iridu jiddeċiedu jekk l-għan ewlieni tagħhom hux li jirbħu l-ħelsien u jevitaw ħabs jew multa, jew li jużaw il-proċeduri bħala forum biex jinfurmaw lill-ġurija u lill-pubbliku taċ-ċirkostanzi "&amp;"politiċi Madwar il-każ u r-raġunijiet tagħhom biex tinkiser il-liġi permezz ta 'diżubbidjenza ċivili. "" Difiża teknika tista 'ttejjeb iċ-ċansijiet ta' ħelsien iżda tagħmel aktar proċeduri ta 'dwejjaq u kopertura tal-istampa mnaqqsa. Matul l-era tal-Gwerr"&amp;"a tal-Vjetnam, it-Tmienja ta ’Chicago użaw difiża politika, filwaqt li Benjamin Spock uża difiża teknika. F'pajjiżi bħall-Istati Uniti li l-liġijiet tagħhom jiggarantixxu d-dritt għal proċess ta 'ġurija iżda ma jiskużawx il-liġi għal skopijiet politiċi, x"&amp;"i diżubbidjenti ċivili jfittxu n-nullifikazzjoni tal-ġurija. Matul is-snin, dan sar iktar diffiċli minn deċiżjonijiet tal-qorti bħal Sparf v. L-Istati Uniti, li ddeċidiet li l-imħallef m'għandux għalfejn jinforma lill-ġurati dwar il-prerogattiva tan-nulli"&amp;"fikazzjoni tagħhom, u l-Istati Uniti v. Dougherty, li ddeċidiet li l-imħallef m'għandux għalfejn jippermetti imputati biex ifittxu bil-miftuħ in-nullifikazzjoni tal-ġurija.")</f>
        <v>Steven Barkan jikteb li jekk l-imputati jinvokaw mhux ħatja, "iridu jiddeċiedu jekk l-għan ewlieni tagħhom hux li jirbħu l-ħelsien u jevitaw ħabs jew multa, jew li jużaw il-proċeduri bħala forum biex jinfurmaw lill-ġurija u lill-pubbliku taċ-ċirkostanzi politiċi Madwar il-każ u r-raġunijiet tagħhom biex tinkiser il-liġi permezz ta 'diżubbidjenza ċivili. " Difiża teknika tista 'ttejjeb iċ-ċansijiet ta' ħelsien iżda tagħmel aktar proċeduri ta 'dwejjaq u kopertura tal-istampa mnaqqsa. Matul l-era tal-Gwerra tal-Vjetnam, it-Tmienja ta ’Chicago użaw difiża politika, filwaqt li Benjamin Spock uża difiża teknika. F'pajjiżi bħall-Istati Uniti li l-liġijiet tagħhom jiggarantixxu d-dritt għal proċess ta 'ġurija iżda ma jiskużawx il-liġi għal skopijiet politiċi, xi diżubbidjenti ċivili jfittxu n-nullifikazzjoni tal-ġurija. Matul is-snin, dan sar iktar diffiċli minn deċiżjonijiet tal-qorti bħal Sparf v. L-Istati Uniti, li ddeċidiet li l-imħallef m'għandux għalfejn jinforma lill-ġurati dwar il-prerogattiva tan-nullifikazzjoni tagħhom, u l-Istati Uniti v. Dougherty, li ddeċidiet li l-imħallef m'għandux għalfejn jippermetti imputati biex ifittxu bil-miftuħ in-nullifikazzjoni tal-ġurija.</v>
      </c>
    </row>
    <row r="4900" ht="15.75" customHeight="1">
      <c r="A4900" s="2" t="s">
        <v>4900</v>
      </c>
      <c r="B4900" s="2" t="str">
        <f>IFERROR(__xludf.DUMMYFUNCTION("GOOGLETRANSLATE(A4900, ""en"", ""mt"")"),"maġġoranza")</f>
        <v>maġġoranza</v>
      </c>
    </row>
    <row r="4901" ht="15.75" customHeight="1">
      <c r="A4901" s="2" t="s">
        <v>4901</v>
      </c>
      <c r="B4901" s="2" t="str">
        <f>IFERROR(__xludf.DUMMYFUNCTION("GOOGLETRANSLATE(A4901, ""en"", ""mt"")"),"F’liema sena ġiet brevettata l-magna Corliss?")</f>
        <v>F’liema sena ġiet brevettata l-magna Corliss?</v>
      </c>
    </row>
    <row r="4902" ht="15.75" customHeight="1">
      <c r="A4902" s="2" t="s">
        <v>4902</v>
      </c>
      <c r="B4902" s="2" t="str">
        <f>IFERROR(__xludf.DUMMYFUNCTION("GOOGLETRANSLATE(A4902, ""en"", ""mt"")"),"Il-korporazzjoni kif twassal dawn il-messaġġi?")</f>
        <v>Il-korporazzjoni kif twassal dawn il-messaġġi?</v>
      </c>
    </row>
    <row r="4903" ht="15.75" customHeight="1">
      <c r="A4903" s="2" t="s">
        <v>4903</v>
      </c>
      <c r="B4903" s="2" t="str">
        <f>IFERROR(__xludf.DUMMYFUNCTION("GOOGLETRANSLATE(A4903, ""en"", ""mt"")"),"Djar ġodda xiex jinkludu l-maġġoranza?")</f>
        <v>Djar ġodda xiex jinkludu l-maġġoranza?</v>
      </c>
    </row>
    <row r="4904" ht="15.75" customHeight="1">
      <c r="A4904" s="2" t="s">
        <v>4904</v>
      </c>
      <c r="B4904" s="2" t="str">
        <f>IFERROR(__xludf.DUMMYFUNCTION("GOOGLETRANSLATE(A4904, ""en"", ""mt"")"),"X'tip ta 'status jiġi ma' tmur skola pubblika fl-Awstralja?")</f>
        <v>X'tip ta 'status jiġi ma' tmur skola pubblika fl-Awstralja?</v>
      </c>
    </row>
    <row r="4905" ht="15.75" customHeight="1">
      <c r="A4905" s="2" t="s">
        <v>4905</v>
      </c>
      <c r="B4905" s="2" t="str">
        <f>IFERROR(__xludf.DUMMYFUNCTION("GOOGLETRANSLATE(A4905, ""en"", ""mt"")"),"Kif jissejjaħ it-tarf tal-plateau tal-moraine?")</f>
        <v>Kif jissejjaħ it-tarf tal-plateau tal-moraine?</v>
      </c>
    </row>
    <row r="4906" ht="15.75" customHeight="1">
      <c r="A4906" s="2" t="s">
        <v>4906</v>
      </c>
      <c r="B4906" s="2" t="str">
        <f>IFERROR(__xludf.DUMMYFUNCTION("GOOGLETRANSLATE(A4906, ""en"", ""mt"")"),"X'kien l-isem tal-Kastell Norman?")</f>
        <v>X'kien l-isem tal-Kastell Norman?</v>
      </c>
    </row>
    <row r="4907" ht="15.75" customHeight="1">
      <c r="A4907" s="2" t="s">
        <v>4907</v>
      </c>
      <c r="B4907" s="2" t="str">
        <f>IFERROR(__xludf.DUMMYFUNCTION("GOOGLETRANSLATE(A4907, ""en"", ""mt"")"),"""L-abbozz għal dan l-att tal-Parlament Skoċċiż ġie mgħoddi mill-Parlament fid-data [data] u rċieva kunsens irjali fid-data [tad-data]"".")</f>
        <v>"L-abbozz għal dan l-att tal-Parlament Skoċċiż ġie mgħoddi mill-Parlament fid-data [data] u rċieva kunsens irjali fid-data [tad-data]".</v>
      </c>
    </row>
    <row r="4908" ht="15.75" customHeight="1">
      <c r="A4908" s="2" t="s">
        <v>4908</v>
      </c>
      <c r="B4908" s="2" t="str">
        <f>IFERROR(__xludf.DUMMYFUNCTION("GOOGLETRANSLATE(A4908, ""en"", ""mt"")"),"Minħabba l-kumplessità tal-mediċini li jinkludu indikazzjonijiet speċifiċi, l-effikaċja ta 'reġimi ta' trattament, is-sigurtà tal-mediċini (i.e., l-interazzjonijiet tad-droga) u kwistjonijiet ta 'konformità tal-pazjent (fl-isptar u d-dar) ħafna spiżjara l"&amp;"i jipprattikaw fl-isptarijiet jiksbu aktar edukazzjoni u taħriġ wara l-Iskola tal-Ispiżerija Residenza ta 'prattika ta' l-ispiżerija u xi kultant segwita minn residenza oħra f'qasam speċifiku. Dawk l-ispiżjara huma spiss imsejħa spiżjara kliniċi u ħafna d"&amp;"rabi jispeċjalizzaw f'diversi dixxiplini ta 'l-ispiżerija. Pereżempju, hemm spiżjara li jispeċjalizzaw fl-ematoloġija / onkoloġija, HIV / AIDS, mard infettiv, kura kritika, mediċina ta 'emerġenza, tossikoloġija, spiżerija nukleari, ġestjoni tal-uġigħ, psi"&amp;"kjatrija, kliniċi anti-koagulazzjoni, mediċina tal-ħxejjex, ġestjoni tan-newroloġija / epilessija, pedjatrija , spiżjara tat-twelid u aktar.")</f>
        <v>Minħabba l-kumplessità tal-mediċini li jinkludu indikazzjonijiet speċifiċi, l-effikaċja ta 'reġimi ta' trattament, is-sigurtà tal-mediċini (i.e., l-interazzjonijiet tad-droga) u kwistjonijiet ta 'konformità tal-pazjent (fl-isptar u d-dar) ħafna spiżjara li jipprattikaw fl-isptarijiet jiksbu aktar edukazzjoni u taħriġ wara l-Iskola tal-Ispiżerija Residenza ta 'prattika ta' l-ispiżerija u xi kultant segwita minn residenza oħra f'qasam speċifiku. Dawk l-ispiżjara huma spiss imsejħa spiżjara kliniċi u ħafna drabi jispeċjalizzaw f'diversi dixxiplini ta 'l-ispiżerija. Pereżempju, hemm spiżjara li jispeċjalizzaw fl-ematoloġija / onkoloġija, HIV / AIDS, mard infettiv, kura kritika, mediċina ta 'emerġenza, tossikoloġija, spiżerija nukleari, ġestjoni tal-uġigħ, psikjatrija, kliniċi anti-koagulazzjoni, mediċina tal-ħxejjex, ġestjoni tan-newroloġija / epilessija, pedjatrija , spiżjara tat-twelid u aktar.</v>
      </c>
    </row>
    <row r="4909" ht="15.75" customHeight="1">
      <c r="A4909" s="2" t="s">
        <v>4909</v>
      </c>
      <c r="B4909" s="2" t="str">
        <f>IFERROR(__xludf.DUMMYFUNCTION("GOOGLETRANSLATE(A4909, ""en"", ""mt"")"),"Esperimenti analogi u numeriċi")</f>
        <v>Esperimenti analogi u numeriċi</v>
      </c>
    </row>
    <row r="4910" ht="15.75" customHeight="1">
      <c r="A4910" s="2" t="s">
        <v>4910</v>
      </c>
      <c r="B4910" s="2" t="str">
        <f>IFERROR(__xludf.DUMMYFUNCTION("GOOGLETRANSLATE(A4910, ""en"", ""mt"")"),"l-aktar sinjur")</f>
        <v>l-aktar sinjur</v>
      </c>
    </row>
    <row r="4911" ht="15.75" customHeight="1">
      <c r="A4911" s="2" t="s">
        <v>4911</v>
      </c>
      <c r="B4911" s="2" t="str">
        <f>IFERROR(__xludf.DUMMYFUNCTION("GOOGLETRANSLATE(A4911, ""en"", ""mt"")"),"pari ta 'primes bid-differenza 2")</f>
        <v>pari ta 'primes bid-differenza 2</v>
      </c>
    </row>
    <row r="4912" ht="15.75" customHeight="1">
      <c r="A4912" s="2" t="s">
        <v>4912</v>
      </c>
      <c r="B4912" s="2" t="str">
        <f>IFERROR(__xludf.DUMMYFUNCTION("GOOGLETRANSLATE(A4912, ""en"", ""mt"")"),"Irkoppa tar-Rhine")</f>
        <v>Irkoppa tar-Rhine</v>
      </c>
    </row>
    <row r="4913" ht="15.75" customHeight="1">
      <c r="A4913" s="2" t="s">
        <v>4913</v>
      </c>
      <c r="B4913" s="2" t="str">
        <f>IFERROR(__xludf.DUMMYFUNCTION("GOOGLETRANSLATE(A4913, ""en"", ""mt"")"),"X’sejjaħ Davies is-sistema")</f>
        <v>X’sejjaħ Davies is-sistema</v>
      </c>
    </row>
    <row r="4914" ht="15.75" customHeight="1">
      <c r="A4914" s="2" t="s">
        <v>4914</v>
      </c>
      <c r="B4914" s="2" t="str">
        <f>IFERROR(__xludf.DUMMYFUNCTION("GOOGLETRANSLATE(A4914, ""en"", ""mt"")"),"X'kien il-persentaġġ ta 'iswed jew Afrikani-Amerikani li jgħixu fil-belt?")</f>
        <v>X'kien il-persentaġġ ta 'iswed jew Afrikani-Amerikani li jgħixu fil-belt?</v>
      </c>
    </row>
    <row r="4915" ht="15.75" customHeight="1">
      <c r="A4915" s="2" t="s">
        <v>4915</v>
      </c>
      <c r="B4915" s="2" t="str">
        <f>IFERROR(__xludf.DUMMYFUNCTION("GOOGLETRANSLATE(A4915, ""en"", ""mt"")"),"Liema sena żdiedet għall-poter ta 'Adolf Hitler?")</f>
        <v>Liema sena żdiedet għall-poter ta 'Adolf Hitler?</v>
      </c>
    </row>
    <row r="4916" ht="15.75" customHeight="1">
      <c r="A4916" s="2" t="s">
        <v>4916</v>
      </c>
      <c r="B4916" s="2" t="str">
        <f>IFERROR(__xludf.DUMMYFUNCTION("GOOGLETRANSLATE(A4916, ""en"", ""mt"")"),"X'inhi l-ugwaljanza tal-forzi bejn żewġ oġġetti li jeżerċitaw forza fuq xulxin ??")</f>
        <v>X'inhi l-ugwaljanza tal-forzi bejn żewġ oġġetti li jeżerċitaw forza fuq xulxin ??</v>
      </c>
    </row>
    <row r="4917" ht="15.75" customHeight="1">
      <c r="A4917" s="2" t="s">
        <v>4917</v>
      </c>
      <c r="B4917" s="2" t="str">
        <f>IFERROR(__xludf.DUMMYFUNCTION("GOOGLETRANSLATE(A4917, ""en"", ""mt"")"),"Liema belt fir-Rabat tissejjaħ il-kapitali sportiva tal-Awstralja?")</f>
        <v>Liema belt fir-Rabat tissejjaħ il-kapitali sportiva tal-Awstralja?</v>
      </c>
    </row>
    <row r="4918" ht="15.75" customHeight="1">
      <c r="A4918" s="2" t="s">
        <v>4918</v>
      </c>
      <c r="B4918" s="2" t="str">
        <f>IFERROR(__xludf.DUMMYFUNCTION("GOOGLETRANSLATE(A4918, ""en"", ""mt"")"),"Wara liema sena kienet qed tgħaqqad ta 'spiss fil-magni tal-ferrovija?")</f>
        <v>Wara liema sena kienet qed tgħaqqad ta 'spiss fil-magni tal-ferrovija?</v>
      </c>
    </row>
    <row r="4919" ht="15.75" customHeight="1">
      <c r="A4919" s="2" t="s">
        <v>4919</v>
      </c>
      <c r="B4919" s="2" t="str">
        <f>IFERROR(__xludf.DUMMYFUNCTION("GOOGLETRANSLATE(A4919, ""en"", ""mt"")"),"Imsejħa wkoll ""Ctenes"" jew ""Pjanċi tal-Moxt")</f>
        <v>Imsejħa wkoll "Ctenes" jew "Pjanċi tal-Moxt</v>
      </c>
    </row>
    <row r="4920" ht="15.75" customHeight="1">
      <c r="A4920" s="2" t="s">
        <v>4920</v>
      </c>
      <c r="B4920" s="2" t="str">
        <f>IFERROR(__xludf.DUMMYFUNCTION("GOOGLETRANSLATE(A4920, ""en"", ""mt"")"),"Dammed")</f>
        <v>Dammed</v>
      </c>
    </row>
    <row r="4921" ht="15.75" customHeight="1">
      <c r="A4921" s="2" t="s">
        <v>4921</v>
      </c>
      <c r="B4921" s="2" t="str">
        <f>IFERROR(__xludf.DUMMYFUNCTION("GOOGLETRANSLATE(A4921, ""en"", ""mt"")"),"Min l-ewwel ħareġ bit-teorija tal-pesta bubonika?")</f>
        <v>Min l-ewwel ħareġ bit-teorija tal-pesta bubonika?</v>
      </c>
    </row>
    <row r="4922" ht="15.75" customHeight="1">
      <c r="A4922" s="2" t="s">
        <v>4922</v>
      </c>
      <c r="B4922" s="2" t="str">
        <f>IFERROR(__xludf.DUMMYFUNCTION("GOOGLETRANSLATE(A4922, ""en"", ""mt"")"),"Radar ta 'apertura sintetika (SAR)")</f>
        <v>Radar ta 'apertura sintetika (SAR)</v>
      </c>
    </row>
    <row r="4923" ht="15.75" customHeight="1">
      <c r="A4923" s="2" t="s">
        <v>4923</v>
      </c>
      <c r="B4923" s="2" t="str">
        <f>IFERROR(__xludf.DUMMYFUNCTION("GOOGLETRANSLATE(A4923, ""en"", ""mt"")"),"Problema tal-isomorfiżmu graff, il-problema diskreta tal-logaritmu u l-problema ta 'fatturizzazzjoni integri")</f>
        <v>Problema tal-isomorfiżmu graff, il-problema diskreta tal-logaritmu u l-problema ta 'fatturizzazzjoni integri</v>
      </c>
    </row>
    <row r="4924" ht="15.75" customHeight="1">
      <c r="A4924" s="2" t="s">
        <v>4924</v>
      </c>
      <c r="B4924" s="2" t="str">
        <f>IFERROR(__xludf.DUMMYFUNCTION("GOOGLETRANSLATE(A4924, ""en"", ""mt"")"),"Liema varjabbli differenti tibqa 'l-istess daqs meta tipprovdi l-erba' probabbiltà ta 'kumplessitajiet tal-każijiet?")</f>
        <v>Liema varjabbli differenti tibqa 'l-istess daqs meta tipprovdi l-erba' probabbiltà ta 'kumplessitajiet tal-każijiet?</v>
      </c>
    </row>
    <row r="4925" ht="15.75" customHeight="1">
      <c r="A4925" s="2" t="s">
        <v>4925</v>
      </c>
      <c r="B4925" s="2" t="str">
        <f>IFERROR(__xludf.DUMMYFUNCTION("GOOGLETRANSLATE(A4925, ""en"", ""mt"")"),"In-natura li tista 'tinqata' tal-ħaddiem")</f>
        <v>In-natura li tista 'tinqata' tal-ħaddiem</v>
      </c>
    </row>
    <row r="4926" ht="15.75" customHeight="1">
      <c r="A4926" s="2" t="s">
        <v>4926</v>
      </c>
      <c r="B4926" s="2" t="str">
        <f>IFERROR(__xludf.DUMMYFUNCTION("GOOGLETRANSLATE(A4926, ""en"", ""mt"")"),"salamun chum")</f>
        <v>salamun chum</v>
      </c>
    </row>
    <row r="4927" ht="15.75" customHeight="1">
      <c r="A4927" s="2" t="s">
        <v>4927</v>
      </c>
      <c r="B4927" s="2" t="str">
        <f>IFERROR(__xludf.DUMMYFUNCTION("GOOGLETRANSLATE(A4927, ""en"", ""mt"")"),"BSKYB iġorr xi kontroll fuq kontenut ta 'kanali?")</f>
        <v>BSKYB iġorr xi kontroll fuq kontenut ta 'kanali?</v>
      </c>
    </row>
    <row r="4928" ht="15.75" customHeight="1">
      <c r="A4928" s="2" t="s">
        <v>4928</v>
      </c>
      <c r="B4928" s="2" t="str">
        <f>IFERROR(__xludf.DUMMYFUNCTION("GOOGLETRANSLATE(A4928, ""en"", ""mt"")"),"Liema alumni ta 'Harvard kien il-Prim Ministru tal-Palestina?")</f>
        <v>Liema alumni ta 'Harvard kien il-Prim Ministru tal-Palestina?</v>
      </c>
    </row>
    <row r="4929" ht="15.75" customHeight="1">
      <c r="A4929" s="2" t="s">
        <v>4929</v>
      </c>
      <c r="B4929" s="2" t="str">
        <f>IFERROR(__xludf.DUMMYFUNCTION("GOOGLETRANSLATE(A4929, ""en"", ""mt"")"),"It-tielet tip ta 'konġetturi jikkonċerna aspetti tad-distribuzzjoni tal-primes. Huwa konġetta li hemm ħafna primes twin, pari ta 'primes b'differenza 2 (konġettura Twin Prime). Il-konġettura ta 'Polignac hija tisħiħ ta' dik il-konġettura, hija tiddikjara "&amp;"li għal kull numru sħiħ pożittiv, hemm ħafna pari ta 'primes konsekuttivi li huma differenti minn 2n. Huwa konġettat li hemm infinitament ħafna primes tal-forma N2 + 1. Dawn il-konġetturi huma każijiet speċjali tal-ipoteżi wiesgħa ta 'Schinzel H. Il-konġe"&amp;"ttura ta' Brocard tgħid li dejjem hemm mill-inqas erba 'primes bejn il-kwadri ta' primes konsekuttivi akbar minn 2. Il-konġettura ta 'Legendre jiddikjara li hemm numru ewlieni bejn N2 u (n + 1) 2 għal kull numru sħiħ pożittiv n. Huwa implikat mill-konġett"&amp;"ura ta 'Cramér aktar b'saħħitha.")</f>
        <v>It-tielet tip ta 'konġetturi jikkonċerna aspetti tad-distribuzzjoni tal-primes. Huwa konġetta li hemm ħafna primes twin, pari ta 'primes b'differenza 2 (konġettura Twin Prime). Il-konġettura ta 'Polignac hija tisħiħ ta' dik il-konġettura, hija tiddikjara li għal kull numru sħiħ pożittiv, hemm ħafna pari ta 'primes konsekuttivi li huma differenti minn 2n. Huwa konġettat li hemm infinitament ħafna primes tal-forma N2 + 1. Dawn il-konġetturi huma każijiet speċjali tal-ipoteżi wiesgħa ta 'Schinzel H. Il-konġettura ta' Brocard tgħid li dejjem hemm mill-inqas erba 'primes bejn il-kwadri ta' primes konsekuttivi akbar minn 2. Il-konġettura ta 'Legendre jiddikjara li hemm numru ewlieni bejn N2 u (n + 1) 2 għal kull numru sħiħ pożittiv n. Huwa implikat mill-konġettura ta 'Cramér aktar b'saħħitha.</v>
      </c>
    </row>
    <row r="4930" ht="15.75" customHeight="1">
      <c r="A4930" s="2" t="s">
        <v>4930</v>
      </c>
      <c r="B4930" s="2" t="str">
        <f>IFERROR(__xludf.DUMMYFUNCTION("GOOGLETRANSLATE(A4930, ""en"", ""mt"")"),"Tundra")</f>
        <v>Tundra</v>
      </c>
    </row>
    <row r="4931" ht="15.75" customHeight="1">
      <c r="A4931" s="2" t="s">
        <v>4931</v>
      </c>
      <c r="B4931" s="2" t="str">
        <f>IFERROR(__xludf.DUMMYFUNCTION("GOOGLETRANSLATE(A4931, ""en"", ""mt"")"),"Liema servizz ieħor tat-TV diġitali ħa l-iktar post popolari ta 'Sky UK Limited?")</f>
        <v>Liema servizz ieħor tat-TV diġitali ħa l-iktar post popolari ta 'Sky UK Limited?</v>
      </c>
    </row>
    <row r="4932" ht="15.75" customHeight="1">
      <c r="A4932" s="2" t="s">
        <v>4932</v>
      </c>
      <c r="B4932" s="2" t="str">
        <f>IFERROR(__xludf.DUMMYFUNCTION("GOOGLETRANSLATE(A4932, ""en"", ""mt"")"),"20%")</f>
        <v>20%</v>
      </c>
    </row>
    <row r="4933" ht="15.75" customHeight="1">
      <c r="A4933" s="2" t="s">
        <v>4933</v>
      </c>
      <c r="B4933" s="2" t="str">
        <f>IFERROR(__xludf.DUMMYFUNCTION("GOOGLETRANSLATE(A4933, ""en"", ""mt"")"),"Min jikkontesta l-kunċett ta 'l-ipoteżi tal-kurva Kuznets?")</f>
        <v>Min jikkontesta l-kunċett ta 'l-ipoteżi tal-kurva Kuznets?</v>
      </c>
    </row>
    <row r="4934" ht="15.75" customHeight="1">
      <c r="A4934" s="2" t="s">
        <v>4934</v>
      </c>
      <c r="B4934" s="2" t="str">
        <f>IFERROR(__xludf.DUMMYFUNCTION("GOOGLETRANSLATE(A4934, ""en"", ""mt"")"),"15")</f>
        <v>15</v>
      </c>
    </row>
    <row r="4935" ht="15.75" customHeight="1">
      <c r="A4935" s="2" t="s">
        <v>4935</v>
      </c>
      <c r="B4935" s="2" t="str">
        <f>IFERROR(__xludf.DUMMYFUNCTION("GOOGLETRANSLATE(A4935, ""en"", ""mt"")"),"F'liema sena l-U ta 'C assoċjat mal-Kulleġġ Kalamazoo, li jinsab f'Monte Carroll?")</f>
        <v>F'liema sena l-U ta 'C assoċjat mal-Kulleġġ Kalamazoo, li jinsab f'Monte Carroll?</v>
      </c>
    </row>
    <row r="4936" ht="15.75" customHeight="1">
      <c r="A4936" s="2" t="s">
        <v>4936</v>
      </c>
      <c r="B4936" s="2" t="str">
        <f>IFERROR(__xludf.DUMMYFUNCTION("GOOGLETRANSLATE(A4936, ""en"", ""mt"")"),"Liema ċelloli ma jiġux eliminati mis-sistema immuni?")</f>
        <v>Liema ċelloli ma jiġux eliminati mis-sistema immuni?</v>
      </c>
    </row>
    <row r="4937" ht="15.75" customHeight="1">
      <c r="A4937" s="2" t="s">
        <v>4937</v>
      </c>
      <c r="B4937" s="2" t="str">
        <f>IFERROR(__xludf.DUMMYFUNCTION("GOOGLETRANSLATE(A4937, ""en"", ""mt"")"),"Huwa inċert")</f>
        <v>Huwa inċert</v>
      </c>
    </row>
    <row r="4938" ht="15.75" customHeight="1">
      <c r="A4938" s="2" t="s">
        <v>4938</v>
      </c>
      <c r="B4938" s="2" t="str">
        <f>IFERROR(__xludf.DUMMYFUNCTION("GOOGLETRANSLATE(A4938, ""en"", ""mt"")"),"Netwerk tad-Dejta Qalba Pubblika")</f>
        <v>Netwerk tad-Dejta Qalba Pubblika</v>
      </c>
    </row>
    <row r="4939" ht="15.75" customHeight="1">
      <c r="A4939" s="2" t="s">
        <v>4939</v>
      </c>
      <c r="B4939" s="2" t="str">
        <f>IFERROR(__xludf.DUMMYFUNCTION("GOOGLETRANSLATE(A4939, ""en"", ""mt"")"),"Min irrapporta li 17,000 klijent irċivew is-servizz minħabba kunsinni falluti?")</f>
        <v>Min irrapporta li 17,000 klijent irċivew is-servizz minħabba kunsinni falluti?</v>
      </c>
    </row>
    <row r="4940" ht="15.75" customHeight="1">
      <c r="A4940" s="2" t="s">
        <v>4940</v>
      </c>
      <c r="B4940" s="2" t="str">
        <f>IFERROR(__xludf.DUMMYFUNCTION("GOOGLETRANSLATE(A4940, ""en"", ""mt"")"),"X'hemm bżonn li jsir biex jiġi żgurat li membri aktar sinjuri tas-soċjetà jistgħu jipparteċipaw fit-tkabbir ekonomiku?")</f>
        <v>X'hemm bżonn li jsir biex jiġi żgurat li membri aktar sinjuri tas-soċjetà jistgħu jipparteċipaw fit-tkabbir ekonomiku?</v>
      </c>
    </row>
    <row r="4941" ht="15.75" customHeight="1">
      <c r="A4941" s="2" t="s">
        <v>4941</v>
      </c>
      <c r="B4941" s="2" t="str">
        <f>IFERROR(__xludf.DUMMYFUNCTION("GOOGLETRANSLATE(A4941, ""en"", ""mt"")"),"Kemm jista 'jkun hemm tkabbir ekonomiku potenzjali l-Istati Uniti jekk kulħadd jgħaddi minn inqas skola?")</f>
        <v>Kemm jista 'jkun hemm tkabbir ekonomiku potenzjali l-Istati Uniti jekk kulħadd jgħaddi minn inqas skola?</v>
      </c>
    </row>
    <row r="4942" ht="15.75" customHeight="1">
      <c r="A4942" s="2" t="s">
        <v>4942</v>
      </c>
      <c r="B4942" s="2" t="str">
        <f>IFERROR(__xludf.DUMMYFUNCTION("GOOGLETRANSLATE(A4942, ""en"", ""mt"")"),"Talbiet territorjali konfliġġenti")</f>
        <v>Talbiet territorjali konfliġġenti</v>
      </c>
    </row>
    <row r="4943" ht="15.75" customHeight="1">
      <c r="A4943" s="2" t="s">
        <v>4943</v>
      </c>
      <c r="B4943" s="2" t="str">
        <f>IFERROR(__xludf.DUMMYFUNCTION("GOOGLETRANSLATE(A4943, ""en"", ""mt"")"),"Il-libertà li tipprovdi servizzi taħt l-Artikolu 56 tat-TFEU tapplika għal min?")</f>
        <v>Il-libertà li tipprovdi servizzi taħt l-Artikolu 56 tat-TFEU tapplika għal min?</v>
      </c>
    </row>
    <row r="4944" ht="15.75" customHeight="1">
      <c r="A4944" s="2" t="s">
        <v>4944</v>
      </c>
      <c r="B4944" s="2" t="str">
        <f>IFERROR(__xludf.DUMMYFUNCTION("GOOGLETRANSLATE(A4944, ""en"", ""mt"")"),"F’liema sena ġie elett David Tappan fuq il-president?")</f>
        <v>F’liema sena ġie elett David Tappan fuq il-president?</v>
      </c>
    </row>
    <row r="4945" ht="15.75" customHeight="1">
      <c r="A4945" s="2" t="s">
        <v>4945</v>
      </c>
      <c r="B4945" s="2" t="str">
        <f>IFERROR(__xludf.DUMMYFUNCTION("GOOGLETRANSLATE(A4945, ""en"", ""mt"")"),"Liema persentaġġ ta 'ossiġnu se jipproduċi passatur taż-żeoliti?")</f>
        <v>Liema persentaġġ ta 'ossiġnu se jipproduċi passatur taż-żeoliti?</v>
      </c>
    </row>
    <row r="4946" ht="15.75" customHeight="1">
      <c r="A4946" s="2" t="s">
        <v>4946</v>
      </c>
      <c r="B4946" s="2" t="str">
        <f>IFERROR(__xludf.DUMMYFUNCTION("GOOGLETRANSLATE(A4946, ""en"", ""mt"")"),"It-teorija tal-pesta ġiet ikkontestata b'mod sinifikanti mill-ħidma tal-batterjologu Brittaniku J. F. D. Shrewsbury fl-1970, li nnota li r-rati rrappurtati ta 'mortalità fiż-żoni rurali matul il-pandemija tas-seklu 14 kienu inkonsistenti mal-pesta moderna"&amp;" Bubonic, li wasslitu biex jikkonkludi li l-kontijiet kontemporanji kienu esaġerazzjonijiet. Fl-1984 iż-żoologu Graham Twigg ipproduċa l-ewwel xogħol ewlieni biex jikkontesta direttament it-teorija tal-pesta bubonika, u d-dubji tiegħu dwar l-identità tal-"&amp;"mewt sewda ġew meħuda minn numru ta 'awturi, inkluż Samuel K. Cohn, Jr. (2002), David Herlihy (1997), u Susan Scott u Christopher Duncan (2001).")</f>
        <v>It-teorija tal-pesta ġiet ikkontestata b'mod sinifikanti mill-ħidma tal-batterjologu Brittaniku J. F. D. Shrewsbury fl-1970, li nnota li r-rati rrappurtati ta 'mortalità fiż-żoni rurali matul il-pandemija tas-seklu 14 kienu inkonsistenti mal-pesta moderna Bubonic, li wasslitu biex jikkonkludi li l-kontijiet kontemporanji kienu esaġerazzjonijiet. Fl-1984 iż-żoologu Graham Twigg ipproduċa l-ewwel xogħol ewlieni biex jikkontesta direttament it-teorija tal-pesta bubonika, u d-dubji tiegħu dwar l-identità tal-mewt sewda ġew meħuda minn numru ta 'awturi, inkluż Samuel K. Cohn, Jr. (2002), David Herlihy (1997), u Susan Scott u Christopher Duncan (2001).</v>
      </c>
    </row>
    <row r="4947" ht="15.75" customHeight="1">
      <c r="A4947" s="2" t="s">
        <v>4947</v>
      </c>
      <c r="B4947" s="2" t="str">
        <f>IFERROR(__xludf.DUMMYFUNCTION("GOOGLETRANSLATE(A4947, ""en"", ""mt"")"),"X'kien l-irwol ta 'William Johnson fil-militar Brittaniku?")</f>
        <v>X'kien l-irwol ta 'William Johnson fil-militar Brittaniku?</v>
      </c>
    </row>
    <row r="4948" ht="15.75" customHeight="1">
      <c r="A4948" s="2" t="s">
        <v>4948</v>
      </c>
      <c r="B4948" s="2" t="str">
        <f>IFERROR(__xludf.DUMMYFUNCTION("GOOGLETRANSLATE(A4948, ""en"", ""mt"")"),"Alumni notevoli fil-qasam tal-gvern u tal-politika jinkludu l-fundatur tal-komunità moderna li torganizza lil Saul Alinsky, konsulent tal-kampanja Obama u l-aqwa konsulent politiku għall-President Bill Clinton David Axelrod, l-Avukat Ġenerali u l-Imħallef"&amp;" Federali Robert Bork, l-Avukat Ġenerali Ramsey Clark, l-aġent ta 'projbizzjoni Eliot Ness , Ġustizzja tal-Qorti Suprema John Paul Stevens, Prim Ministru tal-Kanada William Lyon Mackenzie King, il-11-il Prim Ministru tal-Polonja Marek Belka, il-Gvernatur "&amp;"tal-Bank tal-Ġappun Masaaki Shirakawa, l-ewwel senatur Afrikan-Amerikan mara Carol Moseley Braun, Senatur tal-Istati Uniti mill-Vermont u l-kandidat presidenzjali Demokratiku tal-2016 Bernie Sanders, u l-eks President tal-Bank Dinji Paul Wolfowitz.")</f>
        <v>Alumni notevoli fil-qasam tal-gvern u tal-politika jinkludu l-fundatur tal-komunità moderna li torganizza lil Saul Alinsky, konsulent tal-kampanja Obama u l-aqwa konsulent politiku għall-President Bill Clinton David Axelrod, l-Avukat Ġenerali u l-Imħallef Federali Robert Bork, l-Avukat Ġenerali Ramsey Clark, l-aġent ta 'projbizzjoni Eliot Ness , Ġustizzja tal-Qorti Suprema John Paul Stevens, Prim Ministru tal-Kanada William Lyon Mackenzie King, il-11-il Prim Ministru tal-Polonja Marek Belka, il-Gvernatur tal-Bank tal-Ġappun Masaaki Shirakawa, l-ewwel senatur Afrikan-Amerikan mara Carol Moseley Braun, Senatur tal-Istati Uniti mill-Vermont u l-kandidat presidenzjali Demokratiku tal-2016 Bernie Sanders, u l-eks President tal-Bank Dinji Paul Wolfowitz.</v>
      </c>
    </row>
    <row r="4949" ht="15.75" customHeight="1">
      <c r="A4949" s="2" t="s">
        <v>4949</v>
      </c>
      <c r="B4949" s="2" t="str">
        <f>IFERROR(__xludf.DUMMYFUNCTION("GOOGLETRANSLATE(A4949, ""en"", ""mt"")"),"Min iddeskriva turbina tal-fwar fl-1690?")</f>
        <v>Min iddeskriva turbina tal-fwar fl-1690?</v>
      </c>
    </row>
    <row r="4950" ht="15.75" customHeight="1">
      <c r="A4950" s="2" t="s">
        <v>4950</v>
      </c>
      <c r="B4950" s="2" t="str">
        <f>IFERROR(__xludf.DUMMYFUNCTION("GOOGLETRANSLATE(A4950, ""en"", ""mt"")"),"""tqassar il-cutoff""")</f>
        <v>"tqassar il-cutoff"</v>
      </c>
    </row>
    <row r="4951" ht="15.75" customHeight="1">
      <c r="A4951" s="2" t="s">
        <v>4951</v>
      </c>
      <c r="B4951" s="2" t="str">
        <f>IFERROR(__xludf.DUMMYFUNCTION("GOOGLETRANSLATE(A4951, ""en"", ""mt"")"),"Liema diviżjoni amministrattiva Kublai ħalliet mhux modifikata?")</f>
        <v>Liema diviżjoni amministrattiva Kublai ħalliet mhux modifikata?</v>
      </c>
    </row>
    <row r="4952" ht="15.75" customHeight="1">
      <c r="A4952" s="2" t="s">
        <v>4952</v>
      </c>
      <c r="B4952" s="2" t="str">
        <f>IFERROR(__xludf.DUMMYFUNCTION("GOOGLETRANSLATE(A4952, ""en"", ""mt"")"),"Liema sessjonijiet tal-IPCC huma miftuħa għal kulħadd?")</f>
        <v>Liema sessjonijiet tal-IPCC huma miftuħa għal kulħadd?</v>
      </c>
    </row>
    <row r="4953" ht="15.75" customHeight="1">
      <c r="A4953" s="2" t="s">
        <v>4953</v>
      </c>
      <c r="B4953" s="2" t="str">
        <f>IFERROR(__xludf.DUMMYFUNCTION("GOOGLETRANSLATE(A4953, ""en"", ""mt"")"),"Tkabbir ekonomiku sussegwenti fit-tul")</f>
        <v>Tkabbir ekonomiku sussegwenti fit-tul</v>
      </c>
    </row>
    <row r="4954" ht="15.75" customHeight="1">
      <c r="A4954" s="2" t="s">
        <v>4954</v>
      </c>
      <c r="B4954" s="2" t="str">
        <f>IFERROR(__xludf.DUMMYFUNCTION("GOOGLETRANSLATE(A4954, ""en"", ""mt"")"),"Min stabbilixxa l-ammont ta 'numri magħżula li jeżistu?")</f>
        <v>Min stabbilixxa l-ammont ta 'numri magħżula li jeżistu?</v>
      </c>
    </row>
    <row r="4955" ht="15.75" customHeight="1">
      <c r="A4955" s="2" t="s">
        <v>4955</v>
      </c>
      <c r="B4955" s="2" t="str">
        <f>IFERROR(__xludf.DUMMYFUNCTION("GOOGLETRANSLATE(A4955, ""en"", ""mt"")"),"Fejn ingħaqad fid-direzzjoni tal-fluss tiegħu?")</f>
        <v>Fejn ingħaqad fid-direzzjoni tal-fluss tiegħu?</v>
      </c>
    </row>
    <row r="4956" ht="15.75" customHeight="1">
      <c r="A4956" s="2" t="s">
        <v>4956</v>
      </c>
      <c r="B4956" s="2" t="str">
        <f>IFERROR(__xludf.DUMMYFUNCTION("GOOGLETRANSLATE(A4956, ""en"", ""mt"")"),"Żwieġ bejn Han u Jurchen")</f>
        <v>Żwieġ bejn Han u Jurchen</v>
      </c>
    </row>
    <row r="4957" ht="15.75" customHeight="1">
      <c r="A4957" s="2" t="s">
        <v>4957</v>
      </c>
      <c r="B4957" s="2" t="str">
        <f>IFERROR(__xludf.DUMMYFUNCTION("GOOGLETRANSLATE(A4957, ""en"", ""mt"")"),"Kemm mill-popolazzjoni tal-Ewropa kienet Lhudija?")</f>
        <v>Kemm mill-popolazzjoni tal-Ewropa kienet Lhudija?</v>
      </c>
    </row>
    <row r="4958" ht="15.75" customHeight="1">
      <c r="A4958" s="2" t="s">
        <v>4958</v>
      </c>
      <c r="B4958" s="2" t="str">
        <f>IFERROR(__xludf.DUMMYFUNCTION("GOOGLETRANSLATE(A4958, ""en"", ""mt"")"),"X'inhuma l-iskejjel privati ​​li jitolbu l-ebda tagħlim?")</f>
        <v>X'inhuma l-iskejjel privati ​​li jitolbu l-ebda tagħlim?</v>
      </c>
    </row>
    <row r="4959" ht="15.75" customHeight="1">
      <c r="A4959" s="2" t="s">
        <v>4959</v>
      </c>
      <c r="B4959" s="2" t="str">
        <f>IFERROR(__xludf.DUMMYFUNCTION("GOOGLETRANSLATE(A4959, ""en"", ""mt"")"),"Teatru sterjoskopiku")</f>
        <v>Teatru sterjoskopiku</v>
      </c>
    </row>
    <row r="4960" ht="15.75" customHeight="1">
      <c r="A4960" s="2" t="s">
        <v>4960</v>
      </c>
      <c r="B4960" s="2" t="str">
        <f>IFERROR(__xludf.DUMMYFUNCTION("GOOGLETRANSLATE(A4960, ""en"", ""mt"")"),"Il-belt ta 'Pritzker hija d-dar għal liema università?")</f>
        <v>Il-belt ta 'Pritzker hija d-dar għal liema università?</v>
      </c>
    </row>
    <row r="4961" ht="15.75" customHeight="1">
      <c r="A4961" s="2" t="s">
        <v>4961</v>
      </c>
      <c r="B4961" s="2" t="str">
        <f>IFERROR(__xludf.DUMMYFUNCTION("GOOGLETRANSLATE(A4961, ""en"", ""mt"")"),"Pharma")</f>
        <v>Pharma</v>
      </c>
    </row>
    <row r="4962" ht="15.75" customHeight="1">
      <c r="A4962" s="2" t="s">
        <v>4962</v>
      </c>
      <c r="B4962" s="2" t="str">
        <f>IFERROR(__xludf.DUMMYFUNCTION("GOOGLETRANSLATE(A4962, ""en"", ""mt"")"),"Liema rivista tal-aħbarijiet tranżita għal li tkun esklussivament onlajn fl-2009?")</f>
        <v>Liema rivista tal-aħbarijiet tranżita għal li tkun esklussivament onlajn fl-2009?</v>
      </c>
    </row>
    <row r="4963" ht="15.75" customHeight="1">
      <c r="A4963" s="2" t="s">
        <v>4963</v>
      </c>
      <c r="B4963" s="2" t="str">
        <f>IFERROR(__xludf.DUMMYFUNCTION("GOOGLETRANSLATE(A4963, ""en"", ""mt"")"),"Kif tissejjaħ il-gerżuma?")</f>
        <v>Kif tissejjaħ il-gerżuma?</v>
      </c>
    </row>
    <row r="4964" ht="15.75" customHeight="1">
      <c r="A4964" s="2" t="s">
        <v>4964</v>
      </c>
      <c r="B4964" s="2" t="str">
        <f>IFERROR(__xludf.DUMMYFUNCTION("GOOGLETRANSLATE(A4964, ""en"", ""mt"")"),"James Hutton")</f>
        <v>James Hutton</v>
      </c>
    </row>
    <row r="4965" ht="15.75" customHeight="1">
      <c r="A4965" s="2" t="s">
        <v>4965</v>
      </c>
      <c r="B4965" s="2" t="str">
        <f>IFERROR(__xludf.DUMMYFUNCTION("GOOGLETRANSLATE(A4965, ""en"", ""mt"")"),"Teorija waħda hija li, filwaqt li d-diżubbidjenza tista 'tkun ta' għajnuna, kwalunkwe ammont kbir minnha jista 'jdgħajjef il-liġi billi jinkoraġġixxi diżubbidjenza ġenerali li la hija kuxjenzjuża u lanqas ta' benefiċċju soċjali. Għalhekk, il-lawreakers ku"&amp;"xjenzjużi għandhom jiġu kkastigati. Michael Bayles jargumenta li jekk persuna tikser liġi sabiex toħloq każ ta 'test dwar il-kostituzzjonalità ta' liġi, u mbagħad jirbaħ il-każ tiegħu, allura dak l-att ma jikkostitwixxix diżubbidjenza ċivili. Ġie argument"&amp;"at ukoll li t-tkissir tal-liġi għall-awto-sodisfazzjon, bħal fil-każ ta 'utent omosesswali jew tal-kannabis li ma jidderieġix l-att tiegħu biex jiżgura r-revoka ta' emenda tal-liġi, mhix diżubbidjenza ċivili. Bl-istess mod, protestant li jipprova jaħrab m"&amp;"ill-kastig billi wettaq ir-reat bil-moħbi u jevita l-attribuzzjoni, jew billi jiċħad li wettaq ir-reat, jew billi jaħarbu mill-ġurisdizzjoni, ġeneralment huwa meqjus bħala li mhux bħala diżubbidjenti ċivili.")</f>
        <v>Teorija waħda hija li, filwaqt li d-diżubbidjenza tista 'tkun ta' għajnuna, kwalunkwe ammont kbir minnha jista 'jdgħajjef il-liġi billi jinkoraġġixxi diżubbidjenza ġenerali li la hija kuxjenzjuża u lanqas ta' benefiċċju soċjali. Għalhekk, il-lawreakers kuxjenzjużi għandhom jiġu kkastigati. Michael Bayles jargumenta li jekk persuna tikser liġi sabiex toħloq każ ta 'test dwar il-kostituzzjonalità ta' liġi, u mbagħad jirbaħ il-każ tiegħu, allura dak l-att ma jikkostitwixxix diżubbidjenza ċivili. Ġie argumentat ukoll li t-tkissir tal-liġi għall-awto-sodisfazzjon, bħal fil-każ ta 'utent omosesswali jew tal-kannabis li ma jidderieġix l-att tiegħu biex jiżgura r-revoka ta' emenda tal-liġi, mhix diżubbidjenza ċivili. Bl-istess mod, protestant li jipprova jaħrab mill-kastig billi wettaq ir-reat bil-moħbi u jevita l-attribuzzjoni, jew billi jiċħad li wettaq ir-reat, jew billi jaħarbu mill-ġurisdizzjoni, ġeneralment huwa meqjus bħala li mhux bħala diżubbidjenti ċivili.</v>
      </c>
    </row>
    <row r="4966" ht="15.75" customHeight="1">
      <c r="A4966" s="2" t="s">
        <v>4966</v>
      </c>
      <c r="B4966" s="2" t="str">
        <f>IFERROR(__xludf.DUMMYFUNCTION("GOOGLETRANSLATE(A4966, ""en"", ""mt"")"),"Liema nazzjonalità huwa l-perit enric miralles?")</f>
        <v>Liema nazzjonalità huwa l-perit enric miralles?</v>
      </c>
    </row>
    <row r="4967" ht="15.75" customHeight="1">
      <c r="A4967" s="2" t="s">
        <v>4967</v>
      </c>
      <c r="B4967" s="2" t="str">
        <f>IFERROR(__xludf.DUMMYFUNCTION("GOOGLETRANSLATE(A4967, ""en"", ""mt"")"),"Biex tipprovdi metodu ta 'rotta tolleranti għall-ħsarat u effiċjenti għal messaġġi tat-telekomunikazzjoni")</f>
        <v>Biex tipprovdi metodu ta 'rotta tolleranti għall-ħsarat u effiċjenti għal messaġġi tat-telekomunikazzjoni</v>
      </c>
    </row>
    <row r="4968" ht="15.75" customHeight="1">
      <c r="A4968" s="2" t="s">
        <v>4968</v>
      </c>
      <c r="B4968" s="2" t="str">
        <f>IFERROR(__xludf.DUMMYFUNCTION("GOOGLETRANSLATE(A4968, ""en"", ""mt"")"),"Terra Preta")</f>
        <v>Terra Preta</v>
      </c>
    </row>
    <row r="4969" ht="15.75" customHeight="1">
      <c r="A4969" s="2" t="s">
        <v>4969</v>
      </c>
      <c r="B4969" s="2" t="str">
        <f>IFERROR(__xludf.DUMMYFUNCTION("GOOGLETRANSLATE(A4969, ""en"", ""mt"")"),"Għal liema nazzjon ħarbu l-inqas Huguenots minn Franza?")</f>
        <v>Għal liema nazzjon ħarbu l-inqas Huguenots minn Franza?</v>
      </c>
    </row>
    <row r="4970" ht="15.75" customHeight="1">
      <c r="A4970" s="2" t="s">
        <v>4970</v>
      </c>
      <c r="B4970" s="2" t="str">
        <f>IFERROR(__xludf.DUMMYFUNCTION("GOOGLETRANSLATE(A4970, ""en"", ""mt"")"),"Standards tal-kurrikulu")</f>
        <v>Standards tal-kurrikulu</v>
      </c>
    </row>
    <row r="4971" ht="15.75" customHeight="1">
      <c r="A4971" s="2" t="s">
        <v>4971</v>
      </c>
      <c r="B4971" s="2" t="str">
        <f>IFERROR(__xludf.DUMMYFUNCTION("GOOGLETRANSLATE(A4971, ""en"", ""mt"")"),"Silikon")</f>
        <v>Silikon</v>
      </c>
    </row>
    <row r="4972" ht="15.75" customHeight="1">
      <c r="A4972" s="2" t="s">
        <v>4972</v>
      </c>
      <c r="B4972" s="2" t="str">
        <f>IFERROR(__xludf.DUMMYFUNCTION("GOOGLETRANSLATE(A4972, ""en"", ""mt"")"),"Min organizza s-siġar tad-dinja f'erba 'kategoriji?")</f>
        <v>Min organizza s-siġar tad-dinja f'erba 'kategoriji?</v>
      </c>
    </row>
    <row r="4973" ht="15.75" customHeight="1">
      <c r="A4973" s="2" t="s">
        <v>4973</v>
      </c>
      <c r="B4973" s="2" t="str">
        <f>IFERROR(__xludf.DUMMYFUNCTION("GOOGLETRANSLATE(A4973, ""en"", ""mt"")"),"Kemm ilhom il-ġellieda tar-rewwixta tal-ghetto ta 'Varsavja kapaċi jżommu?")</f>
        <v>Kemm ilhom il-ġellieda tar-rewwixta tal-ghetto ta 'Varsavja kapaċi jżommu?</v>
      </c>
    </row>
    <row r="4974" ht="15.75" customHeight="1">
      <c r="A4974" s="2" t="s">
        <v>4974</v>
      </c>
      <c r="B4974" s="2" t="str">
        <f>IFERROR(__xludf.DUMMYFUNCTION("GOOGLETRANSLATE(A4974, ""en"", ""mt"")"),"għandu l-abbiltà li jespandi u jiżviluppa l-liġi skont il-prinċipji li jidhirlu li huma xierqa")</f>
        <v>għandu l-abbiltà li jespandi u jiżviluppa l-liġi skont il-prinċipji li jidhirlu li huma xierqa</v>
      </c>
    </row>
    <row r="4975" ht="15.75" customHeight="1">
      <c r="A4975" s="2" t="s">
        <v>4975</v>
      </c>
      <c r="B4975" s="2" t="str">
        <f>IFERROR(__xludf.DUMMYFUNCTION("GOOGLETRANSLATE(A4975, ""en"", ""mt"")"),"X'inhu xogħol wieħed minn Olivier Messiaen?")</f>
        <v>X'inhu xogħol wieħed minn Olivier Messiaen?</v>
      </c>
    </row>
    <row r="4976" ht="15.75" customHeight="1">
      <c r="A4976" s="2" t="s">
        <v>4976</v>
      </c>
      <c r="B4976" s="2" t="str">
        <f>IFERROR(__xludf.DUMMYFUNCTION("GOOGLETRANSLATE(A4976, ""en"", ""mt"")"),"programmi tal-kompjuter")</f>
        <v>programmi tal-kompjuter</v>
      </c>
    </row>
    <row r="4977" ht="15.75" customHeight="1">
      <c r="A4977" s="2" t="s">
        <v>4977</v>
      </c>
      <c r="B4977" s="2" t="str">
        <f>IFERROR(__xludf.DUMMYFUNCTION("GOOGLETRANSLATE(A4977, ""en"", ""mt"")"),"Orange County huwa ċentru tan-negozju li qed jiżviluppa malajr li jinkludi d-downtown ta 'Santa Ana, id-distretti taċ-Ċentru ta' South Coast u Newport; kif ukoll iċ-ċentri tan-negozju Irvine tal-Irvine Spectrum, West Irvine, u korporazzjonijiet internazzj"&amp;"onali bil-kwartjieri ġenerali fl-Università ta ’California, Irvine. West Irvine tinkludi l-Irvine Tech Centre u l-Parks tan-Negozju Jamboree.")</f>
        <v>Orange County huwa ċentru tan-negozju li qed jiżviluppa malajr li jinkludi d-downtown ta 'Santa Ana, id-distretti taċ-Ċentru ta' South Coast u Newport; kif ukoll iċ-ċentri tan-negozju Irvine tal-Irvine Spectrum, West Irvine, u korporazzjonijiet internazzjonali bil-kwartjieri ġenerali fl-Università ta ’California, Irvine. West Irvine tinkludi l-Irvine Tech Centre u l-Parks tan-Negozju Jamboree.</v>
      </c>
    </row>
    <row r="4978" ht="15.75" customHeight="1">
      <c r="A4978" s="2" t="s">
        <v>4978</v>
      </c>
      <c r="B4978" s="2" t="str">
        <f>IFERROR(__xludf.DUMMYFUNCTION("GOOGLETRANSLATE(A4978, ""en"", ""mt"")"),"X'inhu l-isem mogħti lid-distrett li huwa assoċjat ma 'l-industrija ta' l-istampi taċ-ċinema?")</f>
        <v>X'inhu l-isem mogħti lid-distrett li huwa assoċjat ma 'l-industrija ta' l-istampi taċ-ċinema?</v>
      </c>
    </row>
    <row r="4979" ht="15.75" customHeight="1">
      <c r="A4979" s="2" t="s">
        <v>4979</v>
      </c>
      <c r="B4979" s="2" t="str">
        <f>IFERROR(__xludf.DUMMYFUNCTION("GOOGLETRANSLATE(A4979, ""en"", ""mt"")"),"X’kien ir-riżultat tal-attakk Franċiż tal-iskola?")</f>
        <v>X’kien ir-riżultat tal-attakk Franċiż tal-iskola?</v>
      </c>
    </row>
    <row r="4980" ht="15.75" customHeight="1">
      <c r="A4980" s="2" t="s">
        <v>4980</v>
      </c>
      <c r="B4980" s="2" t="str">
        <f>IFERROR(__xludf.DUMMYFUNCTION("GOOGLETRANSLATE(A4980, ""en"", ""mt"")"),"X'inhuma r-regolamenti tal-UE essenzjalment l-istess bħal fil-każ imsemmi?")</f>
        <v>X'inhuma r-regolamenti tal-UE essenzjalment l-istess bħal fil-każ imsemmi?</v>
      </c>
    </row>
    <row r="4981" ht="15.75" customHeight="1">
      <c r="A4981" s="2" t="s">
        <v>4981</v>
      </c>
      <c r="B4981" s="2" t="str">
        <f>IFERROR(__xludf.DUMMYFUNCTION("GOOGLETRANSLATE(A4981, ""en"", ""mt"")"),"Talbiet territorjali konfliġġenti bejn l-Ingliżi u l-Franċiżi")</f>
        <v>Talbiet territorjali konfliġġenti bejn l-Ingliżi u l-Franċiżi</v>
      </c>
    </row>
    <row r="4982" ht="15.75" customHeight="1">
      <c r="A4982" s="2" t="s">
        <v>4982</v>
      </c>
      <c r="B4982" s="2" t="str">
        <f>IFERROR(__xludf.DUMMYFUNCTION("GOOGLETRANSLATE(A4982, ""en"", ""mt"")"),"X’kienet il-fażi ta ’Decnet?")</f>
        <v>X’kienet il-fażi ta ’Decnet?</v>
      </c>
    </row>
    <row r="4983" ht="15.75" customHeight="1">
      <c r="A4983" s="2" t="s">
        <v>4983</v>
      </c>
      <c r="B4983" s="2" t="str">
        <f>IFERROR(__xludf.DUMMYFUNCTION("GOOGLETRANSLATE(A4983, ""en"", ""mt"")"),"X'inhu Fe2O?")</f>
        <v>X'inhu Fe2O?</v>
      </c>
    </row>
    <row r="4984" ht="15.75" customHeight="1">
      <c r="A4984" s="2" t="s">
        <v>4984</v>
      </c>
      <c r="B4984" s="2" t="str">
        <f>IFERROR(__xludf.DUMMYFUNCTION("GOOGLETRANSLATE(A4984, ""en"", ""mt"")"),"Oahu")</f>
        <v>Oahu</v>
      </c>
    </row>
    <row r="4985" ht="15.75" customHeight="1">
      <c r="A4985" s="2" t="s">
        <v>4985</v>
      </c>
      <c r="B4985" s="2" t="str">
        <f>IFERROR(__xludf.DUMMYFUNCTION("GOOGLETRANSLATE(A4985, ""en"", ""mt"")"),"Hobson argumenta li l-imperjalizmu kien internazzjonali xiex?")</f>
        <v>Hobson argumenta li l-imperjalizmu kien internazzjonali xiex?</v>
      </c>
    </row>
    <row r="4986" ht="15.75" customHeight="1">
      <c r="A4986" s="2" t="s">
        <v>4986</v>
      </c>
      <c r="B4986" s="2" t="str">
        <f>IFERROR(__xludf.DUMMYFUNCTION("GOOGLETRANSLATE(A4986, ""en"", ""mt"")"),"Meta l-ekonomisti waslu għal konklużjoni mingħajr l-aġenzija tal-klassifikazzjoni tal-S &amp; P?")</f>
        <v>Meta l-ekonomisti waslu għal konklużjoni mingħajr l-aġenzija tal-klassifikazzjoni tal-S &amp; P?</v>
      </c>
    </row>
    <row r="4987" ht="15.75" customHeight="1">
      <c r="A4987" s="2" t="s">
        <v>4987</v>
      </c>
      <c r="B4987" s="2" t="str">
        <f>IFERROR(__xludf.DUMMYFUNCTION("GOOGLETRANSLATE(A4987, ""en"", ""mt"")"),"Minn liema sultan Franċiż possibilment jinżel l-isem Huguenot?")</f>
        <v>Minn liema sultan Franċiż possibilment jinżel l-isem Huguenot?</v>
      </c>
    </row>
    <row r="4988" ht="15.75" customHeight="1">
      <c r="A4988" s="2" t="s">
        <v>4988</v>
      </c>
      <c r="B4988" s="2" t="str">
        <f>IFERROR(__xludf.DUMMYFUNCTION("GOOGLETRANSLATE(A4988, ""en"", ""mt"")"),"Liema pjattaforma kienet Sentanta Sports li qed tippjana fuq it-tnedija?")</f>
        <v>Liema pjattaforma kienet Sentanta Sports li qed tippjana fuq it-tnedija?</v>
      </c>
    </row>
    <row r="4989" ht="15.75" customHeight="1">
      <c r="A4989" s="2" t="s">
        <v>4989</v>
      </c>
      <c r="B4989" s="2" t="str">
        <f>IFERROR(__xludf.DUMMYFUNCTION("GOOGLETRANSLATE(A4989, ""en"", ""mt"")"),"Il-fallimenti Ingliżi fl-Amerika ta ’Fuq, flimkien ma’ fallimenti oħra fit-Teatru Ewropew, wasslu għall-waqgħa mill-poter ta ’Newcastle u l-konsulent militari prinċipali tiegħu, id-Duka ta’ Cumberland. Newcastle u Pitt ingħaqdu f'koalizzjoni inkwiet li fi"&amp;"ha Pitt iddomina l-ippjanar militari. Huwa beda pjan għall-kampanja tal-1758 li kienet fil-biċċa l-kbira żviluppata minn Loudoun. Huwa kien ġie sostitwit minn Abercrombie bħala kmandant kap wara l-fallimenti tal-1757. Il-pjan ta 'Pitt talab għal tliet azz"&amp;"jonijiet offensivi kbar li jinvolvu numru kbir ta' truppi regolari, appoġġjati mill-milizji provinċjali, immirati biex jaqbdu l-qalb ta 'Franza l-ġdida. Tnejn mill-ispedizzjonijiet kellhom suċċess, bil-Fort Duquesne u Louisbourg jaqgħu għall-forzi Ingliżi"&amp;" mdaqqsa.")</f>
        <v>Il-fallimenti Ingliżi fl-Amerika ta ’Fuq, flimkien ma’ fallimenti oħra fit-Teatru Ewropew, wasslu għall-waqgħa mill-poter ta ’Newcastle u l-konsulent militari prinċipali tiegħu, id-Duka ta’ Cumberland. Newcastle u Pitt ingħaqdu f'koalizzjoni inkwiet li fiha Pitt iddomina l-ippjanar militari. Huwa beda pjan għall-kampanja tal-1758 li kienet fil-biċċa l-kbira żviluppata minn Loudoun. Huwa kien ġie sostitwit minn Abercrombie bħala kmandant kap wara l-fallimenti tal-1757. Il-pjan ta 'Pitt talab għal tliet azzjonijiet offensivi kbar li jinvolvu numru kbir ta' truppi regolari, appoġġjati mill-milizji provinċjali, immirati biex jaqbdu l-qalb ta 'Franza l-ġdida. Tnejn mill-ispedizzjonijiet kellhom suċċess, bil-Fort Duquesne u Louisbourg jaqgħu għall-forzi Ingliżi mdaqqsa.</v>
      </c>
    </row>
    <row r="4990" ht="15.75" customHeight="1">
      <c r="A4990" s="2" t="s">
        <v>4990</v>
      </c>
      <c r="B4990" s="2" t="str">
        <f>IFERROR(__xludf.DUMMYFUNCTION("GOOGLETRANSLATE(A4990, ""en"", ""mt"")"),"F'liema sena Richard Trevithick brevett l-apparat tiegħu?")</f>
        <v>F'liema sena Richard Trevithick brevett l-apparat tiegħu?</v>
      </c>
    </row>
    <row r="4991" ht="15.75" customHeight="1">
      <c r="A4991" s="2" t="s">
        <v>4991</v>
      </c>
      <c r="B4991" s="2" t="str">
        <f>IFERROR(__xludf.DUMMYFUNCTION("GOOGLETRANSLATE(A4991, ""en"", ""mt"")"),"Biex tenfasizza l-akkademiċi fuq l-atletika,")</f>
        <v>Biex tenfasizza l-akkademiċi fuq l-atletika,</v>
      </c>
    </row>
    <row r="4992" ht="15.75" customHeight="1">
      <c r="A4992" s="2" t="s">
        <v>4992</v>
      </c>
      <c r="B4992" s="2" t="str">
        <f>IFERROR(__xludf.DUMMYFUNCTION("GOOGLETRANSLATE(A4992, ""en"", ""mt"")"),"Teorija tas-Sistemi Dinjija")</f>
        <v>Teorija tas-Sistemi Dinjija</v>
      </c>
    </row>
    <row r="4993" ht="15.75" customHeight="1">
      <c r="A4993" s="2" t="s">
        <v>4993</v>
      </c>
      <c r="B4993" s="2" t="str">
        <f>IFERROR(__xludf.DUMMYFUNCTION("GOOGLETRANSLATE(A4993, ""en"", ""mt"")"),"X'inhu l-isem ta 'algoritmu wieħed utli għall-ittestjar b'mod konvenjenti tal-primalità ta' ċifri deċimali?")</f>
        <v>X'inhu l-isem ta 'algoritmu wieħed utli għall-ittestjar b'mod konvenjenti tal-primalità ta' ċifri deċimali?</v>
      </c>
    </row>
    <row r="4994" ht="15.75" customHeight="1">
      <c r="A4994" s="2" t="s">
        <v>4994</v>
      </c>
      <c r="B4994" s="2" t="str">
        <f>IFERROR(__xludf.DUMMYFUNCTION("GOOGLETRANSLATE(A4994, ""en"", ""mt"")"),"Min ifformula l-idea tat-teorija tal-għażla tal-għażla klonali?")</f>
        <v>Min ifformula l-idea tat-teorija tal-għażla tal-għażla klonali?</v>
      </c>
    </row>
    <row r="4995" ht="15.75" customHeight="1">
      <c r="A4995" s="2" t="s">
        <v>4995</v>
      </c>
      <c r="B4995" s="2" t="str">
        <f>IFERROR(__xludf.DUMMYFUNCTION("GOOGLETRANSLATE(A4995, ""en"", ""mt"")"),"L-aħħar massimu glaċjali")</f>
        <v>L-aħħar massimu glaċjali</v>
      </c>
    </row>
    <row r="4996" ht="15.75" customHeight="1">
      <c r="A4996" s="2" t="s">
        <v>4996</v>
      </c>
      <c r="B4996" s="2" t="str">
        <f>IFERROR(__xludf.DUMMYFUNCTION("GOOGLETRANSLATE(A4996, ""en"", ""mt"")"),"Fl-1962, min kien responsabbli għall-awtrija ta 'karta ppubblikata fuq kumplessi ta' ħin reali?")</f>
        <v>Fl-1962, min kien responsabbli għall-awtrija ta 'karta ppubblikata fuq kumplessi ta' ħin reali?</v>
      </c>
    </row>
    <row r="4997" ht="15.75" customHeight="1">
      <c r="A4997" s="2" t="s">
        <v>4997</v>
      </c>
      <c r="B4997" s="2" t="str">
        <f>IFERROR(__xludf.DUMMYFUNCTION("GOOGLETRANSLATE(A4997, ""en"", ""mt"")"),"konvezzjoni tal-mantell")</f>
        <v>konvezzjoni tal-mantell</v>
      </c>
    </row>
    <row r="4998" ht="15.75" customHeight="1">
      <c r="A4998" s="2" t="s">
        <v>4998</v>
      </c>
      <c r="B4998" s="2" t="str">
        <f>IFERROR(__xludf.DUMMYFUNCTION("GOOGLETRANSLATE(A4998, ""en"", ""mt"")"),"Ingliż")</f>
        <v>Ingliż</v>
      </c>
    </row>
    <row r="4999" ht="15.75" customHeight="1">
      <c r="A4999" s="2" t="s">
        <v>4999</v>
      </c>
      <c r="B4999" s="2" t="str">
        <f>IFERROR(__xludf.DUMMYFUNCTION("GOOGLETRANSLATE(A4999, ""en"", ""mt"")"),"F'liema sena tnediet HMS Dreadnought?")</f>
        <v>F'liema sena tnediet HMS Dreadnought?</v>
      </c>
    </row>
    <row r="5000" ht="15.75" customHeight="1">
      <c r="A5000" s="2" t="s">
        <v>5000</v>
      </c>
      <c r="B5000" s="2" t="str">
        <f>IFERROR(__xludf.DUMMYFUNCTION("GOOGLETRANSLATE(A5000, ""en"", ""mt"")"),"Fejn jagħmlu żewġ terzi tar-Rhine fluss ġewwa l-Ġermanja?")</f>
        <v>Fejn jagħmlu żewġ terzi tar-Rhine fluss ġewwa l-Ġermanja?</v>
      </c>
    </row>
    <row r="5001" ht="15.75" customHeight="1">
      <c r="A5001" s="2" t="s">
        <v>5001</v>
      </c>
      <c r="B5001" s="2" t="str">
        <f>IFERROR(__xludf.DUMMYFUNCTION("GOOGLETRANSLATE(A5001, ""en"", ""mt"")"),"Il-Jin")</f>
        <v>Il-Jin</v>
      </c>
    </row>
    <row r="5002" ht="15.75" customHeight="1">
      <c r="A5002" s="2" t="s">
        <v>5002</v>
      </c>
      <c r="B5002" s="2" t="str">
        <f>IFERROR(__xludf.DUMMYFUNCTION("GOOGLETRANSLATE(A5002, ""en"", ""mt"")"),"Inerzja rotazzjonali")</f>
        <v>Inerzja rotazzjonali</v>
      </c>
    </row>
    <row r="5003" ht="15.75" customHeight="1">
      <c r="A5003" s="2" t="s">
        <v>5003</v>
      </c>
      <c r="B5003" s="2" t="str">
        <f>IFERROR(__xludf.DUMMYFUNCTION("GOOGLETRANSLATE(A5003, ""en"", ""mt"")")," X'inhu l-isem mhux uffiċjali tad-dinastija Yuan?")</f>
        <v> X'inhu l-isem mhux uffiċjali tad-dinastija Yuan?</v>
      </c>
    </row>
    <row r="5004" ht="15.75" customHeight="1">
      <c r="A5004" s="2" t="s">
        <v>5004</v>
      </c>
      <c r="B5004" s="2" t="str">
        <f>IFERROR(__xludf.DUMMYFUNCTION("GOOGLETRANSLATE(A5004, ""en"", ""mt"")"),"Ma jistax jinkiteb bħala s-somma tal-għoqda ta 'żewġ għoqod mhux privati")</f>
        <v>Ma jistax jinkiteb bħala s-somma tal-għoqda ta 'żewġ għoqod mhux privati</v>
      </c>
    </row>
    <row r="5005" ht="15.75" customHeight="1">
      <c r="A5005" s="2" t="s">
        <v>5005</v>
      </c>
      <c r="B5005" s="2" t="str">
        <f>IFERROR(__xludf.DUMMYFUNCTION("GOOGLETRANSLATE(A5005, ""en"", ""mt"")"),"X'jiġri wara li ċ-ċomb idub?")</f>
        <v>X'jiġri wara li ċ-ċomb idub?</v>
      </c>
    </row>
    <row r="5006" ht="15.75" customHeight="1">
      <c r="A5006" s="2" t="s">
        <v>5006</v>
      </c>
      <c r="B5006" s="2" t="str">
        <f>IFERROR(__xludf.DUMMYFUNCTION("GOOGLETRANSLATE(A5006, ""en"", ""mt"")"),"Liema molekuli jiġu ripellati minn antiġeni patoġeniċi?")</f>
        <v>Liema molekuli jiġu ripellati minn antiġeni patoġeniċi?</v>
      </c>
    </row>
    <row r="5007" ht="15.75" customHeight="1">
      <c r="A5007" s="2" t="s">
        <v>5007</v>
      </c>
      <c r="B5007" s="2" t="str">
        <f>IFERROR(__xludf.DUMMYFUNCTION("GOOGLETRANSLATE(A5007, ""en"", ""mt"")"),"11–13 seklu")</f>
        <v>11–13 seklu</v>
      </c>
    </row>
    <row r="5008" ht="15.75" customHeight="1">
      <c r="A5008" s="2" t="s">
        <v>5008</v>
      </c>
      <c r="B5008" s="2" t="str">
        <f>IFERROR(__xludf.DUMMYFUNCTION("GOOGLETRANSLATE(A5008, ""en"", ""mt"")"),"Liema ċelloli jgħaddu minn apoptożi bil-mod?")</f>
        <v>Liema ċelloli jgħaddu minn apoptożi bil-mod?</v>
      </c>
    </row>
    <row r="5009" ht="15.75" customHeight="1">
      <c r="A5009" s="2" t="s">
        <v>5009</v>
      </c>
      <c r="B5009" s="2" t="str">
        <f>IFERROR(__xludf.DUMMYFUNCTION("GOOGLETRANSLATE(A5009, ""en"", ""mt"")"),"Cicadas")</f>
        <v>Cicadas</v>
      </c>
    </row>
    <row r="5010" ht="15.75" customHeight="1">
      <c r="A5010" s="2" t="s">
        <v>5010</v>
      </c>
      <c r="B5010" s="2" t="str">
        <f>IFERROR(__xludf.DUMMYFUNCTION("GOOGLETRANSLATE(A5010, ""en"", ""mt"")"),"Kif kien konness Tymnet ma 'għexieren ta' netwerks privati ​​oħra?")</f>
        <v>Kif kien konness Tymnet ma 'għexieren ta' netwerks privati ​​oħra?</v>
      </c>
    </row>
    <row r="5011" ht="15.75" customHeight="1">
      <c r="A5011" s="2" t="s">
        <v>5011</v>
      </c>
      <c r="B5011" s="2" t="str">
        <f>IFERROR(__xludf.DUMMYFUNCTION("GOOGLETRANSLATE(A5011, ""en"", ""mt"")"),"il-Guanabara Confession of Faith")</f>
        <v>il-Guanabara Confession of Faith</v>
      </c>
    </row>
    <row r="5012" ht="15.75" customHeight="1">
      <c r="A5012" s="2" t="s">
        <v>5012</v>
      </c>
      <c r="B5012" s="2" t="str">
        <f>IFERROR(__xludf.DUMMYFUNCTION("GOOGLETRANSLATE(A5012, ""en"", ""mt"")"),"X'inhu l-kunċett żejjed ġej mill-konservazzjoni tal-momentum?")</f>
        <v>X'inhu l-kunċett żejjed ġej mill-konservazzjoni tal-momentum?</v>
      </c>
    </row>
    <row r="5013" ht="15.75" customHeight="1">
      <c r="A5013" s="2" t="s">
        <v>5013</v>
      </c>
      <c r="B5013" s="2" t="str">
        <f>IFERROR(__xludf.DUMMYFUNCTION("GOOGLETRANSLATE(A5013, ""en"", ""mt"")"),"Il-kostanti tal-gravitazzjoni universali ta 'Newton,")</f>
        <v>Il-kostanti tal-gravitazzjoni universali ta 'Newton,</v>
      </c>
    </row>
    <row r="5014" ht="15.75" customHeight="1">
      <c r="A5014" s="2" t="s">
        <v>5014</v>
      </c>
      <c r="B5014" s="2" t="str">
        <f>IFERROR(__xludf.DUMMYFUNCTION("GOOGLETRANSLATE(A5014, ""en"", ""mt"")"),"Min hu l-president attwali ta 'Victoria?")</f>
        <v>Min hu l-president attwali ta 'Victoria?</v>
      </c>
    </row>
    <row r="5015" ht="15.75" customHeight="1">
      <c r="A5015" s="2" t="s">
        <v>5015</v>
      </c>
      <c r="B5015" s="2" t="str">
        <f>IFERROR(__xludf.DUMMYFUNCTION("GOOGLETRANSLATE(A5015, ""en"", ""mt"")"),"Meta mhumiex implimentati l-komunikazzjonijiet tal-modalità tal-pakketti?")</f>
        <v>Meta mhumiex implimentati l-komunikazzjonijiet tal-modalità tal-pakketti?</v>
      </c>
    </row>
    <row r="5016" ht="15.75" customHeight="1">
      <c r="A5016" s="2" t="s">
        <v>5016</v>
      </c>
      <c r="B5016" s="2" t="str">
        <f>IFERROR(__xludf.DUMMYFUNCTION("GOOGLETRANSLATE(A5016, ""en"", ""mt"")"),"Min ġie elett fl-1859?")</f>
        <v>Min ġie elett fl-1859?</v>
      </c>
    </row>
    <row r="5017" ht="15.75" customHeight="1">
      <c r="A5017" s="2" t="s">
        <v>5017</v>
      </c>
      <c r="B5017" s="2" t="str">
        <f>IFERROR(__xludf.DUMMYFUNCTION("GOOGLETRANSLATE(A5017, ""en"", ""mt"")"),"X'inhi inċertezza waħda dwar it-teorija tal-evoluzzjoni li tagħmilha kumplessa?")</f>
        <v>X'inhi inċertezza waħda dwar it-teorija tal-evoluzzjoni li tagħmilha kumplessa?</v>
      </c>
    </row>
    <row r="5018" ht="15.75" customHeight="1">
      <c r="A5018" s="2" t="s">
        <v>5018</v>
      </c>
      <c r="B5018" s="2" t="str">
        <f>IFERROR(__xludf.DUMMYFUNCTION("GOOGLETRANSLATE(A5018, ""en"", ""mt"")"),"Min tilef il-partit hekk kif Washington mar fit-triq?")</f>
        <v>Min tilef il-partit hekk kif Washington mar fit-triq?</v>
      </c>
    </row>
    <row r="5019" ht="15.75" customHeight="1">
      <c r="A5019" s="2" t="s">
        <v>5019</v>
      </c>
      <c r="B5019" s="2" t="str">
        <f>IFERROR(__xludf.DUMMYFUNCTION("GOOGLETRANSLATE(A5019, ""en"", ""mt"")"),"Formula ta 'interpolazzjoni kubika")</f>
        <v>Formula ta 'interpolazzjoni kubika</v>
      </c>
    </row>
    <row r="5020" ht="15.75" customHeight="1">
      <c r="A5020" s="2" t="s">
        <v>5020</v>
      </c>
      <c r="B5020" s="2" t="str">
        <f>IFERROR(__xludf.DUMMYFUNCTION("GOOGLETRANSLATE(A5020, ""en"", ""mt"")"),"X'inhu l-metodu konvenzjonali biex titkejjel ir-Rhine?")</f>
        <v>X'inhu l-metodu konvenzjonali biex titkejjel ir-Rhine?</v>
      </c>
    </row>
    <row r="5021" ht="15.75" customHeight="1">
      <c r="A5021" s="2" t="s">
        <v>5021</v>
      </c>
      <c r="B5021" s="2" t="str">
        <f>IFERROR(__xludf.DUMMYFUNCTION("GOOGLETRANSLATE(A5021, ""en"", ""mt"")"),"Immedjatament wara l-ħin tad-deċiżjoni")</f>
        <v>Immedjatament wara l-ħin tad-deċiżjoni</v>
      </c>
    </row>
    <row r="5022" ht="15.75" customHeight="1">
      <c r="A5022" s="2" t="s">
        <v>5022</v>
      </c>
      <c r="B5022" s="2" t="str">
        <f>IFERROR(__xludf.DUMMYFUNCTION("GOOGLETRANSLATE(A5022, ""en"", ""mt"")"),"7 sa 10 fil-mija tat-tobba Amerikani")</f>
        <v>7 sa 10 fil-mija tat-tobba Amerikani</v>
      </c>
    </row>
    <row r="5023" ht="15.75" customHeight="1">
      <c r="A5023" s="2" t="s">
        <v>5023</v>
      </c>
      <c r="B5023" s="2" t="str">
        <f>IFERROR(__xludf.DUMMYFUNCTION("GOOGLETRANSLATE(A5023, ""en"", ""mt"")"),"L-Iżlamisti staqsew il-mistoqsija, ""Jekk l-Iżlam huwiex mod ta 'ħajja, kif nistgħu ngħidu li dawk li jixtiequ jgħixu mill-prinċipji tiegħu fl-isferi legali, soċjali, politiċi, ekonomiċi u politiċi tal-ħajja mhumiex Musulmani, iżda l-Iżlamisti u jemmnu Fl"&amp;"-Iżlamiżmu, mhux [biss] l-Islam? "" Bl-istess mod, kittieb għall-grupp ta 'kriżi internazzjonali jsostni li ""l-kunċett ta'"" Islam politiku ""huwa ħolqien ta 'Amerikani li jispjegaw ir-rivoluzzjoni Iżlamika Iranjana u l-Islam apolitiku kien fluke storiku"&amp;" ta' l-era ta 'ħajja qasira In-nazzjonaliżmu Għarbi bejn l-1945 u l-1970 "", u huwa Iżlam kwiet / mhux politiku, mhux l-Iżlamiżmu, li jirrikjedi spjegazzjoni.")</f>
        <v>L-Iżlamisti staqsew il-mistoqsija, "Jekk l-Iżlam huwiex mod ta 'ħajja, kif nistgħu ngħidu li dawk li jixtiequ jgħixu mill-prinċipji tiegħu fl-isferi legali, soċjali, politiċi, ekonomiċi u politiċi tal-ħajja mhumiex Musulmani, iżda l-Iżlamisti u jemmnu Fl-Iżlamiżmu, mhux [biss] l-Islam? " Bl-istess mod, kittieb għall-grupp ta 'kriżi internazzjonali jsostni li "l-kunċett ta'" Islam politiku "huwa ħolqien ta 'Amerikani li jispjegaw ir-rivoluzzjoni Iżlamika Iranjana u l-Islam apolitiku kien fluke storiku ta' l-era ta 'ħajja qasira In-nazzjonaliżmu Għarbi bejn l-1945 u l-1970 ", u huwa Iżlam kwiet / mhux politiku, mhux l-Iżlamiżmu, li jirrikjedi spjegazzjoni.</v>
      </c>
    </row>
    <row r="5024" ht="15.75" customHeight="1">
      <c r="A5024" s="2" t="s">
        <v>5024</v>
      </c>
      <c r="B5024" s="2" t="str">
        <f>IFERROR(__xludf.DUMMYFUNCTION("GOOGLETRANSLATE(A5024, ""en"", ""mt"")"),"Min ta l-kunsens rjali għall-Att tal-Iskozja tal-1988?")</f>
        <v>Min ta l-kunsens rjali għall-Att tal-Iskozja tal-1988?</v>
      </c>
    </row>
    <row r="5025" ht="15.75" customHeight="1">
      <c r="A5025" s="2" t="s">
        <v>5025</v>
      </c>
      <c r="B5025" s="2" t="str">
        <f>IFERROR(__xludf.DUMMYFUNCTION("GOOGLETRANSLATE(A5025, ""en"", ""mt"")"),"X'inhi l-klassifikazzjoni tal-forzi militari f'Jacksonville?")</f>
        <v>X'inhi l-klassifikazzjoni tal-forzi militari f'Jacksonville?</v>
      </c>
    </row>
    <row r="5026" ht="15.75" customHeight="1">
      <c r="A5026" s="2" t="s">
        <v>5026</v>
      </c>
      <c r="B5026" s="2" t="str">
        <f>IFERROR(__xludf.DUMMYFUNCTION("GOOGLETRANSLATE(A5026, ""en"", ""mt"")"),"F’liema sena l-iskola ġiet imsemmija mill-ġdid bħala Harvard College?")</f>
        <v>F’liema sena l-iskola ġiet imsemmija mill-ġdid bħala Harvard College?</v>
      </c>
    </row>
    <row r="5027" ht="15.75" customHeight="1">
      <c r="A5027" s="2" t="s">
        <v>5027</v>
      </c>
      <c r="B5027" s="2" t="str">
        <f>IFERROR(__xludf.DUMMYFUNCTION("GOOGLETRANSLATE(A5027, ""en"", ""mt"")"),"Liema gwerra fl-Irlanda kienet tidher reġimenti Huguenot?")</f>
        <v>Liema gwerra fl-Irlanda kienet tidher reġimenti Huguenot?</v>
      </c>
    </row>
    <row r="5028" ht="15.75" customHeight="1">
      <c r="A5028" s="2" t="s">
        <v>5028</v>
      </c>
      <c r="B5028" s="2" t="str">
        <f>IFERROR(__xludf.DUMMYFUNCTION("GOOGLETRANSLATE(A5028, ""en"", ""mt"")"),"X'miżuri f'1.4 kPa?")</f>
        <v>X'miżuri f'1.4 kPa?</v>
      </c>
    </row>
    <row r="5029" ht="15.75" customHeight="1">
      <c r="A5029" s="2" t="s">
        <v>5029</v>
      </c>
      <c r="B5029" s="2" t="str">
        <f>IFERROR(__xludf.DUMMYFUNCTION("GOOGLETRANSLATE(A5029, ""en"", ""mt"")")," Liema teorija ma tiġġustifikax l-imperjalizmu parzjalment?")</f>
        <v> Liema teorija ma tiġġustifikax l-imperjalizmu parzjalment?</v>
      </c>
    </row>
    <row r="5030" ht="15.75" customHeight="1">
      <c r="A5030" s="2" t="s">
        <v>5030</v>
      </c>
      <c r="B5030" s="2" t="str">
        <f>IFERROR(__xludf.DUMMYFUNCTION("GOOGLETRANSLATE(A5030, ""en"", ""mt"")"),"Irbaħ il-ħelsien u evita l-ħabs")</f>
        <v>Irbaħ il-ħelsien u evita l-ħabs</v>
      </c>
    </row>
    <row r="5031" ht="15.75" customHeight="1">
      <c r="A5031" s="2" t="s">
        <v>5031</v>
      </c>
      <c r="B5031" s="2" t="str">
        <f>IFERROR(__xludf.DUMMYFUNCTION("GOOGLETRANSLATE(A5031, ""en"", ""mt"")"),"Fejn hi l-influwenza Ażjatika l-aktar b'saħħitha fir-Rabat?")</f>
        <v>Fejn hi l-influwenza Ażjatika l-aktar b'saħħitha fir-Rabat?</v>
      </c>
    </row>
    <row r="5032" ht="15.75" customHeight="1">
      <c r="A5032" s="2" t="s">
        <v>5032</v>
      </c>
      <c r="B5032" s="2" t="str">
        <f>IFERROR(__xludf.DUMMYFUNCTION("GOOGLETRANSLATE(A5032, ""en"", ""mt"")"),"Wara liema battalja rritornaw u jokkupaw lil Jacksonville għall-bqija tal-gwerra?")</f>
        <v>Wara liema battalja rritornaw u jokkupaw lil Jacksonville għall-bqija tal-gwerra?</v>
      </c>
    </row>
    <row r="5033" ht="15.75" customHeight="1">
      <c r="A5033" s="2" t="s">
        <v>5033</v>
      </c>
      <c r="B5033" s="2" t="str">
        <f>IFERROR(__xludf.DUMMYFUNCTION("GOOGLETRANSLATE(A5033, ""en"", ""mt"")"),"Kemm professuri tħaddem l-Università tal-Mużika tat-Teknoloġija?")</f>
        <v>Kemm professuri tħaddem l-Università tal-Mużika tat-Teknoloġija?</v>
      </c>
    </row>
    <row r="5034" ht="15.75" customHeight="1">
      <c r="A5034" s="2" t="s">
        <v>5034</v>
      </c>
      <c r="B5034" s="2" t="str">
        <f>IFERROR(__xludf.DUMMYFUNCTION("GOOGLETRANSLATE(A5034, ""en"", ""mt"")"),"Għaliex isiru dibattiti dwar mozzjonijiet proposti minn MSP?")</f>
        <v>Għaliex isiru dibattiti dwar mozzjonijiet proposti minn MSP?</v>
      </c>
    </row>
    <row r="5035" ht="15.75" customHeight="1">
      <c r="A5035" s="2" t="s">
        <v>5035</v>
      </c>
      <c r="B5035" s="2" t="str">
        <f>IFERROR(__xludf.DUMMYFUNCTION("GOOGLETRANSLATE(A5035, ""en"", ""mt"")"),"George Stigler")</f>
        <v>George Stigler</v>
      </c>
    </row>
    <row r="5036" ht="15.75" customHeight="1">
      <c r="A5036" s="2" t="s">
        <v>5036</v>
      </c>
      <c r="B5036" s="2" t="str">
        <f>IFERROR(__xludf.DUMMYFUNCTION("GOOGLETRANSLATE(A5036, ""en"", ""mt"")"),"Meta Tancred kien assedja lil Antjokja?")</f>
        <v>Meta Tancred kien assedja lil Antjokja?</v>
      </c>
    </row>
    <row r="5037" ht="15.75" customHeight="1">
      <c r="A5037" s="2" t="s">
        <v>5037</v>
      </c>
      <c r="B5037" s="2" t="str">
        <f>IFERROR(__xludf.DUMMYFUNCTION("GOOGLETRANSLATE(A5037, ""en"", ""mt"")"),"Min unifika l-forza responsabbli għall-atomi li jaqgħu fil-wiċċ tad-dinja?")</f>
        <v>Min unifika l-forza responsabbli għall-atomi li jaqgħu fil-wiċċ tad-dinja?</v>
      </c>
    </row>
    <row r="5038" ht="15.75" customHeight="1">
      <c r="A5038" s="2" t="s">
        <v>5038</v>
      </c>
      <c r="B5038" s="2" t="str">
        <f>IFERROR(__xludf.DUMMYFUNCTION("GOOGLETRANSLATE(A5038, ""en"", ""mt"")"),"Id-dar temporanja tal-Parlament kienet fuq ir-Royal Mills f'liema żona?")</f>
        <v>Id-dar temporanja tal-Parlament kienet fuq ir-Royal Mills f'liema żona?</v>
      </c>
    </row>
    <row r="5039" ht="15.75" customHeight="1">
      <c r="A5039" s="2" t="s">
        <v>5039</v>
      </c>
      <c r="B5039" s="2" t="str">
        <f>IFERROR(__xludf.DUMMYFUNCTION("GOOGLETRANSLATE(A5039, ""en"", ""mt"")"),"Flimkien ma 'ġeotermali u nukleari, x'inhu sors ta' sħana ta 'kombustjoni notevoli?")</f>
        <v>Flimkien ma 'ġeotermali u nukleari, x'inhu sors ta' sħana ta 'kombustjoni notevoli?</v>
      </c>
    </row>
    <row r="5040" ht="15.75" customHeight="1">
      <c r="A5040" s="2" t="s">
        <v>5040</v>
      </c>
      <c r="B5040" s="2" t="str">
        <f>IFERROR(__xludf.DUMMYFUNCTION("GOOGLETRANSLATE(A5040, ""en"", ""mt"")"),"L-invażjoni ta 'liema pajjiż turi l-insigurtà tal-Lvant Nofsani?")</f>
        <v>L-invażjoni ta 'liema pajjiż turi l-insigurtà tal-Lvant Nofsani?</v>
      </c>
    </row>
    <row r="5041" ht="15.75" customHeight="1">
      <c r="A5041" s="2" t="s">
        <v>5041</v>
      </c>
      <c r="B5041" s="2" t="str">
        <f>IFERROR(__xludf.DUMMYFUNCTION("GOOGLETRANSLATE(A5041, ""en"", ""mt"")"),"Fis-sekli 10 u 11")</f>
        <v>Fis-sekli 10 u 11</v>
      </c>
    </row>
    <row r="5042" ht="15.75" customHeight="1">
      <c r="A5042" s="2" t="s">
        <v>5042</v>
      </c>
      <c r="B5042" s="2" t="str">
        <f>IFERROR(__xludf.DUMMYFUNCTION("GOOGLETRANSLATE(A5042, ""en"", ""mt"")"),"F'liema għaxar snin l-università bdiet bosta eluf ta 'proġetti ta' espansjoni ta 'dollari?")</f>
        <v>F'liema għaxar snin l-università bdiet bosta eluf ta 'proġetti ta' espansjoni ta 'dollari?</v>
      </c>
    </row>
    <row r="5043" ht="15.75" customHeight="1">
      <c r="A5043" s="2" t="s">
        <v>5043</v>
      </c>
      <c r="B5043" s="2" t="str">
        <f>IFERROR(__xludf.DUMMYFUNCTION("GOOGLETRANSLATE(A5043, ""en"", ""mt"")"),"In-naħa ta 'ġewwa ta' ctenophore hija miksija b'liema?")</f>
        <v>In-naħa ta 'ġewwa ta' ctenophore hija miksija b'liema?</v>
      </c>
    </row>
    <row r="5044" ht="15.75" customHeight="1">
      <c r="A5044" s="2" t="s">
        <v>5044</v>
      </c>
      <c r="B5044" s="2" t="str">
        <f>IFERROR(__xludf.DUMMYFUNCTION("GOOGLETRANSLATE(A5044, ""en"", ""mt"")"),"Liema tliet knejjes għandhom kulleġġi f'Sydney?")</f>
        <v>Liema tliet knejjes għandhom kulleġġi f'Sydney?</v>
      </c>
    </row>
    <row r="5045" ht="15.75" customHeight="1">
      <c r="A5045" s="2" t="s">
        <v>5045</v>
      </c>
      <c r="B5045" s="2" t="str">
        <f>IFERROR(__xludf.DUMMYFUNCTION("GOOGLETRANSLATE(A5045, ""en"", ""mt"")"),"Liema ġeneru huwa meqjus bħala ""zija"" ta 'ctenophores?")</f>
        <v>Liema ġeneru huwa meqjus bħala "zija" ta 'ctenophores?</v>
      </c>
    </row>
    <row r="5046" ht="15.75" customHeight="1">
      <c r="A5046" s="2" t="s">
        <v>5046</v>
      </c>
      <c r="B5046" s="2" t="str">
        <f>IFERROR(__xludf.DUMMYFUNCTION("GOOGLETRANSLATE(A5046, ""en"", ""mt"")"),"Premier tar-Rabat")</f>
        <v>Premier tar-Rabat</v>
      </c>
    </row>
    <row r="5047" ht="15.75" customHeight="1">
      <c r="A5047" s="2" t="s">
        <v>5047</v>
      </c>
      <c r="B5047" s="2" t="str">
        <f>IFERROR(__xludf.DUMMYFUNCTION("GOOGLETRANSLATE(A5047, ""en"", ""mt"")"),"Spiżeriji onlajn")</f>
        <v>Spiżeriji onlajn</v>
      </c>
    </row>
    <row r="5048" ht="15.75" customHeight="1">
      <c r="A5048" s="2" t="s">
        <v>5048</v>
      </c>
      <c r="B5048" s="2" t="str">
        <f>IFERROR(__xludf.DUMMYFUNCTION("GOOGLETRANSLATE(A5048, ""en"", ""mt"")"),"il-moviment tal-Pakistan")</f>
        <v>il-moviment tal-Pakistan</v>
      </c>
    </row>
    <row r="5049" ht="15.75" customHeight="1">
      <c r="A5049" s="2" t="s">
        <v>5049</v>
      </c>
      <c r="B5049" s="2" t="str">
        <f>IFERROR(__xludf.DUMMYFUNCTION("GOOGLETRANSLATE(A5049, ""en"", ""mt"")"),"Dak li ħafna drabi jaffettwa jew jiffaċilita l-faċilità ta 'analiżi fi problemi tal-komputazzjoni?")</f>
        <v>Dak li ħafna drabi jaffettwa jew jiffaċilita l-faċilità ta 'analiżi fi problemi tal-komputazzjoni?</v>
      </c>
    </row>
    <row r="5050" ht="15.75" customHeight="1">
      <c r="A5050" s="2" t="s">
        <v>5050</v>
      </c>
      <c r="B5050" s="2" t="str">
        <f>IFERROR(__xludf.DUMMYFUNCTION("GOOGLETRANSLATE(A5050, ""en"", ""mt"")"),"Fejn jista 'jinstab blat sedimentarju fl-istess ħin?")</f>
        <v>Fejn jista 'jinstab blat sedimentarju fl-istess ħin?</v>
      </c>
    </row>
    <row r="5051" ht="15.75" customHeight="1">
      <c r="A5051" s="2" t="s">
        <v>5051</v>
      </c>
      <c r="B5051" s="2" t="str">
        <f>IFERROR(__xludf.DUMMYFUNCTION("GOOGLETRANSLATE(A5051, ""en"", ""mt"")"),"Bell Northern Research")</f>
        <v>Bell Northern Research</v>
      </c>
    </row>
    <row r="5052" ht="15.75" customHeight="1">
      <c r="A5052" s="2" t="s">
        <v>5052</v>
      </c>
      <c r="B5052" s="2" t="str">
        <f>IFERROR(__xludf.DUMMYFUNCTION("GOOGLETRANSLATE(A5052, ""en"", ""mt"")"),"Prinċep ta ’Płock")</f>
        <v>Prinċep ta ’Płock</v>
      </c>
    </row>
    <row r="5053" ht="15.75" customHeight="1">
      <c r="A5053" s="2" t="s">
        <v>5053</v>
      </c>
      <c r="B5053" s="2" t="str">
        <f>IFERROR(__xludf.DUMMYFUNCTION("GOOGLETRANSLATE(A5053, ""en"", ""mt"")"),"Liema xogħol jirrikjedi li dak il-membru jkun taħt it-18?")</f>
        <v>Liema xogħol jirrikjedi li dak il-membru jkun taħt it-18?</v>
      </c>
    </row>
    <row r="5054" ht="15.75" customHeight="1">
      <c r="A5054" s="2" t="s">
        <v>5054</v>
      </c>
      <c r="B5054" s="2" t="str">
        <f>IFERROR(__xludf.DUMMYFUNCTION("GOOGLETRANSLATE(A5054, ""en"", ""mt"")"),"L-evalwazzjoni tal-foresta tropikali tal-Amażonja kienet ristretta wara liema era?")</f>
        <v>L-evalwazzjoni tal-foresta tropikali tal-Amażonja kienet ristretta wara liema era?</v>
      </c>
    </row>
    <row r="5055" ht="15.75" customHeight="1">
      <c r="A5055" s="2" t="s">
        <v>5055</v>
      </c>
      <c r="B5055" s="2" t="str">
        <f>IFERROR(__xludf.DUMMYFUNCTION("GOOGLETRANSLATE(A5055, ""en"", ""mt"")"),"Meta miet Zhenjin?")</f>
        <v>Meta miet Zhenjin?</v>
      </c>
    </row>
    <row r="5056" ht="15.75" customHeight="1">
      <c r="A5056" s="2" t="s">
        <v>5056</v>
      </c>
      <c r="B5056" s="2" t="str">
        <f>IFERROR(__xludf.DUMMYFUNCTION("GOOGLETRANSLATE(A5056, ""en"", ""mt"")"),"Lenin")</f>
        <v>Lenin</v>
      </c>
    </row>
    <row r="5057" ht="15.75" customHeight="1">
      <c r="A5057" s="2" t="s">
        <v>5057</v>
      </c>
      <c r="B5057" s="2" t="str">
        <f>IFERROR(__xludf.DUMMYFUNCTION("GOOGLETRANSLATE(A5057, ""en"", ""mt"")")," L-imperjalizmu informali għadu dominanti; Madankollu, iktar xiex?")</f>
        <v> L-imperjalizmu informali għadu dominanti; Madankollu, iktar xiex?</v>
      </c>
    </row>
    <row r="5058" ht="15.75" customHeight="1">
      <c r="A5058" s="2" t="s">
        <v>5058</v>
      </c>
      <c r="B5058" s="2" t="str">
        <f>IFERROR(__xludf.DUMMYFUNCTION("GOOGLETRANSLATE(A5058, ""en"", ""mt"")"),"Meta Polonia Ekstraklasa rebħet il-kampjonat tal-pajjiż qabel l-2000?")</f>
        <v>Meta Polonia Ekstraklasa rebħet il-kampjonat tal-pajjiż qabel l-2000?</v>
      </c>
    </row>
    <row r="5059" ht="15.75" customHeight="1">
      <c r="A5059" s="2" t="s">
        <v>5059</v>
      </c>
      <c r="B5059" s="2" t="str">
        <f>IFERROR(__xludf.DUMMYFUNCTION("GOOGLETRANSLATE(A5059, ""en"", ""mt"")"),"X'inhu l-Istadju 1 fil-ħajja ta 'kont?")</f>
        <v>X'inhu l-Istadju 1 fil-ħajja ta 'kont?</v>
      </c>
    </row>
    <row r="5060" ht="15.75" customHeight="1">
      <c r="A5060" s="2" t="s">
        <v>5060</v>
      </c>
      <c r="B5060" s="2" t="str">
        <f>IFERROR(__xludf.DUMMYFUNCTION("GOOGLETRANSLATE(A5060, ""en"", ""mt"")"),"Meta Huguenots ikkolonizza fl-Amerika ta 'Fuq?")</f>
        <v>Meta Huguenots ikkolonizza fl-Amerika ta 'Fuq?</v>
      </c>
    </row>
    <row r="5061" ht="15.75" customHeight="1">
      <c r="A5061" s="2" t="s">
        <v>5061</v>
      </c>
      <c r="B5061" s="2" t="str">
        <f>IFERROR(__xludf.DUMMYFUNCTION("GOOGLETRANSLATE(A5061, ""en"", ""mt"")"),"12")</f>
        <v>12</v>
      </c>
    </row>
    <row r="5062" ht="15.75" customHeight="1">
      <c r="A5062" s="2" t="s">
        <v>5062</v>
      </c>
      <c r="B5062" s="2" t="str">
        <f>IFERROR(__xludf.DUMMYFUNCTION("GOOGLETRANSLATE(A5062, ""en"", ""mt"")"),"Minħabba l-ogħla kontenut ta 'ossiġnu tagħhom")</f>
        <v>Minħabba l-ogħla kontenut ta 'ossiġnu tagħhom</v>
      </c>
    </row>
    <row r="5063" ht="15.75" customHeight="1">
      <c r="A5063" s="2" t="s">
        <v>5063</v>
      </c>
      <c r="B5063" s="2" t="str">
        <f>IFERROR(__xludf.DUMMYFUNCTION("GOOGLETRANSLATE(A5063, ""en"", ""mt"")"),"90.20 K (−182.95 ° C, −297.31 ° F)")</f>
        <v>90.20 K (−182.95 ° C, −297.31 ° F)</v>
      </c>
    </row>
    <row r="5064" ht="15.75" customHeight="1">
      <c r="A5064" s="2" t="s">
        <v>5064</v>
      </c>
      <c r="B5064" s="2" t="str">
        <f>IFERROR(__xludf.DUMMYFUNCTION("GOOGLETRANSLATE(A5064, ""en"", ""mt"")"),"X'inhuma sinjali oħra ta 'insigurtà f'Mekka?")</f>
        <v>X'inhuma sinjali oħra ta 'insigurtà f'Mekka?</v>
      </c>
    </row>
    <row r="5065" ht="15.75" customHeight="1">
      <c r="A5065" s="2" t="s">
        <v>5065</v>
      </c>
      <c r="B5065" s="2" t="str">
        <f>IFERROR(__xludf.DUMMYFUNCTION("GOOGLETRANSLATE(A5065, ""en"", ""mt"")"),"Oġġett beda b'veloċità mhux żero")</f>
        <v>Oġġett beda b'veloċità mhux żero</v>
      </c>
    </row>
    <row r="5066" ht="15.75" customHeight="1">
      <c r="A5066" s="2" t="s">
        <v>5066</v>
      </c>
      <c r="B5066" s="2" t="str">
        <f>IFERROR(__xludf.DUMMYFUNCTION("GOOGLETRANSLATE(A5066, ""en"", ""mt"")"),"2.8%")</f>
        <v>2.8%</v>
      </c>
    </row>
    <row r="5067" ht="15.75" customHeight="1">
      <c r="A5067" s="2" t="s">
        <v>5067</v>
      </c>
      <c r="B5067" s="2" t="str">
        <f>IFERROR(__xludf.DUMMYFUNCTION("GOOGLETRANSLATE(A5067, ""en"", ""mt"")"),"Stephen Greenblatt")</f>
        <v>Stephen Greenblatt</v>
      </c>
    </row>
    <row r="5068" ht="15.75" customHeight="1">
      <c r="A5068" s="2" t="s">
        <v>5068</v>
      </c>
      <c r="B5068" s="2" t="str">
        <f>IFERROR(__xludf.DUMMYFUNCTION("GOOGLETRANSLATE(A5068, ""en"", ""mt"")"),"April 1943")</f>
        <v>April 1943</v>
      </c>
    </row>
    <row r="5069" ht="15.75" customHeight="1">
      <c r="A5069" s="2" t="s">
        <v>5069</v>
      </c>
      <c r="B5069" s="2" t="str">
        <f>IFERROR(__xludf.DUMMYFUNCTION("GOOGLETRANSLATE(A5069, ""en"", ""mt"")"),"Qawwija")</f>
        <v>Qawwija</v>
      </c>
    </row>
    <row r="5070" ht="15.75" customHeight="1">
      <c r="A5070" s="2" t="s">
        <v>5070</v>
      </c>
      <c r="B5070" s="2" t="str">
        <f>IFERROR(__xludf.DUMMYFUNCTION("GOOGLETRANSLATE(A5070, ""en"", ""mt"")"),"X'inhu l-isem tal-ktieb miktub mill-arkeologu Betty Meggers?")</f>
        <v>X'inhu l-isem tal-ktieb miktub mill-arkeologu Betty Meggers?</v>
      </c>
    </row>
    <row r="5071" ht="15.75" customHeight="1">
      <c r="A5071" s="2" t="s">
        <v>5071</v>
      </c>
      <c r="B5071" s="2" t="str">
        <f>IFERROR(__xludf.DUMMYFUNCTION("GOOGLETRANSLATE(A5071, ""en"", ""mt"")"),"Liema vertebrati tax-xedaq primittivi ma fihomx molekuli derivati ​​mill-limfoċiti?")</f>
        <v>Liema vertebrati tax-xedaq primittivi ma fihomx molekuli derivati ​​mill-limfoċiti?</v>
      </c>
    </row>
    <row r="5072" ht="15.75" customHeight="1">
      <c r="A5072" s="2" t="s">
        <v>5072</v>
      </c>
      <c r="B5072" s="2" t="str">
        <f>IFERROR(__xludf.DUMMYFUNCTION("GOOGLETRANSLATE(A5072, ""en"", ""mt"")"),"Il-Palazz ta 'Pariġi kien eżempju eċċezzjonali ta' x'tip ta 'arkitettura?")</f>
        <v>Il-Palazz ta 'Pariġi kien eżempju eċċezzjonali ta' x'tip ta 'arkitettura?</v>
      </c>
    </row>
    <row r="5073" ht="15.75" customHeight="1">
      <c r="A5073" s="2" t="s">
        <v>5073</v>
      </c>
      <c r="B5073" s="2" t="str">
        <f>IFERROR(__xludf.DUMMYFUNCTION("GOOGLETRANSLATE(A5073, ""en"", ""mt"")"),"Inventarji tal-gass serra")</f>
        <v>Inventarji tal-gass serra</v>
      </c>
    </row>
    <row r="5074" ht="15.75" customHeight="1">
      <c r="A5074" s="2" t="s">
        <v>5074</v>
      </c>
      <c r="B5074" s="2" t="str">
        <f>IFERROR(__xludf.DUMMYFUNCTION("GOOGLETRANSLATE(A5074, ""en"", ""mt"")"),"X'inhi l-ordni tal-bond tal-molekuli tad-dijossiġnu?")</f>
        <v>X'inhi l-ordni tal-bond tal-molekuli tad-dijossiġnu?</v>
      </c>
    </row>
    <row r="5075" ht="15.75" customHeight="1">
      <c r="A5075" s="2" t="s">
        <v>5075</v>
      </c>
      <c r="B5075" s="2" t="str">
        <f>IFERROR(__xludf.DUMMYFUNCTION("GOOGLETRANSLATE(A5075, ""en"", ""mt"")"),"Euutelsat's Eurobind 1")</f>
        <v>Euutelsat's Eurobind 1</v>
      </c>
    </row>
    <row r="5076" ht="15.75" customHeight="1">
      <c r="A5076" s="2" t="s">
        <v>5076</v>
      </c>
      <c r="B5076" s="2" t="str">
        <f>IFERROR(__xludf.DUMMYFUNCTION("GOOGLETRANSLATE(A5076, ""en"", ""mt"")"),"il-massa () u r-raġġ () tad-dinja")</f>
        <v>il-massa () u r-raġġ () tad-dinja</v>
      </c>
    </row>
    <row r="5077" ht="15.75" customHeight="1">
      <c r="A5077" s="2" t="s">
        <v>5077</v>
      </c>
      <c r="B5077" s="2" t="str">
        <f>IFERROR(__xludf.DUMMYFUNCTION("GOOGLETRANSLATE(A5077, ""en"", ""mt"")"),"Il-forza tax-xita naqset milli tiffjorixxi matul liema perjodi?")</f>
        <v>Il-forza tax-xita naqset milli tiffjorixxi matul liema perjodi?</v>
      </c>
    </row>
    <row r="5078" ht="15.75" customHeight="1">
      <c r="A5078" s="2" t="s">
        <v>5078</v>
      </c>
      <c r="B5078" s="2" t="str">
        <f>IFERROR(__xludf.DUMMYFUNCTION("GOOGLETRANSLATE(A5078, ""en"", ""mt"")"),"~ 3000 yr bp")</f>
        <v>~ 3000 yr bp</v>
      </c>
    </row>
    <row r="5079" ht="15.75" customHeight="1">
      <c r="A5079" s="2" t="s">
        <v>5079</v>
      </c>
      <c r="B5079" s="2" t="str">
        <f>IFERROR(__xludf.DUMMYFUNCTION("GOOGLETRANSLATE(A5079, ""en"", ""mt"")"),"X'jagħmel livelli għoljin ta 'inugwaljanza għat-tkabbir f'pajjiżi foqra?")</f>
        <v>X'jagħmel livelli għoljin ta 'inugwaljanza għat-tkabbir f'pajjiżi foqra?</v>
      </c>
    </row>
    <row r="5080" ht="15.75" customHeight="1">
      <c r="A5080" s="2" t="s">
        <v>5080</v>
      </c>
      <c r="B5080" s="2" t="str">
        <f>IFERROR(__xludf.DUMMYFUNCTION("GOOGLETRANSLATE(A5080, ""en"", ""mt"")"),"X'tip ta 'ċirku kommutattiv it-teorema tal-ideali ewlenin jesprimi kull ideali bħala intersezzjoni ta' l-aritmetika Noetherian?")</f>
        <v>X'tip ta 'ċirku kommutattiv it-teorema tal-ideali ewlenin jesprimi kull ideali bħala intersezzjoni ta' l-aritmetika Noetherian?</v>
      </c>
    </row>
    <row r="5081" ht="15.75" customHeight="1">
      <c r="A5081" s="2" t="s">
        <v>5081</v>
      </c>
      <c r="B5081" s="2" t="str">
        <f>IFERROR(__xludf.DUMMYFUNCTION("GOOGLETRANSLATE(A5081, ""en"", ""mt"")")," Kif argumenta Hobson biex ma teħlesx id-dinja tal-imperjalizmu?")</f>
        <v> Kif argumenta Hobson biex ma teħlesx id-dinja tal-imperjalizmu?</v>
      </c>
    </row>
    <row r="5082" ht="15.75" customHeight="1">
      <c r="A5082" s="2" t="s">
        <v>5082</v>
      </c>
      <c r="B5082" s="2" t="str">
        <f>IFERROR(__xludf.DUMMYFUNCTION("GOOGLETRANSLATE(A5082, ""en"", ""mt"")"),"Davies u Baran ikkollaboraw fi kwalunkwe punt wara li t-tnejn żviluppaw dan il-kunċett?")</f>
        <v>Davies u Baran ikkollaboraw fi kwalunkwe punt wara li t-tnejn żviluppaw dan il-kunċett?</v>
      </c>
    </row>
    <row r="5083" ht="15.75" customHeight="1">
      <c r="A5083" s="2" t="s">
        <v>5083</v>
      </c>
      <c r="B5083" s="2" t="str">
        <f>IFERROR(__xludf.DUMMYFUNCTION("GOOGLETRANSLATE(A5083, ""en"", ""mt"")"),"Minn kemm żiedet in-Navy is-sentenza tal-imputat?")</f>
        <v>Minn kemm żiedet in-Navy is-sentenza tal-imputat?</v>
      </c>
    </row>
    <row r="5084" ht="15.75" customHeight="1">
      <c r="A5084" s="2" t="s">
        <v>5084</v>
      </c>
      <c r="B5084" s="2" t="str">
        <f>IFERROR(__xludf.DUMMYFUNCTION("GOOGLETRANSLATE(A5084, ""en"", ""mt"")"),"Il-Qorti Ewropea tal-Ġustizzja")</f>
        <v>Il-Qorti Ewropea tal-Ġustizzja</v>
      </c>
    </row>
    <row r="5085" ht="15.75" customHeight="1">
      <c r="A5085" s="2" t="s">
        <v>5085</v>
      </c>
      <c r="B5085" s="2" t="str">
        <f>IFERROR(__xludf.DUMMYFUNCTION("GOOGLETRANSLATE(A5085, ""en"", ""mt"")"),"turbina konnessa ma 'ġeneratur elettriku")</f>
        <v>turbina konnessa ma 'ġeneratur elettriku</v>
      </c>
    </row>
    <row r="5086" ht="15.75" customHeight="1">
      <c r="A5086" s="2" t="s">
        <v>5086</v>
      </c>
      <c r="B5086" s="2" t="str">
        <f>IFERROR(__xludf.DUMMYFUNCTION("GOOGLETRANSLATE(A5086, ""en"", ""mt"")"),"Liema lag fih parti mir-Rhine Falls?")</f>
        <v>Liema lag fih parti mir-Rhine Falls?</v>
      </c>
    </row>
    <row r="5087" ht="15.75" customHeight="1">
      <c r="A5087" s="2" t="s">
        <v>5087</v>
      </c>
      <c r="B5087" s="2" t="str">
        <f>IFERROR(__xludf.DUMMYFUNCTION("GOOGLETRANSLATE(A5087, ""en"", ""mt"")"),"Il-membri tal-Fratellanza huma kontra li jikkunsmaw liema xorb?")</f>
        <v>Il-membri tal-Fratellanza huma kontra li jikkunsmaw liema xorb?</v>
      </c>
    </row>
    <row r="5088" ht="15.75" customHeight="1">
      <c r="A5088" s="2" t="s">
        <v>5088</v>
      </c>
      <c r="B5088" s="2" t="str">
        <f>IFERROR(__xludf.DUMMYFUNCTION("GOOGLETRANSLATE(A5088, ""en"", ""mt"")"),"terz")</f>
        <v>terz</v>
      </c>
    </row>
    <row r="5089" ht="15.75" customHeight="1">
      <c r="A5089" s="2" t="s">
        <v>5089</v>
      </c>
      <c r="B5089" s="2" t="str">
        <f>IFERROR(__xludf.DUMMYFUNCTION("GOOGLETRANSLATE(A5089, ""en"", ""mt"")"),"Ir-raba ', il-qrati nazzjonali għandhom id-dmir li jinterpretaw il-liġi domestika ""kemm jista' jkun fid-dawl tal-kliem u l-iskop tad-direttiva"". Il-kotba tat-test (għalkemm mhux il-qorti nnifisha) spiss jissejħu dan l- ""effett indirett"". Fil-marleasin"&amp;"g sa v la comercial sa l-qorti tal-ġustizzja ddeċidiet li qorti Spanjola kellha tinterpreta d-dispożizzjonijiet ġenerali tal-kodiċi ċivili tagħha, fuq kuntratti li m'għandhomx kawża jew li jeqirdu l-kredituri, biex jikkonformaw mal-ewwel Artikolu tal-Liġi"&amp;" tal-Liġi 11 tal-Kumpanija, li meħtieġa inkorporazzjonijiet ikunu biss annulifikat għal lista fissa ta 'raġunijiet. Il-Qorti tal-Ġustizzja malajr irrikonoxxiet li d-dmir ta 'interpretazzjoni ma jistax jikkontradixxi kliem sempliċi fi statut nazzjonali. Iż"&amp;"da, il-ħames, jekk stat membru naqas milli jimplimenta direttiva, ċittadin jista 'ma jkunx jista' jġib talbiet kontra partijiet oħra mhux statali, iżda jista 'jħarrek lill-Istat Membru nnifsu minħabba nuqqas ta' implimentazzjoni tal-liġi. Allura, fi Franc"&amp;"ovich vs l-Italja, il-gvern Taljan naqas milli jwaqqaf fond ta 'assigurazzjoni għall-impjegati biex jitolbu pagi mhux imħallsa jekk min iħaddemhom kienu marru insolventi, kif kienet meħtieġa d-Direttiva dwar il-Protezzjoni ta' l-Insolvenza. Francovich, l-"&amp;"ex impjegat ta 'ditta Venezjana falluta, għalhekk tħalla jitlob 6 miljun lira mill-gvern Taljan dwar danni għat-telf tiegħu. Il-Qorti tal-Ġustizzja ddeċidiet li jekk direttiva tagħti drittijiet identifikabbli fuq individwi, u hemm rabta kawżali bejn il-ks"&amp;"ur tal-istat membru tal-UE u t-telf ta 'pretendent, għandhom jitħallsu d-danni. Il-fatt li l-liġi inkompatibbli hija att tal-parlament huwa l-ebda difiża.")</f>
        <v>Ir-raba ', il-qrati nazzjonali għandhom id-dmir li jinterpretaw il-liġi domestika "kemm jista' jkun fid-dawl tal-kliem u l-iskop tad-direttiva". Il-kotba tat-test (għalkemm mhux il-qorti nnifisha) spiss jissejħu dan l- "effett indirett". Fil-marleasing sa v la comercial sa l-qorti tal-ġustizzja ddeċidiet li qorti Spanjola kellha tinterpreta d-dispożizzjonijiet ġenerali tal-kodiċi ċivili tagħha, fuq kuntratti li m'għandhomx kawża jew li jeqirdu l-kredituri, biex jikkonformaw mal-ewwel Artikolu tal-Liġi tal-Liġi 11 tal-Kumpanija, li meħtieġa inkorporazzjonijiet ikunu biss annulifikat għal lista fissa ta 'raġunijiet. Il-Qorti tal-Ġustizzja malajr irrikonoxxiet li d-dmir ta 'interpretazzjoni ma jistax jikkontradixxi kliem sempliċi fi statut nazzjonali. Iżda, il-ħames, jekk stat membru naqas milli jimplimenta direttiva, ċittadin jista 'ma jkunx jista' jġib talbiet kontra partijiet oħra mhux statali, iżda jista 'jħarrek lill-Istat Membru nnifsu minħabba nuqqas ta' implimentazzjoni tal-liġi. Allura, fi Francovich vs l-Italja, il-gvern Taljan naqas milli jwaqqaf fond ta 'assigurazzjoni għall-impjegati biex jitolbu pagi mhux imħallsa jekk min iħaddemhom kienu marru insolventi, kif kienet meħtieġa d-Direttiva dwar il-Protezzjoni ta' l-Insolvenza. Francovich, l-ex impjegat ta 'ditta Venezjana falluta, għalhekk tħalla jitlob 6 miljun lira mill-gvern Taljan dwar danni għat-telf tiegħu. Il-Qorti tal-Ġustizzja ddeċidiet li jekk direttiva tagħti drittijiet identifikabbli fuq individwi, u hemm rabta kawżali bejn il-ksur tal-istat membru tal-UE u t-telf ta 'pretendent, għandhom jitħallsu d-danni. Il-fatt li l-liġi inkompatibbli hija att tal-parlament huwa l-ebda difiża.</v>
      </c>
    </row>
    <row r="5090" ht="15.75" customHeight="1">
      <c r="A5090" s="2" t="s">
        <v>5090</v>
      </c>
      <c r="B5090" s="2" t="str">
        <f>IFERROR(__xludf.DUMMYFUNCTION("GOOGLETRANSLATE(A5090, ""en"", ""mt"")"),"Avveniment ewlieni")</f>
        <v>Avveniment ewlieni</v>
      </c>
    </row>
    <row r="5091" ht="15.75" customHeight="1">
      <c r="A5091" s="2" t="s">
        <v>5091</v>
      </c>
      <c r="B5091" s="2" t="str">
        <f>IFERROR(__xludf.DUMMYFUNCTION("GOOGLETRANSLATE(A5091, ""en"", ""mt"")"),"Min ħatar Gegeen bħala Gran Kanċillier?")</f>
        <v>Min ħatar Gegeen bħala Gran Kanċillier?</v>
      </c>
    </row>
    <row r="5092" ht="15.75" customHeight="1">
      <c r="A5092" s="2" t="s">
        <v>5092</v>
      </c>
      <c r="B5092" s="2" t="str">
        <f>IFERROR(__xludf.DUMMYFUNCTION("GOOGLETRANSLATE(A5092, ""en"", ""mt"")"),"Ossidu Merkuriku")</f>
        <v>Ossidu Merkuriku</v>
      </c>
    </row>
    <row r="5093" ht="15.75" customHeight="1">
      <c r="A5093" s="2" t="s">
        <v>5093</v>
      </c>
      <c r="B5093" s="2" t="str">
        <f>IFERROR(__xludf.DUMMYFUNCTION("GOOGLETRANSLATE(A5093, ""en"", ""mt"")"),"Imperjalizmu kulturali")</f>
        <v>Imperjalizmu kulturali</v>
      </c>
    </row>
    <row r="5094" ht="15.75" customHeight="1">
      <c r="A5094" s="2" t="s">
        <v>5094</v>
      </c>
      <c r="B5094" s="2" t="str">
        <f>IFERROR(__xludf.DUMMYFUNCTION("GOOGLETRANSLATE(A5094, ""en"", ""mt"")"),"ix-Xlokk tal-Awstralja")</f>
        <v>ix-Xlokk tal-Awstralja</v>
      </c>
    </row>
    <row r="5095" ht="15.75" customHeight="1">
      <c r="A5095" s="2" t="s">
        <v>5095</v>
      </c>
      <c r="B5095" s="2" t="str">
        <f>IFERROR(__xludf.DUMMYFUNCTION("GOOGLETRANSLATE(A5095, ""en"", ""mt"")"),"Besh Baliq, Almaliq, u Samarqand")</f>
        <v>Besh Baliq, Almaliq, u Samarqand</v>
      </c>
    </row>
    <row r="5096" ht="15.75" customHeight="1">
      <c r="A5096" s="2" t="s">
        <v>5096</v>
      </c>
      <c r="B5096" s="2" t="str">
        <f>IFERROR(__xludf.DUMMYFUNCTION("GOOGLETRANSLATE(A5096, ""en"", ""mt"")"),"X’xtrat Cambridge f’Allston?")</f>
        <v>X’xtrat Cambridge f’Allston?</v>
      </c>
    </row>
    <row r="5097" ht="15.75" customHeight="1">
      <c r="A5097" s="2" t="s">
        <v>5097</v>
      </c>
      <c r="B5097" s="2" t="str">
        <f>IFERROR(__xludf.DUMMYFUNCTION("GOOGLETRANSLATE(A5097, ""en"", ""mt"")"),"Matul liema ħin iċ-ċiviltà fl-Amażonja kienet qed tiffjorixxi meta Orellana għamel l-osservazzjonijiet tiegħu?")</f>
        <v>Matul liema ħin iċ-ċiviltà fl-Amażonja kienet qed tiffjorixxi meta Orellana għamel l-osservazzjonijiet tiegħu?</v>
      </c>
    </row>
    <row r="5098" ht="15.75" customHeight="1">
      <c r="A5098" s="2" t="s">
        <v>5098</v>
      </c>
      <c r="B5098" s="2" t="str">
        <f>IFERROR(__xludf.DUMMYFUNCTION("GOOGLETRANSLATE(A5098, ""en"", ""mt"")"),"Dak li jonqos malajr hekk kif id-dħul per capita jiżdied?")</f>
        <v>Dak li jonqos malajr hekk kif id-dħul per capita jiżdied?</v>
      </c>
    </row>
    <row r="5099" ht="15.75" customHeight="1">
      <c r="A5099" s="2" t="s">
        <v>5099</v>
      </c>
      <c r="B5099" s="2" t="str">
        <f>IFERROR(__xludf.DUMMYFUNCTION("GOOGLETRANSLATE(A5099, ""en"", ""mt"")"),"Fiċ-ċiklu ta 'Rankine, f'liema stat irċieva l-fluwidu tax-xogħol fil-fwar?")</f>
        <v>Fiċ-ċiklu ta 'Rankine, f'liema stat irċieva l-fluwidu tax-xogħol fil-fwar?</v>
      </c>
    </row>
    <row r="5100" ht="15.75" customHeight="1">
      <c r="A5100" s="2" t="s">
        <v>5100</v>
      </c>
      <c r="B5100" s="2" t="str">
        <f>IFERROR(__xludf.DUMMYFUNCTION("GOOGLETRANSLATE(A5100, ""en"", ""mt"")"),"Liema battalja barra l-Belt ta 'Quebec tilfu l-Ingliżi fl-1706?")</f>
        <v>Liema battalja barra l-Belt ta 'Quebec tilfu l-Ingliżi fl-1706?</v>
      </c>
    </row>
    <row r="5101" ht="15.75" customHeight="1">
      <c r="A5101" s="2" t="s">
        <v>5101</v>
      </c>
      <c r="B5101" s="2" t="str">
        <f>IFERROR(__xludf.DUMMYFUNCTION("GOOGLETRANSLATE(A5101, ""en"", ""mt"")"),"Boudins")</f>
        <v>Boudins</v>
      </c>
    </row>
    <row r="5102" ht="15.75" customHeight="1">
      <c r="A5102" s="2" t="s">
        <v>5102</v>
      </c>
      <c r="B5102" s="2" t="str">
        <f>IFERROR(__xludf.DUMMYFUNCTION("GOOGLETRANSLATE(A5102, ""en"", ""mt"")"),"Rheinrinne")</f>
        <v>Rheinrinne</v>
      </c>
    </row>
    <row r="5103" ht="15.75" customHeight="1">
      <c r="A5103" s="2" t="s">
        <v>5103</v>
      </c>
      <c r="B5103" s="2" t="str">
        <f>IFERROR(__xludf.DUMMYFUNCTION("GOOGLETRANSLATE(A5103, ""en"", ""mt"")"),"Aktar minn 12-il miljun abitant")</f>
        <v>Aktar minn 12-il miljun abitant</v>
      </c>
    </row>
    <row r="5104" ht="15.75" customHeight="1">
      <c r="A5104" s="2" t="s">
        <v>5104</v>
      </c>
      <c r="B5104" s="2" t="str">
        <f>IFERROR(__xludf.DUMMYFUNCTION("GOOGLETRANSLATE(A5104, ""en"", ""mt"")"),"Kemm il-popolazzjoni ta 'Varsavja kienet Lhudija?")</f>
        <v>Kemm il-popolazzjoni ta 'Varsavja kienet Lhudija?</v>
      </c>
    </row>
    <row r="5105" ht="15.75" customHeight="1">
      <c r="A5105" s="2" t="s">
        <v>5105</v>
      </c>
      <c r="B5105" s="2" t="str">
        <f>IFERROR(__xludf.DUMMYFUNCTION("GOOGLETRANSLATE(A5105, ""en"", ""mt"")"),"Jekk il-kap tal-gvern ta 'pajjiż kellu jirrifjuta li jinforza deċiżjoni tal-ogħla qorti ta' dak il-pajjiż")</f>
        <v>Jekk il-kap tal-gvern ta 'pajjiż kellu jirrifjuta li jinforza deċiżjoni tal-ogħla qorti ta' dak il-pajjiż</v>
      </c>
    </row>
    <row r="5106" ht="15.75" customHeight="1">
      <c r="A5106" s="2" t="s">
        <v>5106</v>
      </c>
      <c r="B5106" s="2" t="str">
        <f>IFERROR(__xludf.DUMMYFUNCTION("GOOGLETRANSLATE(A5106, ""en"", ""mt"")"),"Epossidi")</f>
        <v>Epossidi</v>
      </c>
    </row>
    <row r="5107" ht="15.75" customHeight="1">
      <c r="A5107" s="2" t="s">
        <v>5107</v>
      </c>
      <c r="B5107" s="2" t="str">
        <f>IFERROR(__xludf.DUMMYFUNCTION("GOOGLETRANSLATE(A5107, ""en"", ""mt"")"),"Simulazzjoni ta 'dak li huwa konsistenti f'mudelli differenti?")</f>
        <v>Simulazzjoni ta 'dak li huwa konsistenti f'mudelli differenti?</v>
      </c>
    </row>
    <row r="5108" ht="15.75" customHeight="1">
      <c r="A5108" s="2" t="s">
        <v>5108</v>
      </c>
      <c r="B5108" s="2" t="str">
        <f>IFERROR(__xludf.DUMMYFUNCTION("GOOGLETRANSLATE(A5108, ""en"", ""mt"")"),"Stephen Eilmann juri liġi moħbija li tkisser fil-Ġermanja Nażista. Iċ-ċittadin illegalment kien qed jagħmel xiex?")</f>
        <v>Stephen Eilmann juri liġi moħbija li tkisser fil-Ġermanja Nażista. Iċ-ċittadin illegalment kien qed jagħmel xiex?</v>
      </c>
    </row>
    <row r="5109" ht="15.75" customHeight="1">
      <c r="A5109" s="2" t="s">
        <v>5109</v>
      </c>
      <c r="B5109" s="2" t="str">
        <f>IFERROR(__xludf.DUMMYFUNCTION("GOOGLETRANSLATE(A5109, ""en"", ""mt"")"),"Algoritmi Randomizzati")</f>
        <v>Algoritmi Randomizzati</v>
      </c>
    </row>
    <row r="5110" ht="15.75" customHeight="1">
      <c r="A5110" s="2" t="s">
        <v>5110</v>
      </c>
      <c r="B5110" s="2" t="str">
        <f>IFERROR(__xludf.DUMMYFUNCTION("GOOGLETRANSLATE(A5110, ""en"", ""mt"")"),"Meta l-kapaċitajiet ta 'persuna jitbaxxew, huma b'xi mod jiġu mċaħħda milli jaqilgħu daqs kemm kienu. Raġel xiħ u ħażin ma jistax jaqla 'daqs żagħżugħ b'saħħtu; Ir-rwoli tas-sessi u d-drawwiet jistgħu jipprevjenu mara milli tirċievi edukazzjoni jew taħdem"&amp;" barra mid-dar. Jista 'jkun hemm epidemija li tikkawża paniku mifrux, jew jista' jkun hemm vjolenza rampanti fiż-żona li tipprevjeni lin-nies milli jmorru jaħdmu minħabba l-biża 'ta' ħajjithom. Bħala riżultat, id-dħul u l-inugwaljanza ekonomika jiżdied, u"&amp;" jsir iktar diffiċli li titnaqqas id-distakk mingħajr għajnuna addizzjonali. Biex tevita din l-inugwaljanza, dan l-approċċ jemmen li huwa importanti li jkollok libertà politika, faċilitajiet ekonomiċi, opportunitajiet soċjali, garanziji ta 'trasparenza u "&amp;"sigurtà protettiva biex tiżgura li n-nies ma jiġux miċħuda l-funzjonazzjonijiet, il-kapaċitajiet, u l-aġenzija tagħhom u jistgħu għalhekk jaħdmu lejn relevanti aħjar dħul.")</f>
        <v>Meta l-kapaċitajiet ta 'persuna jitbaxxew, huma b'xi mod jiġu mċaħħda milli jaqilgħu daqs kemm kienu. Raġel xiħ u ħażin ma jistax jaqla 'daqs żagħżugħ b'saħħtu; Ir-rwoli tas-sessi u d-drawwiet jistgħu jipprevjenu mara milli tirċievi edukazzjoni jew taħdem barra mid-dar. Jista 'jkun hemm epidemija li tikkawża paniku mifrux, jew jista' jkun hemm vjolenza rampanti fiż-żona li tipprevjeni lin-nies milli jmorru jaħdmu minħabba l-biża 'ta' ħajjithom. Bħala riżultat, id-dħul u l-inugwaljanza ekonomika jiżdied, u jsir iktar diffiċli li titnaqqas id-distakk mingħajr għajnuna addizzjonali. Biex tevita din l-inugwaljanza, dan l-approċċ jemmen li huwa importanti li jkollok libertà politika, faċilitajiet ekonomiċi, opportunitajiet soċjali, garanziji ta 'trasparenza u sigurtà protettiva biex tiżgura li n-nies ma jiġux miċħuda l-funzjonazzjonijiet, il-kapaċitajiet, u l-aġenzija tagħhom u jistgħu għalhekk jaħdmu lejn relevanti aħjar dħul.</v>
      </c>
    </row>
    <row r="5111" ht="15.75" customHeight="1">
      <c r="A5111" s="2" t="s">
        <v>5111</v>
      </c>
      <c r="B5111" s="2" t="str">
        <f>IFERROR(__xludf.DUMMYFUNCTION("GOOGLETRANSLATE(A5111, ""en"", ""mt"")"),"Meta n-Weavers ġew konvertiti f'ristorant?")</f>
        <v>Meta n-Weavers ġew konvertiti f'ristorant?</v>
      </c>
    </row>
    <row r="5112" ht="15.75" customHeight="1">
      <c r="A5112" s="2" t="s">
        <v>5112</v>
      </c>
      <c r="B5112" s="2" t="str">
        <f>IFERROR(__xludf.DUMMYFUNCTION("GOOGLETRANSLATE(A5112, ""en"", ""mt"")"),"Liema proklamazzjoni tat lil Huguenots privileġġi speċjali fi Brandenburg?")</f>
        <v>Liema proklamazzjoni tat lil Huguenots privileġġi speċjali fi Brandenburg?</v>
      </c>
    </row>
    <row r="5113" ht="15.75" customHeight="1">
      <c r="A5113" s="2" t="s">
        <v>5113</v>
      </c>
      <c r="B5113" s="2" t="str">
        <f>IFERROR(__xludf.DUMMYFUNCTION("GOOGLETRANSLATE(A5113, ""en"", ""mt"")"),"Il-magna Uniflow hija tentattiv biex tiffissa kwistjoni li tqum f'liema ċiklu?")</f>
        <v>Il-magna Uniflow hija tentattiv biex tiffissa kwistjoni li tqum f'liema ċiklu?</v>
      </c>
    </row>
    <row r="5114" ht="15.75" customHeight="1">
      <c r="A5114" s="2" t="s">
        <v>5114</v>
      </c>
      <c r="B5114" s="2" t="str">
        <f>IFERROR(__xludf.DUMMYFUNCTION("GOOGLETRANSLATE(A5114, ""en"", ""mt"")"),"Min japplika l-liġi tal-Unjoni Amerikana?")</f>
        <v>Min japplika l-liġi tal-Unjoni Amerikana?</v>
      </c>
    </row>
    <row r="5115" ht="15.75" customHeight="1">
      <c r="A5115" s="2" t="s">
        <v>5115</v>
      </c>
      <c r="B5115" s="2" t="str">
        <f>IFERROR(__xludf.DUMMYFUNCTION("GOOGLETRANSLATE(A5115, ""en"", ""mt"")"),"kieku ma kinux diskriminatorji, ""ġustifikati minn rekwiżiti imperattivi fl-interess ġenerali"" u applikati b'mod proporzjonat")</f>
        <v>kieku ma kinux diskriminatorji, "ġustifikati minn rekwiżiti imperattivi fl-interess ġenerali" u applikati b'mod proporzjonat</v>
      </c>
    </row>
    <row r="5116" ht="15.75" customHeight="1">
      <c r="A5116" s="2" t="s">
        <v>5116</v>
      </c>
      <c r="B5116" s="2" t="str">
        <f>IFERROR(__xludf.DUMMYFUNCTION("GOOGLETRANSLATE(A5116, ""en"", ""mt"")"),"Bejn is-snin 1880 u t-Tieni Gwerra Dinjija, id-downtown Fresno iffjorixxa, mimli karozzi tat-triq elettrika, u kien fih uħud mill-isbaħ bini arkitettoniku tal-Wied ta 'San Joaquin. Fost dawn, il-Qorti oriġinali tal-Kontea ta 'Fresno (imwaqqa), il-Librerij"&amp;"a Pubblika ta' Fresno Carnegie (imwaqqa), it-Torri tal-Ilma Fresno, il-Bank tal-Bank of Italja, il-Bini tal-Lbiċ tal-Paċifiku, il-bini tad-dawl u l-enerġija ta 'San Joaquin (bħalissa magħruf bħala l-Grand 1401), u l-lukanda Hughes (maħruqa), biex insemmu "&amp;"xi ftit.")</f>
        <v>Bejn is-snin 1880 u t-Tieni Gwerra Dinjija, id-downtown Fresno iffjorixxa, mimli karozzi tat-triq elettrika, u kien fih uħud mill-isbaħ bini arkitettoniku tal-Wied ta 'San Joaquin. Fost dawn, il-Qorti oriġinali tal-Kontea ta 'Fresno (imwaqqa), il-Librerija Pubblika ta' Fresno Carnegie (imwaqqa), it-Torri tal-Ilma Fresno, il-Bank tal-Bank of Italja, il-Bini tal-Lbiċ tal-Paċifiku, il-bini tad-dawl u l-enerġija ta 'San Joaquin (bħalissa magħruf bħala l-Grand 1401), u l-lukanda Hughes (maħruqa), biex insemmu xi ftit.</v>
      </c>
    </row>
    <row r="5117" ht="15.75" customHeight="1">
      <c r="A5117" s="2" t="s">
        <v>5117</v>
      </c>
      <c r="B5117" s="2" t="str">
        <f>IFERROR(__xludf.DUMMYFUNCTION("GOOGLETRANSLATE(A5117, ""en"", ""mt"")"),"Kemm hija frekwenti l-borra fil-Lbiċ ta 'l-Istat?")</f>
        <v>Kemm hija frekwenti l-borra fil-Lbiċ ta 'l-Istat?</v>
      </c>
    </row>
    <row r="5118" ht="15.75" customHeight="1">
      <c r="A5118" s="2" t="s">
        <v>5118</v>
      </c>
      <c r="B5118" s="2" t="str">
        <f>IFERROR(__xludf.DUMMYFUNCTION("GOOGLETRANSLATE(A5118, ""en"", ""mt"")"),"Ħafna drabi r-regoli japplikaw għall-oġġetti kollha newtralment, iżda jista 'jkollhom effett prattiku akbar fuq l-importazzjonijiet minn prodotti domestiċi. Għal dawn il-Qorti tal-Ġustizzja ""indiretti"" (jew ""indistindament applikabbli"", il-Qorti tal-Ġ"&amp;"ustizzja żviluppat aktar ġustifikazzjonijiet: jew dawk fl-Artikolu 36, jew ħtiġijiet addizzjonali ""obbligatorji"" jew ""importanti"" bħall-protezzjoni tal-konsumatur, itejbu l-istandards tax-xogħol, il-ħarsien tal-istandards tax-xogħol Ambjent, diversità"&amp;" tal-istampa, ġustizzja fil-kummerċ, u aktar: il-kategoriji mhumiex magħluqa. Fil-każ l-iktar famuż Rewe-Zentral Ag V Bundesmonopol für Branntwein, il-Qorti tal-Ġustizzja sabet li liġi Ġermaniża li teħtieġ li l-ispirti u l-likuri kollha (mhux biss dawk im"&amp;"portati) ikollhom kontenut minimu ta 'alkoħol ta '25 fil-mija kien kuntrarju għall-Artikolu 34 tat-TFEU 34 , minħabba li kellha effett negattiv akbar fuq l-importazzjonijiet. Il-likuri Ġermaniżi kellhom aktar minn 25 fil-mija ta 'alkoħol, iżda Cassis de D"&amp;"ijon, li Rew-Zentrale Ag xtaq jimporta minn Franza, kellu biss 15 sa 20 fil-mija ta' alkoħol. Il-Qorti tal-Ġustizzja ċaħdet l-argumenti tal-gvern Ġermaniż li l-miżura protetta proporzjonalment is-saħħa pubblika taħt l-Artikolu 36 tat-TFEU, minħabba li x-x"&amp;"orb aktar qawwi kien disponibbli u t-tikkettar adegwat ikun biżżejjed biex il-konsumaturi jifhmu dak li xtraw. Din ir-regola tapplika primarjament għal rekwiżiti dwar il-kontenut jew l-imballaġġ ta 'prodott. Fil-Walter Rau Lebensmittelke v De Smedt Pvba, "&amp;"il-Qorti tal-Ġustizzja sabet li liġi Belġjana li teħtieġ li l-marġerina kollha tkun fil-pakketti tal-forma ta ’kubu li kisret l-Artikolu 34, u ma kinitx iġġustifikata mill-insegwiment tal-protezzjoni tal-konsumatur. L-argument li l-Belġjani kienu jemmnu l"&amp;"i kien butir kieku ma kienx iffurmat kubu kien sproporzjonat: ""jaqbeż konsiderevolment ir-rekwiżiti tal-oġġett fil-vista"" u l-ittikkettjar jipproteġi lill-konsumaturi ""daqstant effettivament"". F'każ ta 'l-2003, il-liġi Taljana tal-Kummissjoni v Italja"&amp;" kienet teħtieġ li l-prodotti tal-kawkaw li kienu jinkludu xaħmijiet veġetali oħra ma jistgħux jiġu ttikkettjati bħala ""ċikkulata"". Kellu jkun ""sostitut taċ-ċikkulata"". Iċ-ċikkulata kollha Taljana kienet magħmula mill-butir tal-kawkaw waħedha, iżda l-"&amp;"manifatturi Ingliżi, Daniżi u Irlandiżi użaw xaħmijiet veġetali oħra. Huma ddikjaraw li l-liġi kisret l-Artikolu 34. Il-Qorti tal-Ġustizzja ddeċidiet li kontenut baxx ta 'xaħam tal-ħaxix ma jiġġustifikax tikketta ""sostitut taċ-ċikkulata"". Dan kien derog"&amp;"atorju f'għajnejn il-konsumaturi. ""Dikjarazzjoni newtrali u oġġettiva"" kienet biżżejjed biex tipproteġi lill-konsumaturi. Jekk l-istati membri jpoġġu ostakli konsiderevoli dwar l-użu ta 'prodott, dan jista' jikser ukoll l-Artikolu 34. Allura, f'każ tal-"&amp;"2009, il-Kummissjoni v l-Italja, il-Qorti tal-Ġustizzja ddeċidiet li liġi Taljana li tipprojbixxi muturi jew mopeds li tiġbed karrijiet li kisret l-Artikolu 34. Għal darb'oħra, il-liġi applikat newtralment għal kulħadd, iżda affettwat b'mod sproporzjonat "&amp;"l-importaturi, minħabba li l-kumpaniji Taljani ma għamlux karrijiet. Din ma kinitx rekwiżit tal-prodott, iżda l-qorti rraġunaw li l-projbizzjoni tiskoraġġixxi lin-nies milli jixtruha: ikollha ""influwenza konsiderevoli fuq l-imġieba tal-konsumaturi"" li "&amp;"""taffettwa l-aċċess ta 'dak il-prodott għas-suq"". Teħtieġ ġustifikazzjoni skont l-Artikolu 36, jew bħala ħtieġa obbligatorja.")</f>
        <v>Ħafna drabi r-regoli japplikaw għall-oġġetti kollha newtralment, iżda jista 'jkollhom effett prattiku akbar fuq l-importazzjonijiet minn prodotti domestiċi. Għal dawn il-Qorti tal-Ġustizzja "indiretti" (jew "indistindament applikabbli", il-Qorti tal-Ġustizzja żviluppat aktar ġustifikazzjonijiet: jew dawk fl-Artikolu 36, jew ħtiġijiet addizzjonali "obbligatorji" jew "importanti" bħall-protezzjoni tal-konsumatur, itejbu l-istandards tax-xogħol, il-ħarsien tal-istandards tax-xogħol Ambjent, diversità tal-istampa, ġustizzja fil-kummerċ, u aktar: il-kategoriji mhumiex magħluqa. Fil-każ l-iktar famuż Rewe-Zentral Ag V Bundesmonopol für Branntwein, il-Qorti tal-Ġustizzja sabet li liġi Ġermaniża li teħtieġ li l-ispirti u l-likuri kollha (mhux biss dawk importati) ikollhom kontenut minimu ta 'alkoħol ta '25 fil-mija kien kuntrarju għall-Artikolu 34 tat-TFEU 34 , minħabba li kellha effett negattiv akbar fuq l-importazzjonijiet. Il-likuri Ġermaniżi kellhom aktar minn 25 fil-mija ta 'alkoħol, iżda Cassis de Dijon, li Rew-Zentrale Ag xtaq jimporta minn Franza, kellu biss 15 sa 20 fil-mija ta' alkoħol. Il-Qorti tal-Ġustizzja ċaħdet l-argumenti tal-gvern Ġermaniż li l-miżura protetta proporzjonalment is-saħħa pubblika taħt l-Artikolu 36 tat-TFEU, minħabba li x-xorb aktar qawwi kien disponibbli u t-tikkettar adegwat ikun biżżejjed biex il-konsumaturi jifhmu dak li xtraw. Din ir-regola tapplika primarjament għal rekwiżiti dwar il-kontenut jew l-imballaġġ ta 'prodott. Fil-Walter Rau Lebensmittelke v De Smedt Pvba, il-Qorti tal-Ġustizzja sabet li liġi Belġjana li teħtieġ li l-marġerina kollha tkun fil-pakketti tal-forma ta ’kubu li kisret l-Artikolu 34, u ma kinitx iġġustifikata mill-insegwiment tal-protezzjoni tal-konsumatur. L-argument li l-Belġjani kienu jemmnu li kien butir kieku ma kienx iffurmat kubu kien sproporzjonat: "jaqbeż konsiderevolment ir-rekwiżiti tal-oġġett fil-vista" u l-ittikkettjar jipproteġi lill-konsumaturi "daqstant effettivament". F'każ ta 'l-2003, il-liġi Taljana tal-Kummissjoni v Italja kienet teħtieġ li l-prodotti tal-kawkaw li kienu jinkludu xaħmijiet veġetali oħra ma jistgħux jiġu ttikkettjati bħala "ċikkulata". Kellu jkun "sostitut taċ-ċikkulata". Iċ-ċikkulata kollha Taljana kienet magħmula mill-butir tal-kawkaw waħedha, iżda l-manifatturi Ingliżi, Daniżi u Irlandiżi użaw xaħmijiet veġetali oħra. Huma ddikjaraw li l-liġi kisret l-Artikolu 34. Il-Qorti tal-Ġustizzja ddeċidiet li kontenut baxx ta 'xaħam tal-ħaxix ma jiġġustifikax tikketta "sostitut taċ-ċikkulata". Dan kien derogatorju f'għajnejn il-konsumaturi. "Dikjarazzjoni newtrali u oġġettiva" kienet biżżejjed biex tipproteġi lill-konsumaturi. Jekk l-istati membri jpoġġu ostakli konsiderevoli dwar l-użu ta 'prodott, dan jista' jikser ukoll l-Artikolu 34. Allura, f'każ tal-2009, il-Kummissjoni v l-Italja, il-Qorti tal-Ġustizzja ddeċidiet li liġi Taljana li tipprojbixxi muturi jew mopeds li tiġbed karrijiet li kisret l-Artikolu 34. Għal darb'oħra, il-liġi applikat newtralment għal kulħadd, iżda affettwat b'mod sproporzjonat l-importaturi, minħabba li l-kumpaniji Taljani ma għamlux karrijiet. Din ma kinitx rekwiżit tal-prodott, iżda l-qorti rraġunaw li l-projbizzjoni tiskoraġġixxi lin-nies milli jixtruha: ikollha "influwenza konsiderevoli fuq l-imġieba tal-konsumaturi" li "taffettwa l-aċċess ta 'dak il-prodott għas-suq". Teħtieġ ġustifikazzjoni skont l-Artikolu 36, jew bħala ħtieġa obbligatorja.</v>
      </c>
    </row>
    <row r="5119" ht="15.75" customHeight="1">
      <c r="A5119" s="2" t="s">
        <v>5119</v>
      </c>
      <c r="B5119" s="2" t="str">
        <f>IFERROR(__xludf.DUMMYFUNCTION("GOOGLETRANSLATE(A5119, ""en"", ""mt"")"),"110 mph")</f>
        <v>110 mph</v>
      </c>
    </row>
    <row r="5120" ht="15.75" customHeight="1">
      <c r="A5120" s="2" t="s">
        <v>5120</v>
      </c>
      <c r="B5120" s="2" t="str">
        <f>IFERROR(__xludf.DUMMYFUNCTION("GOOGLETRANSLATE(A5120, ""en"", ""mt"")"),"X'inhu isem ieħor għal bin tal-provvista tal-faħam?")</f>
        <v>X'inhu isem ieħor għal bin tal-provvista tal-faħam?</v>
      </c>
    </row>
    <row r="5121" ht="15.75" customHeight="1">
      <c r="A5121" s="2" t="s">
        <v>5121</v>
      </c>
      <c r="B5121" s="2" t="str">
        <f>IFERROR(__xludf.DUMMYFUNCTION("GOOGLETRANSLATE(A5121, ""en"", ""mt"")"),"Jalla ma jibqax jeżisti")</f>
        <v>Jalla ma jibqax jeżisti</v>
      </c>
    </row>
    <row r="5122" ht="15.75" customHeight="1">
      <c r="A5122" s="2" t="s">
        <v>5122</v>
      </c>
      <c r="B5122" s="2" t="str">
        <f>IFERROR(__xludf.DUMMYFUNCTION("GOOGLETRANSLATE(A5122, ""en"", ""mt"")"),"X'inhi l-metrika li jużaw biex tiddetermina kemm huma impenjati l-ajruporti?")</f>
        <v>X'inhi l-metrika li jużaw biex tiddetermina kemm huma impenjati l-ajruporti?</v>
      </c>
    </row>
    <row r="5123" ht="15.75" customHeight="1">
      <c r="A5123" s="2" t="s">
        <v>5123</v>
      </c>
      <c r="B5123" s="2" t="str">
        <f>IFERROR(__xludf.DUMMYFUNCTION("GOOGLETRANSLATE(A5123, ""en"", ""mt"")"),"Min analizza l-perjodu kiesaħ medjevali?")</f>
        <v>Min analizza l-perjodu kiesaħ medjevali?</v>
      </c>
    </row>
    <row r="5124" ht="15.75" customHeight="1">
      <c r="A5124" s="2" t="s">
        <v>5124</v>
      </c>
      <c r="B5124" s="2" t="str">
        <f>IFERROR(__xludf.DUMMYFUNCTION("GOOGLETRANSLATE(A5124, ""en"", ""mt"")"),"Dating għal 1338–39")</f>
        <v>Dating għal 1338–39</v>
      </c>
    </row>
    <row r="5125" ht="15.75" customHeight="1">
      <c r="A5125" s="2" t="s">
        <v>5125</v>
      </c>
      <c r="B5125" s="2" t="str">
        <f>IFERROR(__xludf.DUMMYFUNCTION("GOOGLETRANSLATE(A5125, ""en"", ""mt"")"),"Antikorpi ttrasportati mill-omm lejn tarbija permezz tal-plaċenta huwa eżempju ta 'liema tip ta' immunità ta 'ħajja qasira?")</f>
        <v>Antikorpi ttrasportati mill-omm lejn tarbija permezz tal-plaċenta huwa eżempju ta 'liema tip ta' immunità ta 'ħajja qasira?</v>
      </c>
    </row>
    <row r="5126" ht="15.75" customHeight="1">
      <c r="A5126" s="2" t="s">
        <v>5126</v>
      </c>
      <c r="B5126" s="2" t="str">
        <f>IFERROR(__xludf.DUMMYFUNCTION("GOOGLETRANSLATE(A5126, ""en"", ""mt"")"),"Archduke Sigismund")</f>
        <v>Archduke Sigismund</v>
      </c>
    </row>
    <row r="5127" ht="15.75" customHeight="1">
      <c r="A5127" s="2" t="s">
        <v>5127</v>
      </c>
      <c r="B5127" s="2" t="str">
        <f>IFERROR(__xludf.DUMMYFUNCTION("GOOGLETRANSLATE(A5127, ""en"", ""mt"")"),"Iffoka fuq dak li hu biex itejjeb il-ħafna problemi li jinħolqu mill-prattiki ta 'spiss kompetittivi u kontradittorji fl-industrija tal-kostruzzjoni.")</f>
        <v>Iffoka fuq dak li hu biex itejjeb il-ħafna problemi li jinħolqu mill-prattiki ta 'spiss kompetittivi u kontradittorji fl-industrija tal-kostruzzjoni.</v>
      </c>
    </row>
    <row r="5128" ht="15.75" customHeight="1">
      <c r="A5128" s="2" t="s">
        <v>5128</v>
      </c>
      <c r="B5128" s="2" t="str">
        <f>IFERROR(__xludf.DUMMYFUNCTION("GOOGLETRANSLATE(A5128, ""en"", ""mt"")"),"Fejn ħareġ il-meuse qabel l-għargħar?")</f>
        <v>Fejn ħareġ il-meuse qabel l-għargħar?</v>
      </c>
    </row>
    <row r="5129" ht="15.75" customHeight="1">
      <c r="A5129" s="2" t="s">
        <v>5129</v>
      </c>
      <c r="B5129" s="2" t="str">
        <f>IFERROR(__xludf.DUMMYFUNCTION("GOOGLETRANSLATE(A5129, ""en"", ""mt"")"),"Kif tista 'titqies il-kelma apothecary minn kelliema Ingliżi kontemporanji?")</f>
        <v>Kif tista 'titqies il-kelma apothecary minn kelliema Ingliżi kontemporanji?</v>
      </c>
    </row>
    <row r="5130" ht="15.75" customHeight="1">
      <c r="A5130" s="2" t="s">
        <v>5130</v>
      </c>
      <c r="B5130" s="2" t="str">
        <f>IFERROR(__xludf.DUMMYFUNCTION("GOOGLETRANSLATE(A5130, ""en"", ""mt"")"),"Liema problema ġiet proposta mill-Istitut tal-Matematika Clay fil-Problemi tal-Premju Alpha?")</f>
        <v>Liema problema ġiet proposta mill-Istitut tal-Matematika Clay fil-Problemi tal-Premju Alpha?</v>
      </c>
    </row>
    <row r="5131" ht="15.75" customHeight="1">
      <c r="A5131" s="2" t="s">
        <v>5131</v>
      </c>
      <c r="B5131" s="2" t="str">
        <f>IFERROR(__xludf.DUMMYFUNCTION("GOOGLETRANSLATE(A5131, ""en"", ""mt"")"),"Amerikan t'Isfel")</f>
        <v>Amerikan t'Isfel</v>
      </c>
    </row>
    <row r="5132" ht="15.75" customHeight="1">
      <c r="A5132" s="2" t="s">
        <v>5132</v>
      </c>
      <c r="B5132" s="2" t="str">
        <f>IFERROR(__xludf.DUMMYFUNCTION("GOOGLETRANSLATE(A5132, ""en"", ""mt"")"),"Il-liġi ta 'min ma spjegatx l-orbita tal-pjaneta Saturn?")</f>
        <v>Il-liġi ta 'min ma spjegatx l-orbita tal-pjaneta Saturn?</v>
      </c>
    </row>
    <row r="5133" ht="15.75" customHeight="1">
      <c r="A5133" s="2" t="s">
        <v>5133</v>
      </c>
      <c r="B5133" s="2" t="str">
        <f>IFERROR(__xludf.DUMMYFUNCTION("GOOGLETRANSLATE(A5133, ""en"", ""mt"")"),"X'inhu d-distakk ewlieni għall-urbanizzazzjoni kontinwa?")</f>
        <v>X'inhu d-distakk ewlieni għall-urbanizzazzjoni kontinwa?</v>
      </c>
    </row>
    <row r="5134" ht="15.75" customHeight="1">
      <c r="A5134" s="2" t="s">
        <v>5134</v>
      </c>
      <c r="B5134" s="2" t="str">
        <f>IFERROR(__xludf.DUMMYFUNCTION("GOOGLETRANSLATE(A5134, ""en"", ""mt"")"),"Meta miet Augustus?")</f>
        <v>Meta miet Augustus?</v>
      </c>
    </row>
    <row r="5135" ht="15.75" customHeight="1">
      <c r="A5135" s="2" t="s">
        <v>5135</v>
      </c>
      <c r="B5135" s="2" t="str">
        <f>IFERROR(__xludf.DUMMYFUNCTION("GOOGLETRANSLATE(A5135, ""en"", ""mt"")"),"vokazzjonali")</f>
        <v>vokazzjonali</v>
      </c>
    </row>
    <row r="5136" ht="15.75" customHeight="1">
      <c r="A5136" s="2" t="s">
        <v>5136</v>
      </c>
      <c r="B5136" s="2" t="str">
        <f>IFERROR(__xludf.DUMMYFUNCTION("GOOGLETRANSLATE(A5136, ""en"", ""mt"")"),"X'tipprova l-enfasi fuq il-forom ta 'akkwist biex tipprevjeni?")</f>
        <v>X'tipprova l-enfasi fuq il-forom ta 'akkwist biex tipprevjeni?</v>
      </c>
    </row>
    <row r="5137" ht="15.75" customHeight="1">
      <c r="A5137" s="2" t="s">
        <v>5137</v>
      </c>
      <c r="B5137" s="2" t="str">
        <f>IFERROR(__xludf.DUMMYFUNCTION("GOOGLETRANSLATE(A5137, ""en"", ""mt"")"),"1500 u 1850")</f>
        <v>1500 u 1850</v>
      </c>
    </row>
    <row r="5138" ht="15.75" customHeight="1">
      <c r="A5138" s="2" t="s">
        <v>5138</v>
      </c>
      <c r="B5138" s="2" t="str">
        <f>IFERROR(__xludf.DUMMYFUNCTION("GOOGLETRANSLATE(A5138, ""en"", ""mt"")"),"Liema problemi kellha d-dinastija Yuan ħdejn il-bidu tagħha?")</f>
        <v>Liema problemi kellha d-dinastija Yuan ħdejn il-bidu tagħha?</v>
      </c>
    </row>
    <row r="5139" ht="15.75" customHeight="1">
      <c r="A5139" s="2" t="s">
        <v>5139</v>
      </c>
      <c r="B5139" s="2" t="str">
        <f>IFERROR(__xludf.DUMMYFUNCTION("GOOGLETRANSLATE(A5139, ""en"", ""mt"")"),"F'liema direzzjoni testendi s-sistema tal-muntanji?")</f>
        <v>F'liema direzzjoni testendi s-sistema tal-muntanji?</v>
      </c>
    </row>
    <row r="5140" ht="15.75" customHeight="1">
      <c r="A5140" s="2" t="s">
        <v>5140</v>
      </c>
      <c r="B5140" s="2" t="str">
        <f>IFERROR(__xludf.DUMMYFUNCTION("GOOGLETRANSLATE(A5140, ""en"", ""mt"")")," Fejn twaqqfet il-Fratellanza mhux Musulmana?")</f>
        <v> Fejn twaqqfet il-Fratellanza mhux Musulmana?</v>
      </c>
    </row>
    <row r="5141" ht="15.75" customHeight="1">
      <c r="A5141" s="2" t="s">
        <v>5141</v>
      </c>
      <c r="B5141" s="2" t="str">
        <f>IFERROR(__xludf.DUMMYFUNCTION("GOOGLETRANSLATE(A5141, ""en"", ""mt"")"),"Möngke Khan beda kampanja militari kontra d-dinastija tal-kanzunetta Ċiniża fin-Nofsinhar taċ-Ċina. Il-forza tal-Mongolja li invadiet iċ-Ċina tan-Nofsinhar kienet ferm akbar mill-forza li bagħtu biex tinvadi l-Lvant Nofsani fl-1256. Huwa miet fl-1259 ming"&amp;"ħajr suċċessur. Kublai rritorna mill-ġlieda kontra l-kanzunetta fl-1260 meta sar jaf li ħuh, Ariq Böke, kien qed jikkontesta t-talba tiegħu għat-tron. Kublai laqqa 'Kurulai fil-Kaiping li għażel lilu Khan kbir. Kurulai rivali fil-Mongolja pproklama Ariq B"&amp;"öke kbir Khan, li beda gwerra ċivili. Kublai kien jiddependi mill-kooperazzjoni tas-suġġetti Ċiniżi tiegħu biex jiżgura li l-armata tiegħu tirċievi riżorsi abbundanti. Huwa saħħaħ il-popolarità tiegħu fost is-suġġetti tiegħu billi mmudella l-gvern tiegħu "&amp;"fuq il-burokrazija ta 'dinastiji Ċiniżi tradizzjonali u adotta l-isem tal-era Ċiniża ta' Zhongtong. Ariq Böke kien imxekkel minn provvisti inadegwati u ċediet fl-1264. It-tliet Khanates tal-Punent kollha (Golden Horde, Chagatai Khanate u Ilkhanate) saru f"&amp;"unzjonalment awtonomi, għalkemm il-ilkhans biss irrikonoxxew lil Kublai bħala l-Kostani l-kbira. Il-konflitti ċivili kienu qasmu b'mod permanenti l-imperu Mongoljan.")</f>
        <v>Möngke Khan beda kampanja militari kontra d-dinastija tal-kanzunetta Ċiniża fin-Nofsinhar taċ-Ċina. Il-forza tal-Mongolja li invadiet iċ-Ċina tan-Nofsinhar kienet ferm akbar mill-forza li bagħtu biex tinvadi l-Lvant Nofsani fl-1256. Huwa miet fl-1259 mingħajr suċċessur. Kublai rritorna mill-ġlieda kontra l-kanzunetta fl-1260 meta sar jaf li ħuh, Ariq Böke, kien qed jikkontesta t-talba tiegħu għat-tron. Kublai laqqa 'Kurulai fil-Kaiping li għażel lilu Khan kbir. Kurulai rivali fil-Mongolja pproklama Ariq Böke kbir Khan, li beda gwerra ċivili. Kublai kien jiddependi mill-kooperazzjoni tas-suġġetti Ċiniżi tiegħu biex jiżgura li l-armata tiegħu tirċievi riżorsi abbundanti. Huwa saħħaħ il-popolarità tiegħu fost is-suġġetti tiegħu billi mmudella l-gvern tiegħu fuq il-burokrazija ta 'dinastiji Ċiniżi tradizzjonali u adotta l-isem tal-era Ċiniża ta' Zhongtong. Ariq Böke kien imxekkel minn provvisti inadegwati u ċediet fl-1264. It-tliet Khanates tal-Punent kollha (Golden Horde, Chagatai Khanate u Ilkhanate) saru funzjonalment awtonomi, għalkemm il-ilkhans biss irrikonoxxew lil Kublai bħala l-Kostani l-kbira. Il-konflitti ċivili kienu qasmu b'mod permanenti l-imperu Mongoljan.</v>
      </c>
    </row>
    <row r="5142" ht="15.75" customHeight="1">
      <c r="A5142" s="2" t="s">
        <v>5142</v>
      </c>
      <c r="B5142" s="2" t="str">
        <f>IFERROR(__xludf.DUMMYFUNCTION("GOOGLETRANSLATE(A5142, ""en"", ""mt"")"),"Liema nazzjon fih il-maġġoranza tal-foresta tal-Amażonja?")</f>
        <v>Liema nazzjon fih il-maġġoranza tal-foresta tal-Amażonja?</v>
      </c>
    </row>
    <row r="5143" ht="15.75" customHeight="1">
      <c r="A5143" s="2" t="s">
        <v>5143</v>
      </c>
      <c r="B5143" s="2" t="str">
        <f>IFERROR(__xludf.DUMMYFUNCTION("GOOGLETRANSLATE(A5143, ""en"", ""mt"")"),"Dijagrammi Feynman")</f>
        <v>Dijagrammi Feynman</v>
      </c>
    </row>
    <row r="5144" ht="15.75" customHeight="1">
      <c r="A5144" s="2" t="s">
        <v>5144</v>
      </c>
      <c r="B5144" s="2" t="str">
        <f>IFERROR(__xludf.DUMMYFUNCTION("GOOGLETRANSLATE(A5144, ""en"", ""mt"")"),"il-kategorija speċjali tagħha stess bħala ""unità""")</f>
        <v>il-kategorija speċjali tagħha stess bħala "unità"</v>
      </c>
    </row>
    <row r="5145" ht="15.75" customHeight="1">
      <c r="A5145" s="2" t="s">
        <v>5145</v>
      </c>
      <c r="B5145" s="2" t="str">
        <f>IFERROR(__xludf.DUMMYFUNCTION("GOOGLETRANSLATE(A5145, ""en"", ""mt"")"),"Is-Sindku W. Haydon Burns '")</f>
        <v>Is-Sindku W. Haydon Burns '</v>
      </c>
    </row>
    <row r="5146" ht="15.75" customHeight="1">
      <c r="A5146" s="2" t="s">
        <v>5146</v>
      </c>
      <c r="B5146" s="2" t="str">
        <f>IFERROR(__xludf.DUMMYFUNCTION("GOOGLETRANSLATE(A5146, ""en"", ""mt"")"),"Forza nukleari.")</f>
        <v>Forza nukleari.</v>
      </c>
    </row>
    <row r="5147" ht="15.75" customHeight="1">
      <c r="A5147" s="2" t="s">
        <v>5147</v>
      </c>
      <c r="B5147" s="2" t="str">
        <f>IFERROR(__xludf.DUMMYFUNCTION("GOOGLETRANSLATE(A5147, ""en"", ""mt"")"),"Liema żona fil-Kanada moderna rċeviet immigranti Huguenot?")</f>
        <v>Liema żona fil-Kanada moderna rċeviet immigranti Huguenot?</v>
      </c>
    </row>
    <row r="5148" ht="15.75" customHeight="1">
      <c r="A5148" s="2" t="s">
        <v>5148</v>
      </c>
      <c r="B5148" s="2" t="str">
        <f>IFERROR(__xludf.DUMMYFUNCTION("GOOGLETRANSLATE(A5148, ""en"", ""mt"")"),"Il-livelli tal-popolazzjoni jibdew jonqsu għal livell sostenibbli")</f>
        <v>Il-livelli tal-popolazzjoni jibdew jonqsu għal livell sostenibbli</v>
      </c>
    </row>
    <row r="5149" ht="15.75" customHeight="1">
      <c r="A5149" s="2" t="s">
        <v>5149</v>
      </c>
      <c r="B5149" s="2" t="str">
        <f>IFERROR(__xludf.DUMMYFUNCTION("GOOGLETRANSLATE(A5149, ""en"", ""mt"")"),"Biex turi aħjar din l-idea, Bassett jiffoka l-analiżi tiegħu tar-rwol tal-mapep tas-seklu dsatax matul il- ""ġirja għall-Afrika"". Huwa jiddikjara li l-mapep ""ikkontribwew għall-Imperu billi jippromwovu, jassistu u jilleġittimizzaw l-estensjoni tal-poter"&amp;" Franċiż u Ingliż fl-Afrika tal-Punent"". Matul l-analiżi tiegħu ta 'tekniki kartografiċi tas-seklu dsatax, huwa jenfasizza l-użu ta' spazju vojt biex jindika territorju mhux magħruf jew mhux esplorat. Dan ipprovda inċentivi għall-poteri imperjali u kolon"&amp;"jali biex jiksbu ""informazzjoni biex timla spazji vojta fuq mapep kontemporanji"".")</f>
        <v>Biex turi aħjar din l-idea, Bassett jiffoka l-analiżi tiegħu tar-rwol tal-mapep tas-seklu dsatax matul il- "ġirja għall-Afrika". Huwa jiddikjara li l-mapep "ikkontribwew għall-Imperu billi jippromwovu, jassistu u jilleġittimizzaw l-estensjoni tal-poter Franċiż u Ingliż fl-Afrika tal-Punent". Matul l-analiżi tiegħu ta 'tekniki kartografiċi tas-seklu dsatax, huwa jenfasizza l-użu ta' spazju vojt biex jindika territorju mhux magħruf jew mhux esplorat. Dan ipprovda inċentivi għall-poteri imperjali u kolonjali biex jiksbu "informazzjoni biex timla spazji vojta fuq mapep kontemporanji".</v>
      </c>
    </row>
    <row r="5150" ht="15.75" customHeight="1">
      <c r="A5150" s="2" t="s">
        <v>5150</v>
      </c>
      <c r="B5150" s="2" t="str">
        <f>IFERROR(__xludf.DUMMYFUNCTION("GOOGLETRANSLATE(A5150, ""en"", ""mt"")"),"mhux vjolenti")</f>
        <v>mhux vjolenti</v>
      </c>
    </row>
    <row r="5151" ht="15.75" customHeight="1">
      <c r="A5151" s="2" t="s">
        <v>5151</v>
      </c>
      <c r="B5151" s="2" t="str">
        <f>IFERROR(__xludf.DUMMYFUNCTION("GOOGLETRANSLATE(A5151, ""en"", ""mt"")"),"Liema entità hija maħluqa jekk it-tliet istituzzjonijiet differenti ma jistgħux jaslu għal kunsens fi kwalunkwe stadju?")</f>
        <v>Liema entità hija maħluqa jekk it-tliet istituzzjonijiet differenti ma jistgħux jaslu għal kunsens fi kwalunkwe stadju?</v>
      </c>
    </row>
    <row r="5152" ht="15.75" customHeight="1">
      <c r="A5152" s="2" t="s">
        <v>5152</v>
      </c>
      <c r="B5152" s="2" t="str">
        <f>IFERROR(__xludf.DUMMYFUNCTION("GOOGLETRANSLATE(A5152, ""en"", ""mt"")"),"Ilmijiet tal-baħar madwar id-dinja")</f>
        <v>Ilmijiet tal-baħar madwar id-dinja</v>
      </c>
    </row>
    <row r="5153" ht="15.75" customHeight="1">
      <c r="A5153" s="2" t="s">
        <v>5153</v>
      </c>
      <c r="B5153" s="2" t="str">
        <f>IFERROR(__xludf.DUMMYFUNCTION("GOOGLETRANSLATE(A5153, ""en"", ""mt"")"),"Amazon")</f>
        <v>Amazon</v>
      </c>
    </row>
    <row r="5154" ht="15.75" customHeight="1">
      <c r="A5154" s="2" t="s">
        <v>5154</v>
      </c>
      <c r="B5154" s="2" t="str">
        <f>IFERROR(__xludf.DUMMYFUNCTION("GOOGLETRANSLATE(A5154, ""en"", ""mt"")"),"dipendenti fuq kemm hu qawwi")</f>
        <v>dipendenti fuq kemm hu qawwi</v>
      </c>
    </row>
    <row r="5155" ht="15.75" customHeight="1">
      <c r="A5155" s="2" t="s">
        <v>5155</v>
      </c>
      <c r="B5155" s="2" t="str">
        <f>IFERROR(__xludf.DUMMYFUNCTION("GOOGLETRANSLATE(A5155, ""en"", ""mt"")"),"Louis de Condé")</f>
        <v>Louis de Condé</v>
      </c>
    </row>
    <row r="5156" ht="15.75" customHeight="1">
      <c r="A5156" s="2" t="s">
        <v>5156</v>
      </c>
      <c r="B5156" s="2" t="str">
        <f>IFERROR(__xludf.DUMMYFUNCTION("GOOGLETRANSLATE(A5156, ""en"", ""mt"")"),"F'liema sena ġie ppubblikat il-Cape kull xahar?")</f>
        <v>F'liema sena ġie ppubblikat il-Cape kull xahar?</v>
      </c>
    </row>
    <row r="5157" ht="15.75" customHeight="1">
      <c r="A5157" s="2" t="s">
        <v>5157</v>
      </c>
      <c r="B5157" s="2" t="str">
        <f>IFERROR(__xludf.DUMMYFUNCTION("GOOGLETRANSLATE(A5157, ""en"", ""mt"")"),"suq")</f>
        <v>suq</v>
      </c>
    </row>
    <row r="5158" ht="15.75" customHeight="1">
      <c r="A5158" s="2" t="s">
        <v>5158</v>
      </c>
      <c r="B5158" s="2" t="str">
        <f>IFERROR(__xludf.DUMMYFUNCTION("GOOGLETRANSLATE(A5158, ""en"", ""mt"")"),"Huma jaraw il-valur ekonomiku tal-kannamieli tal-gżejjer tal-Karibew biex ikun akbar")</f>
        <v>Huma jaraw il-valur ekonomiku tal-kannamieli tal-gżejjer tal-Karibew biex ikun akbar</v>
      </c>
    </row>
    <row r="5159" ht="15.75" customHeight="1">
      <c r="A5159" s="2" t="s">
        <v>5159</v>
      </c>
      <c r="B5159" s="2" t="str">
        <f>IFERROR(__xludf.DUMMYFUNCTION("GOOGLETRANSLATE(A5159, ""en"", ""mt"")"),"Spiżeriji ta 'speċjalità jfornu spiża għolja injettabbli, orali, infuża, jew inalata mediċini li jintużaw għal stati ta' mard kroniku u kumpless bħal kanċer, epatite, u artrite rewmatojde. B'differenza mill-ispiżerija tal-komunità tradizzjonali fejn il-pr"&amp;"eskrizzjonijiet għal kwalunkwe medikazzjoni komuni jistgħu jinġiebu u jimtlew, l-ispiżeriji speċjalizzati jġorru mediċini ġodda li jeħtieġu li jinħażnu sewwa, jiġu amministrati, immonitorjati bir-reqqa, u ġestiti klinikament. Minbarra li jfornu dawn il-me"&amp;"diċini, l-ispiżeriji ta 'speċjalità jipprovdu wkoll monitoraġġ tal-laboratorju, pariri ta' aderenza, u jgħinu lill-pazjenti bi strateġiji ta 'l-ispejjeż meħtieġa biex jiksbu l-mediċini speċjalizzati tagħhom. Bħalissa huwa s-settur li qed jikber bl-iktar m"&amp;"għaġġel ta 'l-industrija farmaċewtika b'19 minn 28 mediċini approvati mill-FDA li għadhom kemm ġew approvati fl-2013 li huma mediċini speċjalizzati.")</f>
        <v>Spiżeriji ta 'speċjalità jfornu spiża għolja injettabbli, orali, infuża, jew inalata mediċini li jintużaw għal stati ta' mard kroniku u kumpless bħal kanċer, epatite, u artrite rewmatojde. B'differenza mill-ispiżerija tal-komunità tradizzjonali fejn il-preskrizzjonijiet għal kwalunkwe medikazzjoni komuni jistgħu jinġiebu u jimtlew, l-ispiżeriji speċjalizzati jġorru mediċini ġodda li jeħtieġu li jinħażnu sewwa, jiġu amministrati, immonitorjati bir-reqqa, u ġestiti klinikament. Minbarra li jfornu dawn il-mediċini, l-ispiżeriji ta 'speċjalità jipprovdu wkoll monitoraġġ tal-laboratorju, pariri ta' aderenza, u jgħinu lill-pazjenti bi strateġiji ta 'l-ispejjeż meħtieġa biex jiksbu l-mediċini speċjalizzati tagħhom. Bħalissa huwa s-settur li qed jikber bl-iktar mgħaġġel ta 'l-industrija farmaċewtika b'19 minn 28 mediċini approvati mill-FDA li għadhom kemm ġew approvati fl-2013 li huma mediċini speċjalizzati.</v>
      </c>
    </row>
    <row r="5160" ht="15.75" customHeight="1">
      <c r="A5160" s="2" t="s">
        <v>5160</v>
      </c>
      <c r="B5160" s="2" t="str">
        <f>IFERROR(__xludf.DUMMYFUNCTION("GOOGLETRANSLATE(A5160, ""en"", ""mt"")"),"Liema liġijiet huma differenti f'kull qafas ta 'referenza inerzjali?")</f>
        <v>Liema liġijiet huma differenti f'kull qafas ta 'referenza inerzjali?</v>
      </c>
    </row>
    <row r="5161" ht="15.75" customHeight="1">
      <c r="A5161" s="2" t="s">
        <v>5161</v>
      </c>
      <c r="B5161" s="2" t="str">
        <f>IFERROR(__xludf.DUMMYFUNCTION("GOOGLETRANSLATE(A5161, ""en"", ""mt"")"),"Biex tagħmel impressjoni")</f>
        <v>Biex tagħmel impressjoni</v>
      </c>
    </row>
    <row r="5162" ht="15.75" customHeight="1">
      <c r="A5162" s="2" t="s">
        <v>5162</v>
      </c>
      <c r="B5162" s="2" t="str">
        <f>IFERROR(__xludf.DUMMYFUNCTION("GOOGLETRANSLATE(A5162, ""en"", ""mt"")"),"Liema karatteristika ta 'ossiġnu tagħmilha neċessarja għall-ħajja?")</f>
        <v>Liema karatteristika ta 'ossiġnu tagħmilha neċessarja għall-ħajja?</v>
      </c>
    </row>
    <row r="5163" ht="15.75" customHeight="1">
      <c r="A5163" s="2" t="s">
        <v>5163</v>
      </c>
      <c r="B5163" s="2" t="str">
        <f>IFERROR(__xludf.DUMMYFUNCTION("GOOGLETRANSLATE(A5163, ""en"", ""mt"")"),"Fl-aħħar 5-10 miljun sena")</f>
        <v>Fl-aħħar 5-10 miljun sena</v>
      </c>
    </row>
    <row r="5164" ht="15.75" customHeight="1">
      <c r="A5164" s="2" t="s">
        <v>5164</v>
      </c>
      <c r="B5164" s="2" t="str">
        <f>IFERROR(__xludf.DUMMYFUNCTION("GOOGLETRANSLATE(A5164, ""en"", ""mt"")"),"komunikazzjoni")</f>
        <v>komunikazzjoni</v>
      </c>
    </row>
    <row r="5165" ht="15.75" customHeight="1">
      <c r="A5165" s="2" t="s">
        <v>5165</v>
      </c>
      <c r="B5165" s="2" t="str">
        <f>IFERROR(__xludf.DUMMYFUNCTION("GOOGLETRANSLATE(A5165, ""en"", ""mt"")"),"X'rata ta 'unjoni għandhom nazzjonijiet Skandinavi?")</f>
        <v>X'rata ta 'unjoni għandhom nazzjonijiet Skandinavi?</v>
      </c>
    </row>
    <row r="5166" ht="15.75" customHeight="1">
      <c r="A5166" s="2" t="s">
        <v>5166</v>
      </c>
      <c r="B5166" s="2" t="str">
        <f>IFERROR(__xludf.DUMMYFUNCTION("GOOGLETRANSLATE(A5166, ""en"", ""mt"")"),"X'inhu tip wieħed ta 'algoritmu ta' kriptografija ta 'ċavetta pubblika?")</f>
        <v>X'inhu tip wieħed ta 'algoritmu ta' kriptografija ta 'ċavetta pubblika?</v>
      </c>
    </row>
    <row r="5167" ht="15.75" customHeight="1">
      <c r="A5167" s="2" t="s">
        <v>5167</v>
      </c>
      <c r="B5167" s="2" t="str">
        <f>IFERROR(__xludf.DUMMYFUNCTION("GOOGLETRANSLATE(A5167, ""en"", ""mt"")"),"X'inhu isem ieħor għall-Aboral?")</f>
        <v>X'inhu isem ieħor għall-Aboral?</v>
      </c>
    </row>
    <row r="5168" ht="15.75" customHeight="1">
      <c r="A5168" s="2" t="s">
        <v>5168</v>
      </c>
      <c r="B5168" s="2" t="str">
        <f>IFERROR(__xludf.DUMMYFUNCTION("GOOGLETRANSLATE(A5168, ""en"", ""mt"")"),"Għaliex iċ-ċelloli tal-memorja mhumiex ikkunsidrati bħala adattivi?")</f>
        <v>Għaliex iċ-ċelloli tal-memorja mhumiex ikkunsidrati bħala adattivi?</v>
      </c>
    </row>
    <row r="5169" ht="15.75" customHeight="1">
      <c r="A5169" s="2" t="s">
        <v>5169</v>
      </c>
      <c r="B5169" s="2" t="str">
        <f>IFERROR(__xludf.DUMMYFUNCTION("GOOGLETRANSLATE(A5169, ""en"", ""mt"")"),"Skond il-ftehim bejn Iroquois u l-Ingliżi, fejn kellha tinbena dar b'saħħitha?")</f>
        <v>Skond il-ftehim bejn Iroquois u l-Ingliżi, fejn kellha tinbena dar b'saħħitha?</v>
      </c>
    </row>
    <row r="5170" ht="15.75" customHeight="1">
      <c r="A5170" s="2" t="s">
        <v>5170</v>
      </c>
      <c r="B5170" s="2" t="str">
        <f>IFERROR(__xludf.DUMMYFUNCTION("GOOGLETRANSLATE(A5170, ""en"", ""mt"")"),"tikkompressa l-iktar era riċenti")</f>
        <v>tikkompressa l-iktar era riċenti</v>
      </c>
    </row>
    <row r="5171" ht="15.75" customHeight="1">
      <c r="A5171" s="2" t="s">
        <v>5171</v>
      </c>
      <c r="B5171" s="2" t="str">
        <f>IFERROR(__xludf.DUMMYFUNCTION("GOOGLETRANSLATE(A5171, ""en"", ""mt"")"),"Films tat-tieni u t-tielet ġirja")</f>
        <v>Films tat-tieni u t-tielet ġirja</v>
      </c>
    </row>
    <row r="5172" ht="15.75" customHeight="1">
      <c r="A5172" s="2" t="s">
        <v>5172</v>
      </c>
      <c r="B5172" s="2" t="str">
        <f>IFERROR(__xludf.DUMMYFUNCTION("GOOGLETRANSLATE(A5172, ""en"", ""mt"")"),"Li żviluppa l-istess teknoloġija bħal baran")</f>
        <v>Li żviluppa l-istess teknoloġija bħal baran</v>
      </c>
    </row>
    <row r="5173" ht="15.75" customHeight="1">
      <c r="A5173" s="2" t="s">
        <v>5173</v>
      </c>
      <c r="B5173" s="2" t="str">
        <f>IFERROR(__xludf.DUMMYFUNCTION("GOOGLETRANSLATE(A5173, ""en"", ""mt"")"),"X'kien magħruf in-nar ta 'Jacksonville aktar tard?")</f>
        <v>X'kien magħruf in-nar ta 'Jacksonville aktar tard?</v>
      </c>
    </row>
    <row r="5174" ht="15.75" customHeight="1">
      <c r="A5174" s="2" t="s">
        <v>5174</v>
      </c>
      <c r="B5174" s="2" t="str">
        <f>IFERROR(__xludf.DUMMYFUNCTION("GOOGLETRANSLATE(A5174, ""en"", ""mt"")"),"ċerti dispożizzjonijiet ""għeruq""")</f>
        <v>ċerti dispożizzjonijiet "għeruq"</v>
      </c>
    </row>
    <row r="5175" ht="15.75" customHeight="1">
      <c r="A5175" s="2" t="s">
        <v>5175</v>
      </c>
      <c r="B5175" s="2" t="str">
        <f>IFERROR(__xludf.DUMMYFUNCTION("GOOGLETRANSLATE(A5175, ""en"", ""mt"")"),"X'tipi ta 'funzjonijiet ta' l-ispiżerija qatt ma ġew esternalizzati?")</f>
        <v>X'tipi ta 'funzjonijiet ta' l-ispiżerija qatt ma ġew esternalizzati?</v>
      </c>
    </row>
    <row r="5176" ht="15.75" customHeight="1">
      <c r="A5176" s="2" t="s">
        <v>5176</v>
      </c>
      <c r="B5176" s="2" t="str">
        <f>IFERROR(__xludf.DUMMYFUNCTION("GOOGLETRANSLATE(A5176, ""en"", ""mt"")"),"Min-naħa l-oħra, inugwaljanza ekonomika ogħla għandha tendenza li żżid ir-rati ta 'intraprenditorija fil-livell individwali (impjieg indipendenti). Madankollu, ħafna minnu ħafna drabi huma bbażati fuq il-ħtieġa aktar milli l-opportunità. L-intraprenditori"&amp;"ja bbażata fuq il-ħtieġa hija motivata mill-bżonnijiet ta 'sopravivenza bħal dħul għall-ikel u kenn (motivazzjonijiet ""push""), filwaqt li l-intraprenditorija bbażata fuq l-opportunità hija mmexxija minn motivazzjonijiet orjentati lejn il-kisba (""pull"""&amp;") bħal vokazzjoni u aktar probabbli li tinvolvi l-insegwiment ta 'prodotti ġodda, servizzi, jew bżonnijiet tas-suq li mhumiex sottovalutati. L-impatt ekonomiku tal-ewwel tip ta 'intraprenditorjaliżmu għandu tendenza li jerġa' jqassam filwaqt li dan tal-aħ"&amp;"ħar huwa mistenni li jrawwem il-progress teknoloġiku u b'hekk għandu impatt aktar pożittiv fuq it-tkabbir ekonomiku.")</f>
        <v>Min-naħa l-oħra, inugwaljanza ekonomika ogħla għandha tendenza li żżid ir-rati ta 'intraprenditorija fil-livell individwali (impjieg indipendenti). Madankollu, ħafna minnu ħafna drabi huma bbażati fuq il-ħtieġa aktar milli l-opportunità. L-intraprenditorija bbażata fuq il-ħtieġa hija motivata mill-bżonnijiet ta 'sopravivenza bħal dħul għall-ikel u kenn (motivazzjonijiet "push"), filwaqt li l-intraprenditorija bbażata fuq l-opportunità hija mmexxija minn motivazzjonijiet orjentati lejn il-kisba ("pull") bħal vokazzjoni u aktar probabbli li tinvolvi l-insegwiment ta 'prodotti ġodda, servizzi, jew bżonnijiet tas-suq li mhumiex sottovalutati. L-impatt ekonomiku tal-ewwel tip ta 'intraprenditorjaliżmu għandu tendenza li jerġa' jqassam filwaqt li dan tal-aħħar huwa mistenni li jrawwem il-progress teknoloġiku u b'hekk għandu impatt aktar pożittiv fuq it-tkabbir ekonomiku.</v>
      </c>
    </row>
    <row r="5177" ht="15.75" customHeight="1">
      <c r="A5177" s="2" t="s">
        <v>5177</v>
      </c>
      <c r="B5177" s="2" t="str">
        <f>IFERROR(__xludf.DUMMYFUNCTION("GOOGLETRANSLATE(A5177, ""en"", ""mt"")"),"Fuq liema skala x-xjenzati juru kejl tal-veġetazzjoni?")</f>
        <v>Fuq liema skala x-xjenzati juru kejl tal-veġetazzjoni?</v>
      </c>
    </row>
    <row r="5178" ht="15.75" customHeight="1">
      <c r="A5178" s="2" t="s">
        <v>5178</v>
      </c>
      <c r="B5178" s="2" t="str">
        <f>IFERROR(__xludf.DUMMYFUNCTION("GOOGLETRANSLATE(A5178, ""en"", ""mt"")"),"Kemm uffiċjali tal-belt ġew akkużati minħabba korruzzjoni?")</f>
        <v>Kemm uffiċjali tal-belt ġew akkużati minħabba korruzzjoni?</v>
      </c>
    </row>
    <row r="5179" ht="15.75" customHeight="1">
      <c r="A5179" s="2" t="s">
        <v>5179</v>
      </c>
      <c r="B5179" s="2" t="str">
        <f>IFERROR(__xludf.DUMMYFUNCTION("GOOGLETRANSLATE(A5179, ""en"", ""mt"")"),"B'liema mod il-kordi tal-idea jittrasmettu l-forzi tat-teżjoni?")</f>
        <v>B'liema mod il-kordi tal-idea jittrasmettu l-forzi tat-teżjoni?</v>
      </c>
    </row>
    <row r="5180" ht="15.75" customHeight="1">
      <c r="A5180" s="2" t="s">
        <v>5180</v>
      </c>
      <c r="B5180" s="2" t="str">
        <f>IFERROR(__xludf.DUMMYFUNCTION("GOOGLETRANSLATE(A5180, ""en"", ""mt"")"),"X'qed miżmum mill-1987, billi ħa f'idejh il-kampus għal 7-10 ijiem b'wirjiet?")</f>
        <v>X'qed miżmum mill-1987, billi ħa f'idejh il-kampus għal 7-10 ijiem b'wirjiet?</v>
      </c>
    </row>
    <row r="5181" ht="15.75" customHeight="1">
      <c r="A5181" s="2" t="s">
        <v>5181</v>
      </c>
      <c r="B5181" s="2" t="str">
        <f>IFERROR(__xludf.DUMMYFUNCTION("GOOGLETRANSLATE(A5181, ""en"", ""mt"")"),"spiċċa inkonklussivament")</f>
        <v>spiċċa inkonklussivament</v>
      </c>
    </row>
    <row r="5182" ht="15.75" customHeight="1">
      <c r="A5182" s="2" t="s">
        <v>5182</v>
      </c>
      <c r="B5182" s="2" t="str">
        <f>IFERROR(__xludf.DUMMYFUNCTION("GOOGLETRANSLATE(A5182, ""en"", ""mt"")"),"X'jista 'jikkonċentra l-ġid, jgħaddi l-ispejjeż ambjentali fuq is-soċjetà u jabbuża kemm lill-ħaddiema kif ukoll lill-konsumaturi?")</f>
        <v>X'jista 'jikkonċentra l-ġid, jgħaddi l-ispejjeż ambjentali fuq is-soċjetà u jabbuża kemm lill-ħaddiema kif ukoll lill-konsumaturi?</v>
      </c>
    </row>
    <row r="5183" ht="15.75" customHeight="1">
      <c r="A5183" s="2" t="s">
        <v>5183</v>
      </c>
      <c r="B5183" s="2" t="str">
        <f>IFERROR(__xludf.DUMMYFUNCTION("GOOGLETRANSLATE(A5183, ""en"", ""mt"")"),"Min inkella rrefera Datnet 1")</f>
        <v>Min inkella rrefera Datnet 1</v>
      </c>
    </row>
    <row r="5184" ht="15.75" customHeight="1">
      <c r="A5184" s="2" t="s">
        <v>5184</v>
      </c>
      <c r="B5184" s="2" t="str">
        <f>IFERROR(__xludf.DUMMYFUNCTION("GOOGLETRANSLATE(A5184, ""en"", ""mt"")"),"Mill-1960s")</f>
        <v>Mill-1960s</v>
      </c>
    </row>
    <row r="5185" ht="15.75" customHeight="1">
      <c r="A5185" s="2" t="s">
        <v>5185</v>
      </c>
      <c r="B5185" s="2" t="str">
        <f>IFERROR(__xludf.DUMMYFUNCTION("GOOGLETRANSLATE(A5185, ""en"", ""mt"")"),"Ġeneralment huwa preżunt li magna tat-Turing tista 'ssolvi xi ħaġa kapaċi wkoll tissolva billi tuża?")</f>
        <v>Ġeneralment huwa preżunt li magna tat-Turing tista 'ssolvi xi ħaġa kapaċi wkoll tissolva billi tuża?</v>
      </c>
    </row>
    <row r="5186" ht="15.75" customHeight="1">
      <c r="A5186" s="2" t="s">
        <v>5186</v>
      </c>
      <c r="B5186" s="2" t="str">
        <f>IFERROR(__xludf.DUMMYFUNCTION("GOOGLETRANSLATE(A5186, ""en"", ""mt"")"),"X'inhu l-għan ewlieni tal-piena kriminali ta 'diżubbidjenti ċivili?")</f>
        <v>X'inhu l-għan ewlieni tal-piena kriminali ta 'diżubbidjenti ċivili?</v>
      </c>
    </row>
    <row r="5187" ht="15.75" customHeight="1">
      <c r="A5187" s="2" t="s">
        <v>5187</v>
      </c>
      <c r="B5187" s="2" t="str">
        <f>IFERROR(__xludf.DUMMYFUNCTION("GOOGLETRANSLATE(A5187, ""en"", ""mt"")"),"Liema isem ta 'stil Ċiniż uża Rinchinbal?")</f>
        <v>Liema isem ta 'stil Ċiniż uża Rinchinbal?</v>
      </c>
    </row>
    <row r="5188" ht="15.75" customHeight="1">
      <c r="A5188" s="2" t="s">
        <v>5188</v>
      </c>
      <c r="B5188" s="2" t="str">
        <f>IFERROR(__xludf.DUMMYFUNCTION("GOOGLETRANSLATE(A5188, ""en"", ""mt"")"),"Minbarra l-proprjetà analitika tal-konġettura ta 'Goldbach, fuq liema proprjetà oħra tal-konġettura ta' Goldbach tiffoka fuq?")</f>
        <v>Minbarra l-proprjetà analitika tal-konġettura ta 'Goldbach, fuq liema proprjetà oħra tal-konġettura ta' Goldbach tiffoka fuq?</v>
      </c>
    </row>
    <row r="5189" ht="15.75" customHeight="1">
      <c r="A5189" s="2" t="s">
        <v>5189</v>
      </c>
      <c r="B5189" s="2" t="str">
        <f>IFERROR(__xludf.DUMMYFUNCTION("GOOGLETRANSLATE(A5189, ""en"", ""mt"")"),"Trattati li jistabbilixxu l-Unjoni Ewropea")</f>
        <v>Trattati li jistabbilixxu l-Unjoni Ewropea</v>
      </c>
    </row>
    <row r="5190" ht="15.75" customHeight="1">
      <c r="A5190" s="2" t="s">
        <v>5190</v>
      </c>
      <c r="B5190" s="2" t="str">
        <f>IFERROR(__xludf.DUMMYFUNCTION("GOOGLETRANSLATE(A5190, ""en"", ""mt"")"),"Min flimkien mar-Russja appoġġjaw il-movimenti komunisti ta 'wara l-WW-II?")</f>
        <v>Min flimkien mar-Russja appoġġjaw il-movimenti komunisti ta 'wara l-WW-II?</v>
      </c>
    </row>
    <row r="5191" ht="15.75" customHeight="1">
      <c r="A5191" s="2" t="s">
        <v>5191</v>
      </c>
      <c r="B5191" s="2" t="str">
        <f>IFERROR(__xludf.DUMMYFUNCTION("GOOGLETRANSLATE(A5191, ""en"", ""mt"")"),"Liema professjoni ma għandhiex Simon Kuznets?")</f>
        <v>Liema professjoni ma għandhiex Simon Kuznets?</v>
      </c>
    </row>
    <row r="5192" ht="15.75" customHeight="1">
      <c r="A5192" s="2" t="s">
        <v>5192</v>
      </c>
      <c r="B5192" s="2" t="str">
        <f>IFERROR(__xludf.DUMMYFUNCTION("GOOGLETRANSLATE(A5192, ""en"", ""mt"")"),"X'kienet ir-reliġjon Norman?")</f>
        <v>X'kienet ir-reliġjon Norman?</v>
      </c>
    </row>
    <row r="5193" ht="15.75" customHeight="1">
      <c r="A5193" s="2" t="s">
        <v>5193</v>
      </c>
      <c r="B5193" s="2" t="str">
        <f>IFERROR(__xludf.DUMMYFUNCTION("GOOGLETRANSLATE(A5193, ""en"", ""mt"")"),"Kif jispjegaw l-esperimenti fiżiċi jispjegaw id-dejta tal-inklużjoni tal-fluwidi?")</f>
        <v>Kif jispjegaw l-esperimenti fiżiċi jispjegaw id-dejta tal-inklużjoni tal-fluwidi?</v>
      </c>
    </row>
    <row r="5194" ht="15.75" customHeight="1">
      <c r="A5194" s="2" t="s">
        <v>5194</v>
      </c>
      <c r="B5194" s="2" t="str">
        <f>IFERROR(__xludf.DUMMYFUNCTION("GOOGLETRANSLATE(A5194, ""en"", ""mt"")"),"4,097.9 persuni kull mil kwadru")</f>
        <v>4,097.9 persuni kull mil kwadru</v>
      </c>
    </row>
    <row r="5195" ht="15.75" customHeight="1">
      <c r="A5195" s="2" t="s">
        <v>5195</v>
      </c>
      <c r="B5195" s="2" t="str">
        <f>IFERROR(__xludf.DUMMYFUNCTION("GOOGLETRANSLATE(A5195, ""en"", ""mt"")"),"X'għandhom jgħinu l-istudji dwar il-metamorfiżmu permezz tal-pressjoni?")</f>
        <v>X'għandhom jgħinu l-istudji dwar il-metamorfiżmu permezz tal-pressjoni?</v>
      </c>
    </row>
    <row r="5196" ht="15.75" customHeight="1">
      <c r="A5196" s="2" t="s">
        <v>5196</v>
      </c>
      <c r="B5196" s="2" t="str">
        <f>IFERROR(__xludf.DUMMYFUNCTION("GOOGLETRANSLATE(A5196, ""en"", ""mt"")"),"Beta tħassir")</f>
        <v>Beta tħassir</v>
      </c>
    </row>
    <row r="5197" ht="15.75" customHeight="1">
      <c r="A5197" s="2" t="s">
        <v>5197</v>
      </c>
      <c r="B5197" s="2" t="str">
        <f>IFERROR(__xludf.DUMMYFUNCTION("GOOGLETRANSLATE(A5197, ""en"", ""mt"")"),"X'kienet it-telfa tat-truppi Għarab f'idejn it-truppi Iżraeljani matul il-gwerra ta 'sebat ijiem?")</f>
        <v>X'kienet it-telfa tat-truppi Għarab f'idejn it-truppi Iżraeljani matul il-gwerra ta 'sebat ijiem?</v>
      </c>
    </row>
    <row r="5198" ht="15.75" customHeight="1">
      <c r="A5198" s="2" t="s">
        <v>5198</v>
      </c>
      <c r="B5198" s="2" t="str">
        <f>IFERROR(__xludf.DUMMYFUNCTION("GOOGLETRANSLATE(A5198, ""en"", ""mt"")"),"X'jista 'jkun ikkombinat ma' dejta ġeofiżika biex tipproduċi veduta aħjar tas-sub-wiċċ?")</f>
        <v>X'jista 'jkun ikkombinat ma' dejta ġeofiżika biex tipproduċi veduta aħjar tas-sub-wiċċ?</v>
      </c>
    </row>
    <row r="5199" ht="15.75" customHeight="1">
      <c r="A5199" s="2" t="s">
        <v>5199</v>
      </c>
      <c r="B5199" s="2" t="str">
        <f>IFERROR(__xludf.DUMMYFUNCTION("GOOGLETRANSLATE(A5199, ""en"", ""mt"")"),"algoritmu ta 'għażla deterministika quicksort")</f>
        <v>algoritmu ta 'għażla deterministika quicksort</v>
      </c>
    </row>
    <row r="5200" ht="15.75" customHeight="1">
      <c r="A5200" s="2" t="s">
        <v>5200</v>
      </c>
      <c r="B5200" s="2" t="str">
        <f>IFERROR(__xludf.DUMMYFUNCTION("GOOGLETRANSLATE(A5200, ""en"", ""mt"")"),"Min ta l-Mongoli li ta l-kontroll tal-Korea?")</f>
        <v>Min ta l-Mongoli li ta l-kontroll tal-Korea?</v>
      </c>
    </row>
    <row r="5201" ht="15.75" customHeight="1">
      <c r="A5201" s="2" t="s">
        <v>5201</v>
      </c>
      <c r="B5201" s="2" t="str">
        <f>IFERROR(__xludf.DUMMYFUNCTION("GOOGLETRANSLATE(A5201, ""en"", ""mt"")"),"Mill-aħħar tas-snin 1340 'il quddiem")</f>
        <v>Mill-aħħar tas-snin 1340 'il quddiem</v>
      </c>
    </row>
    <row r="5202" ht="15.75" customHeight="1">
      <c r="A5202" s="2" t="s">
        <v>5202</v>
      </c>
      <c r="B5202" s="2" t="str">
        <f>IFERROR(__xludf.DUMMYFUNCTION("GOOGLETRANSLATE(A5202, ""en"", ""mt"")"),"wieħed")</f>
        <v>wieħed</v>
      </c>
    </row>
    <row r="5203" ht="15.75" customHeight="1">
      <c r="A5203" s="2" t="s">
        <v>5203</v>
      </c>
      <c r="B5203" s="2" t="str">
        <f>IFERROR(__xludf.DUMMYFUNCTION("GOOGLETRANSLATE(A5203, ""en"", ""mt"")"),"Għaliex ġie rregolat il-Lag Tuggenersee?")</f>
        <v>Għaliex ġie rregolat il-Lag Tuggenersee?</v>
      </c>
    </row>
    <row r="5204" ht="15.75" customHeight="1">
      <c r="A5204" s="2" t="s">
        <v>5204</v>
      </c>
      <c r="B5204" s="2" t="str">
        <f>IFERROR(__xludf.DUMMYFUNCTION("GOOGLETRANSLATE(A5204, ""en"", ""mt"")"),"X'inhu d-daqs tal-mantell?")</f>
        <v>X'inhu d-daqs tal-mantell?</v>
      </c>
    </row>
    <row r="5205" ht="15.75" customHeight="1">
      <c r="A5205" s="2" t="s">
        <v>5205</v>
      </c>
      <c r="B5205" s="2" t="str">
        <f>IFERROR(__xludf.DUMMYFUNCTION("GOOGLETRANSLATE(A5205, ""en"", ""mt"")"),"X'jista 'jagħmel il-Pleuobrachia b'ħalqu meta jkun fit-triq?")</f>
        <v>X'jista 'jagħmel il-Pleuobrachia b'ħalqu meta jkun fit-triq?</v>
      </c>
    </row>
    <row r="5206" ht="15.75" customHeight="1">
      <c r="A5206" s="2" t="s">
        <v>5206</v>
      </c>
      <c r="B5206" s="2" t="str">
        <f>IFERROR(__xludf.DUMMYFUNCTION("GOOGLETRANSLATE(A5206, ""en"", ""mt"")"),"żieda fil-fluss tad-demm fit-tessut")</f>
        <v>żieda fil-fluss tad-demm fit-tessut</v>
      </c>
    </row>
    <row r="5207" ht="15.75" customHeight="1">
      <c r="A5207" s="2" t="s">
        <v>5207</v>
      </c>
      <c r="B5207" s="2" t="str">
        <f>IFERROR(__xludf.DUMMYFUNCTION("GOOGLETRANSLATE(A5207, ""en"", ""mt"")"),"Għal liema skejjel l-U ta 'C qablu li jipprovdu kotba u provvisti bla ħlas?")</f>
        <v>Għal liema skejjel l-U ta 'C qablu li jipprovdu kotba u provvisti bla ħlas?</v>
      </c>
    </row>
    <row r="5208" ht="15.75" customHeight="1">
      <c r="A5208" s="2" t="s">
        <v>5208</v>
      </c>
      <c r="B5208" s="2" t="str">
        <f>IFERROR(__xludf.DUMMYFUNCTION("GOOGLETRANSLATE(A5208, ""en"", ""mt"")"),"Meta waqa 'd-Dyrrachium għan-Normanni?")</f>
        <v>Meta waqa 'd-Dyrrachium għan-Normanni?</v>
      </c>
    </row>
    <row r="5209" ht="15.75" customHeight="1">
      <c r="A5209" s="2" t="s">
        <v>5209</v>
      </c>
      <c r="B5209" s="2" t="str">
        <f>IFERROR(__xludf.DUMMYFUNCTION("GOOGLETRANSLATE(A5209, ""en"", ""mt"")"),"X'jistgħu jagħmlu l-kurrenti tal-marea dgħajfa?")</f>
        <v>X'jistgħu jagħmlu l-kurrenti tal-marea dgħajfa?</v>
      </c>
    </row>
    <row r="5210" ht="15.75" customHeight="1">
      <c r="A5210" s="2" t="s">
        <v>5210</v>
      </c>
      <c r="B5210" s="2" t="str">
        <f>IFERROR(__xludf.DUMMYFUNCTION("GOOGLETRANSLATE(A5210, ""en"", ""mt"")"),"ħafna postijiet")</f>
        <v>ħafna postijiet</v>
      </c>
    </row>
    <row r="5211" ht="15.75" customHeight="1">
      <c r="A5211" s="2" t="s">
        <v>5211</v>
      </c>
      <c r="B5211" s="2" t="str">
        <f>IFERROR(__xludf.DUMMYFUNCTION("GOOGLETRANSLATE(A5211, ""en"", ""mt"")"),"James Henry Breasted")</f>
        <v>James Henry Breasted</v>
      </c>
    </row>
    <row r="5212" ht="15.75" customHeight="1">
      <c r="A5212" s="2" t="s">
        <v>5212</v>
      </c>
      <c r="B5212" s="2" t="str">
        <f>IFERROR(__xludf.DUMMYFUNCTION("GOOGLETRANSLATE(A5212, ""en"", ""mt"")"),"Fort Le Boeuf (preżenti Waterford, Pennsylvania")</f>
        <v>Fort Le Boeuf (preżenti Waterford, Pennsylvania</v>
      </c>
    </row>
    <row r="5213" ht="15.75" customHeight="1">
      <c r="A5213" s="2" t="s">
        <v>5213</v>
      </c>
      <c r="B5213" s="2" t="str">
        <f>IFERROR(__xludf.DUMMYFUNCTION("GOOGLETRANSLATE(A5213, ""en"", ""mt"")"),"mit-tradizzjonijiet kostituzzjonali komuni għall-istati membri")</f>
        <v>mit-tradizzjonijiet kostituzzjonali komuni għall-istati membri</v>
      </c>
    </row>
    <row r="5214" ht="15.75" customHeight="1">
      <c r="A5214" s="2" t="s">
        <v>5214</v>
      </c>
      <c r="B5214" s="2" t="str">
        <f>IFERROR(__xludf.DUMMYFUNCTION("GOOGLETRANSLATE(A5214, ""en"", ""mt"")"),"huwa impossibbli")</f>
        <v>huwa impossibbli</v>
      </c>
    </row>
    <row r="5215" ht="15.75" customHeight="1">
      <c r="A5215" s="2" t="s">
        <v>5215</v>
      </c>
      <c r="B5215" s="2" t="str">
        <f>IFERROR(__xludf.DUMMYFUNCTION("GOOGLETRANSLATE(A5215, ""en"", ""mt"")"),"1817")</f>
        <v>1817</v>
      </c>
    </row>
    <row r="5216" ht="15.75" customHeight="1">
      <c r="A5216" s="2" t="s">
        <v>5216</v>
      </c>
      <c r="B5216" s="2" t="str">
        <f>IFERROR(__xludf.DUMMYFUNCTION("GOOGLETRANSLATE(A5216, ""en"", ""mt"")"),"27-30")</f>
        <v>27-30</v>
      </c>
    </row>
    <row r="5217" ht="15.75" customHeight="1">
      <c r="A5217" s="2" t="s">
        <v>5217</v>
      </c>
      <c r="B5217" s="2" t="str">
        <f>IFERROR(__xludf.DUMMYFUNCTION("GOOGLETRANSLATE(A5217, ""en"", ""mt"")"),"Tip ta 'pistuni reċiprokanti")</f>
        <v>Tip ta 'pistuni reċiprokanti</v>
      </c>
    </row>
    <row r="5218" ht="15.75" customHeight="1">
      <c r="A5218" s="2" t="s">
        <v>5218</v>
      </c>
      <c r="B5218" s="2" t="str">
        <f>IFERROR(__xludf.DUMMYFUNCTION("GOOGLETRANSLATE(A5218, ""en"", ""mt"")"),"status superjuri għall-oħrajn kollha fl-oqsma relatati mas-saħħa")</f>
        <v>status superjuri għall-oħrajn kollha fl-oqsma relatati mas-saħħa</v>
      </c>
    </row>
    <row r="5219" ht="15.75" customHeight="1">
      <c r="A5219" s="2" t="s">
        <v>5219</v>
      </c>
      <c r="B5219" s="2" t="str">
        <f>IFERROR(__xludf.DUMMYFUNCTION("GOOGLETRANSLATE(A5219, ""en"", ""mt"")"),"Cobb, Shepley, Rutan u Coolidge, Holabird &amp; Roche, u ditti arkitettoniċi oħra")</f>
        <v>Cobb, Shepley, Rutan u Coolidge, Holabird &amp; Roche, u ditti arkitettoniċi oħra</v>
      </c>
    </row>
    <row r="5220" ht="15.75" customHeight="1">
      <c r="A5220" s="2" t="s">
        <v>5220</v>
      </c>
      <c r="B5220" s="2" t="str">
        <f>IFERROR(__xludf.DUMMYFUNCTION("GOOGLETRANSLATE(A5220, ""en"", ""mt"")"),"L-attivazzjoni ta 'ċellula T helper tikkawża li tirrilaxxa liema kimiċi jinfluwenzaw l-attività taċ-ċellula?")</f>
        <v>L-attivazzjoni ta 'ċellula T helper tikkawża li tirrilaxxa liema kimiċi jinfluwenzaw l-attività taċ-ċellula?</v>
      </c>
    </row>
    <row r="5221" ht="15.75" customHeight="1">
      <c r="A5221" s="2" t="s">
        <v>5221</v>
      </c>
      <c r="B5221" s="2" t="str">
        <f>IFERROR(__xludf.DUMMYFUNCTION("GOOGLETRANSLATE(A5221, ""en"", ""mt"")"),"Liema żewġ affarijiet ma jistgħux jgħaqqdu l-informatika tal-ispiżerija?")</f>
        <v>Liema żewġ affarijiet ma jistgħux jgħaqqdu l-informatika tal-ispiżerija?</v>
      </c>
    </row>
    <row r="5222" ht="15.75" customHeight="1">
      <c r="A5222" s="2" t="s">
        <v>5222</v>
      </c>
      <c r="B5222" s="2" t="str">
        <f>IFERROR(__xludf.DUMMYFUNCTION("GOOGLETRANSLATE(A5222, ""en"", ""mt"")"),"Meta miet Ronald Robinson?")</f>
        <v>Meta miet Ronald Robinson?</v>
      </c>
    </row>
    <row r="5223" ht="15.75" customHeight="1">
      <c r="A5223" s="2" t="s">
        <v>5223</v>
      </c>
      <c r="B5223" s="2" t="str">
        <f>IFERROR(__xludf.DUMMYFUNCTION("GOOGLETRANSLATE(A5223, ""en"", ""mt"")"),"Meta ma sarx studju tal-kontej Żvediżi?")</f>
        <v>Meta ma sarx studju tal-kontej Żvediżi?</v>
      </c>
    </row>
    <row r="5224" ht="15.75" customHeight="1">
      <c r="A5224" s="2" t="s">
        <v>5224</v>
      </c>
      <c r="B5224" s="2" t="str">
        <f>IFERROR(__xludf.DUMMYFUNCTION("GOOGLETRANSLATE(A5224, ""en"", ""mt"")"),"Rēnos")</f>
        <v>Rēnos</v>
      </c>
    </row>
    <row r="5225" ht="15.75" customHeight="1">
      <c r="A5225" s="2" t="s">
        <v>5225</v>
      </c>
      <c r="B5225" s="2" t="str">
        <f>IFERROR(__xludf.DUMMYFUNCTION("GOOGLETRANSLATE(A5225, ""en"", ""mt"")"),"Il-kavità interna tifforma: ħalq li normalment jista 'jingħalaq mill-muskoli; farinġi (""gerżuma""); żona usa 'fiċ-ċentru li taġixxi bħala stonku; u sistema ta 'kanali interni. Dawn il-fergħa permezz tal-mesoglea għall-iktar partijiet attivi tal-annimal: "&amp;"il-ħalq u l-farinġi; l-għeruq tat-tentakli, jekk preżenti; tul in-naħa ta ’taħt kollha ta’ kull ringiela tal-moxt; u erba 'fergħat madwar il-kumpless sensorju fit-tarf' il bogħod mill-ħalq - tnejn minn dawn l-erba 'fergħat jintemmu fil-pori anali. Il-wiċċ"&amp;" ta 'ġewwa tal-kavità huwa miksi b'epitelju, il-gastrodermis. Il-ħalq u l-farinġi għandhom kemm ċili kif ukoll muskoli żviluppati sew. F'partijiet oħra tas-sistema tal-kanal, il-gastrodermis hija differenti fuq il-ġnub l-iktar viċin u l-iktar 'il bogħod m"&amp;"ill-organu li tipprovdi. In-naħa l-aktar viċin hija magħmula minn ċelloli nutrittivi għoljin li jaħżnu nutrijenti fil-vakuoles (kompartimenti interni), ċelloli ġerminali li jipproduċu bajd jew sperma, u fotokiti li jipproduċu bioluminesċenza. Il-ġenb l-ik"&amp;"tar 'il bogħod mill-organu huwa mgħotti b'ċelloli ċiljati li jiċċirkolaw l-ilma minn ġol-kanali, imqabbda minn rosettes ciliary, pori li huma mdawra minn whorls doppji ta' cilia u jgħaqqdu mal-mesoglea.")</f>
        <v>Il-kavità interna tifforma: ħalq li normalment jista 'jingħalaq mill-muskoli; farinġi ("gerżuma"); żona usa 'fiċ-ċentru li taġixxi bħala stonku; u sistema ta 'kanali interni. Dawn il-fergħa permezz tal-mesoglea għall-iktar partijiet attivi tal-annimal: il-ħalq u l-farinġi; l-għeruq tat-tentakli, jekk preżenti; tul in-naħa ta ’taħt kollha ta’ kull ringiela tal-moxt; u erba 'fergħat madwar il-kumpless sensorju fit-tarf' il bogħod mill-ħalq - tnejn minn dawn l-erba 'fergħat jintemmu fil-pori anali. Il-wiċċ ta 'ġewwa tal-kavità huwa miksi b'epitelju, il-gastrodermis. Il-ħalq u l-farinġi għandhom kemm ċili kif ukoll muskoli żviluppati sew. F'partijiet oħra tas-sistema tal-kanal, il-gastrodermis hija differenti fuq il-ġnub l-iktar viċin u l-iktar 'il bogħod mill-organu li tipprovdi. In-naħa l-aktar viċin hija magħmula minn ċelloli nutrittivi għoljin li jaħżnu nutrijenti fil-vakuoles (kompartimenti interni), ċelloli ġerminali li jipproduċu bajd jew sperma, u fotokiti li jipproduċu bioluminesċenza. Il-ġenb l-iktar 'il bogħod mill-organu huwa mgħotti b'ċelloli ċiljati li jiċċirkolaw l-ilma minn ġol-kanali, imqabbda minn rosettes ciliary, pori li huma mdawra minn whorls doppji ta' cilia u jgħaqqdu mal-mesoglea.</v>
      </c>
    </row>
    <row r="5226" ht="15.75" customHeight="1">
      <c r="A5226" s="2" t="s">
        <v>5226</v>
      </c>
      <c r="B5226" s="2" t="str">
        <f>IFERROR(__xludf.DUMMYFUNCTION("GOOGLETRANSLATE(A5226, ""en"", ""mt"")"),"X’għandu Artur Oppman lid-dinja?")</f>
        <v>X’għandu Artur Oppman lid-dinja?</v>
      </c>
    </row>
    <row r="5227" ht="15.75" customHeight="1">
      <c r="A5227" s="2" t="s">
        <v>5227</v>
      </c>
      <c r="B5227" s="2" t="str">
        <f>IFERROR(__xludf.DUMMYFUNCTION("GOOGLETRANSLATE(A5227, ""en"", ""mt"")")," Min appella biex aġenzija tinqered talli ddgħajjef l-ideoloġija tal-Iżlamiżmu?")</f>
        <v> Min appella biex aġenzija tinqered talli ddgħajjef l-ideoloġija tal-Iżlamiżmu?</v>
      </c>
    </row>
    <row r="5228" ht="15.75" customHeight="1">
      <c r="A5228" s="2" t="s">
        <v>5228</v>
      </c>
      <c r="B5228" s="2" t="str">
        <f>IFERROR(__xludf.DUMMYFUNCTION("GOOGLETRANSLATE(A5228, ""en"", ""mt"")"),"Pereżempju, waqt li tkun qed tivvjaġġa f'vettura li tiċċaqlaq b'veloċità kostanti, il-liġijiet tal-fiżika ma jinbidlux mill-mistrieħ. Persuna tista 'titfa' ballun dritta 'l fuq fl-arja u taqbadha hekk kif taqa' mingħajr ma tinkwieta dwar l-applikazzjoni t"&amp;"a 'forza fid-direzzjoni li l-vettura tkun miexja. Dan huwa minnu minkejja li persuna oħra li qed tosserva l-vettura li tiċċaqlaq billi tosserva wkoll il-ballun issegwi triq parabolika mgħawġa fl-istess direzzjoni bħall-moviment tal-vettura. Hija l-inerzja"&amp;" tal-ballun assoċjata mal-veloċità kostanti tagħha fid-direzzjoni tal-moviment tal-vettura li tiżgura li l-ballun ikompli jimxi 'l quddiem anki meta jintefa' u jaqa 'lura. Mill-perspettiva tal-persuna fil-karozza, il-vettura u dak kollu li hemm fil-mistri"&amp;"eħ tagħha: hija d-dinja ta 'barra li miexja b'veloċità kostanti fid-direzzjoni opposta. Peress li m'hemm l-ebda esperiment li jista 'jiddistingwi jekk hijiex il-vettura li tinsab fil-mistrieħ jew id-dinja ta' barra li tinsab fil-mistrieħ, iż-żewġ sitwazzj"&amp;"onijiet huma meqjusa li huma fiżikament indistingwibbli. L-inerzja għalhekk tapplika daqstant tajjeb għal mozzjoni ta 'veloċità kostanti kif tagħmel għall-mistrieħ.")</f>
        <v>Pereżempju, waqt li tkun qed tivvjaġġa f'vettura li tiċċaqlaq b'veloċità kostanti, il-liġijiet tal-fiżika ma jinbidlux mill-mistrieħ. Persuna tista 'titfa' ballun dritta 'l fuq fl-arja u taqbadha hekk kif taqa' mingħajr ma tinkwieta dwar l-applikazzjoni ta 'forza fid-direzzjoni li l-vettura tkun miexja. Dan huwa minnu minkejja li persuna oħra li qed tosserva l-vettura li tiċċaqlaq billi tosserva wkoll il-ballun issegwi triq parabolika mgħawġa fl-istess direzzjoni bħall-moviment tal-vettura. Hija l-inerzja tal-ballun assoċjata mal-veloċità kostanti tagħha fid-direzzjoni tal-moviment tal-vettura li tiżgura li l-ballun ikompli jimxi 'l quddiem anki meta jintefa' u jaqa 'lura. Mill-perspettiva tal-persuna fil-karozza, il-vettura u dak kollu li hemm fil-mistrieħ tagħha: hija d-dinja ta 'barra li miexja b'veloċità kostanti fid-direzzjoni opposta. Peress li m'hemm l-ebda esperiment li jista 'jiddistingwi jekk hijiex il-vettura li tinsab fil-mistrieħ jew id-dinja ta' barra li tinsab fil-mistrieħ, iż-żewġ sitwazzjonijiet huma meqjusa li huma fiżikament indistingwibbli. L-inerzja għalhekk tapplika daqstant tajjeb għal mozzjoni ta 'veloċità kostanti kif tagħmel għall-mistrieħ.</v>
      </c>
    </row>
    <row r="5229" ht="15.75" customHeight="1">
      <c r="A5229" s="2" t="s">
        <v>5229</v>
      </c>
      <c r="B5229" s="2" t="str">
        <f>IFERROR(__xludf.DUMMYFUNCTION("GOOGLETRANSLATE(A5229, ""en"", ""mt"")")," Kif beda l-aħħar kanzunetta tal-Imperatur?")</f>
        <v> Kif beda l-aħħar kanzunetta tal-Imperatur?</v>
      </c>
    </row>
    <row r="5230" ht="15.75" customHeight="1">
      <c r="A5230" s="2" t="s">
        <v>5230</v>
      </c>
      <c r="B5230" s="2" t="str">
        <f>IFERROR(__xludf.DUMMYFUNCTION("GOOGLETRANSLATE(A5230, ""en"", ""mt"")"),"Dak li jinvolvi li twassal nixxiegħa tal-gass li hija 9% sa 93% O2?")</f>
        <v>Dak li jinvolvi li twassal nixxiegħa tal-gass li hija 9% sa 93% O2?</v>
      </c>
    </row>
    <row r="5231" ht="15.75" customHeight="1">
      <c r="A5231" s="2" t="s">
        <v>5231</v>
      </c>
      <c r="B5231" s="2" t="str">
        <f>IFERROR(__xludf.DUMMYFUNCTION("GOOGLETRANSLATE(A5231, ""en"", ""mt"")"),"X'inhu l-isem taż-żona li l-kampus ewlieni huwa ċċentrat f'Cambridge?")</f>
        <v>X'inhu l-isem taż-żona li l-kampus ewlieni huwa ċċentrat f'Cambridge?</v>
      </c>
    </row>
    <row r="5232" ht="15.75" customHeight="1">
      <c r="A5232" s="2" t="s">
        <v>5232</v>
      </c>
      <c r="B5232" s="2" t="str">
        <f>IFERROR(__xludf.DUMMYFUNCTION("GOOGLETRANSLATE(A5232, ""en"", ""mt"")"),"Min uża l-imperjalizmu waqt ir-regola tagħhom tal-imperu Mongoljan?")</f>
        <v>Min uża l-imperjalizmu waqt ir-regola tagħhom tal-imperu Mongoljan?</v>
      </c>
    </row>
    <row r="5233" ht="15.75" customHeight="1">
      <c r="A5233" s="2" t="s">
        <v>5233</v>
      </c>
      <c r="B5233" s="2" t="str">
        <f>IFERROR(__xludf.DUMMYFUNCTION("GOOGLETRANSLATE(A5233, ""en"", ""mt"")"),"fl-1851")</f>
        <v>fl-1851</v>
      </c>
    </row>
    <row r="5234" ht="15.75" customHeight="1">
      <c r="A5234" s="2" t="s">
        <v>5234</v>
      </c>
      <c r="B5234" s="2" t="str">
        <f>IFERROR(__xludf.DUMMYFUNCTION("GOOGLETRANSLATE(A5234, ""en"", ""mt"")"),"makrofaġi, newtrofili, u ċelloli dendritiċi")</f>
        <v>makrofaġi, newtrofili, u ċelloli dendritiċi</v>
      </c>
    </row>
    <row r="5235" ht="15.75" customHeight="1">
      <c r="A5235" s="2" t="s">
        <v>5235</v>
      </c>
      <c r="B5235" s="2" t="str">
        <f>IFERROR(__xludf.DUMMYFUNCTION("GOOGLETRANSLATE(A5235, ""en"", ""mt"")"),"Fejn tinsab Samuel Marsden Collegiate School?")</f>
        <v>Fejn tinsab Samuel Marsden Collegiate School?</v>
      </c>
    </row>
    <row r="5236" ht="15.75" customHeight="1">
      <c r="A5236" s="2" t="s">
        <v>5236</v>
      </c>
      <c r="B5236" s="2" t="str">
        <f>IFERROR(__xludf.DUMMYFUNCTION("GOOGLETRANSLATE(A5236, ""en"", ""mt"")"),"Liema indiġeni ġew spostati mill-akkwist Ingliż fil-Ġeorġja?")</f>
        <v>Liema indiġeni ġew spostati mill-akkwist Ingliż fil-Ġeorġja?</v>
      </c>
    </row>
    <row r="5237" ht="15.75" customHeight="1">
      <c r="A5237" s="2" t="s">
        <v>5237</v>
      </c>
      <c r="B5237" s="2" t="str">
        <f>IFERROR(__xludf.DUMMYFUNCTION("GOOGLETRANSLATE(A5237, ""en"", ""mt"")"),"Il-konġettura ta 'Polignac")</f>
        <v>Il-konġettura ta 'Polignac</v>
      </c>
    </row>
    <row r="5238" ht="15.75" customHeight="1">
      <c r="A5238" s="2" t="s">
        <v>5238</v>
      </c>
      <c r="B5238" s="2" t="str">
        <f>IFERROR(__xludf.DUMMYFUNCTION("GOOGLETRANSLATE(A5238, ""en"", ""mt"")"),"m'għandhomx forzi wieqfa")</f>
        <v>m'għandhomx forzi wieqfa</v>
      </c>
    </row>
    <row r="5239" ht="15.75" customHeight="1">
      <c r="A5239" s="2" t="s">
        <v>5239</v>
      </c>
      <c r="B5239" s="2" t="str">
        <f>IFERROR(__xludf.DUMMYFUNCTION("GOOGLETRANSLATE(A5239, ""en"", ""mt"")"),"Granulysin")</f>
        <v>Granulysin</v>
      </c>
    </row>
    <row r="5240" ht="15.75" customHeight="1">
      <c r="A5240" s="2" t="s">
        <v>5240</v>
      </c>
      <c r="B5240" s="2" t="str">
        <f>IFERROR(__xludf.DUMMYFUNCTION("GOOGLETRANSLATE(A5240, ""en"", ""mt"")"),"Fejn jaħdmu l-ispiżjara kliniċi mal-pazjenti?")</f>
        <v>Fejn jaħdmu l-ispiżjara kliniċi mal-pazjenti?</v>
      </c>
    </row>
    <row r="5241" ht="15.75" customHeight="1">
      <c r="A5241" s="2" t="s">
        <v>5241</v>
      </c>
      <c r="B5241" s="2" t="str">
        <f>IFERROR(__xludf.DUMMYFUNCTION("GOOGLETRANSLATE(A5241, ""en"", ""mt"")"),"Meta jkun meħtieġ ħin estensiv biex issortja interi, dan jirrappreżenta liema kumplessità tal-każ?")</f>
        <v>Meta jkun meħtieġ ħin estensiv biex issortja interi, dan jirrappreżenta liema kumplessità tal-każ?</v>
      </c>
    </row>
    <row r="5242" ht="15.75" customHeight="1">
      <c r="A5242" s="2" t="s">
        <v>5242</v>
      </c>
      <c r="B5242" s="2" t="str">
        <f>IFERROR(__xludf.DUMMYFUNCTION("GOOGLETRANSLATE(A5242, ""en"", ""mt"")"),"X'inhu eżempju ta 'prattiki kontradittorji li jinvolvu sħubija?")</f>
        <v>X'inhu eżempju ta 'prattiki kontradittorji li jinvolvu sħubija?</v>
      </c>
    </row>
    <row r="5243" ht="15.75" customHeight="1">
      <c r="A5243" s="2" t="s">
        <v>5243</v>
      </c>
      <c r="B5243" s="2" t="str">
        <f>IFERROR(__xludf.DUMMYFUNCTION("GOOGLETRANSLATE(A5243, ""en"", ""mt"")"),"sismiku")</f>
        <v>sismiku</v>
      </c>
    </row>
    <row r="5244" ht="15.75" customHeight="1">
      <c r="A5244" s="2" t="s">
        <v>5244</v>
      </c>
      <c r="B5244" s="2" t="str">
        <f>IFERROR(__xludf.DUMMYFUNCTION("GOOGLETRANSLATE(A5244, ""en"", ""mt"")"),"Ħafna marru Kuba")</f>
        <v>Ħafna marru Kuba</v>
      </c>
    </row>
    <row r="5245" ht="15.75" customHeight="1">
      <c r="A5245" s="2" t="s">
        <v>5245</v>
      </c>
      <c r="B5245" s="2" t="str">
        <f>IFERROR(__xludf.DUMMYFUNCTION("GOOGLETRANSLATE(A5245, ""en"", ""mt"")"),"Verżjonijiet ippubblikati tard ġew utilizzati minn min?")</f>
        <v>Verżjonijiet ippubblikati tard ġew utilizzati minn min?</v>
      </c>
    </row>
    <row r="5246" ht="15.75" customHeight="1">
      <c r="A5246" s="2" t="s">
        <v>5246</v>
      </c>
      <c r="B5246" s="2" t="str">
        <f>IFERROR(__xludf.DUMMYFUNCTION("GOOGLETRANSLATE(A5246, ""en"", ""mt"")"),"Prinċipju Pauli")</f>
        <v>Prinċipju Pauli</v>
      </c>
    </row>
    <row r="5247" ht="15.75" customHeight="1">
      <c r="A5247" s="2" t="s">
        <v>5247</v>
      </c>
      <c r="B5247" s="2" t="str">
        <f>IFERROR(__xludf.DUMMYFUNCTION("GOOGLETRANSLATE(A5247, ""en"", ""mt"")"),"3600")</f>
        <v>3600</v>
      </c>
    </row>
    <row r="5248" ht="15.75" customHeight="1">
      <c r="A5248" s="2" t="s">
        <v>5248</v>
      </c>
      <c r="B5248" s="2" t="str">
        <f>IFERROR(__xludf.DUMMYFUNCTION("GOOGLETRANSLATE(A5248, ""en"", ""mt"")"),"Stediniet biex jindirizzaw il-House of Commons huma determinati minn min?")</f>
        <v>Stediniet biex jindirizzaw il-House of Commons huma determinati minn min?</v>
      </c>
    </row>
    <row r="5249" ht="15.75" customHeight="1">
      <c r="A5249" s="2" t="s">
        <v>5249</v>
      </c>
      <c r="B5249" s="2" t="str">
        <f>IFERROR(__xludf.DUMMYFUNCTION("GOOGLETRANSLATE(A5249, ""en"", ""mt"")"),"Min irnexxielu DataNet 1 għal KPN?")</f>
        <v>Min irnexxielu DataNet 1 għal KPN?</v>
      </c>
    </row>
    <row r="5250" ht="15.75" customHeight="1">
      <c r="A5250" s="2" t="s">
        <v>5250</v>
      </c>
      <c r="B5250" s="2" t="str">
        <f>IFERROR(__xludf.DUMMYFUNCTION("GOOGLETRANSLATE(A5250, ""en"", ""mt"")"),"Paltz Ġdid")</f>
        <v>Paltz Ġdid</v>
      </c>
    </row>
    <row r="5251" ht="15.75" customHeight="1">
      <c r="A5251" s="2" t="s">
        <v>5251</v>
      </c>
      <c r="B5251" s="2" t="str">
        <f>IFERROR(__xludf.DUMMYFUNCTION("GOOGLETRANSLATE(A5251, ""en"", ""mt"")")," X'kien it-titlu Irlandiż tal-ktieb ta 'Polo?")</f>
        <v> X'kien it-titlu Irlandiż tal-ktieb ta 'Polo?</v>
      </c>
    </row>
    <row r="5252" ht="15.75" customHeight="1">
      <c r="A5252" s="2" t="s">
        <v>5252</v>
      </c>
      <c r="B5252" s="2" t="str">
        <f>IFERROR(__xludf.DUMMYFUNCTION("GOOGLETRANSLATE(A5252, ""en"", ""mt"")"),"X’għandu l-Istat Olivier Roy li għadda minn bidla notevoli fit-tieni nofs tas-seklu 20?")</f>
        <v>X’għandu l-Istat Olivier Roy li għadda minn bidla notevoli fit-tieni nofs tas-seklu 20?</v>
      </c>
    </row>
    <row r="5253" ht="15.75" customHeight="1">
      <c r="A5253" s="2" t="s">
        <v>5253</v>
      </c>
      <c r="B5253" s="2" t="str">
        <f>IFERROR(__xludf.DUMMYFUNCTION("GOOGLETRANSLATE(A5253, ""en"", ""mt"")"),"Ċidippid ctenophores għandhom korpi li huma ftit jew wisq tond, xi kultant kważi sferiċi u drabi oħra aktar ċilindriċi jew forma ta 'bajd; Il-kosta komuni ""gooseberry tal-baħar,"" Pleurobrachia, xi kultant għandha korp b'forma ta 'bajd bil-ħalq fit-tarf "&amp;"dejjaq, għalkemm xi individwi huma aktar uniformi tondi. Minn naħat opposti tal-ġisem testendi par ta 'tentakli twal u rqaq, kull wieħed miżmum f'għant li fih jista' jiġi rtirat. Xi speċi ta 'cydippids għandhom korpi li huma ċċattjati għal diversi estensj"&amp;"onijiet, sabiex ikunu usa' fil-pjan tat-tentakli.")</f>
        <v>Ċidippid ctenophores għandhom korpi li huma ftit jew wisq tond, xi kultant kważi sferiċi u drabi oħra aktar ċilindriċi jew forma ta 'bajd; Il-kosta komuni "gooseberry tal-baħar," Pleurobrachia, xi kultant għandha korp b'forma ta 'bajd bil-ħalq fit-tarf dejjaq, għalkemm xi individwi huma aktar uniformi tondi. Minn naħat opposti tal-ġisem testendi par ta 'tentakli twal u rqaq, kull wieħed miżmum f'għant li fih jista' jiġi rtirat. Xi speċi ta 'cydippids għandhom korpi li huma ċċattjati għal diversi estensjonijiet, sabiex ikunu usa' fil-pjan tat-tentakli.</v>
      </c>
    </row>
    <row r="5254" ht="15.75" customHeight="1">
      <c r="A5254" s="2" t="s">
        <v>5254</v>
      </c>
      <c r="B5254" s="2" t="str">
        <f>IFERROR(__xludf.DUMMYFUNCTION("GOOGLETRANSLATE(A5254, ""en"", ""mt"")"),"Virginia fin-Nofsinhar lejn in-Nova Scotia fit-Tramuntana")</f>
        <v>Virginia fin-Nofsinhar lejn in-Nova Scotia fit-Tramuntana</v>
      </c>
    </row>
    <row r="5255" ht="15.75" customHeight="1">
      <c r="A5255" s="2" t="s">
        <v>5255</v>
      </c>
      <c r="B5255" s="2" t="str">
        <f>IFERROR(__xludf.DUMMYFUNCTION("GOOGLETRANSLATE(A5255, ""en"", ""mt"")"),"X’inkiseb art meta sofra n-nazzjonaliżmu Għarbi?")</f>
        <v>X’inkiseb art meta sofra n-nazzjonaliżmu Għarbi?</v>
      </c>
    </row>
    <row r="5256" ht="15.75" customHeight="1">
      <c r="A5256" s="2" t="s">
        <v>5256</v>
      </c>
      <c r="B5256" s="2" t="str">
        <f>IFERROR(__xludf.DUMMYFUNCTION("GOOGLETRANSLATE(A5256, ""en"", ""mt"")"),"Liema organizzazzjoni sabet Harvard fl-1900?")</f>
        <v>Liema organizzazzjoni sabet Harvard fl-1900?</v>
      </c>
    </row>
    <row r="5257" ht="15.75" customHeight="1">
      <c r="A5257" s="2" t="s">
        <v>5257</v>
      </c>
      <c r="B5257" s="2" t="str">
        <f>IFERROR(__xludf.DUMMYFUNCTION("GOOGLETRANSLATE(A5257, ""en"", ""mt"")"),"Min hu Kearney Boulevard imsemmi wara?")</f>
        <v>Min hu Kearney Boulevard imsemmi wara?</v>
      </c>
    </row>
    <row r="5258" ht="15.75" customHeight="1">
      <c r="A5258" s="2" t="s">
        <v>5258</v>
      </c>
      <c r="B5258" s="2" t="str">
        <f>IFERROR(__xludf.DUMMYFUNCTION("GOOGLETRANSLATE(A5258, ""en"", ""mt"")"),"Il-Parlament tar-Renju Unit f'Westminster")</f>
        <v>Il-Parlament tar-Renju Unit f'Westminster</v>
      </c>
    </row>
    <row r="5259" ht="15.75" customHeight="1">
      <c r="A5259" s="2" t="s">
        <v>5259</v>
      </c>
      <c r="B5259" s="2" t="str">
        <f>IFERROR(__xludf.DUMMYFUNCTION("GOOGLETRANSLATE(A5259, ""en"", ""mt"")"),"y Permezz tal-kummerċ tal-port ma 'Kostantinopli, u portijiet fuq il-Baħar l-Iswed")</f>
        <v>y Permezz tal-kummerċ tal-port ma 'Kostantinopli, u portijiet fuq il-Baħar l-Iswed</v>
      </c>
    </row>
    <row r="5260" ht="15.75" customHeight="1">
      <c r="A5260" s="2" t="s">
        <v>5260</v>
      </c>
      <c r="B5260" s="2" t="str">
        <f>IFERROR(__xludf.DUMMYFUNCTION("GOOGLETRANSLATE(A5260, ""en"", ""mt"")"),"X'inhu eżempju ta 'problema li tistrieħ fil-klassi tal-kumplessità NP?")</f>
        <v>X'inhu eżempju ta 'problema li tistrieħ fil-klassi tal-kumplessità NP?</v>
      </c>
    </row>
    <row r="5261" ht="15.75" customHeight="1">
      <c r="A5261" s="2" t="s">
        <v>5261</v>
      </c>
      <c r="B5261" s="2" t="str">
        <f>IFERROR(__xludf.DUMMYFUNCTION("GOOGLETRANSLATE(A5261, ""en"", ""mt"")"),"tibgħat email lill-Libanu")</f>
        <v>tibgħat email lill-Libanu</v>
      </c>
    </row>
    <row r="5262" ht="15.75" customHeight="1">
      <c r="A5262" s="2" t="s">
        <v>5262</v>
      </c>
      <c r="B5262" s="2" t="str">
        <f>IFERROR(__xludf.DUMMYFUNCTION("GOOGLETRANSLATE(A5262, ""en"", ""mt"")"),"aktar minn 400")</f>
        <v>aktar minn 400</v>
      </c>
    </row>
    <row r="5263" ht="15.75" customHeight="1">
      <c r="A5263" s="2" t="s">
        <v>5263</v>
      </c>
      <c r="B5263" s="2" t="str">
        <f>IFERROR(__xludf.DUMMYFUNCTION("GOOGLETRANSLATE(A5263, ""en"", ""mt"")"),"deni isfar")</f>
        <v>deni isfar</v>
      </c>
    </row>
    <row r="5264" ht="15.75" customHeight="1">
      <c r="A5264" s="2" t="s">
        <v>5264</v>
      </c>
      <c r="B5264" s="2" t="str">
        <f>IFERROR(__xludf.DUMMYFUNCTION("GOOGLETRANSLATE(A5264, ""en"", ""mt"")"),"Liema kap indiġenu vvjaġġa lejn il-forti Franċiż u hedded lil Marin?")</f>
        <v>Liema kap indiġenu vvjaġġa lejn il-forti Franċiż u hedded lil Marin?</v>
      </c>
    </row>
    <row r="5265" ht="15.75" customHeight="1">
      <c r="A5265" s="2" t="s">
        <v>5265</v>
      </c>
      <c r="B5265" s="2" t="str">
        <f>IFERROR(__xludf.DUMMYFUNCTION("GOOGLETRANSLATE(A5265, ""en"", ""mt"")"),"Fejn xi tobba mhumiex permessi li jippreskrivu u jagħtu mediċini fil-prattiki tagħhom?")</f>
        <v>Fejn xi tobba mhumiex permessi li jippreskrivu u jagħtu mediċini fil-prattiki tagħhom?</v>
      </c>
    </row>
    <row r="5266" ht="15.75" customHeight="1">
      <c r="A5266" s="2" t="s">
        <v>5266</v>
      </c>
      <c r="B5266" s="2" t="str">
        <f>IFERROR(__xludf.DUMMYFUNCTION("GOOGLETRANSLATE(A5266, ""en"", ""mt"")"),"id-deżert tad-distrett ta 'Maine u' l isfel fix-xmara Chaudière")</f>
        <v>id-deżert tad-distrett ta 'Maine u' l isfel fix-xmara Chaudière</v>
      </c>
    </row>
    <row r="5267" ht="15.75" customHeight="1">
      <c r="A5267" s="2" t="s">
        <v>5267</v>
      </c>
      <c r="B5267" s="2" t="str">
        <f>IFERROR(__xludf.DUMMYFUNCTION("GOOGLETRANSLATE(A5267, ""en"", ""mt"")"),"Il-Huguenots kellhom il-milizja tagħhom stess")</f>
        <v>Il-Huguenots kellhom il-milizja tagħhom stess</v>
      </c>
    </row>
    <row r="5268" ht="15.75" customHeight="1">
      <c r="A5268" s="2" t="s">
        <v>5268</v>
      </c>
      <c r="B5268" s="2" t="str">
        <f>IFERROR(__xludf.DUMMYFUNCTION("GOOGLETRANSLATE(A5268, ""en"", ""mt"")"),"Liema xahar huwa l-iktar sħun fi Fresno?")</f>
        <v>Liema xahar huwa l-iktar sħun fi Fresno?</v>
      </c>
    </row>
    <row r="5269" ht="15.75" customHeight="1">
      <c r="A5269" s="2" t="s">
        <v>5269</v>
      </c>
      <c r="B5269" s="2" t="str">
        <f>IFERROR(__xludf.DUMMYFUNCTION("GOOGLETRANSLATE(A5269, ""en"", ""mt"")"),"X'inhu l-akbar eon?")</f>
        <v>X'inhu l-akbar eon?</v>
      </c>
    </row>
    <row r="5270" ht="15.75" customHeight="1">
      <c r="A5270" s="2" t="s">
        <v>5270</v>
      </c>
      <c r="B5270" s="2" t="str">
        <f>IFERROR(__xludf.DUMMYFUNCTION("GOOGLETRANSLATE(A5270, ""en"", ""mt"")"),"X'inhu terminu ieħor użat għal-librerija?")</f>
        <v>X'inhu terminu ieħor użat għal-librerija?</v>
      </c>
    </row>
    <row r="5271" ht="15.75" customHeight="1">
      <c r="A5271" s="2" t="s">
        <v>5271</v>
      </c>
      <c r="B5271" s="2" t="str">
        <f>IFERROR(__xludf.DUMMYFUNCTION("GOOGLETRANSLATE(A5271, ""en"", ""mt"")"),"it-tielet l-iktar")</f>
        <v>it-tielet l-iktar</v>
      </c>
    </row>
    <row r="5272" ht="15.75" customHeight="1">
      <c r="A5272" s="2" t="s">
        <v>5272</v>
      </c>
      <c r="B5272" s="2" t="str">
        <f>IFERROR(__xludf.DUMMYFUNCTION("GOOGLETRANSLATE(A5272, ""en"", ""mt"")"),"Liema familja Franċiża Huguenot kellha l-ikbar negozju ta 'distillazzjoni ta' brandi fl-Afrika t'Isfel?")</f>
        <v>Liema familja Franċiża Huguenot kellha l-ikbar negozju ta 'distillazzjoni ta' brandi fl-Afrika t'Isfel?</v>
      </c>
    </row>
    <row r="5273" ht="15.75" customHeight="1">
      <c r="A5273" s="2" t="s">
        <v>5273</v>
      </c>
      <c r="B5273" s="2" t="str">
        <f>IFERROR(__xludf.DUMMYFUNCTION("GOOGLETRANSLATE(A5273, ""en"", ""mt"")"),"16")</f>
        <v>16</v>
      </c>
    </row>
    <row r="5274" ht="15.75" customHeight="1">
      <c r="A5274" s="2" t="s">
        <v>5274</v>
      </c>
      <c r="B5274" s="2" t="str">
        <f>IFERROR(__xludf.DUMMYFUNCTION("GOOGLETRANSLATE(A5274, ""en"", ""mt"")"),"Inugwaljanza fid-dħul")</f>
        <v>Inugwaljanza fid-dħul</v>
      </c>
    </row>
    <row r="5275" ht="15.75" customHeight="1">
      <c r="A5275" s="2" t="s">
        <v>5275</v>
      </c>
      <c r="B5275" s="2" t="str">
        <f>IFERROR(__xludf.DUMMYFUNCTION("GOOGLETRANSLATE(A5275, ""en"", ""mt"")"),"ir-regolamenti finanzjarji u r-regoli tal-WMO")</f>
        <v>ir-regolamenti finanzjarji u r-regoli tal-WMO</v>
      </c>
    </row>
    <row r="5276" ht="15.75" customHeight="1">
      <c r="A5276" s="2" t="s">
        <v>5276</v>
      </c>
      <c r="B5276" s="2" t="str">
        <f>IFERROR(__xludf.DUMMYFUNCTION("GOOGLETRANSLATE(A5276, ""en"", ""mt"")"),"Biex tirrendi ċerti liġijiet ineffettivi,")</f>
        <v>Biex tirrendi ċerti liġijiet ineffettivi,</v>
      </c>
    </row>
    <row r="5277" ht="15.75" customHeight="1">
      <c r="A5277" s="2" t="s">
        <v>5277</v>
      </c>
      <c r="B5277" s="2" t="str">
        <f>IFERROR(__xludf.DUMMYFUNCTION("GOOGLETRANSLATE(A5277, ""en"", ""mt"")"),"kostruttiv")</f>
        <v>kostruttiv</v>
      </c>
    </row>
    <row r="5278" ht="15.75" customHeight="1">
      <c r="A5278" s="2" t="s">
        <v>5278</v>
      </c>
      <c r="B5278" s="2" t="str">
        <f>IFERROR(__xludf.DUMMYFUNCTION("GOOGLETRANSLATE(A5278, ""en"", ""mt"")"),"ugwaljanza")</f>
        <v>ugwaljanza</v>
      </c>
    </row>
    <row r="5279" ht="15.75" customHeight="1">
      <c r="A5279" s="2" t="s">
        <v>5279</v>
      </c>
      <c r="B5279" s="2" t="str">
        <f>IFERROR(__xludf.DUMMYFUNCTION("GOOGLETRANSLATE(A5279, ""en"", ""mt"")"),"Loudoun, amministratur kapaċi iżda kmandant kawt tal-qasam, ippjana operazzjoni waħda kbira għall-1757: attakk fuq il-kapital ġdid ta 'Franza, Quebec. Meta ħalla forza mdaqqsa fil-Fort William Henry biex jaljena lil Montcalm, huwa beda jorganizza għall-is"&amp;"pedizzjoni lejn il-Quebec. Imbagħad ġie ordnat minn William Pitt, is-Segretarju tal-Istat responsabbli għall-Kolonji, biex jattakka l-ewwel Louisbourg. Beset minn dewmien ta 'kull tip, l-ispedizzjoni kienet finalment lesta biex tbaħħar minn Halifax, in-No"&amp;"va Scotia fil-bidu ta' Awwissu. Sadanittant il-vapuri Franċiżi ħarbu mill-imblokk Ingliż tal-kosta Franċiża, u flotta li qabżet lill-Brittaniku wieħed jistenna l-loudoun fi Louisbourg. Quddiem din is-saħħa, Loudoun irritorna fi New York fost aħbarijiet li"&amp;" seħħ massakru fil-Fort William Henry.")</f>
        <v>Loudoun, amministratur kapaċi iżda kmandant kawt tal-qasam, ippjana operazzjoni waħda kbira għall-1757: attakk fuq il-kapital ġdid ta 'Franza, Quebec. Meta ħalla forza mdaqqsa fil-Fort William Henry biex jaljena lil Montcalm, huwa beda jorganizza għall-ispedizzjoni lejn il-Quebec. Imbagħad ġie ordnat minn William Pitt, is-Segretarju tal-Istat responsabbli għall-Kolonji, biex jattakka l-ewwel Louisbourg. Beset minn dewmien ta 'kull tip, l-ispedizzjoni kienet finalment lesta biex tbaħħar minn Halifax, in-Nova Scotia fil-bidu ta' Awwissu. Sadanittant il-vapuri Franċiżi ħarbu mill-imblokk Ingliż tal-kosta Franċiża, u flotta li qabżet lill-Brittaniku wieħed jistenna l-loudoun fi Louisbourg. Quddiem din is-saħħa, Loudoun irritorna fi New York fost aħbarijiet li seħħ massakru fil-Fort William Henry.</v>
      </c>
    </row>
    <row r="5280" ht="15.75" customHeight="1">
      <c r="A5280" s="2" t="s">
        <v>5280</v>
      </c>
      <c r="B5280" s="2" t="str">
        <f>IFERROR(__xludf.DUMMYFUNCTION("GOOGLETRANSLATE(A5280, ""en"", ""mt"")"),"iż-żona moderata")</f>
        <v>iż-żona moderata</v>
      </c>
    </row>
    <row r="5281" ht="15.75" customHeight="1">
      <c r="A5281" s="2" t="s">
        <v>5281</v>
      </c>
      <c r="B5281" s="2" t="str">
        <f>IFERROR(__xludf.DUMMYFUNCTION("GOOGLETRANSLATE(A5281, ""en"", ""mt"")"),"Liema baħar ieħor kellu larva tal-ħut aċċidentalment introdott fiha?")</f>
        <v>Liema baħar ieħor kellu larva tal-ħut aċċidentalment introdott fiha?</v>
      </c>
    </row>
    <row r="5282" ht="15.75" customHeight="1">
      <c r="A5282" s="2" t="s">
        <v>5282</v>
      </c>
      <c r="B5282" s="2" t="str">
        <f>IFERROR(__xludf.DUMMYFUNCTION("GOOGLETRANSLATE(A5282, ""en"", ""mt"")"),"Min iddeċieda Ċipru fl-1191?")</f>
        <v>Min iddeċieda Ċipru fl-1191?</v>
      </c>
    </row>
    <row r="5283" ht="15.75" customHeight="1">
      <c r="A5283" s="2" t="s">
        <v>5283</v>
      </c>
      <c r="B5283" s="2" t="str">
        <f>IFERROR(__xludf.DUMMYFUNCTION("GOOGLETRANSLATE(A5283, ""en"", ""mt"")"),"n liema laqgħa Shirley stabbilixxa pjanijiet għall-1765?")</f>
        <v>n liema laqgħa Shirley stabbilixxa pjanijiet għall-1765?</v>
      </c>
    </row>
    <row r="5284" ht="15.75" customHeight="1">
      <c r="A5284" s="2" t="s">
        <v>5284</v>
      </c>
      <c r="B5284" s="2" t="str">
        <f>IFERROR(__xludf.DUMMYFUNCTION("GOOGLETRANSLATE(A5284, ""en"", ""mt"")"),"Kemm saffi ta 'protezzjoni huma pprovduti mill-missier?")</f>
        <v>Kemm saffi ta 'protezzjoni huma pprovduti mill-missier?</v>
      </c>
    </row>
    <row r="5285" ht="15.75" customHeight="1">
      <c r="A5285" s="2" t="s">
        <v>5285</v>
      </c>
      <c r="B5285" s="2" t="str">
        <f>IFERROR(__xludf.DUMMYFUNCTION("GOOGLETRANSLATE(A5285, ""en"", ""mt"")"),"Mill-1965, Donald Davies fil-Laboratorju Fiżiku Nazzjonali, ir-Renju Unit, żviluppa b'mod indipendenti l-istess metodoloġija ta 'rotta ta' messaġġi kif żviluppat minn Baran. Huwa sejjaħlu l-iswiċċ tal-pakkett, isem aktar aċċessibbli minn dak ta 'Baran, u "&amp;"ppropona li jibni netwerk nazzjonali fir-Renju Unit. Huwa ta taħdita dwar il-proposta fl-1966, u wara persuna mill-Ministeru tad-Difiża (MOD) qaltlu dwar ix-xogħol ta 'Baran. Membru tat-tim ta 'Davies (Roger Scantlebury) iltaqa' ma 'Lawrence Roberts fis-S"&amp;"ymposium ACM tal-1967 dwar il-prinċipji tas-sistema operattiva u ssuġġerixxah għall-użu fl-arpanet.")</f>
        <v>Mill-1965, Donald Davies fil-Laboratorju Fiżiku Nazzjonali, ir-Renju Unit, żviluppa b'mod indipendenti l-istess metodoloġija ta 'rotta ta' messaġġi kif żviluppat minn Baran. Huwa sejjaħlu l-iswiċċ tal-pakkett, isem aktar aċċessibbli minn dak ta 'Baran, u ppropona li jibni netwerk nazzjonali fir-Renju Unit. Huwa ta taħdita dwar il-proposta fl-1966, u wara persuna mill-Ministeru tad-Difiża (MOD) qaltlu dwar ix-xogħol ta 'Baran. Membru tat-tim ta 'Davies (Roger Scantlebury) iltaqa' ma 'Lawrence Roberts fis-Symposium ACM tal-1967 dwar il-prinċipji tas-sistema operattiva u ssuġġerixxah għall-użu fl-arpanet.</v>
      </c>
    </row>
    <row r="5286" ht="15.75" customHeight="1">
      <c r="A5286" s="2" t="s">
        <v>5286</v>
      </c>
      <c r="B5286" s="2" t="str">
        <f>IFERROR(__xludf.DUMMYFUNCTION("GOOGLETRANSLATE(A5286, ""en"", ""mt"")"),"Liema ktieb kien jidher 25 problemi teoretiċi komninatorji u graff differenti kull wieħed famuż għall-intrattabilità komputazzjonali tiegħu?")</f>
        <v>Liema ktieb kien jidher 25 problemi teoretiċi komninatorji u graff differenti kull wieħed famuż għall-intrattabilità komputazzjonali tiegħu?</v>
      </c>
    </row>
    <row r="5287" ht="15.75" customHeight="1">
      <c r="A5287" s="2" t="s">
        <v>5287</v>
      </c>
      <c r="B5287" s="2" t="str">
        <f>IFERROR(__xludf.DUMMYFUNCTION("GOOGLETRANSLATE(A5287, ""en"", ""mt"")"),"stadju introduttorju tal-kont")</f>
        <v>stadju introduttorju tal-kont</v>
      </c>
    </row>
    <row r="5288" ht="15.75" customHeight="1">
      <c r="A5288" s="2" t="s">
        <v>5288</v>
      </c>
      <c r="B5288" s="2" t="str">
        <f>IFERROR(__xludf.DUMMYFUNCTION("GOOGLETRANSLATE(A5288, ""en"", ""mt"")"),"Dawn il-proċessi kollha mhux neċessarjament iseħħu f'ambjent wieħed, u mhux neċessarjament iseħħu f'ordni waħda. Il-gżejjer Ħawajjani, pereżempju, jikkonsistu kważi kompletament minn flussi ta 'lava bażaltika b'saffi. Is-sekwenzi sedimentarji ta 'l-Istati"&amp;" Uniti tan-Nofs Kontinentali u l-Grand Canyon fil-Lbiċ ta' l-Istati Uniti fihom munzelli kważi mhux deformati ta 'blat sedimentarji li baqgħu f'posthom sa minn żmien Cambrian. Żoni oħra huma ħafna iktar ġeoloġikament kumplessi. Fil-Lbiċ ta 'l-Istati Uniti"&amp;", il-blat sedimentarji, vulkaniċi u intrużivi ġew metamorfositi, difetti, foljati u mitwija. Anke blat anzjani, bħall-acasta gneiss tal-craton tal-iskjavi fil-majjistral tal-Kanada, l-eqdem blat magħruf fid-dinja ġew metamorfosi sal-punt fejn l-oriġini ta"&amp;"għhom ma tinstabx mingħajr analiżi tal-laboratorju. Barra minn hekk, dawn il-proċessi jistgħu jseħħu fi stadji. F’ħafna postijiet, il-Grand Canyon fil-Lbiċ ta ’l-Istati Uniti huwa eżempju viżibbli ħafna, l-unitajiet ta’ blat aktar baxxi ġew metamorfositi "&amp;"u deformati, u mbagħad id-deformazzjoni ntemmet u l-unitajiet ta ’fuq u mhux iffurmati ġew depożitati. Għalkemm jista 'jkun hemm kwalunkwe ammont ta' sostituzzjoni tal-blat u deformazzjoni tal-blat, u jistgħu jseħħu kwalunkwe numru ta 'drabi, dawn il-kunċ"&amp;"etti jipprovdu gwida biex tifhem l-istorja ġeoloġika ta' żona.")</f>
        <v>Dawn il-proċessi kollha mhux neċessarjament iseħħu f'ambjent wieħed, u mhux neċessarjament iseħħu f'ordni waħda. Il-gżejjer Ħawajjani, pereżempju, jikkonsistu kważi kompletament minn flussi ta 'lava bażaltika b'saffi. Is-sekwenzi sedimentarji ta 'l-Istati Uniti tan-Nofs Kontinentali u l-Grand Canyon fil-Lbiċ ta' l-Istati Uniti fihom munzelli kważi mhux deformati ta 'blat sedimentarji li baqgħu f'posthom sa minn żmien Cambrian. Żoni oħra huma ħafna iktar ġeoloġikament kumplessi. Fil-Lbiċ ta 'l-Istati Uniti, il-blat sedimentarji, vulkaniċi u intrużivi ġew metamorfositi, difetti, foljati u mitwija. Anke blat anzjani, bħall-acasta gneiss tal-craton tal-iskjavi fil-majjistral tal-Kanada, l-eqdem blat magħruf fid-dinja ġew metamorfosi sal-punt fejn l-oriġini tagħhom ma tinstabx mingħajr analiżi tal-laboratorju. Barra minn hekk, dawn il-proċessi jistgħu jseħħu fi stadji. F’ħafna postijiet, il-Grand Canyon fil-Lbiċ ta ’l-Istati Uniti huwa eżempju viżibbli ħafna, l-unitajiet ta’ blat aktar baxxi ġew metamorfositi u deformati, u mbagħad id-deformazzjoni ntemmet u l-unitajiet ta ’fuq u mhux iffurmati ġew depożitati. Għalkemm jista 'jkun hemm kwalunkwe ammont ta' sostituzzjoni tal-blat u deformazzjoni tal-blat, u jistgħu jseħħu kwalunkwe numru ta 'drabi, dawn il-kunċetti jipprovdu gwida biex tifhem l-istorja ġeoloġika ta' żona.</v>
      </c>
    </row>
    <row r="5289" ht="15.75" customHeight="1">
      <c r="A5289" s="2" t="s">
        <v>5289</v>
      </c>
      <c r="B5289" s="2" t="str">
        <f>IFERROR(__xludf.DUMMYFUNCTION("GOOGLETRANSLATE(A5289, ""en"", ""mt"")"),"X'hemm bżonn li tibqa 'kostanti f'algoritmu ta' multiplikazzjoni biex tipproduċi l-istess riżultat kemm jekk timmultiplika jew kwadru żewġ numri interi?")</f>
        <v>X'hemm bżonn li tibqa 'kostanti f'algoritmu ta' multiplikazzjoni biex tipproduċi l-istess riżultat kemm jekk timmultiplika jew kwadru żewġ numri interi?</v>
      </c>
    </row>
    <row r="5290" ht="15.75" customHeight="1">
      <c r="A5290" s="2" t="s">
        <v>5290</v>
      </c>
      <c r="B5290" s="2" t="str">
        <f>IFERROR(__xludf.DUMMYFUNCTION("GOOGLETRANSLATE(A5290, ""en"", ""mt"")"),"Belt Manakin")</f>
        <v>Belt Manakin</v>
      </c>
    </row>
    <row r="5291" ht="15.75" customHeight="1">
      <c r="A5291" s="2" t="s">
        <v>5291</v>
      </c>
      <c r="B5291" s="2" t="str">
        <f>IFERROR(__xludf.DUMMYFUNCTION("GOOGLETRANSLATE(A5291, ""en"", ""mt"")"),"Wara li Washington kien irritorna lejn Williamsburg, Dinwiddie ordnatlu biex imexxi forza akbar biex jgħin lil Trent fix-xogħol tiegħu. Waqt li kienet fi triqthom, Washington saret taf bl-irtir ta ’Trent. Peress li Tanaghrisson kien wiegħed l-appoġġ lill-"&amp;"Ingliżi, Washington kompla lejn Fort Duquesne u ltaqa 'mal-mexxej tal-Mingo. It-tagħlim ta 'partit tal-iscouting Franċiż fiż-żona, Washington, ma' Tanaghrisson u l-partit tiegħu, sorpriż lill-Kanadiżi fit-28 ta 'Mejju f'dak li sar magħruf bħala l-Battalja"&amp;" ta' Jumonville Glen. Huma qatlu ħafna mill-Kanadiżi, inkluż l-uffiċjal kmandant tagħhom, Joseph Coulon de Jumonville, li r-ras tiegħu kien rappurtat li nfetaħ minn Tanaghrisson ma 'Tomahawk. L-istoriku Fred Anderson jissuġġerixxi li Tanaghrisson kien qed"&amp;" jaġixxi biex jikseb l-appoġġ tal-Ingliżi u jerġa 'jikseb l-awtorità fuq in-nies tiegħu stess. Huma kienu inklinati li jappoġġjaw lill-Franċiżi, li magħhom kellhom relazzjonijiet ta 'kummerċ fit-tul. Wieħed mill-irġiel ta 'Tanaghrisson qal lil Contrecoeur"&amp;" li Jumonville kien inqatel minn British Musket Fire.")</f>
        <v>Wara li Washington kien irritorna lejn Williamsburg, Dinwiddie ordnatlu biex imexxi forza akbar biex jgħin lil Trent fix-xogħol tiegħu. Waqt li kienet fi triqthom, Washington saret taf bl-irtir ta ’Trent. Peress li Tanaghrisson kien wiegħed l-appoġġ lill-Ingliżi, Washington kompla lejn Fort Duquesne u ltaqa 'mal-mexxej tal-Mingo. It-tagħlim ta 'partit tal-iscouting Franċiż fiż-żona, Washington, ma' Tanaghrisson u l-partit tiegħu, sorpriż lill-Kanadiżi fit-28 ta 'Mejju f'dak li sar magħruf bħala l-Battalja ta' Jumonville Glen. Huma qatlu ħafna mill-Kanadiżi, inkluż l-uffiċjal kmandant tagħhom, Joseph Coulon de Jumonville, li r-ras tiegħu kien rappurtat li nfetaħ minn Tanaghrisson ma 'Tomahawk. L-istoriku Fred Anderson jissuġġerixxi li Tanaghrisson kien qed jaġixxi biex jikseb l-appoġġ tal-Ingliżi u jerġa 'jikseb l-awtorità fuq in-nies tiegħu stess. Huma kienu inklinati li jappoġġjaw lill-Franċiżi, li magħhom kellhom relazzjonijiet ta 'kummerċ fit-tul. Wieħed mill-irġiel ta 'Tanaghrisson qal lil Contrecoeur li Jumonville kien inqatel minn British Musket Fire.</v>
      </c>
    </row>
    <row r="5292" ht="15.75" customHeight="1">
      <c r="A5292" s="2" t="s">
        <v>5292</v>
      </c>
      <c r="B5292" s="2" t="str">
        <f>IFERROR(__xludf.DUMMYFUNCTION("GOOGLETRANSLATE(A5292, ""en"", ""mt"")"),"Briefing B-265")</f>
        <v>Briefing B-265</v>
      </c>
    </row>
    <row r="5293" ht="15.75" customHeight="1">
      <c r="A5293" s="2" t="s">
        <v>5293</v>
      </c>
      <c r="B5293" s="2" t="str">
        <f>IFERROR(__xludf.DUMMYFUNCTION("GOOGLETRANSLATE(A5293, ""en"", ""mt"")"),"X'inhu korrelatat b'mod pożittiv mat-tul tat-tkabbir ekonomiku?")</f>
        <v>X'inhu korrelatat b'mod pożittiv mat-tul tat-tkabbir ekonomiku?</v>
      </c>
    </row>
    <row r="5294" ht="15.75" customHeight="1">
      <c r="A5294" s="2" t="s">
        <v>5294</v>
      </c>
      <c r="B5294" s="2" t="str">
        <f>IFERROR(__xludf.DUMMYFUNCTION("GOOGLETRANSLATE(A5294, ""en"", ""mt"")"),"Liema sena twaqqfet Chinatown?")</f>
        <v>Liema sena twaqqfet Chinatown?</v>
      </c>
    </row>
    <row r="5295" ht="15.75" customHeight="1">
      <c r="A5295" s="2" t="s">
        <v>5295</v>
      </c>
      <c r="B5295" s="2" t="str">
        <f>IFERROR(__xludf.DUMMYFUNCTION("GOOGLETRANSLATE(A5295, ""en"", ""mt"")"),"F'liema sena l-viċinat ta 'Boschwick biddel uffiċjalment isimha għal Bushwick?")</f>
        <v>F'liema sena l-viċinat ta 'Boschwick biddel uffiċjalment isimha għal Bushwick?</v>
      </c>
    </row>
    <row r="5296" ht="15.75" customHeight="1">
      <c r="A5296" s="2" t="s">
        <v>5296</v>
      </c>
      <c r="B5296" s="2" t="str">
        <f>IFERROR(__xludf.DUMMYFUNCTION("GOOGLETRANSLATE(A5296, ""en"", ""mt"")"),"Meta Sema ħabbret in-numru totali ta 'djar ma' Sky + HD kienet 3,222,000?")</f>
        <v>Meta Sema ħabbret in-numru totali ta 'djar ma' Sky + HD kienet 3,222,000?</v>
      </c>
    </row>
    <row r="5297" ht="15.75" customHeight="1">
      <c r="A5297" s="2" t="s">
        <v>5297</v>
      </c>
      <c r="B5297" s="2" t="str">
        <f>IFERROR(__xludf.DUMMYFUNCTION("GOOGLETRANSLATE(A5297, ""en"", ""mt"")"),"Fatturizzazzjoni sħiħa")</f>
        <v>Fatturizzazzjoni sħiħa</v>
      </c>
    </row>
    <row r="5298" ht="15.75" customHeight="1">
      <c r="A5298" s="2" t="s">
        <v>5298</v>
      </c>
      <c r="B5298" s="2" t="str">
        <f>IFERROR(__xludf.DUMMYFUNCTION("GOOGLETRANSLATE(A5298, ""en"", ""mt"")"),"Liema sistema ta 'qasma żviluppat fl-orogenija Alpina?")</f>
        <v>Liema sistema ta 'qasma żviluppat fl-orogenija Alpina?</v>
      </c>
    </row>
    <row r="5299" ht="15.75" customHeight="1">
      <c r="A5299" s="2" t="s">
        <v>5299</v>
      </c>
      <c r="B5299" s="2" t="str">
        <f>IFERROR(__xludf.DUMMYFUNCTION("GOOGLETRANSLATE(A5299, ""en"", ""mt"")"),"Minn xiex tgħid Neumes li l-kompożizzjoni bin-numri ewlenin kienet ispirata minnha?")</f>
        <v>Minn xiex tgħid Neumes li l-kompożizzjoni bin-numri ewlenin kienet ispirata minnha?</v>
      </c>
    </row>
    <row r="5300" ht="15.75" customHeight="1">
      <c r="A5300" s="2" t="s">
        <v>5300</v>
      </c>
      <c r="B5300" s="2" t="str">
        <f>IFERROR(__xludf.DUMMYFUNCTION("GOOGLETRANSLATE(A5300, ""en"", ""mt"")"),"X'kien l-iskop tat-truppi ta 'Loudoun fil-Fort Henry?")</f>
        <v>X'kien l-iskop tat-truppi ta 'Loudoun fil-Fort Henry?</v>
      </c>
    </row>
    <row r="5301" ht="15.75" customHeight="1">
      <c r="A5301" s="2" t="s">
        <v>5301</v>
      </c>
      <c r="B5301" s="2" t="str">
        <f>IFERROR(__xludf.DUMMYFUNCTION("GOOGLETRANSLATE(A5301, ""en"", ""mt"")"),"B")</f>
        <v>B</v>
      </c>
    </row>
    <row r="5302" ht="15.75" customHeight="1">
      <c r="A5302" s="2" t="s">
        <v>5302</v>
      </c>
      <c r="B5302" s="2" t="str">
        <f>IFERROR(__xludf.DUMMYFUNCTION("GOOGLETRANSLATE(A5302, ""en"", ""mt"")"),"il-metodu li bih il-mediċini huma mitluba u riċevuti")</f>
        <v>il-metodu li bih il-mediċini huma mitluba u riċevuti</v>
      </c>
    </row>
    <row r="5303" ht="15.75" customHeight="1">
      <c r="A5303" s="2" t="s">
        <v>5303</v>
      </c>
      <c r="B5303" s="2" t="str">
        <f>IFERROR(__xludf.DUMMYFUNCTION("GOOGLETRANSLATE(A5303, ""en"", ""mt"")"),"Tribunal tas-Servizz Ċivili")</f>
        <v>Tribunal tas-Servizz Ċivili</v>
      </c>
    </row>
    <row r="5304" ht="15.75" customHeight="1">
      <c r="A5304" s="2" t="s">
        <v>5304</v>
      </c>
      <c r="B5304" s="2" t="str">
        <f>IFERROR(__xludf.DUMMYFUNCTION("GOOGLETRANSLATE(A5304, ""en"", ""mt"")")," Fuq liema riżorsi naturali l-gvern Ċiniż ma kellux monopolju?")</f>
        <v> Fuq liema riżorsi naturali l-gvern Ċiniż ma kellux monopolju?</v>
      </c>
    </row>
    <row r="5305" ht="15.75" customHeight="1">
      <c r="A5305" s="2" t="s">
        <v>5305</v>
      </c>
      <c r="B5305" s="2" t="str">
        <f>IFERROR(__xludf.DUMMYFUNCTION("GOOGLETRANSLATE(A5305, ""en"", ""mt"")"),"Jekk dan ġie żviluppat għall-Air Force, allura l-Forza tal-Ajru għadha teknikament il-proprjetà intellettwali?")</f>
        <v>Jekk dan ġie żviluppat għall-Air Force, allura l-Forza tal-Ajru għadha teknikament il-proprjetà intellettwali?</v>
      </c>
    </row>
    <row r="5306" ht="15.75" customHeight="1">
      <c r="A5306" s="2" t="s">
        <v>5306</v>
      </c>
      <c r="B5306" s="2" t="str">
        <f>IFERROR(__xludf.DUMMYFUNCTION("GOOGLETRANSLATE(A5306, ""en"", ""mt"")"),"Meta ħadu l-moll tad-distributuri ewlenin tar-Rhine?")</f>
        <v>Meta ħadu l-moll tad-distributuri ewlenin tar-Rhine?</v>
      </c>
    </row>
    <row r="5307" ht="15.75" customHeight="1">
      <c r="A5307" s="2" t="s">
        <v>5307</v>
      </c>
      <c r="B5307" s="2" t="str">
        <f>IFERROR(__xludf.DUMMYFUNCTION("GOOGLETRANSLATE(A5307, ""en"", ""mt"")"),"X'inhu ffurmat meta fagożoma tgħaqqad ma 'lisosoma?")</f>
        <v>X'inhu ffurmat meta fagożoma tgħaqqad ma 'lisosoma?</v>
      </c>
    </row>
    <row r="5308" ht="15.75" customHeight="1">
      <c r="A5308" s="2" t="s">
        <v>5308</v>
      </c>
      <c r="B5308" s="2" t="str">
        <f>IFERROR(__xludf.DUMMYFUNCTION("GOOGLETRANSLATE(A5308, ""en"", ""mt"")"),"Meta ġiet stabbilita l-Università ta 'Chicago?")</f>
        <v>Meta ġiet stabbilita l-Università ta 'Chicago?</v>
      </c>
    </row>
    <row r="5309" ht="15.75" customHeight="1">
      <c r="A5309" s="2" t="s">
        <v>5309</v>
      </c>
      <c r="B5309" s="2" t="str">
        <f>IFERROR(__xludf.DUMMYFUNCTION("GOOGLETRANSLATE(A5309, ""en"", ""mt"")"),"Min ħoloq magna bl-użu ta 'applikazzjonijiet ta' trasport fl-1801?")</f>
        <v>Min ħoloq magna bl-użu ta 'applikazzjonijiet ta' trasport fl-1801?</v>
      </c>
    </row>
    <row r="5310" ht="15.75" customHeight="1">
      <c r="A5310" s="2" t="s">
        <v>5310</v>
      </c>
      <c r="B5310" s="2" t="str">
        <f>IFERROR(__xludf.DUMMYFUNCTION("GOOGLETRANSLATE(A5310, ""en"", ""mt"")"),"1775")</f>
        <v>1775</v>
      </c>
    </row>
    <row r="5311" ht="15.75" customHeight="1">
      <c r="A5311" s="2" t="s">
        <v>5311</v>
      </c>
      <c r="B5311" s="2" t="str">
        <f>IFERROR(__xludf.DUMMYFUNCTION("GOOGLETRANSLATE(A5311, ""en"", ""mt"")"),"perpendikulari")</f>
        <v>perpendikulari</v>
      </c>
    </row>
    <row r="5312" ht="15.75" customHeight="1">
      <c r="A5312" s="2" t="s">
        <v>5312</v>
      </c>
      <c r="B5312" s="2" t="str">
        <f>IFERROR(__xludf.DUMMYFUNCTION("GOOGLETRANSLATE(A5312, ""en"", ""mt"")"),"Flimkien mas-sorsi tal-fjuwil, liema tħassib ikkontribwixxa għall-iżvilupp tal-moviment tal-kombustjoni?")</f>
        <v>Flimkien mas-sorsi tal-fjuwil, liema tħassib ikkontribwixxa għall-iżvilupp tal-moviment tal-kombustjoni?</v>
      </c>
    </row>
    <row r="5313" ht="15.75" customHeight="1">
      <c r="A5313" s="2" t="s">
        <v>5313</v>
      </c>
      <c r="B5313" s="2" t="str">
        <f>IFERROR(__xludf.DUMMYFUNCTION("GOOGLETRANSLATE(A5313, ""en"", ""mt"")"),"X'kien l-inqas servizz tat-TV popolari tar-Renju Unit fl-2015?")</f>
        <v>X'kien l-inqas servizz tat-TV popolari tar-Renju Unit fl-2015?</v>
      </c>
    </row>
    <row r="5314" ht="15.75" customHeight="1">
      <c r="A5314" s="2" t="s">
        <v>5314</v>
      </c>
      <c r="B5314" s="2" t="str">
        <f>IFERROR(__xludf.DUMMYFUNCTION("GOOGLETRANSLATE(A5314, ""en"", ""mt"")"),"X'inhu l-isem ta 'tip wieħed ta' test fejn P + 1 jew P-1 jieħu ċerta forma?")</f>
        <v>X'inhu l-isem ta 'tip wieħed ta' test fejn P + 1 jew P-1 jieħu ċerta forma?</v>
      </c>
    </row>
    <row r="5315" ht="15.75" customHeight="1">
      <c r="A5315" s="2" t="s">
        <v>5315</v>
      </c>
      <c r="B5315" s="2" t="str">
        <f>IFERROR(__xludf.DUMMYFUNCTION("GOOGLETRANSLATE(A5315, ""en"", ""mt"")"),"Limitazzjonijiet prattiċi ta 'ħidma fil-foresta tropikali jfissru li l-kampjunar tad-dejta huwa preġudikat' il bogħod miċ-ċentru tal-baċin tal-Amażonja")</f>
        <v>Limitazzjonijiet prattiċi ta 'ħidma fil-foresta tropikali jfissru li l-kampjunar tad-dejta huwa preġudikat' il bogħod miċ-ċentru tal-baċin tal-Amażonja</v>
      </c>
    </row>
    <row r="5316" ht="15.75" customHeight="1">
      <c r="A5316" s="2" t="s">
        <v>5316</v>
      </c>
      <c r="B5316" s="2" t="str">
        <f>IFERROR(__xludf.DUMMYFUNCTION("GOOGLETRANSLATE(A5316, ""en"", ""mt"")"),"Liema tribujiet ġġieldu Genghis Khan?")</f>
        <v>Liema tribujiet ġġieldu Genghis Khan?</v>
      </c>
    </row>
    <row r="5317" ht="15.75" customHeight="1">
      <c r="A5317" s="2" t="s">
        <v>5317</v>
      </c>
      <c r="B5317" s="2" t="str">
        <f>IFERROR(__xludf.DUMMYFUNCTION("GOOGLETRANSLATE(A5317, ""en"", ""mt"")"),"Kemm użaw pajjiżi mhux żviluppati riċerkaturi Ingliżi biex jiġbru statistika?")</f>
        <v>Kemm użaw pajjiżi mhux żviluppati riċerkaturi Ingliżi biex jiġbru statistika?</v>
      </c>
    </row>
    <row r="5318" ht="15.75" customHeight="1">
      <c r="A5318" s="2" t="s">
        <v>5318</v>
      </c>
      <c r="B5318" s="2" t="str">
        <f>IFERROR(__xludf.DUMMYFUNCTION("GOOGLETRANSLATE(A5318, ""en"", ""mt"")")," Min ċaħad il-klann Borjigin Mongoljan?")</f>
        <v> Min ċaħad il-klann Borjigin Mongoljan?</v>
      </c>
    </row>
    <row r="5319" ht="15.75" customHeight="1">
      <c r="A5319" s="2" t="s">
        <v>5319</v>
      </c>
      <c r="B5319" s="2" t="str">
        <f>IFERROR(__xludf.DUMMYFUNCTION("GOOGLETRANSLATE(A5319, ""en"", ""mt"")"),"Liema forma ta 'ossiġnu l-annimali tal-baħar jakkwistaw f'ammonti akbar waqt kundizzjonijiet klimatiċi aktar friski?")</f>
        <v>Liema forma ta 'ossiġnu l-annimali tal-baħar jakkwistaw f'ammonti akbar waqt kundizzjonijiet klimatiċi aktar friski?</v>
      </c>
    </row>
    <row r="5320" ht="15.75" customHeight="1">
      <c r="A5320" s="2" t="s">
        <v>5320</v>
      </c>
      <c r="B5320" s="2" t="str">
        <f>IFERROR(__xludf.DUMMYFUNCTION("GOOGLETRANSLATE(A5320, ""en"", ""mt"")"),"Liema kundizzjoni fiżika tista 'tikkawża t-tossiċità akuta ta' l-ossiġenu?")</f>
        <v>Liema kundizzjoni fiżika tista 'tikkawża t-tossiċità akuta ta' l-ossiġenu?</v>
      </c>
    </row>
    <row r="5321" ht="15.75" customHeight="1">
      <c r="A5321" s="2" t="s">
        <v>5321</v>
      </c>
      <c r="B5321" s="2" t="str">
        <f>IFERROR(__xludf.DUMMYFUNCTION("GOOGLETRANSLATE(A5321, ""en"", ""mt"")"),"Fejn hija ż-żona ta 'sezzjoni trasversali rilevanti għall-volum li għalih qed jiġi kkalkulat it-tensjoni tal-istress. Dan il-formalizmu jinkludi termini ta 'pressjoni assoċjati ma' forzi li jaġixxu normali għaż-żona ta 'sezzjoni trasversali (id-djagonali "&amp;"tal-matriċi tat-tensjoni) kif ukoll termini ta' shear assoċjati ma 'forzi li jaġixxu paralleli maż-żona ta' sezzjoni trasversali (l-elementi barra d-djagonali). It-tensjoni tal-istress tirrappreżenta forzi li jikkawżaw ir-razez kollha (deformazzjonijiet) "&amp;"inklużi wkoll tensjonijiet u kompressjonijiet tat-tensjoni.: 133–134:38-1–38-11")</f>
        <v>Fejn hija ż-żona ta 'sezzjoni trasversali rilevanti għall-volum li għalih qed jiġi kkalkulat it-tensjoni tal-istress. Dan il-formalizmu jinkludi termini ta 'pressjoni assoċjati ma' forzi li jaġixxu normali għaż-żona ta 'sezzjoni trasversali (id-djagonali tal-matriċi tat-tensjoni) kif ukoll termini ta' shear assoċjati ma 'forzi li jaġixxu paralleli maż-żona ta' sezzjoni trasversali (l-elementi barra d-djagonali). It-tensjoni tal-istress tirrappreżenta forzi li jikkawżaw ir-razez kollha (deformazzjonijiet) inklużi wkoll tensjonijiet u kompressjonijiet tat-tensjoni.: 133–134:38-1–38-11</v>
      </c>
    </row>
    <row r="5322" ht="15.75" customHeight="1">
      <c r="A5322" s="2" t="s">
        <v>5322</v>
      </c>
      <c r="B5322" s="2" t="str">
        <f>IFERROR(__xludf.DUMMYFUNCTION("GOOGLETRANSLATE(A5322, ""en"", ""mt"")"),"X'ilmenta l-IPCC li kien qed jiġri mis-sorveljanza tal-gvern?")</f>
        <v>X'ilmenta l-IPCC li kien qed jiġri mis-sorveljanza tal-gvern?</v>
      </c>
    </row>
    <row r="5323" ht="15.75" customHeight="1">
      <c r="A5323" s="2" t="s">
        <v>5323</v>
      </c>
      <c r="B5323" s="2" t="str">
        <f>IFERROR(__xludf.DUMMYFUNCTION("GOOGLETRANSLATE(A5323, ""en"", ""mt"")"),"X'ordni ma għamlux il-Franċiżi Brittaniċi?")</f>
        <v>X'ordni ma għamlux il-Franċiżi Brittaniċi?</v>
      </c>
    </row>
    <row r="5324" ht="15.75" customHeight="1">
      <c r="A5324" s="2" t="s">
        <v>5324</v>
      </c>
      <c r="B5324" s="2" t="str">
        <f>IFERROR(__xludf.DUMMYFUNCTION("GOOGLETRANSLATE(A5324, ""en"", ""mt"")"),"Filwaqt li t-trattati u r-regolamenti se jkollhom effett dirett (jekk ċari, inkondizzjonati u immedjati), id-direttivi ġeneralment ma jagħtux liċ-ċittadini (għall-kuntrarju tal-istat membru) li jħarsu biex iħarrku ċittadini oħra. Fit-teorija, dan huwa min"&amp;"ħabba li l-Artikolu 288 tat-TFEU jgħid li d-direttivi huma indirizzati lill-istati membri u ġeneralment ""jitilqu lill-awtoritajiet nazzjonali l-għażla tal-forma u l-metodi"" biex jiġu implimentati. Parzjalment dan jirrifletti li d-direttivi spiss joħolqu"&amp;" standards minimi, u jħalli lill-istati membri japplikaw standards ogħla. Pereżempju, id-direttiva tal-ħin tax-xogħol teħtieġ li kull ħaddiem ikollu mill-inqas 4 ġimgħat imħallsa vaganzi kull sena, iżda ħafna mill-istati membri jeħtieġu aktar minn 28 jum "&amp;"fil-liġi nazzjonali. Madankollu, dwar il-pożizzjoni attwali adottata mill-Qorti tal-Ġustizzja, iċ-ċittadini għandhom il-wieqfa li jagħmlu talbiet ibbażati fuq liġijiet nazzjonali li jimplimentaw direttivi, iżda mhux mid-direttivi nfushom. Id-direttivi m'g"&amp;"ħandhomx hekk imsejħa effett dirett ""orizzontali"" (i.e. bejn partijiet mhux statali). Din il-fehma kienet istantanjament kontroversjali, u fil-bidu tad-disgħinijiet tliet avukati ġenerali argumentaw li d-direttivi għandhom joħolqu drittijiet u dmirijiet"&amp;" għaċ-ċittadini kollha. Il-Qorti tal-Ġustizzja rrifjutat, imma hemm ħames eċċezzjonijiet kbar.")</f>
        <v>Filwaqt li t-trattati u r-regolamenti se jkollhom effett dirett (jekk ċari, inkondizzjonati u immedjati), id-direttivi ġeneralment ma jagħtux liċ-ċittadini (għall-kuntrarju tal-istat membru) li jħarsu biex iħarrku ċittadini oħra. Fit-teorija, dan huwa minħabba li l-Artikolu 288 tat-TFEU jgħid li d-direttivi huma indirizzati lill-istati membri u ġeneralment "jitilqu lill-awtoritajiet nazzjonali l-għażla tal-forma u l-metodi" biex jiġu implimentati. Parzjalment dan jirrifletti li d-direttivi spiss joħolqu standards minimi, u jħalli lill-istati membri japplikaw standards ogħla. Pereżempju, id-direttiva tal-ħin tax-xogħol teħtieġ li kull ħaddiem ikollu mill-inqas 4 ġimgħat imħallsa vaganzi kull sena, iżda ħafna mill-istati membri jeħtieġu aktar minn 28 jum fil-liġi nazzjonali. Madankollu, dwar il-pożizzjoni attwali adottata mill-Qorti tal-Ġustizzja, iċ-ċittadini għandhom il-wieqfa li jagħmlu talbiet ibbażati fuq liġijiet nazzjonali li jimplimentaw direttivi, iżda mhux mid-direttivi nfushom. Id-direttivi m'għandhomx hekk imsejħa effett dirett "orizzontali" (i.e. bejn partijiet mhux statali). Din il-fehma kienet istantanjament kontroversjali, u fil-bidu tad-disgħinijiet tliet avukati ġenerali argumentaw li d-direttivi għandhom joħolqu drittijiet u dmirijiet għaċ-ċittadini kollha. Il-Qorti tal-Ġustizzja rrifjutat, imma hemm ħames eċċezzjonijiet kbar.</v>
      </c>
    </row>
    <row r="5325" ht="15.75" customHeight="1">
      <c r="A5325" s="2" t="s">
        <v>5325</v>
      </c>
      <c r="B5325" s="2" t="str">
        <f>IFERROR(__xludf.DUMMYFUNCTION("GOOGLETRANSLATE(A5325, ""en"", ""mt"")"),"Il-pesta nfirxet fl-Iskandinavja jew il-Ġermanja l-ewwel?")</f>
        <v>Il-pesta nfirxet fl-Iskandinavja jew il-Ġermanja l-ewwel?</v>
      </c>
    </row>
    <row r="5326" ht="15.75" customHeight="1">
      <c r="A5326" s="2" t="s">
        <v>5326</v>
      </c>
      <c r="B5326" s="2" t="str">
        <f>IFERROR(__xludf.DUMMYFUNCTION("GOOGLETRANSLATE(A5326, ""en"", ""mt"")"),"Mekkanika kwantistika")</f>
        <v>Mekkanika kwantistika</v>
      </c>
    </row>
    <row r="5327" ht="15.75" customHeight="1">
      <c r="A5327" s="2" t="s">
        <v>5327</v>
      </c>
      <c r="B5327" s="2" t="str">
        <f>IFERROR(__xludf.DUMMYFUNCTION("GOOGLETRANSLATE(A5327, ""en"", ""mt"")"),"Paul Baran għandu għajnuna minn xi ħadd meta żviluppa l-kunċett?")</f>
        <v>Paul Baran għandu għajnuna minn xi ħadd meta żviluppa l-kunċett?</v>
      </c>
    </row>
    <row r="5328" ht="15.75" customHeight="1">
      <c r="A5328" s="2" t="s">
        <v>5328</v>
      </c>
      <c r="B5328" s="2" t="str">
        <f>IFERROR(__xludf.DUMMYFUNCTION("GOOGLETRANSLATE(A5328, ""en"", ""mt"")"),"""Ħin ta 'Deċiżjoni""")</f>
        <v>"Ħin ta 'Deċiżjoni"</v>
      </c>
    </row>
    <row r="5329" ht="15.75" customHeight="1">
      <c r="A5329" s="2" t="s">
        <v>5329</v>
      </c>
      <c r="B5329" s="2" t="str">
        <f>IFERROR(__xludf.DUMMYFUNCTION("GOOGLETRANSLATE(A5329, ""en"", ""mt"")"),"Wara liema sena t-taħlit ma waqafx biex jintuża fil-Gran Brittanja?")</f>
        <v>Wara liema sena t-taħlit ma waqafx biex jintuża fil-Gran Brittanja?</v>
      </c>
    </row>
    <row r="5330" ht="15.75" customHeight="1">
      <c r="A5330" s="2" t="s">
        <v>5330</v>
      </c>
      <c r="B5330" s="2" t="str">
        <f>IFERROR(__xludf.DUMMYFUNCTION("GOOGLETRANSLATE(A5330, ""en"", ""mt"")"),"Mudelli ta 'unifikazzjoni awto-konsistenti")</f>
        <v>Mudelli ta 'unifikazzjoni awto-konsistenti</v>
      </c>
    </row>
    <row r="5331" ht="15.75" customHeight="1">
      <c r="A5331" s="2" t="s">
        <v>5331</v>
      </c>
      <c r="B5331" s="2" t="str">
        <f>IFERROR(__xludf.DUMMYFUNCTION("GOOGLETRANSLATE(A5331, ""en"", ""mt"")"),"Fuq liema huma r-rabtiet li ddeskrivew l-aħjar fuq liema ""tmien kontej"" huma bbażati?")</f>
        <v>Fuq liema huma r-rabtiet li ddeskrivew l-aħjar fuq liema "tmien kontej" huma bbażati?</v>
      </c>
    </row>
    <row r="5332" ht="15.75" customHeight="1">
      <c r="A5332" s="2" t="s">
        <v>5332</v>
      </c>
      <c r="B5332" s="2" t="str">
        <f>IFERROR(__xludf.DUMMYFUNCTION("GOOGLETRANSLATE(A5332, ""en"", ""mt"")")," Meta ma kienx stabbilit id-Direttorat tal-Librerija Imperjali?")</f>
        <v> Meta ma kienx stabbilit id-Direttorat tal-Librerija Imperjali?</v>
      </c>
    </row>
    <row r="5333" ht="15.75" customHeight="1">
      <c r="A5333" s="2" t="s">
        <v>5333</v>
      </c>
      <c r="B5333" s="2" t="str">
        <f>IFERROR(__xludf.DUMMYFUNCTION("GOOGLETRANSLATE(A5333, ""en"", ""mt"")"),"Kapitali tal-Film tax-Xitwa tad-Dinja")</f>
        <v>Kapitali tal-Film tax-Xitwa tad-Dinja</v>
      </c>
    </row>
    <row r="5334" ht="15.75" customHeight="1">
      <c r="A5334" s="2" t="s">
        <v>5334</v>
      </c>
      <c r="B5334" s="2" t="str">
        <f>IFERROR(__xludf.DUMMYFUNCTION("GOOGLETRANSLATE(A5334, ""en"", ""mt"")"),"magni komposti")</f>
        <v>magni komposti</v>
      </c>
    </row>
    <row r="5335" ht="15.75" customHeight="1">
      <c r="A5335" s="2" t="s">
        <v>5335</v>
      </c>
      <c r="B5335" s="2" t="str">
        <f>IFERROR(__xludf.DUMMYFUNCTION("GOOGLETRANSLATE(A5335, ""en"", ""mt"")"),"L-aħħar glaċjali dam minn ~ 74,000 (bp = qabel il-preżent), sa tmiem il-Pleistocene (~ 11,600 bp). Fl-Ewropa tal-Majjistral, rat żewġ fażijiet kesħin ħafna, li laħqu madwar 70,000 bp u madwar 29,000-24,000 bp. L-aħħar fażi preċedenti kemmxejn qabel l-aħħa"&amp;"r massimu globali tal-età tas-silġ (l-aħħar massimu glaċjali). Matul dan iż-żmien, ir-Renu t'isfel ħareġ bejn wieħed u ieħor lejn il-punent mill-Olanda u estiż lejn il-Lbiċ, permezz tal-Kanal Ingliż u fl-aħħar, lejn l-Oċean Atlantiku. Il-Kanal Ingliż, il-"&amp;"Kanal Irlandiż u l-biċċa l-kbira tal-Baħar tat-Tramuntana kienu art niexfa, l-aktar minħabba li l-livell tal-baħar kien madwar 120 m (390 ft) inqas mil-lum.")</f>
        <v>L-aħħar glaċjali dam minn ~ 74,000 (bp = qabel il-preżent), sa tmiem il-Pleistocene (~ 11,600 bp). Fl-Ewropa tal-Majjistral, rat żewġ fażijiet kesħin ħafna, li laħqu madwar 70,000 bp u madwar 29,000-24,000 bp. L-aħħar fażi preċedenti kemmxejn qabel l-aħħar massimu globali tal-età tas-silġ (l-aħħar massimu glaċjali). Matul dan iż-żmien, ir-Renu t'isfel ħareġ bejn wieħed u ieħor lejn il-punent mill-Olanda u estiż lejn il-Lbiċ, permezz tal-Kanal Ingliż u fl-aħħar, lejn l-Oċean Atlantiku. Il-Kanal Ingliż, il-Kanal Irlandiż u l-biċċa l-kbira tal-Baħar tat-Tramuntana kienu art niexfa, l-aktar minħabba li l-livell tal-baħar kien madwar 120 m (390 ft) inqas mil-lum.</v>
      </c>
    </row>
    <row r="5336" ht="15.75" customHeight="1">
      <c r="A5336" s="2" t="s">
        <v>5336</v>
      </c>
      <c r="B5336" s="2" t="str">
        <f>IFERROR(__xludf.DUMMYFUNCTION("GOOGLETRANSLATE(A5336, ""en"", ""mt"")"),"Qabel il-wasla tal-Franċiżi, iż-żona issa magħrufa bħala Jacksonville qabel kienet abitata minn liema nies?")</f>
        <v>Qabel il-wasla tal-Franċiżi, iż-żona issa magħrufa bħala Jacksonville qabel kienet abitata minn liema nies?</v>
      </c>
    </row>
    <row r="5337" ht="15.75" customHeight="1">
      <c r="A5337" s="2" t="s">
        <v>5337</v>
      </c>
      <c r="B5337" s="2" t="str">
        <f>IFERROR(__xludf.DUMMYFUNCTION("GOOGLETRANSLATE(A5337, ""en"", ""mt"")"),"Paleoproterozoic")</f>
        <v>Paleoproterozoic</v>
      </c>
    </row>
    <row r="5338" ht="15.75" customHeight="1">
      <c r="A5338" s="2" t="s">
        <v>5338</v>
      </c>
      <c r="B5338" s="2" t="str">
        <f>IFERROR(__xludf.DUMMYFUNCTION("GOOGLETRANSLATE(A5338, ""en"", ""mt"")"),"Riċetturi tal-limfoċiti varjabbli")</f>
        <v>Riċetturi tal-limfoċiti varjabbli</v>
      </c>
    </row>
    <row r="5339" ht="15.75" customHeight="1">
      <c r="A5339" s="2" t="s">
        <v>5339</v>
      </c>
      <c r="B5339" s="2" t="str">
        <f>IFERROR(__xludf.DUMMYFUNCTION("GOOGLETRANSLATE(A5339, ""en"", ""mt"")"),"X'tip ta 'netwerk ma tużax sita hln?")</f>
        <v>X'tip ta 'netwerk ma tużax sita hln?</v>
      </c>
    </row>
    <row r="5340" ht="15.75" customHeight="1">
      <c r="A5340" s="2" t="s">
        <v>5340</v>
      </c>
      <c r="B5340" s="2" t="str">
        <f>IFERROR(__xludf.DUMMYFUNCTION("GOOGLETRANSLATE(A5340, ""en"", ""mt"")"),"espansjoni")</f>
        <v>espansjoni</v>
      </c>
    </row>
    <row r="5341" ht="15.75" customHeight="1">
      <c r="A5341" s="2" t="s">
        <v>5341</v>
      </c>
      <c r="B5341" s="2" t="str">
        <f>IFERROR(__xludf.DUMMYFUNCTION("GOOGLETRANSLATE(A5341, ""en"", ""mt"")"),"Min ma jgħidu l-ebda ġurisdizzjoni li tista 'tagħti drogi skedati lill-pubbliku?")</f>
        <v>Min ma jgħidu l-ebda ġurisdizzjoni li tista 'tagħti drogi skedati lill-pubbliku?</v>
      </c>
    </row>
    <row r="5342" ht="15.75" customHeight="1">
      <c r="A5342" s="2" t="s">
        <v>5342</v>
      </c>
      <c r="B5342" s="2" t="str">
        <f>IFERROR(__xludf.DUMMYFUNCTION("GOOGLETRANSLATE(A5342, ""en"", ""mt"")"),"prefabbrikat")</f>
        <v>prefabbrikat</v>
      </c>
    </row>
    <row r="5343" ht="15.75" customHeight="1">
      <c r="A5343" s="2" t="s">
        <v>5343</v>
      </c>
      <c r="B5343" s="2" t="str">
        <f>IFERROR(__xludf.DUMMYFUNCTION("GOOGLETRANSLATE(A5343, ""en"", ""mt"")"),"1990s")</f>
        <v>1990s</v>
      </c>
    </row>
    <row r="5344" ht="15.75" customHeight="1">
      <c r="A5344" s="2" t="s">
        <v>5344</v>
      </c>
      <c r="B5344" s="2" t="str">
        <f>IFERROR(__xludf.DUMMYFUNCTION("GOOGLETRANSLATE(A5344, ""en"", ""mt"")"),"Rotta tal-Istat 99")</f>
        <v>Rotta tal-Istat 99</v>
      </c>
    </row>
    <row r="5345" ht="15.75" customHeight="1">
      <c r="A5345" s="2" t="s">
        <v>5345</v>
      </c>
      <c r="B5345" s="2" t="str">
        <f>IFERROR(__xludf.DUMMYFUNCTION("GOOGLETRANSLATE(A5345, ""en"", ""mt"")"),"Wankel")</f>
        <v>Wankel</v>
      </c>
    </row>
    <row r="5346" ht="15.75" customHeight="1">
      <c r="A5346" s="2" t="s">
        <v>5346</v>
      </c>
      <c r="B5346" s="2" t="str">
        <f>IFERROR(__xludf.DUMMYFUNCTION("GOOGLETRANSLATE(A5346, ""en"", ""mt"")"),"X'tip ta 'nar qatel l-ekwipaġġ ta' Apollo 1?")</f>
        <v>X'tip ta 'nar qatel l-ekwipaġġ ta' Apollo 1?</v>
      </c>
    </row>
    <row r="5347" ht="15.75" customHeight="1">
      <c r="A5347" s="2" t="s">
        <v>5347</v>
      </c>
      <c r="B5347" s="2" t="str">
        <f>IFERROR(__xludf.DUMMYFUNCTION("GOOGLETRANSLATE(A5347, ""en"", ""mt"")"),"jitħallew iqimu liberament")</f>
        <v>jitħallew iqimu liberament</v>
      </c>
    </row>
    <row r="5348" ht="15.75" customHeight="1">
      <c r="A5348" s="2" t="s">
        <v>5348</v>
      </c>
      <c r="B5348" s="2" t="str">
        <f>IFERROR(__xludf.DUMMYFUNCTION("GOOGLETRANSLATE(A5348, ""en"", ""mt"")"),"Is-Sitt Nazzjonijiet ta ’Iroquois")</f>
        <v>Is-Sitt Nazzjonijiet ta ’Iroquois</v>
      </c>
    </row>
    <row r="5349" ht="15.75" customHeight="1">
      <c r="A5349" s="2" t="s">
        <v>5349</v>
      </c>
      <c r="B5349" s="2" t="str">
        <f>IFERROR(__xludf.DUMMYFUNCTION("GOOGLETRANSLATE(A5349, ""en"", ""mt"")"),"Liema tweġiba politika ma kinitx tlaqqa 'f'Ġunju / Lulju 1754?")</f>
        <v>Liema tweġiba politika ma kinitx tlaqqa 'f'Ġunju / Lulju 1754?</v>
      </c>
    </row>
    <row r="5350" ht="15.75" customHeight="1">
      <c r="A5350" s="2" t="s">
        <v>5350</v>
      </c>
      <c r="B5350" s="2" t="str">
        <f>IFERROR(__xludf.DUMMYFUNCTION("GOOGLETRANSLATE(A5350, ""en"", ""mt"")"),"maħluqa")</f>
        <v>maħluqa</v>
      </c>
    </row>
    <row r="5351" ht="15.75" customHeight="1">
      <c r="A5351" s="2" t="s">
        <v>5351</v>
      </c>
      <c r="B5351" s="2" t="str">
        <f>IFERROR(__xludf.DUMMYFUNCTION("GOOGLETRANSLATE(A5351, ""en"", ""mt"")"),"Mudelli ta 'prezz aktar baxxi bħal Chevrolet Bel Air, u Ford Galaxie 500")</f>
        <v>Mudelli ta 'prezz aktar baxxi bħal Chevrolet Bel Air, u Ford Galaxie 500</v>
      </c>
    </row>
    <row r="5352" ht="15.75" customHeight="1">
      <c r="A5352" s="2" t="s">
        <v>5352</v>
      </c>
      <c r="B5352" s="2" t="str">
        <f>IFERROR(__xludf.DUMMYFUNCTION("GOOGLETRANSLATE(A5352, ""en"", ""mt"")"),"Progressività ta 'taxxa aktar wieqfa")</f>
        <v>Progressività ta 'taxxa aktar wieqfa</v>
      </c>
    </row>
    <row r="5353" ht="15.75" customHeight="1">
      <c r="A5353" s="2" t="s">
        <v>5353</v>
      </c>
      <c r="B5353" s="2" t="str">
        <f>IFERROR(__xludf.DUMMYFUNCTION("GOOGLETRANSLATE(A5353, ""en"", ""mt"")")," Liema nuqqas ta 'dinastija ġie qabel il-wan?")</f>
        <v> Liema nuqqas ta 'dinastija ġie qabel il-wan?</v>
      </c>
    </row>
    <row r="5354" ht="15.75" customHeight="1">
      <c r="A5354" s="2" t="s">
        <v>5354</v>
      </c>
      <c r="B5354" s="2" t="str">
        <f>IFERROR(__xludf.DUMMYFUNCTION("GOOGLETRANSLATE(A5354, ""en"", ""mt"")"),"X'inhuma d-differenzi kbar fil-ġid attribwiti mis-soċjalisti?")</f>
        <v>X'inhuma d-differenzi kbar fil-ġid attribwiti mis-soċjalisti?</v>
      </c>
    </row>
    <row r="5355" ht="15.75" customHeight="1">
      <c r="A5355" s="2" t="s">
        <v>5355</v>
      </c>
      <c r="B5355" s="2" t="str">
        <f>IFERROR(__xludf.DUMMYFUNCTION("GOOGLETRANSLATE(A5355, ""en"", ""mt"")"),"Prodott sekondarju matematiku")</f>
        <v>Prodott sekondarju matematiku</v>
      </c>
    </row>
    <row r="5356" ht="15.75" customHeight="1">
      <c r="A5356" s="2" t="s">
        <v>5356</v>
      </c>
      <c r="B5356" s="2" t="str">
        <f>IFERROR(__xludf.DUMMYFUNCTION("GOOGLETRANSLATE(A5356, ""en"", ""mt"")"),"Kummissjoni v Italja")</f>
        <v>Kummissjoni v Italja</v>
      </c>
    </row>
    <row r="5357" ht="15.75" customHeight="1">
      <c r="A5357" s="2" t="s">
        <v>5357</v>
      </c>
      <c r="B5357" s="2" t="str">
        <f>IFERROR(__xludf.DUMMYFUNCTION("GOOGLETRANSLATE(A5357, ""en"", ""mt"")"),"Minn xiex torganizza l-Gallerija Nazzjonali tal-Art ta 'Zachęta?")</f>
        <v>Minn xiex torganizza l-Gallerija Nazzjonali tal-Art ta 'Zachęta?</v>
      </c>
    </row>
    <row r="5358" ht="15.75" customHeight="1">
      <c r="A5358" s="2" t="s">
        <v>5358</v>
      </c>
      <c r="B5358" s="2" t="str">
        <f>IFERROR(__xludf.DUMMYFUNCTION("GOOGLETRANSLATE(A5358, ""en"", ""mt"")"),"Il-livell sekondarju jinkludi skejjel li joffru snin 7 sa 12 (is-sena tnax huwa magħruf bħala s-sitt inqas) u s-sena 13 (is-sitta ta ’fuq). Din il-kategorija tinkludi skejjel preparatorji universitarji jew ""skejjel ta 'prep"", skejjel ta' l-imbark u skej"&amp;"jel ta 'kuljum. It-tagħlim fi skejjel sekondarji privati ​​jvarja minn skola għal skola u jiddependi fuq ħafna fatturi, inkluż il-post tal-iskola, ir-rieda tal-ġenituri li jħallsu, tagħlim bejn il-pari u d-dotazzjoni finanzjarja tal-iskola. Tagħlim għoli,"&amp;" pretensjoni tal-iskejjel, jintuża biex iħallas salarji ogħla għall-aħjar għalliema u jintuża wkoll biex jipprovdi ambjenti ta 'tagħlim arrikkiti, inkluż proporzjon baxx ta' student għal għalliem, daqsijiet u servizzi ta 'klassi żgħira, bħal libreriji, la"&amp;"boratorji tax-xjenza u kompjuters. Uħud mill-iskejjel privati ​​huma skejjel imbarkati u ħafna akkademji militari huma proprjetà jew operati privati ​​wkoll.")</f>
        <v>Il-livell sekondarju jinkludi skejjel li joffru snin 7 sa 12 (is-sena tnax huwa magħruf bħala s-sitt inqas) u s-sena 13 (is-sitta ta ’fuq). Din il-kategorija tinkludi skejjel preparatorji universitarji jew "skejjel ta 'prep", skejjel ta' l-imbark u skejjel ta 'kuljum. It-tagħlim fi skejjel sekondarji privati ​​jvarja minn skola għal skola u jiddependi fuq ħafna fatturi, inkluż il-post tal-iskola, ir-rieda tal-ġenituri li jħallsu, tagħlim bejn il-pari u d-dotazzjoni finanzjarja tal-iskola. Tagħlim għoli, pretensjoni tal-iskejjel, jintuża biex iħallas salarji ogħla għall-aħjar għalliema u jintuża wkoll biex jipprovdi ambjenti ta 'tagħlim arrikkiti, inkluż proporzjon baxx ta' student għal għalliem, daqsijiet u servizzi ta 'klassi żgħira, bħal libreriji, laboratorji tax-xjenza u kompjuters. Uħud mill-iskejjel privati ​​huma skejjel imbarkati u ħafna akkademji militari huma proprjetà jew operati privati ​​wkoll.</v>
      </c>
    </row>
    <row r="5359" ht="15.75" customHeight="1">
      <c r="A5359" s="2" t="s">
        <v>5359</v>
      </c>
      <c r="B5359" s="2" t="str">
        <f>IFERROR(__xludf.DUMMYFUNCTION("GOOGLETRANSLATE(A5359, ""en"", ""mt"")"),"X’jagħmlu l-partitarji tal-Iżlamiżmu li jirriflettu l-fehmiet tagħhom?")</f>
        <v>X’jagħmlu l-partitarji tal-Iżlamiżmu li jirriflettu l-fehmiet tagħhom?</v>
      </c>
    </row>
    <row r="5360" ht="15.75" customHeight="1">
      <c r="A5360" s="2" t="s">
        <v>5360</v>
      </c>
      <c r="B5360" s="2" t="str">
        <f>IFERROR(__xludf.DUMMYFUNCTION("GOOGLETRANSLATE(A5360, ""en"", ""mt"")"),"Tossiċità tal-ossiġnu għall-pulmuni u s-sistema nervuża ċentrali")</f>
        <v>Tossiċità tal-ossiġnu għall-pulmuni u s-sistema nervuża ċentrali</v>
      </c>
    </row>
    <row r="5361" ht="15.75" customHeight="1">
      <c r="A5361" s="2" t="s">
        <v>5361</v>
      </c>
      <c r="B5361" s="2" t="str">
        <f>IFERROR(__xludf.DUMMYFUNCTION("GOOGLETRANSLATE(A5361, ""en"", ""mt"")"),"L-ewwel Newton")</f>
        <v>L-ewwel Newton</v>
      </c>
    </row>
    <row r="5362" ht="15.75" customHeight="1">
      <c r="A5362" s="2" t="s">
        <v>5362</v>
      </c>
      <c r="B5362" s="2" t="str">
        <f>IFERROR(__xludf.DUMMYFUNCTION("GOOGLETRANSLATE(A5362, ""en"", ""mt"")"),"Infrastruttura ta 'transitu msaħħa, shuttles possibbli miftuħa għall-pubbliku, u spazju għall-park li se jkun aċċessibbli wkoll għall-pubbliku.")</f>
        <v>Infrastruttura ta 'transitu msaħħa, shuttles possibbli miftuħa għall-pubbliku, u spazju għall-park li se jkun aċċessibbli wkoll għall-pubbliku.</v>
      </c>
    </row>
    <row r="5363" ht="15.75" customHeight="1">
      <c r="A5363" s="2" t="s">
        <v>5363</v>
      </c>
      <c r="B5363" s="2" t="str">
        <f>IFERROR(__xludf.DUMMYFUNCTION("GOOGLETRANSLATE(A5363, ""en"", ""mt"")"),"Braddock (ma 'George Washington bħala wieħed mill-assistenti tiegħu) mexxa madwar 1,500 truppa tal-armata u milizja provinċjali fuq spedizzjoni f'Ġunju 1755 biex jieħu Fort Duquesne. L-ispedizzjoni kienet diżastru. Ġie attakkat minn suldati Franċiżi u Ind"&amp;"jani li joħorġuhom minn fuq fis-siġar u wara z-zkuk. Braddock talab għal irtir. Huwa nqatel. Madwar 1,000 suldat Ingliż inqatlu jew indarbu. Il-500 truppa Ingliża li fadal, immexxija minn George Washington, irtiraw lejn Virginia. Żewġ avversarji futuri fi"&amp;"l-Gwerra Rivoluzzjonarja Amerikana, Washington u Thomas Gage, kellhom rwoli ewlenin fl-organizzazzjoni tal-irtir.")</f>
        <v>Braddock (ma 'George Washington bħala wieħed mill-assistenti tiegħu) mexxa madwar 1,500 truppa tal-armata u milizja provinċjali fuq spedizzjoni f'Ġunju 1755 biex jieħu Fort Duquesne. L-ispedizzjoni kienet diżastru. Ġie attakkat minn suldati Franċiżi u Indjani li joħorġuhom minn fuq fis-siġar u wara z-zkuk. Braddock talab għal irtir. Huwa nqatel. Madwar 1,000 suldat Ingliż inqatlu jew indarbu. Il-500 truppa Ingliża li fadal, immexxija minn George Washington, irtiraw lejn Virginia. Żewġ avversarji futuri fil-Gwerra Rivoluzzjonarja Amerikana, Washington u Thomas Gage, kellhom rwoli ewlenin fl-organizzazzjoni tal-irtir.</v>
      </c>
    </row>
    <row r="5364" ht="15.75" customHeight="1">
      <c r="A5364" s="2" t="s">
        <v>5364</v>
      </c>
      <c r="B5364" s="2" t="str">
        <f>IFERROR(__xludf.DUMMYFUNCTION("GOOGLETRANSLATE(A5364, ""en"", ""mt"")"),"Kemm valvi uża l-magna Rumford?")</f>
        <v>Kemm valvi uża l-magna Rumford?</v>
      </c>
    </row>
    <row r="5365" ht="15.75" customHeight="1">
      <c r="A5365" s="2" t="s">
        <v>5365</v>
      </c>
      <c r="B5365" s="2" t="str">
        <f>IFERROR(__xludf.DUMMYFUNCTION("GOOGLETRANSLATE(A5365, ""en"", ""mt"")"),"X'inhi s-sistema ta 'ħafna strutturi u proċessi bijoloġiċi li jipproteġu organiżmu mill-kesħa?")</f>
        <v>X'inhi s-sistema ta 'ħafna strutturi u proċessi bijoloġiċi li jipproteġu organiżmu mill-kesħa?</v>
      </c>
    </row>
    <row r="5366" ht="15.75" customHeight="1">
      <c r="A5366" s="2" t="s">
        <v>5366</v>
      </c>
      <c r="B5366" s="2" t="str">
        <f>IFERROR(__xludf.DUMMYFUNCTION("GOOGLETRANSLATE(A5366, ""en"", ""mt"")"),"Prevenzjoni milli tinqata '")</f>
        <v>Prevenzjoni milli tinqata '</v>
      </c>
    </row>
    <row r="5367" ht="15.75" customHeight="1">
      <c r="A5367" s="2" t="s">
        <v>5367</v>
      </c>
      <c r="B5367" s="2" t="str">
        <f>IFERROR(__xludf.DUMMYFUNCTION("GOOGLETRANSLATE(A5367, ""en"", ""mt"")"),"Finsteraarhorn")</f>
        <v>Finsteraarhorn</v>
      </c>
    </row>
    <row r="5368" ht="15.75" customHeight="1">
      <c r="A5368" s="2" t="s">
        <v>5368</v>
      </c>
      <c r="B5368" s="2" t="str">
        <f>IFERROR(__xludf.DUMMYFUNCTION("GOOGLETRANSLATE(A5368, ""en"", ""mt"")"),"L-ebda kamra tar-reviżjoni")</f>
        <v>L-ebda kamra tar-reviżjoni</v>
      </c>
    </row>
    <row r="5369" ht="15.75" customHeight="1">
      <c r="A5369" s="2" t="s">
        <v>5369</v>
      </c>
      <c r="B5369" s="2" t="str">
        <f>IFERROR(__xludf.DUMMYFUNCTION("GOOGLETRANSLATE(A5369, ""en"", ""mt"")"),"Franza kif kienet differenti mill-Gran Brittanja fil-ġestjoni tal-kolonji tagħha?")</f>
        <v>Franza kif kienet differenti mill-Gran Brittanja fil-ġestjoni tal-kolonji tagħha?</v>
      </c>
    </row>
    <row r="5370" ht="15.75" customHeight="1">
      <c r="A5370" s="2" t="s">
        <v>5370</v>
      </c>
      <c r="B5370" s="2" t="str">
        <f>IFERROR(__xludf.DUMMYFUNCTION("GOOGLETRANSLATE(A5370, ""en"", ""mt"")"),"Minn xiex instab il-ħadid li sar l-aktar?")</f>
        <v>Minn xiex instab il-ħadid li sar l-aktar?</v>
      </c>
    </row>
    <row r="5371" ht="15.75" customHeight="1">
      <c r="A5371" s="2" t="s">
        <v>5371</v>
      </c>
      <c r="B5371" s="2" t="str">
        <f>IFERROR(__xludf.DUMMYFUNCTION("GOOGLETRANSLATE(A5371, ""en"", ""mt"")"),"Xi jfisser meta serje armonika tvarja?")</f>
        <v>Xi jfisser meta serje armonika tvarja?</v>
      </c>
    </row>
    <row r="5372" ht="15.75" customHeight="1">
      <c r="A5372" s="2" t="s">
        <v>5372</v>
      </c>
      <c r="B5372" s="2" t="str">
        <f>IFERROR(__xludf.DUMMYFUNCTION("GOOGLETRANSLATE(A5372, ""en"", ""mt"")"),"Problemi ta 'deċiżjoni")</f>
        <v>Problemi ta 'deċiżjoni</v>
      </c>
    </row>
    <row r="5373" ht="15.75" customHeight="1">
      <c r="A5373" s="2" t="s">
        <v>5373</v>
      </c>
      <c r="B5373" s="2" t="str">
        <f>IFERROR(__xludf.DUMMYFUNCTION("GOOGLETRANSLATE(A5373, ""en"", ""mt"")"),"Kemm hemm vinji li jinsabu fir- ""Romina Romantika""?")</f>
        <v>Kemm hemm vinji li jinsabu fir- "Romina Romantika"?</v>
      </c>
    </row>
    <row r="5374" ht="15.75" customHeight="1">
      <c r="A5374" s="2" t="s">
        <v>5374</v>
      </c>
      <c r="B5374" s="2" t="str">
        <f>IFERROR(__xludf.DUMMYFUNCTION("GOOGLETRANSLATE(A5374, ""en"", ""mt"")"),"pressjoni biex tnaqqas l-ispejjeż u timmassimizza l-profitti")</f>
        <v>pressjoni biex tnaqqas l-ispejjeż u timmassimizza l-profitti</v>
      </c>
    </row>
    <row r="5375" ht="15.75" customHeight="1">
      <c r="A5375" s="2" t="s">
        <v>5375</v>
      </c>
      <c r="B5375" s="2" t="str">
        <f>IFERROR(__xludf.DUMMYFUNCTION("GOOGLETRANSLATE(A5375, ""en"", ""mt"")"),"Telstra bdiet dak fil-bidu tas-snin 1980?")</f>
        <v>Telstra bdiet dak fil-bidu tas-snin 1980?</v>
      </c>
    </row>
    <row r="5376" ht="15.75" customHeight="1">
      <c r="A5376" s="2" t="s">
        <v>5376</v>
      </c>
      <c r="B5376" s="2" t="str">
        <f>IFERROR(__xludf.DUMMYFUNCTION("GOOGLETRANSLATE(A5376, ""en"", ""mt"")"),"Djar lussużi nbnew fuq liema kantuniera?")</f>
        <v>Djar lussużi nbnew fuq liema kantuniera?</v>
      </c>
    </row>
    <row r="5377" ht="15.75" customHeight="1">
      <c r="A5377" s="2" t="s">
        <v>5377</v>
      </c>
      <c r="B5377" s="2" t="str">
        <f>IFERROR(__xludf.DUMMYFUNCTION("GOOGLETRANSLATE(A5377, ""en"", ""mt"")"),"Liema kumplessità tal-każ hija rrappreżentata meta kull pivoting jaqsam il-lista fi terzi, li jeħtieġ ukoll il-ħin O (n log n)?")</f>
        <v>Liema kumplessità tal-każ hija rrappreżentata meta kull pivoting jaqsam il-lista fi terzi, li jeħtieġ ukoll il-ħin O (n log n)?</v>
      </c>
    </row>
    <row r="5378" ht="15.75" customHeight="1">
      <c r="A5378" s="2" t="s">
        <v>5378</v>
      </c>
      <c r="B5378" s="2" t="str">
        <f>IFERROR(__xludf.DUMMYFUNCTION("GOOGLETRANSLATE(A5378, ""en"", ""mt"")"),"Liema gazzetta ddefiniet fin-Nofsinhar ta 'California?")</f>
        <v>Liema gazzetta ddefiniet fin-Nofsinhar ta 'California?</v>
      </c>
    </row>
    <row r="5379" ht="15.75" customHeight="1">
      <c r="A5379" s="2" t="s">
        <v>5379</v>
      </c>
      <c r="B5379" s="2" t="str">
        <f>IFERROR(__xludf.DUMMYFUNCTION("GOOGLETRANSLATE(A5379, ""en"", ""mt"")"),"Min ħoloq valutazzjonijiet li nstabu li għandhom żbalji sostanzjali?")</f>
        <v>Min ħoloq valutazzjonijiet li nstabu li għandhom żbalji sostanzjali?</v>
      </c>
    </row>
    <row r="5380" ht="15.75" customHeight="1">
      <c r="A5380" s="2" t="s">
        <v>5380</v>
      </c>
      <c r="B5380" s="2" t="str">
        <f>IFERROR(__xludf.DUMMYFUNCTION("GOOGLETRANSLATE(A5380, ""en"", ""mt"")")," Fejn kienet il-kapitali tad-dinastija tal-kanzunetta?")</f>
        <v> Fejn kienet il-kapitali tad-dinastija tal-kanzunetta?</v>
      </c>
    </row>
    <row r="5381" ht="15.75" customHeight="1">
      <c r="A5381" s="2" t="s">
        <v>5381</v>
      </c>
      <c r="B5381" s="2" t="str">
        <f>IFERROR(__xludf.DUMMYFUNCTION("GOOGLETRANSLATE(A5381, ""en"", ""mt"")"),"Reżistenza mhux vjolenti")</f>
        <v>Reżistenza mhux vjolenti</v>
      </c>
    </row>
    <row r="5382" ht="15.75" customHeight="1">
      <c r="A5382" s="2" t="s">
        <v>5382</v>
      </c>
      <c r="B5382" s="2" t="str">
        <f>IFERROR(__xludf.DUMMYFUNCTION("GOOGLETRANSLATE(A5382, ""en"", ""mt"")"),"X'inhu l-korp ġudizzjarju ewlieni tal-UE?")</f>
        <v>X'inhu l-korp ġudizzjarju ewlieni tal-UE?</v>
      </c>
    </row>
    <row r="5383" ht="15.75" customHeight="1">
      <c r="A5383" s="2" t="s">
        <v>5383</v>
      </c>
      <c r="B5383" s="2" t="str">
        <f>IFERROR(__xludf.DUMMYFUNCTION("GOOGLETRANSLATE(A5383, ""en"", ""mt"")"),"X'se tkun il-produzzjoni għal membru tal-lingwa ta 'problema ta' deċiżjoni?")</f>
        <v>X'se tkun il-produzzjoni għal membru tal-lingwa ta 'problema ta' deċiżjoni?</v>
      </c>
    </row>
    <row r="5384" ht="15.75" customHeight="1">
      <c r="A5384" s="2" t="s">
        <v>5384</v>
      </c>
      <c r="B5384" s="2" t="str">
        <f>IFERROR(__xludf.DUMMYFUNCTION("GOOGLETRANSLATE(A5384, ""en"", ""mt"")"),"Satelliti ta ’Astra")</f>
        <v>Satelliti ta ’Astra</v>
      </c>
    </row>
    <row r="5385" ht="15.75" customHeight="1">
      <c r="A5385" s="2" t="s">
        <v>5385</v>
      </c>
      <c r="B5385" s="2" t="str">
        <f>IFERROR(__xludf.DUMMYFUNCTION("GOOGLETRANSLATE(A5385, ""en"", ""mt"")"),"Hemm ħmistax-il fraternitajiet u seba 'sororitajiet fl-Università ta' Chicago, kif ukoll fraternità ta 'servizz komunitarju ko-ed, Alpha Phi Omega. Erba 'mis-sororitajiet huma membri tal-Konferenza Nazzjonali Panhellenic, u għaxra mill-fraternitajiet jiff"&amp;"urmaw il-Kunsill tal-Interfraternità tal-Università ta' Chicago. Fl-2002, id-Direttur Assoċjat tal-Attivitajiet tal-Istudenti stma li 8-10 fil-mija tal-universitarji kienu membri ta 'fraternitajiet jew sororitajiet. L-Uffiċċju tal-Attivitajiet tal-Istuden"&amp;"ti uża figuri simili, u ddikjara li wieħed minn kull għaxra li għadhom ma ggradwawx jipparteċipaw fil-ħajja Griega.")</f>
        <v>Hemm ħmistax-il fraternitajiet u seba 'sororitajiet fl-Università ta' Chicago, kif ukoll fraternità ta 'servizz komunitarju ko-ed, Alpha Phi Omega. Erba 'mis-sororitajiet huma membri tal-Konferenza Nazzjonali Panhellenic, u għaxra mill-fraternitajiet jiffurmaw il-Kunsill tal-Interfraternità tal-Università ta' Chicago. Fl-2002, id-Direttur Assoċjat tal-Attivitajiet tal-Istudenti stma li 8-10 fil-mija tal-universitarji kienu membri ta 'fraternitajiet jew sororitajiet. L-Uffiċċju tal-Attivitajiet tal-Istudenti uża figuri simili, u ddikjara li wieħed minn kull għaxra li għadhom ma ggradwawx jipparteċipaw fil-ħajja Griega.</v>
      </c>
    </row>
    <row r="5386" ht="15.75" customHeight="1">
      <c r="A5386" s="2" t="s">
        <v>5386</v>
      </c>
      <c r="B5386" s="2" t="str">
        <f>IFERROR(__xludf.DUMMYFUNCTION("GOOGLETRANSLATE(A5386, ""en"", ""mt"")"),"L-Orjentaliżmu, kif teorizzat minn Edward, jirreferi għal kif il-Punent żviluppa ġeografija immaġinattiva tal-Lvant. Din il-ġeografija immaġinattiva tiddependi fuq diskors essenzjali li jirrappreżenta la d-diversità u lanqas ir-realtà soċjali tal-Lvant. A"&amp;"nzi, billi essenzjalizza l-Lvant, dan id-diskors juża l-idea ta 'identitajiet ibbażati fuq il-post biex joħolqu differenza u distanza bejn ""aħna"" il-punent u ""minnhom"" il-lvant, jew ""hawn"" fil-punent u ""hemm"" fil-lvant. Din id-differenza kienet pa"&amp;"rtikolarment apparenti fix-xogħlijiet testwali u viżwali ta 'studji Ewropej bikrija ta' l-Orjent li pożizzjonaw il-Lvant bħala irrazzjonali u b'lura fl-oppożizzjoni għall-Punent razzjonali u progressiv. Id-definizzjoni tal-Lvant bħala viżjoni negattiva ta"&amp;"għha nnifisha, bħala inferjuri tagħha, mhux biss żiedet is-sens ta 'l-awto tal-Punent, iżda wkoll kienet mod kif tordna l-Lvant u tagħmilha magħrufa mill-Punent sabiex tkun tista' tkun iddominata u kkontrollata. Id-diskors ta 'l-Orjentaliżmu għalhekk serv"&amp;"a bħala ġustifikazzjoni ideoloġika ta' l-imperjalizmu bikri tal-Punent, peress li ffurma korp ta 'għarfien u ideat li jirrazzjonalizzaw il-kontroll soċjali, kulturali, politiku u ekonomiku ta' territorji oħra.")</f>
        <v>L-Orjentaliżmu, kif teorizzat minn Edward, jirreferi għal kif il-Punent żviluppa ġeografija immaġinattiva tal-Lvant. Din il-ġeografija immaġinattiva tiddependi fuq diskors essenzjali li jirrappreżenta la d-diversità u lanqas ir-realtà soċjali tal-Lvant. Anzi, billi essenzjalizza l-Lvant, dan id-diskors juża l-idea ta 'identitajiet ibbażati fuq il-post biex joħolqu differenza u distanza bejn "aħna" il-punent u "minnhom" il-lvant, jew "hawn" fil-punent u "hemm" fil-lvant. Din id-differenza kienet partikolarment apparenti fix-xogħlijiet testwali u viżwali ta 'studji Ewropej bikrija ta' l-Orjent li pożizzjonaw il-Lvant bħala irrazzjonali u b'lura fl-oppożizzjoni għall-Punent razzjonali u progressiv. Id-definizzjoni tal-Lvant bħala viżjoni negattiva tagħha nnifisha, bħala inferjuri tagħha, mhux biss żiedet is-sens ta 'l-awto tal-Punent, iżda wkoll kienet mod kif tordna l-Lvant u tagħmilha magħrufa mill-Punent sabiex tkun tista' tkun iddominata u kkontrollata. Id-diskors ta 'l-Orjentaliżmu għalhekk serva bħala ġustifikazzjoni ideoloġika ta' l-imperjalizmu bikri tal-Punent, peress li ffurma korp ta 'għarfien u ideat li jirrazzjonalizzaw il-kontroll soċjali, kulturali, politiku u ekonomiku ta' territorji oħra.</v>
      </c>
    </row>
    <row r="5387" ht="15.75" customHeight="1">
      <c r="A5387" s="2" t="s">
        <v>5387</v>
      </c>
      <c r="B5387" s="2" t="str">
        <f>IFERROR(__xludf.DUMMYFUNCTION("GOOGLETRANSLATE(A5387, ""en"", ""mt"")"),"Kemm ilha rikonoxxuta l-kunċett ta 'ċertezza legali bħala wieħed mill-prinċipji ġenerali mil-liġi tal-UE?")</f>
        <v>Kemm ilha rikonoxxuta l-kunċett ta 'ċertezza legali bħala wieħed mill-prinċipji ġenerali mil-liġi tal-UE?</v>
      </c>
    </row>
    <row r="5388" ht="15.75" customHeight="1">
      <c r="A5388" s="2" t="s">
        <v>5388</v>
      </c>
      <c r="B5388" s="2" t="str">
        <f>IFERROR(__xludf.DUMMYFUNCTION("GOOGLETRANSLATE(A5388, ""en"", ""mt"")"),"Liema ekwilibriju jseħħ fil-moviment tal-veloċità varjabbli?")</f>
        <v>Liema ekwilibriju jseħħ fil-moviment tal-veloċità varjabbli?</v>
      </c>
    </row>
    <row r="5389" ht="15.75" customHeight="1">
      <c r="A5389" s="2" t="s">
        <v>5389</v>
      </c>
      <c r="B5389" s="2" t="str">
        <f>IFERROR(__xludf.DUMMYFUNCTION("GOOGLETRANSLATE(A5389, ""en"", ""mt"")")," Meta ġiet meqruda l-iskrittura Phags-Pa?")</f>
        <v> Meta ġiet meqruda l-iskrittura Phags-Pa?</v>
      </c>
    </row>
    <row r="5390" ht="15.75" customHeight="1">
      <c r="A5390" s="2" t="s">
        <v>5390</v>
      </c>
      <c r="B5390" s="2" t="str">
        <f>IFERROR(__xludf.DUMMYFUNCTION("GOOGLETRANSLATE(A5390, ""en"", ""mt"")"),"Buddiżmu Tibetan")</f>
        <v>Buddiżmu Tibetan</v>
      </c>
    </row>
    <row r="5391" ht="15.75" customHeight="1">
      <c r="A5391" s="2" t="s">
        <v>5391</v>
      </c>
      <c r="B5391" s="2" t="str">
        <f>IFERROR(__xludf.DUMMYFUNCTION("GOOGLETRANSLATE(A5391, ""en"", ""mt"")"),"Kemm tunnellata ta 'pjanti ħajjin instabu li jgħixu f'kilometru kwadru tal-foresta tropikali tal-Amażonja fl-1999?")</f>
        <v>Kemm tunnellata ta 'pjanti ħajjin instabu li jgħixu f'kilometru kwadru tal-foresta tropikali tal-Amażonja fl-1999?</v>
      </c>
    </row>
    <row r="5392" ht="15.75" customHeight="1">
      <c r="A5392" s="2" t="s">
        <v>5392</v>
      </c>
      <c r="B5392" s="2" t="str">
        <f>IFERROR(__xludf.DUMMYFUNCTION("GOOGLETRANSLATE(A5392, ""en"", ""mt"")"),"L-imperjalizmu kellu rwol importanti fl-istoriji tal-Ġappun, il-Korea, l-Imperu Assirjan, l-Imperu Ċiniż, l-Imperu Ruman, il-Greċja, l-Imperu Biżantin, l-Imperu Persjan, l-Imperu Ottoman, l-Eġittu tal-qedem, l-Imperu Brittaniku, l-Indja, u ħafna imperi oħ"&amp;"ra. L-imperjalizmu kien komponent bażiku għall-konkwisti ta 'Genghis Khan matul l-imperu Mongoljan, u ta' linji oħra tal-gwerra. Numru ta 'imperi Musulmani rikonoxxuti storikament fl-għexieren. L-Afrika Sub-Saħarjana dehret ukoll għexieren ta 'imperi li j"&amp;"kunu qabel l-era kolonjali Ewropea, pereżempju l-Imperu Etjopjan, l-Imperu Oyo, l-Unjoni Asante, l-Imperu Luba, l-Imperu Lunda, u l-Imperu Mutapa. L-Amerika matul l-era pre-Kolumbjana kellha wkoll imperi kbar bħall-Imperu Aztek u l-Imperu Incan.")</f>
        <v>L-imperjalizmu kellu rwol importanti fl-istoriji tal-Ġappun, il-Korea, l-Imperu Assirjan, l-Imperu Ċiniż, l-Imperu Ruman, il-Greċja, l-Imperu Biżantin, l-Imperu Persjan, l-Imperu Ottoman, l-Eġittu tal-qedem, l-Imperu Brittaniku, l-Indja, u ħafna imperi oħra. L-imperjalizmu kien komponent bażiku għall-konkwisti ta 'Genghis Khan matul l-imperu Mongoljan, u ta' linji oħra tal-gwerra. Numru ta 'imperi Musulmani rikonoxxuti storikament fl-għexieren. L-Afrika Sub-Saħarjana dehret ukoll għexieren ta 'imperi li jkunu qabel l-era kolonjali Ewropea, pereżempju l-Imperu Etjopjan, l-Imperu Oyo, l-Unjoni Asante, l-Imperu Luba, l-Imperu Lunda, u l-Imperu Mutapa. L-Amerika matul l-era pre-Kolumbjana kellha wkoll imperi kbar bħall-Imperu Aztek u l-Imperu Incan.</v>
      </c>
    </row>
    <row r="5393" ht="15.75" customHeight="1">
      <c r="A5393" s="2" t="s">
        <v>5393</v>
      </c>
      <c r="B5393" s="2" t="str">
        <f>IFERROR(__xludf.DUMMYFUNCTION("GOOGLETRANSLATE(A5393, ""en"", ""mt"")"),"X'tip ta 'gradjenti huma ffurmati minn difetti u proċessi oħra ta' deformazzjoni?")</f>
        <v>X'tip ta 'gradjenti huma ffurmati minn difetti u proċessi oħra ta' deformazzjoni?</v>
      </c>
    </row>
    <row r="5394" ht="15.75" customHeight="1">
      <c r="A5394" s="2" t="s">
        <v>5394</v>
      </c>
      <c r="B5394" s="2" t="str">
        <f>IFERROR(__xludf.DUMMYFUNCTION("GOOGLETRANSLATE(A5394, ""en"", ""mt"")"),"il-kelma għeruq tagħha farmaċewtika")</f>
        <v>il-kelma għeruq tagħha farmaċewtika</v>
      </c>
    </row>
    <row r="5395" ht="15.75" customHeight="1">
      <c r="A5395" s="2" t="s">
        <v>5395</v>
      </c>
      <c r="B5395" s="2" t="str">
        <f>IFERROR(__xludf.DUMMYFUNCTION("GOOGLETRANSLATE(A5395, ""en"", ""mt"")"),"Triq Fulton fid-downtown Fresno kienet id-distrett finanzjarju u kummerċjali ewlieni ta 'Fresno qabel ma ġiet konvertita f'wieħed mill-ewwel malls pedonali tan-nazzjon fl-1964. Semmiet mill-ġdid il-Mall Fulton, iż-żona fiha l-aktar ġabra densa ta' bini st"&amp;"oriku fi Fresno. Filwaqt li l-kuritur tal-Mall Fulton sofra tnaqqis qawwi mill-għoli tiegħu, il-Mall jinkludi wħud mill-ifjen biċċiet tal-arti pubblika fil-pajjiż, inkluża l-unika biċċa Pierre-Auguste Renoir fid-dinja li wieħed jista 'jimxi sa u jmissu. I"&amp;"l-pjanijiet attwali jitolbu l-ftuħ mill-ġdid tal-Mall Fulton għat-traffiku tal-karozzi. Il-biċċiet tal-arti pubblika se jiġu rrestawrati u mqiegħda ħdejn il-lokalitajiet attwali tagħhom u se jkollhom bankini wiesgħa (sa 28 'fuq in-naħa tal-lvant tat-triq)"&amp;" biex ikomplu bl-ambjent ta' ħbiberija pedonali tad-distrett.")</f>
        <v>Triq Fulton fid-downtown Fresno kienet id-distrett finanzjarju u kummerċjali ewlieni ta 'Fresno qabel ma ġiet konvertita f'wieħed mill-ewwel malls pedonali tan-nazzjon fl-1964. Semmiet mill-ġdid il-Mall Fulton, iż-żona fiha l-aktar ġabra densa ta' bini storiku fi Fresno. Filwaqt li l-kuritur tal-Mall Fulton sofra tnaqqis qawwi mill-għoli tiegħu, il-Mall jinkludi wħud mill-ifjen biċċiet tal-arti pubblika fil-pajjiż, inkluża l-unika biċċa Pierre-Auguste Renoir fid-dinja li wieħed jista 'jimxi sa u jmissu. Il-pjanijiet attwali jitolbu l-ftuħ mill-ġdid tal-Mall Fulton għat-traffiku tal-karozzi. Il-biċċiet tal-arti pubblika se jiġu rrestawrati u mqiegħda ħdejn il-lokalitajiet attwali tagħhom u se jkollhom bankini wiesgħa (sa 28 'fuq in-naħa tal-lvant tat-triq) biex ikomplu bl-ambjent ta' ħbiberija pedonali tad-distrett.</v>
      </c>
    </row>
    <row r="5396" ht="15.75" customHeight="1">
      <c r="A5396" s="2" t="s">
        <v>5396</v>
      </c>
      <c r="B5396" s="2" t="str">
        <f>IFERROR(__xludf.DUMMYFUNCTION("GOOGLETRANSLATE(A5396, ""en"", ""mt"")"),"2,290 m3 / s")</f>
        <v>2,290 m3 / s</v>
      </c>
    </row>
    <row r="5397" ht="15.75" customHeight="1">
      <c r="A5397" s="2" t="s">
        <v>5397</v>
      </c>
      <c r="B5397" s="2" t="str">
        <f>IFERROR(__xludf.DUMMYFUNCTION("GOOGLETRANSLATE(A5397, ""en"", ""mt"")"),"Spiżjara Kliniċi")</f>
        <v>Spiżjara Kliniċi</v>
      </c>
    </row>
    <row r="5398" ht="15.75" customHeight="1">
      <c r="A5398" s="2" t="s">
        <v>5398</v>
      </c>
      <c r="B5398" s="2" t="str">
        <f>IFERROR(__xludf.DUMMYFUNCTION("GOOGLETRANSLATE(A5398, ""en"", ""mt"")"),"Kemm mill-effett ta 'serra huwa dovut għad-dijossidu tal-karbonju?")</f>
        <v>Kemm mill-effett ta 'serra huwa dovut għad-dijossidu tal-karbonju?</v>
      </c>
    </row>
    <row r="5399" ht="15.75" customHeight="1">
      <c r="A5399" s="2" t="s">
        <v>5399</v>
      </c>
      <c r="B5399" s="2" t="str">
        <f>IFERROR(__xludf.DUMMYFUNCTION("GOOGLETRANSLATE(A5399, ""en"", ""mt"")"),"Liema rikostruzzjonijiet appoġġjaw l-informazzjoni tal-karta tal-1999?")</f>
        <v>Liema rikostruzzjonijiet appoġġjaw l-informazzjoni tal-karta tal-1999?</v>
      </c>
    </row>
    <row r="5400" ht="15.75" customHeight="1">
      <c r="A5400" s="2" t="s">
        <v>5400</v>
      </c>
      <c r="B5400" s="2" t="str">
        <f>IFERROR(__xludf.DUMMYFUNCTION("GOOGLETRANSLATE(A5400, ""en"", ""mt"")"),"Kif kienu l-mexxejja lura fl-Ewropa jħossu dwar aħbarijiet minn Celeron Expedition?")</f>
        <v>Kif kienu l-mexxejja lura fl-Ewropa jħossu dwar aħbarijiet minn Celeron Expedition?</v>
      </c>
    </row>
    <row r="5401" ht="15.75" customHeight="1">
      <c r="A5401" s="2" t="s">
        <v>5401</v>
      </c>
      <c r="B5401" s="2" t="str">
        <f>IFERROR(__xludf.DUMMYFUNCTION("GOOGLETRANSLATE(A5401, ""en"", ""mt"")"),"X'għamel VBNS")</f>
        <v>X'għamel VBNS</v>
      </c>
    </row>
    <row r="5402" ht="15.75" customHeight="1">
      <c r="A5402" s="2" t="s">
        <v>5402</v>
      </c>
      <c r="B5402" s="2" t="str">
        <f>IFERROR(__xludf.DUMMYFUNCTION("GOOGLETRANSLATE(A5402, ""en"", ""mt"")"),"X'inhi l-ekonomija ta 'Varsavja?")</f>
        <v>X'inhi l-ekonomija ta 'Varsavja?</v>
      </c>
    </row>
    <row r="5403" ht="15.75" customHeight="1">
      <c r="A5403" s="2" t="s">
        <v>5403</v>
      </c>
      <c r="B5403" s="2" t="str">
        <f>IFERROR(__xludf.DUMMYFUNCTION("GOOGLETRANSLATE(A5403, ""en"", ""mt"")"),"Kurunell Monckton")</f>
        <v>Kurunell Monckton</v>
      </c>
    </row>
    <row r="5404" ht="15.75" customHeight="1">
      <c r="A5404" s="2" t="s">
        <v>5404</v>
      </c>
      <c r="B5404" s="2" t="str">
        <f>IFERROR(__xludf.DUMMYFUNCTION("GOOGLETRANSLATE(A5404, ""en"", ""mt"")"),"Kemm kienet twila l-linja tan-Nofsinhar tal-Paċifiku?")</f>
        <v>Kemm kienet twila l-linja tan-Nofsinhar tal-Paċifiku?</v>
      </c>
    </row>
    <row r="5405" ht="15.75" customHeight="1">
      <c r="A5405" s="2" t="s">
        <v>5405</v>
      </c>
      <c r="B5405" s="2" t="str">
        <f>IFERROR(__xludf.DUMMYFUNCTION("GOOGLETRANSLATE(A5405, ""en"", ""mt"")"),"X’kienu magħmula t-talbiet mill-Ingliżi?")</f>
        <v>X’kienu magħmula t-talbiet mill-Ingliżi?</v>
      </c>
    </row>
    <row r="5406" ht="15.75" customHeight="1">
      <c r="A5406" s="2" t="s">
        <v>5406</v>
      </c>
      <c r="B5406" s="2" t="str">
        <f>IFERROR(__xludf.DUMMYFUNCTION("GOOGLETRANSLATE(A5406, ""en"", ""mt"")"),"Minn fejn kienu joriġinaw diversi familji merċenarji Norman?")</f>
        <v>Minn fejn kienu joriġinaw diversi familji merċenarji Norman?</v>
      </c>
    </row>
    <row r="5407" ht="15.75" customHeight="1">
      <c r="A5407" s="2" t="s">
        <v>5407</v>
      </c>
      <c r="B5407" s="2" t="str">
        <f>IFERROR(__xludf.DUMMYFUNCTION("GOOGLETRANSLATE(A5407, ""en"", ""mt"")"),"Eġizzjani kontra l-okkupazzjoni Ingliża fir-rivoluzzjoni tal-1919.")</f>
        <v>Eġizzjani kontra l-okkupazzjoni Ingliża fir-rivoluzzjoni tal-1919.</v>
      </c>
    </row>
    <row r="5408" ht="15.75" customHeight="1">
      <c r="A5408" s="2" t="s">
        <v>5408</v>
      </c>
      <c r="B5408" s="2" t="str">
        <f>IFERROR(__xludf.DUMMYFUNCTION("GOOGLETRANSLATE(A5408, ""en"", ""mt"")"),"Il-biċċa l-kbira tal-imperjalizmu sar bl-użu ta 'liema metodu ta' trasport?")</f>
        <v>Il-biċċa l-kbira tal-imperjalizmu sar bl-użu ta 'liema metodu ta' trasport?</v>
      </c>
    </row>
    <row r="5409" ht="15.75" customHeight="1">
      <c r="A5409" s="2" t="s">
        <v>5409</v>
      </c>
      <c r="B5409" s="2" t="str">
        <f>IFERROR(__xludf.DUMMYFUNCTION("GOOGLETRANSLATE(A5409, ""en"", ""mt"")"),"Xenoliti")</f>
        <v>Xenoliti</v>
      </c>
    </row>
    <row r="5410" ht="15.75" customHeight="1">
      <c r="A5410" s="2" t="s">
        <v>5410</v>
      </c>
      <c r="B5410" s="2" t="str">
        <f>IFERROR(__xludf.DUMMYFUNCTION("GOOGLETRANSLATE(A5410, ""en"", ""mt"")"),"Bidliet f'liema għandhom l-appoġġ ta 'evidenza xjentifika?")</f>
        <v>Bidliet f'liema għandhom l-appoġġ ta 'evidenza xjentifika?</v>
      </c>
    </row>
    <row r="5411" ht="15.75" customHeight="1">
      <c r="A5411" s="2" t="s">
        <v>5411</v>
      </c>
      <c r="B5411" s="2" t="str">
        <f>IFERROR(__xludf.DUMMYFUNCTION("GOOGLETRANSLATE(A5411, ""en"", ""mt"")"),"is-sistema immuni adatta")</f>
        <v>is-sistema immuni adatta</v>
      </c>
    </row>
    <row r="5412" ht="15.75" customHeight="1">
      <c r="A5412" s="2" t="s">
        <v>5412</v>
      </c>
      <c r="B5412" s="2" t="str">
        <f>IFERROR(__xludf.DUMMYFUNCTION("GOOGLETRANSLATE(A5412, ""en"", ""mt"")"),"F'liema passaġġi jgħinu l-patoġeni tal-flora kommensali?")</f>
        <v>F'liema passaġġi jgħinu l-patoġeni tal-flora kommensali?</v>
      </c>
    </row>
    <row r="5413" ht="15.75" customHeight="1">
      <c r="A5413" s="2" t="s">
        <v>5413</v>
      </c>
      <c r="B5413" s="2" t="str">
        <f>IFERROR(__xludf.DUMMYFUNCTION("GOOGLETRANSLATE(A5413, ""en"", ""mt"")"),"1950s sas-snin sebgħin")</f>
        <v>1950s sas-snin sebgħin</v>
      </c>
    </row>
    <row r="5414" ht="15.75" customHeight="1">
      <c r="A5414" s="2" t="s">
        <v>5414</v>
      </c>
      <c r="B5414" s="2" t="str">
        <f>IFERROR(__xludf.DUMMYFUNCTION("GOOGLETRANSLATE(A5414, ""en"", ""mt"")"),"Il-Kap tat-Tama t-Tajba")</f>
        <v>Il-Kap tat-Tama t-Tajba</v>
      </c>
    </row>
    <row r="5415" ht="15.75" customHeight="1">
      <c r="A5415" s="2" t="s">
        <v>5415</v>
      </c>
      <c r="B5415" s="2" t="str">
        <f>IFERROR(__xludf.DUMMYFUNCTION("GOOGLETRANSLATE(A5415, ""en"", ""mt"")"),"kostanti dimensjonali")</f>
        <v>kostanti dimensjonali</v>
      </c>
    </row>
    <row r="5416" ht="15.75" customHeight="1">
      <c r="A5416" s="2" t="s">
        <v>5416</v>
      </c>
      <c r="B5416" s="2" t="str">
        <f>IFERROR(__xludf.DUMMYFUNCTION("GOOGLETRANSLATE(A5416, ""en"", ""mt"")"),"Liema sena twaqqfet l-Università ta 'Varsavja?")</f>
        <v>Liema sena twaqqfet l-Università ta 'Varsavja?</v>
      </c>
    </row>
    <row r="5417" ht="15.75" customHeight="1">
      <c r="A5417" s="2" t="s">
        <v>5417</v>
      </c>
      <c r="B5417" s="2" t="str">
        <f>IFERROR(__xludf.DUMMYFUNCTION("GOOGLETRANSLATE(A5417, ""en"", ""mt"")"),"Fejn ħarbu r-residenti ta 'Antijokja minħabba l-pesta?")</f>
        <v>Fejn ħarbu r-residenti ta 'Antijokja minħabba l-pesta?</v>
      </c>
    </row>
    <row r="5418" ht="15.75" customHeight="1">
      <c r="A5418" s="2" t="s">
        <v>5418</v>
      </c>
      <c r="B5418" s="2" t="str">
        <f>IFERROR(__xludf.DUMMYFUNCTION("GOOGLETRANSLATE(A5418, ""en"", ""mt"")"),"Għaliex l-università eventwalment ħalliet il-konferenza?")</f>
        <v>Għaliex l-università eventwalment ħalliet il-konferenza?</v>
      </c>
    </row>
    <row r="5419" ht="15.75" customHeight="1">
      <c r="A5419" s="2" t="s">
        <v>5419</v>
      </c>
      <c r="B5419" s="2" t="str">
        <f>IFERROR(__xludf.DUMMYFUNCTION("GOOGLETRANSLATE(A5419, ""en"", ""mt"")"),"Kemm kien effettiv l-użu militari tal- ""Għarab Afgan""?")</f>
        <v>Kemm kien effettiv l-użu militari tal- "Għarab Afgan"?</v>
      </c>
    </row>
    <row r="5420" ht="15.75" customHeight="1">
      <c r="A5420" s="2" t="s">
        <v>5420</v>
      </c>
      <c r="B5420" s="2" t="str">
        <f>IFERROR(__xludf.DUMMYFUNCTION("GOOGLETRANSLATE(A5420, ""en"", ""mt"")"),"xhur")</f>
        <v>xhur</v>
      </c>
    </row>
    <row r="5421" ht="15.75" customHeight="1">
      <c r="A5421" s="2" t="s">
        <v>5421</v>
      </c>
      <c r="B5421" s="2" t="str">
        <f>IFERROR(__xludf.DUMMYFUNCTION("GOOGLETRANSLATE(A5421, ""en"", ""mt"")"),"Operazzjonijiet orjentati lejn il-konnessjoni. Imma X.25 jagħmel dan fis-saff tan-netwerk tal-mudell OSI. Frame Relay jagħmel dan fil-livell tnejn, is-saff tal-link tad-dejta")</f>
        <v>Operazzjonijiet orjentati lejn il-konnessjoni. Imma X.25 jagħmel dan fis-saff tan-netwerk tal-mudell OSI. Frame Relay jagħmel dan fil-livell tnejn, is-saff tal-link tad-dejta</v>
      </c>
    </row>
    <row r="5422" ht="15.75" customHeight="1">
      <c r="A5422" s="2" t="s">
        <v>5422</v>
      </c>
      <c r="B5422" s="2" t="str">
        <f>IFERROR(__xludf.DUMMYFUNCTION("GOOGLETRANSLATE(A5422, ""en"", ""mt"")"),"Muntanji Andes")</f>
        <v>Muntanji Andes</v>
      </c>
    </row>
    <row r="5423" ht="15.75" customHeight="1">
      <c r="A5423" s="2" t="s">
        <v>5423</v>
      </c>
      <c r="B5423" s="2" t="str">
        <f>IFERROR(__xludf.DUMMYFUNCTION("GOOGLETRANSLATE(A5423, ""en"", ""mt"")"),"Kif huwa kkaratterizzat l-ammissjoni għall-programm ta 'azzjoni bikrija?")</f>
        <v>Kif huwa kkaratterizzat l-ammissjoni għall-programm ta 'azzjoni bikrija?</v>
      </c>
    </row>
    <row r="5424" ht="15.75" customHeight="1">
      <c r="A5424" s="2" t="s">
        <v>5424</v>
      </c>
      <c r="B5424" s="2" t="str">
        <f>IFERROR(__xludf.DUMMYFUNCTION("GOOGLETRANSLATE(A5424, ""en"", ""mt"")"),"Liema timijiet ewlenin tal-kampjonat tal-futbol lagħbu f'Los Angeles fl-2014?")</f>
        <v>Liema timijiet ewlenin tal-kampjonat tal-futbol lagħbu f'Los Angeles fl-2014?</v>
      </c>
    </row>
    <row r="5425" ht="15.75" customHeight="1">
      <c r="A5425" s="2" t="s">
        <v>5425</v>
      </c>
      <c r="B5425" s="2" t="str">
        <f>IFERROR(__xludf.DUMMYFUNCTION("GOOGLETRANSLATE(A5425, ""en"", ""mt"")"),"L-imperjalizmu huwa l-iktar spiss assoċjat ma 'liema sovranità?")</f>
        <v>L-imperjalizmu huwa l-iktar spiss assoċjat ma 'liema sovranità?</v>
      </c>
    </row>
    <row r="5426" ht="15.75" customHeight="1">
      <c r="A5426" s="2" t="s">
        <v>5426</v>
      </c>
      <c r="B5426" s="2" t="str">
        <f>IFERROR(__xludf.DUMMYFUNCTION("GOOGLETRANSLATE(A5426, ""en"", ""mt"")"),"L-Imperu Etjopjan")</f>
        <v>L-Imperu Etjopjan</v>
      </c>
    </row>
    <row r="5427" ht="15.75" customHeight="1">
      <c r="A5427" s="2" t="s">
        <v>5427</v>
      </c>
      <c r="B5427" s="2" t="str">
        <f>IFERROR(__xludf.DUMMYFUNCTION("GOOGLETRANSLATE(A5427, ""en"", ""mt"")"),"Ma 'min għamlu l-attakki l-iktar?")</f>
        <v>Ma 'min għamlu l-attakki l-iktar?</v>
      </c>
    </row>
    <row r="5428" ht="15.75" customHeight="1">
      <c r="A5428" s="2" t="s">
        <v>5428</v>
      </c>
      <c r="B5428" s="2" t="str">
        <f>IFERROR(__xludf.DUMMYFUNCTION("GOOGLETRANSLATE(A5428, ""en"", ""mt"")"),"Liema kunċett jintuża ta 'spiss biex jiddefinixxi klassijiet ta' kumplessità?")</f>
        <v>Liema kunċett jintuża ta 'spiss biex jiddefinixxi klassijiet ta' kumplessità?</v>
      </c>
    </row>
    <row r="5429" ht="15.75" customHeight="1">
      <c r="A5429" s="2" t="s">
        <v>5429</v>
      </c>
      <c r="B5429" s="2" t="str">
        <f>IFERROR(__xludf.DUMMYFUNCTION("GOOGLETRANSLATE(A5429, ""en"", ""mt"")"),"Il-forza anormali hija responsabbli għall-integrità strutturali ta 'xiex?")</f>
        <v>Il-forza anormali hija responsabbli għall-integrità strutturali ta 'xiex?</v>
      </c>
    </row>
    <row r="5430" ht="15.75" customHeight="1">
      <c r="A5430" s="2" t="s">
        <v>5430</v>
      </c>
      <c r="B5430" s="2" t="str">
        <f>IFERROR(__xludf.DUMMYFUNCTION("GOOGLETRANSLATE(A5430, ""en"", ""mt"")"),"Netwerk tal-kanali intern taħt ir-ringieli tal-moxt")</f>
        <v>Netwerk tal-kanali intern taħt ir-ringieli tal-moxt</v>
      </c>
    </row>
    <row r="5431" ht="15.75" customHeight="1">
      <c r="A5431" s="2" t="s">
        <v>5431</v>
      </c>
      <c r="B5431" s="2" t="str">
        <f>IFERROR(__xludf.DUMMYFUNCTION("GOOGLETRANSLATE(A5431, ""en"", ""mt"")"),"Kemm awturi li jikkontribwixxu għandu kapitolu ta 'rapport tal-IPCC?")</f>
        <v>Kemm awturi li jikkontribwixxu għandu kapitolu ta 'rapport tal-IPCC?</v>
      </c>
    </row>
    <row r="5432" ht="15.75" customHeight="1">
      <c r="A5432" s="2" t="s">
        <v>5432</v>
      </c>
      <c r="B5432" s="2" t="str">
        <f>IFERROR(__xludf.DUMMYFUNCTION("GOOGLETRANSLATE(A5432, ""en"", ""mt"")"),"L-università qablet li tagħti grad lil xi gradwat ta 'schoos affiljat li għamel?")</f>
        <v>L-università qablet li tagħti grad lil xi gradwat ta 'schoos affiljat li għamel?</v>
      </c>
    </row>
    <row r="5433" ht="15.75" customHeight="1">
      <c r="A5433" s="2" t="s">
        <v>5433</v>
      </c>
      <c r="B5433" s="2" t="str">
        <f>IFERROR(__xludf.DUMMYFUNCTION("GOOGLETRANSLATE(A5433, ""en"", ""mt"")"),"Filippini")</f>
        <v>Filippini</v>
      </c>
    </row>
    <row r="5434" ht="15.75" customHeight="1">
      <c r="A5434" s="2" t="s">
        <v>5434</v>
      </c>
      <c r="B5434" s="2" t="str">
        <f>IFERROR(__xludf.DUMMYFUNCTION("GOOGLETRANSLATE(A5434, ""en"", ""mt"")"),"Ottubru 2010")</f>
        <v>Ottubru 2010</v>
      </c>
    </row>
    <row r="5435" ht="15.75" customHeight="1">
      <c r="A5435" s="2" t="s">
        <v>5435</v>
      </c>
      <c r="B5435" s="2" t="str">
        <f>IFERROR(__xludf.DUMMYFUNCTION("GOOGLETRANSLATE(A5435, ""en"", ""mt"")"),"Kemm mis-sitt pakketti totali disponibbli għax-xandara taw Setanta?")</f>
        <v>Kemm mis-sitt pakketti totali disponibbli għax-xandara taw Setanta?</v>
      </c>
    </row>
    <row r="5436" ht="15.75" customHeight="1">
      <c r="A5436" s="2" t="s">
        <v>5436</v>
      </c>
      <c r="B5436" s="2" t="str">
        <f>IFERROR(__xludf.DUMMYFUNCTION("GOOGLETRANSLATE(A5436, ""en"", ""mt"")"),"Spiritus Nitroaereus")</f>
        <v>Spiritus Nitroaereus</v>
      </c>
    </row>
    <row r="5437" ht="15.75" customHeight="1">
      <c r="A5437" s="2" t="s">
        <v>5437</v>
      </c>
      <c r="B5437" s="2" t="str">
        <f>IFERROR(__xludf.DUMMYFUNCTION("GOOGLETRANSLATE(A5437, ""en"", ""mt"")"),"Fejn huma n-nixxigħat li jinqabdu r-Renu?")</f>
        <v>Fejn huma n-nixxigħat li jinqabdu r-Renu?</v>
      </c>
    </row>
    <row r="5438" ht="15.75" customHeight="1">
      <c r="A5438" s="2" t="s">
        <v>5438</v>
      </c>
      <c r="B5438" s="2" t="str">
        <f>IFERROR(__xludf.DUMMYFUNCTION("GOOGLETRANSLATE(A5438, ""en"", ""mt"")")," Min ma bagħatx il-Mongoli lil Bukhara bħala amministraturi?")</f>
        <v> Min ma bagħatx il-Mongoli lil Bukhara bħala amministraturi?</v>
      </c>
    </row>
    <row r="5439" ht="15.75" customHeight="1">
      <c r="A5439" s="2" t="s">
        <v>5439</v>
      </c>
      <c r="B5439" s="2" t="str">
        <f>IFERROR(__xludf.DUMMYFUNCTION("GOOGLETRANSLATE(A5439, ""en"", ""mt"")"),"Iżraeljani")</f>
        <v>Iżraeljani</v>
      </c>
    </row>
    <row r="5440" ht="15.75" customHeight="1">
      <c r="A5440" s="2" t="s">
        <v>5440</v>
      </c>
      <c r="B5440" s="2" t="str">
        <f>IFERROR(__xludf.DUMMYFUNCTION("GOOGLETRANSLATE(A5440, ""en"", ""mt"")"),"L-Uffiċċju taċ-Ċensiment tal-Istati Uniti")</f>
        <v>L-Uffiċċju taċ-Ċensiment tal-Istati Uniti</v>
      </c>
    </row>
    <row r="5441" ht="15.75" customHeight="1">
      <c r="A5441" s="2" t="s">
        <v>5441</v>
      </c>
      <c r="B5441" s="2" t="str">
        <f>IFERROR(__xludf.DUMMYFUNCTION("GOOGLETRANSLATE(A5441, ""en"", ""mt"")"),"Liema renju annessa Dukat fl-1796?")</f>
        <v>Liema renju annessa Dukat fl-1796?</v>
      </c>
    </row>
    <row r="5442" ht="15.75" customHeight="1">
      <c r="A5442" s="2" t="s">
        <v>5442</v>
      </c>
      <c r="B5442" s="2" t="str">
        <f>IFERROR(__xludf.DUMMYFUNCTION("GOOGLETRANSLATE(A5442, ""en"", ""mt"")"),"X'inhi l-inqas klassi ta 'kumplessità importanti ta' problemi ta 'għadd?")</f>
        <v>X'inhi l-inqas klassi ta 'kumplessità importanti ta' problemi ta 'għadd?</v>
      </c>
    </row>
    <row r="5443" ht="15.75" customHeight="1">
      <c r="A5443" s="2" t="s">
        <v>5443</v>
      </c>
      <c r="B5443" s="2" t="str">
        <f>IFERROR(__xludf.DUMMYFUNCTION("GOOGLETRANSLATE(A5443, ""en"", ""mt"")"),"X'inhu l-isem tax-xmara li tinsab kompletament ġewwa Jacksonville?")</f>
        <v>X'inhu l-isem tax-xmara li tinsab kompletament ġewwa Jacksonville?</v>
      </c>
    </row>
    <row r="5444" ht="15.75" customHeight="1">
      <c r="A5444" s="2" t="s">
        <v>5444</v>
      </c>
      <c r="B5444" s="2" t="str">
        <f>IFERROR(__xludf.DUMMYFUNCTION("GOOGLETRANSLATE(A5444, ""en"", ""mt"")"),"Liema sate huma l-affarijiet ġewwa vettura li tiċċaqlaq kif jidher minn persuna ġewwa l-vettura?")</f>
        <v>Liema sate huma l-affarijiet ġewwa vettura li tiċċaqlaq kif jidher minn persuna ġewwa l-vettura?</v>
      </c>
    </row>
    <row r="5445" ht="15.75" customHeight="1">
      <c r="A5445" s="2" t="s">
        <v>5445</v>
      </c>
      <c r="B5445" s="2" t="str">
        <f>IFERROR(__xludf.DUMMYFUNCTION("GOOGLETRANSLATE(A5445, ""en"", ""mt"")"),"Interazzjonijiet potenzjali tal-mediċina, reazzjonijiet avversi għall-mediċina, u jivvalutaw l-allerġiji tal-mediċina tal-pazjent")</f>
        <v>Interazzjonijiet potenzjali tal-mediċina, reazzjonijiet avversi għall-mediċina, u jivvalutaw l-allerġiji tal-mediċina tal-pazjent</v>
      </c>
    </row>
    <row r="5446" ht="15.75" customHeight="1">
      <c r="A5446" s="2" t="s">
        <v>5446</v>
      </c>
      <c r="B5446" s="2" t="str">
        <f>IFERROR(__xludf.DUMMYFUNCTION("GOOGLETRANSLATE(A5446, ""en"", ""mt"")"),"Il-preżenza jew in-nuqqas ta 'dak li jista' jintuża biex tiddetermina l-età relattiva tal-formazzjonijiet li fihom jinstabu?")</f>
        <v>Il-preżenza jew in-nuqqas ta 'dak li jista' jintuża biex tiddetermina l-età relattiva tal-formazzjonijiet li fihom jinstabu?</v>
      </c>
    </row>
    <row r="5447" ht="15.75" customHeight="1">
      <c r="A5447" s="2" t="s">
        <v>5447</v>
      </c>
      <c r="B5447" s="2" t="str">
        <f>IFERROR(__xludf.DUMMYFUNCTION("GOOGLETRANSLATE(A5447, ""en"", ""mt"")"),"X'kien l-isem tan-neputi ta 'Bohemond?")</f>
        <v>X'kien l-isem tan-neputi ta 'Bohemond?</v>
      </c>
    </row>
    <row r="5448" ht="15.75" customHeight="1">
      <c r="A5448" s="2" t="s">
        <v>5448</v>
      </c>
      <c r="B5448" s="2" t="str">
        <f>IFERROR(__xludf.DUMMYFUNCTION("GOOGLETRANSLATE(A5448, ""en"", ""mt"")")," Liema isem ta 'era Ċiniża ċaħad Kublai?")</f>
        <v> Liema isem ta 'era Ċiniża ċaħad Kublai?</v>
      </c>
    </row>
    <row r="5449" ht="15.75" customHeight="1">
      <c r="A5449" s="2" t="s">
        <v>5449</v>
      </c>
      <c r="B5449" s="2" t="str">
        <f>IFERROR(__xludf.DUMMYFUNCTION("GOOGLETRANSLATE(A5449, ""en"", ""mt"")"),"Il-kompetenza tal-Fratellanza Musulmana ma tqabbelx ma 'liema tip ta' gvernijiet lokali?")</f>
        <v>Il-kompetenza tal-Fratellanza Musulmana ma tqabbelx ma 'liema tip ta' gvernijiet lokali?</v>
      </c>
    </row>
    <row r="5450" ht="15.75" customHeight="1">
      <c r="A5450" s="2" t="s">
        <v>5450</v>
      </c>
      <c r="B5450" s="2" t="str">
        <f>IFERROR(__xludf.DUMMYFUNCTION("GOOGLETRANSLATE(A5450, ""en"", ""mt"")"),"Għal dak li hu ugwali 50 kilopascals?")</f>
        <v>Għal dak li hu ugwali 50 kilopascals?</v>
      </c>
    </row>
    <row r="5451" ht="15.75" customHeight="1">
      <c r="A5451" s="2" t="s">
        <v>5451</v>
      </c>
      <c r="B5451" s="2" t="str">
        <f>IFERROR(__xludf.DUMMYFUNCTION("GOOGLETRANSLATE(A5451, ""en"", ""mt"")"),"66 miljun sena")</f>
        <v>66 miljun sena</v>
      </c>
    </row>
    <row r="5452" ht="15.75" customHeight="1">
      <c r="A5452" s="2" t="s">
        <v>5452</v>
      </c>
      <c r="B5452" s="2" t="str">
        <f>IFERROR(__xludf.DUMMYFUNCTION("GOOGLETRANSLATE(A5452, ""en"", ""mt"")"),"Xogħol relattivament żgħir huwa meħtieġ biex issuq il-pompa,")</f>
        <v>Xogħol relattivament żgħir huwa meħtieġ biex issuq il-pompa,</v>
      </c>
    </row>
    <row r="5453" ht="15.75" customHeight="1">
      <c r="A5453" s="2" t="s">
        <v>5453</v>
      </c>
      <c r="B5453" s="2" t="str">
        <f>IFERROR(__xludf.DUMMYFUNCTION("GOOGLETRANSLATE(A5453, ""en"", ""mt"")")," X'kien l-isem Ċiniż tal-matematika ta 'Gou?")</f>
        <v> X'kien l-isem Ċiniż tal-matematika ta 'Gou?</v>
      </c>
    </row>
    <row r="5454" ht="15.75" customHeight="1">
      <c r="A5454" s="2" t="s">
        <v>5454</v>
      </c>
      <c r="B5454" s="2" t="str">
        <f>IFERROR(__xludf.DUMMYFUNCTION("GOOGLETRANSLATE(A5454, ""en"", ""mt"")"),"Kemm flus Francovich ma tħallewx jitolbu mill-gvern Taljan fit-talbiet?")</f>
        <v>Kemm flus Francovich ma tħallewx jitolbu mill-gvern Taljan fit-talbiet?</v>
      </c>
    </row>
    <row r="5455" ht="15.75" customHeight="1">
      <c r="A5455" s="2" t="s">
        <v>5455</v>
      </c>
      <c r="B5455" s="2" t="str">
        <f>IFERROR(__xludf.DUMMYFUNCTION("GOOGLETRANSLATE(A5455, ""en"", ""mt"")"),"X’jagħmel il-forza mhux oriġinali?")</f>
        <v>X’jagħmel il-forza mhux oriġinali?</v>
      </c>
    </row>
    <row r="5456" ht="15.75" customHeight="1">
      <c r="A5456" s="2" t="s">
        <v>5456</v>
      </c>
      <c r="B5456" s="2" t="str">
        <f>IFERROR(__xludf.DUMMYFUNCTION("GOOGLETRANSLATE(A5456, ""en"", ""mt"")"),"il-VA, is-Servizz tas-Saħħa Indjana, u NIH")</f>
        <v>il-VA, is-Servizz tas-Saħħa Indjana, u NIH</v>
      </c>
    </row>
    <row r="5457" ht="15.75" customHeight="1">
      <c r="A5457" s="2" t="s">
        <v>5457</v>
      </c>
      <c r="B5457" s="2" t="str">
        <f>IFERROR(__xludf.DUMMYFUNCTION("GOOGLETRANSLATE(A5457, ""en"", ""mt"")"),"antiġen minn patoġen")</f>
        <v>antiġen minn patoġen</v>
      </c>
    </row>
    <row r="5458" ht="15.75" customHeight="1">
      <c r="A5458" s="2" t="s">
        <v>5458</v>
      </c>
      <c r="B5458" s="2" t="str">
        <f>IFERROR(__xludf.DUMMYFUNCTION("GOOGLETRANSLATE(A5458, ""en"", ""mt"")"),"Radjazzjoni ultravjola")</f>
        <v>Radjazzjoni ultravjola</v>
      </c>
    </row>
    <row r="5459" ht="15.75" customHeight="1">
      <c r="A5459" s="2" t="s">
        <v>5459</v>
      </c>
      <c r="B5459" s="2" t="str">
        <f>IFERROR(__xludf.DUMMYFUNCTION("GOOGLETRANSLATE(A5459, ""en"", ""mt"")"),"Gvern Vittorjan")</f>
        <v>Gvern Vittorjan</v>
      </c>
    </row>
    <row r="5460" ht="15.75" customHeight="1">
      <c r="A5460" s="2" t="s">
        <v>5460</v>
      </c>
      <c r="B5460" s="2" t="str">
        <f>IFERROR(__xludf.DUMMYFUNCTION("GOOGLETRANSLATE(A5460, ""en"", ""mt"")"),"Kif inhuma l-mudelli analoġiċi differenti minn mudelli numeriċi?")</f>
        <v>Kif inhuma l-mudelli analoġiċi differenti minn mudelli numeriċi?</v>
      </c>
    </row>
    <row r="5461" ht="15.75" customHeight="1">
      <c r="A5461" s="2" t="s">
        <v>5461</v>
      </c>
      <c r="B5461" s="2" t="str">
        <f>IFERROR(__xludf.DUMMYFUNCTION("GOOGLETRANSLATE(A5461, ""en"", ""mt"")"),"Min ma ngħatax l-awtorità biex jinnomina aġenda?")</f>
        <v>Min ma ngħatax l-awtorità biex jinnomina aġenda?</v>
      </c>
    </row>
    <row r="5462" ht="15.75" customHeight="1">
      <c r="A5462" s="2" t="s">
        <v>5462</v>
      </c>
      <c r="B5462" s="2" t="str">
        <f>IFERROR(__xludf.DUMMYFUNCTION("GOOGLETRANSLATE(A5462, ""en"", ""mt"")"),"gradi ta 'privileġġ")</f>
        <v>gradi ta 'privileġġ</v>
      </c>
    </row>
    <row r="5463" ht="15.75" customHeight="1">
      <c r="A5463" s="2" t="s">
        <v>5463</v>
      </c>
      <c r="B5463" s="2" t="str">
        <f>IFERROR(__xludf.DUMMYFUNCTION("GOOGLETRANSLATE(A5463, ""en"", ""mt"")"),"X'kien l-isem ta 'l-operazzjoni ta' l-isparar ta 'Du Pont?")</f>
        <v>X'kien l-isem ta 'l-operazzjoni ta' l-isparar ta 'Du Pont?</v>
      </c>
    </row>
    <row r="5464" ht="15.75" customHeight="1">
      <c r="A5464" s="2" t="s">
        <v>5464</v>
      </c>
      <c r="B5464" s="2" t="str">
        <f>IFERROR(__xludf.DUMMYFUNCTION("GOOGLETRANSLATE(A5464, ""en"", ""mt"")"),"Lag überlingen")</f>
        <v>Lag überlingen</v>
      </c>
    </row>
    <row r="5465" ht="15.75" customHeight="1">
      <c r="A5465" s="2" t="s">
        <v>5465</v>
      </c>
      <c r="B5465" s="2" t="str">
        <f>IFERROR(__xludf.DUMMYFUNCTION("GOOGLETRANSLATE(A5465, ""en"", ""mt"")"),"Id-Dinja trid tkun ferm eqdem milli suppost kien suppost")</f>
        <v>Id-Dinja trid tkun ferm eqdem milli suppost kien suppost</v>
      </c>
    </row>
    <row r="5466" ht="15.75" customHeight="1">
      <c r="A5466" s="2" t="s">
        <v>5466</v>
      </c>
      <c r="B5466" s="2" t="str">
        <f>IFERROR(__xludf.DUMMYFUNCTION("GOOGLETRANSLATE(A5466, ""en"", ""mt"")"),"Taliban")</f>
        <v>Taliban</v>
      </c>
    </row>
    <row r="5467" ht="15.75" customHeight="1">
      <c r="A5467" s="2" t="s">
        <v>5467</v>
      </c>
      <c r="B5467" s="2" t="str">
        <f>IFERROR(__xludf.DUMMYFUNCTION("GOOGLETRANSLATE(A5467, ""en"", ""mt"")"),"Kemm iddum l-etajiet tas-silġ?")</f>
        <v>Kemm iddum l-etajiet tas-silġ?</v>
      </c>
    </row>
    <row r="5468" ht="15.75" customHeight="1">
      <c r="A5468" s="2" t="s">
        <v>5468</v>
      </c>
      <c r="B5468" s="2" t="str">
        <f>IFERROR(__xludf.DUMMYFUNCTION("GOOGLETRANSLATE(A5468, ""en"", ""mt"")"),"Bilanċ tal-partijiet madwar il-Parlament")</f>
        <v>Bilanċ tal-partijiet madwar il-Parlament</v>
      </c>
    </row>
    <row r="5469" ht="15.75" customHeight="1">
      <c r="A5469" s="2" t="s">
        <v>5469</v>
      </c>
      <c r="B5469" s="2" t="str">
        <f>IFERROR(__xludf.DUMMYFUNCTION("GOOGLETRANSLATE(A5469, ""en"", ""mt"")"),"Maria Fold and Thrust Belt")</f>
        <v>Maria Fold and Thrust Belt</v>
      </c>
    </row>
    <row r="5470" ht="15.75" customHeight="1">
      <c r="A5470" s="2" t="s">
        <v>5470</v>
      </c>
      <c r="B5470" s="2" t="str">
        <f>IFERROR(__xludf.DUMMYFUNCTION("GOOGLETRANSLATE(A5470, ""en"", ""mt"")"),"idrokarburi")</f>
        <v>idrokarburi</v>
      </c>
    </row>
    <row r="5471" ht="15.75" customHeight="1">
      <c r="A5471" s="2" t="s">
        <v>5471</v>
      </c>
      <c r="B5471" s="2" t="str">
        <f>IFERROR(__xludf.DUMMYFUNCTION("GOOGLETRANSLATE(A5471, ""en"", ""mt"")"),"unjoni doganali")</f>
        <v>unjoni doganali</v>
      </c>
    </row>
    <row r="5472" ht="15.75" customHeight="1">
      <c r="A5472" s="2" t="s">
        <v>5472</v>
      </c>
      <c r="B5472" s="2" t="str">
        <f>IFERROR(__xludf.DUMMYFUNCTION("GOOGLETRANSLATE(A5472, ""en"", ""mt"")"),"enerġija")</f>
        <v>enerġija</v>
      </c>
    </row>
    <row r="5473" ht="15.75" customHeight="1">
      <c r="A5473" s="2" t="s">
        <v>5473</v>
      </c>
      <c r="B5473" s="2" t="str">
        <f>IFERROR(__xludf.DUMMYFUNCTION("GOOGLETRANSLATE(A5473, ""en"", ""mt"")"),"Semmi diviżjoni ta 'lussu ta' Toyota.")</f>
        <v>Semmi diviżjoni ta 'lussu ta' Toyota.</v>
      </c>
    </row>
    <row r="5474" ht="15.75" customHeight="1">
      <c r="A5474" s="2" t="s">
        <v>5474</v>
      </c>
      <c r="B5474" s="2" t="str">
        <f>IFERROR(__xludf.DUMMYFUNCTION("GOOGLETRANSLATE(A5474, ""en"", ""mt"")"),"Surfclassic")</f>
        <v>Surfclassic</v>
      </c>
    </row>
    <row r="5475" ht="15.75" customHeight="1">
      <c r="A5475" s="2" t="s">
        <v>5475</v>
      </c>
      <c r="B5475" s="2" t="str">
        <f>IFERROR(__xludf.DUMMYFUNCTION("GOOGLETRANSLATE(A5475, ""en"", ""mt"")"),"X'tip ta 'kwistjonijiet huma membri tipikament jitħallew jivvutaw kif jixtiequ?")</f>
        <v>X'tip ta 'kwistjonijiet huma membri tipikament jitħallew jivvutaw kif jixtiequ?</v>
      </c>
    </row>
    <row r="5476" ht="15.75" customHeight="1">
      <c r="A5476" s="2" t="s">
        <v>5476</v>
      </c>
      <c r="B5476" s="2" t="str">
        <f>IFERROR(__xludf.DUMMYFUNCTION("GOOGLETRANSLATE(A5476, ""en"", ""mt"")"),"Wied Buckland ħdejn Bright")</f>
        <v>Wied Buckland ħdejn Bright</v>
      </c>
    </row>
    <row r="5477" ht="15.75" customHeight="1">
      <c r="A5477" s="2" t="s">
        <v>5477</v>
      </c>
      <c r="B5477" s="2" t="str">
        <f>IFERROR(__xludf.DUMMYFUNCTION("GOOGLETRANSLATE(A5477, ""en"", ""mt"")"),"X’jipprovdi l-gvern għall-istudenti tbiegħed mill-korsijiet ta ’prijorità?")</f>
        <v>X’jipprovdi l-gvern għall-istudenti tbiegħed mill-korsijiet ta ’prijorità?</v>
      </c>
    </row>
    <row r="5478" ht="15.75" customHeight="1">
      <c r="A5478" s="2" t="s">
        <v>5478</v>
      </c>
      <c r="B5478" s="2" t="str">
        <f>IFERROR(__xludf.DUMMYFUNCTION("GOOGLETRANSLATE(A5478, ""en"", ""mt"")"),"Skond it-teorema ta 'Wilson, liema fatt għandu jkun diviżibbli minn n jekk xi numru sħiħ n&gt; 4 għandu jkun ikkunsidrat bħala kompost?")</f>
        <v>Skond it-teorema ta 'Wilson, liema fatt għandu jkun diviżibbli minn n jekk xi numru sħiħ n&gt; 4 għandu jkun ikkunsidrat bħala kompost?</v>
      </c>
    </row>
    <row r="5479" ht="15.75" customHeight="1">
      <c r="A5479" s="2" t="s">
        <v>5479</v>
      </c>
      <c r="B5479" s="2" t="str">
        <f>IFERROR(__xludf.DUMMYFUNCTION("GOOGLETRANSLATE(A5479, ""en"", ""mt"")"),"tlieta, aktar tard erbgħa")</f>
        <v>tlieta, aktar tard erbgħa</v>
      </c>
    </row>
    <row r="5480" ht="15.75" customHeight="1">
      <c r="A5480" s="2" t="s">
        <v>5480</v>
      </c>
      <c r="B5480" s="2" t="str">
        <f>IFERROR(__xludf.DUMMYFUNCTION("GOOGLETRANSLATE(A5480, ""en"", ""mt"")"),"X'tip ta 'esperimenti ta' deformazzjoni fil-blat iwettqu l-ġeoloġi strutturali?")</f>
        <v>X'tip ta 'esperimenti ta' deformazzjoni fil-blat iwettqu l-ġeoloġi strutturali?</v>
      </c>
    </row>
    <row r="5481" ht="15.75" customHeight="1">
      <c r="A5481" s="2" t="s">
        <v>5481</v>
      </c>
      <c r="B5481" s="2" t="str">
        <f>IFERROR(__xludf.DUMMYFUNCTION("GOOGLETRANSLATE(A5481, ""en"", ""mt"")"),"Liema forza aġixxiet fuq korpi biex tittardja l-veloċità tagħhom?")</f>
        <v>Liema forza aġixxiet fuq korpi biex tittardja l-veloċità tagħhom?</v>
      </c>
    </row>
    <row r="5482" ht="15.75" customHeight="1">
      <c r="A5482" s="2" t="s">
        <v>5482</v>
      </c>
      <c r="B5482" s="2" t="str">
        <f>IFERROR(__xludf.DUMMYFUNCTION("GOOGLETRANSLATE(A5482, ""en"", ""mt"")"),"Il-kombustjoni hija kkawżata minn ossidant u fjuwil. X'irwol għandu l-ossiġnu fil-kombustjoni?")</f>
        <v>Il-kombustjoni hija kkawżata minn ossidant u fjuwil. X'irwol għandu l-ossiġnu fil-kombustjoni?</v>
      </c>
    </row>
    <row r="5483" ht="15.75" customHeight="1">
      <c r="A5483" s="2" t="s">
        <v>5483</v>
      </c>
      <c r="B5483" s="2" t="str">
        <f>IFERROR(__xludf.DUMMYFUNCTION("GOOGLETRANSLATE(A5483, ""en"", ""mt"")"),"F'liema sena ġiet iffurmata l-iskola?")</f>
        <v>F'liema sena ġiet iffurmata l-iskola?</v>
      </c>
    </row>
    <row r="5484" ht="15.75" customHeight="1">
      <c r="A5484" s="2" t="s">
        <v>5484</v>
      </c>
      <c r="B5484" s="2" t="str">
        <f>IFERROR(__xludf.DUMMYFUNCTION("GOOGLETRANSLATE(A5484, ""en"", ""mt"")"),"Min issepara numru ta 'teoriji preċedenti f'sett ta '20 ekwazzjoni skalari?")</f>
        <v>Min issepara numru ta 'teoriji preċedenti f'sett ta '20 ekwazzjoni skalari?</v>
      </c>
    </row>
    <row r="5485" ht="15.75" customHeight="1">
      <c r="A5485" s="2" t="s">
        <v>5485</v>
      </c>
      <c r="B5485" s="2" t="str">
        <f>IFERROR(__xludf.DUMMYFUNCTION("GOOGLETRANSLATE(A5485, ""en"", ""mt"")"),"is-sistema immuni")</f>
        <v>is-sistema immuni</v>
      </c>
    </row>
    <row r="5486" ht="15.75" customHeight="1">
      <c r="A5486" s="2" t="s">
        <v>5486</v>
      </c>
      <c r="B5486" s="2" t="str">
        <f>IFERROR(__xludf.DUMMYFUNCTION("GOOGLETRANSLATE(A5486, ""en"", ""mt"")"),"Meta kienet it-tieni ribelljoni Huguenot?")</f>
        <v>Meta kienet it-tieni ribelljoni Huguenot?</v>
      </c>
    </row>
    <row r="5487" ht="15.75" customHeight="1">
      <c r="A5487" s="2" t="s">
        <v>5487</v>
      </c>
      <c r="B5487" s="2" t="str">
        <f>IFERROR(__xludf.DUMMYFUNCTION("GOOGLETRANSLATE(A5487, ""en"", ""mt"")"),"Solidarjetà tal-ħabs")</f>
        <v>Solidarjetà tal-ħabs</v>
      </c>
    </row>
    <row r="5488" ht="15.75" customHeight="1">
      <c r="A5488" s="2" t="s">
        <v>5488</v>
      </c>
      <c r="B5488" s="2" t="str">
        <f>IFERROR(__xludf.DUMMYFUNCTION("GOOGLETRANSLATE(A5488, ""en"", ""mt"")"),"F'liema sena ġiet inkorporata l-Università ta 'Maynard?")</f>
        <v>F'liema sena ġiet inkorporata l-Università ta 'Maynard?</v>
      </c>
    </row>
    <row r="5489" ht="15.75" customHeight="1">
      <c r="A5489" s="2" t="s">
        <v>5489</v>
      </c>
      <c r="B5489" s="2" t="str">
        <f>IFERROR(__xludf.DUMMYFUNCTION("GOOGLETRANSLATE(A5489, ""en"", ""mt"")"),"Franza kif kienet l-istess bħall-Gran Brittanja fil-ġestjoni tal-kolonji tagħha?")</f>
        <v>Franza kif kienet l-istess bħall-Gran Brittanja fil-ġestjoni tal-kolonji tagħha?</v>
      </c>
    </row>
    <row r="5490" ht="15.75" customHeight="1">
      <c r="A5490" s="2" t="s">
        <v>5490</v>
      </c>
      <c r="B5490" s="2" t="str">
        <f>IFERROR(__xludf.DUMMYFUNCTION("GOOGLETRANSLATE(A5490, ""en"", ""mt"")"),"Għaxar snin wara l-1973")</f>
        <v>Għaxar snin wara l-1973</v>
      </c>
    </row>
    <row r="5491" ht="15.75" customHeight="1">
      <c r="A5491" s="2" t="s">
        <v>5491</v>
      </c>
      <c r="B5491" s="2" t="str">
        <f>IFERROR(__xludf.DUMMYFUNCTION("GOOGLETRANSLATE(A5491, ""en"", ""mt"")"),"Fejn oriġinarjament il-Huguenots jillandjaw fi New York?")</f>
        <v>Fejn oriġinarjament il-Huguenots jillandjaw fi New York?</v>
      </c>
    </row>
    <row r="5492" ht="15.75" customHeight="1">
      <c r="A5492" s="2" t="s">
        <v>5492</v>
      </c>
      <c r="B5492" s="2" t="str">
        <f>IFERROR(__xludf.DUMMYFUNCTION("GOOGLETRANSLATE(A5492, ""en"", ""mt"")"),"Phagosome")</f>
        <v>Phagosome</v>
      </c>
    </row>
    <row r="5493" ht="15.75" customHeight="1">
      <c r="A5493" s="2" t="s">
        <v>5493</v>
      </c>
      <c r="B5493" s="2" t="str">
        <f>IFERROR(__xludf.DUMMYFUNCTION("GOOGLETRANSLATE(A5493, ""en"", ""mt"")"),"X'inhi l-ispiża totali ta 'attendenza fl-2012-13?")</f>
        <v>X'inhi l-ispiża totali ta 'attendenza fl-2012-13?</v>
      </c>
    </row>
    <row r="5494" ht="15.75" customHeight="1">
      <c r="A5494" s="2" t="s">
        <v>5494</v>
      </c>
      <c r="B5494" s="2" t="str">
        <f>IFERROR(__xludf.DUMMYFUNCTION("GOOGLETRANSLATE(A5494, ""en"", ""mt"")"),"Liema korp ta 'tmexxija jaħtar kummissarji u l-Bord tal-Bank Ċentrali Amerikan?")</f>
        <v>Liema korp ta 'tmexxija jaħtar kummissarji u l-Bord tal-Bank Ċentrali Amerikan?</v>
      </c>
    </row>
    <row r="5495" ht="15.75" customHeight="1">
      <c r="A5495" s="2" t="s">
        <v>5495</v>
      </c>
      <c r="B5495" s="2" t="str">
        <f>IFERROR(__xludf.DUMMYFUNCTION("GOOGLETRANSLATE(A5495, ""en"", ""mt"")"),"Il-valur ta 'min kien jaf fil-ħajja ta' Newton?")</f>
        <v>Il-valur ta 'min kien jaf fil-ħajja ta' Newton?</v>
      </c>
    </row>
    <row r="5496" ht="15.75" customHeight="1">
      <c r="A5496" s="2" t="s">
        <v>5496</v>
      </c>
      <c r="B5496" s="2" t="str">
        <f>IFERROR(__xludf.DUMMYFUNCTION("GOOGLETRANSLATE(A5496, ""en"", ""mt"")"),"rotot tal-baħar u tal-kummerċ")</f>
        <v>rotot tal-baħar u tal-kummerċ</v>
      </c>
    </row>
    <row r="5497" ht="15.75" customHeight="1">
      <c r="A5497" s="2" t="s">
        <v>5497</v>
      </c>
      <c r="B5497" s="2" t="str">
        <f>IFERROR(__xludf.DUMMYFUNCTION("GOOGLETRANSLATE(A5497, ""en"", ""mt"")"),"X'jagħti blat sedimentarju tad-drapp karatteristiku tiegħu?")</f>
        <v>X'jagħti blat sedimentarju tad-drapp karatteristiku tiegħu?</v>
      </c>
    </row>
    <row r="5498" ht="15.75" customHeight="1">
      <c r="A5498" s="2" t="s">
        <v>5498</v>
      </c>
      <c r="B5498" s="2" t="str">
        <f>IFERROR(__xludf.DUMMYFUNCTION("GOOGLETRANSLATE(A5498, ""en"", ""mt"")"),"Meta mqabbel mal-kumplament ta 'Florida, kif il-popolazzjoni Filippina ta' Jacksonville tikklassifika?")</f>
        <v>Meta mqabbel mal-kumplament ta 'Florida, kif il-popolazzjoni Filippina ta' Jacksonville tikklassifika?</v>
      </c>
    </row>
    <row r="5499" ht="15.75" customHeight="1">
      <c r="A5499" s="2" t="s">
        <v>5499</v>
      </c>
      <c r="B5499" s="2" t="str">
        <f>IFERROR(__xludf.DUMMYFUNCTION("GOOGLETRANSLATE(A5499, ""en"", ""mt"")"),"X'inhi l-kawża ta 'antiġeni tat-tumur?")</f>
        <v>X'inhi l-kawża ta 'antiġeni tat-tumur?</v>
      </c>
    </row>
    <row r="5500" ht="15.75" customHeight="1">
      <c r="A5500" s="2" t="s">
        <v>5500</v>
      </c>
      <c r="B5500" s="2" t="str">
        <f>IFERROR(__xludf.DUMMYFUNCTION("GOOGLETRANSLATE(A5500, ""en"", ""mt"")"),"Mill-1970")</f>
        <v>Mill-1970</v>
      </c>
    </row>
    <row r="5501" ht="15.75" customHeight="1">
      <c r="A5501" s="2" t="s">
        <v>5501</v>
      </c>
      <c r="B5501" s="2" t="str">
        <f>IFERROR(__xludf.DUMMYFUNCTION("GOOGLETRANSLATE(A5501, ""en"", ""mt"")"),"1891")</f>
        <v>1891</v>
      </c>
    </row>
    <row r="5502" ht="15.75" customHeight="1">
      <c r="A5502" s="2" t="s">
        <v>5502</v>
      </c>
      <c r="B5502" s="2" t="str">
        <f>IFERROR(__xludf.DUMMYFUNCTION("GOOGLETRANSLATE(A5502, ""en"", ""mt"")"),"Liema stabbilimenti ilhom madwar l-1990?")</f>
        <v>Liema stabbilimenti ilhom madwar l-1990?</v>
      </c>
    </row>
    <row r="5503" ht="15.75" customHeight="1">
      <c r="A5503" s="2" t="s">
        <v>5503</v>
      </c>
      <c r="B5503" s="2" t="str">
        <f>IFERROR(__xludf.DUMMYFUNCTION("GOOGLETRANSLATE(A5503, ""en"", ""mt"")"),"3,600")</f>
        <v>3,600</v>
      </c>
    </row>
    <row r="5504" ht="15.75" customHeight="1">
      <c r="A5504" s="2" t="s">
        <v>5504</v>
      </c>
      <c r="B5504" s="2" t="str">
        <f>IFERROR(__xludf.DUMMYFUNCTION("GOOGLETRANSLATE(A5504, ""en"", ""mt"")"),"X'inhu isem ieħor għall-Freeway Yosemite?")</f>
        <v>X'inhu isem ieħor għall-Freeway Yosemite?</v>
      </c>
    </row>
    <row r="5505" ht="15.75" customHeight="1">
      <c r="A5505" s="2" t="s">
        <v>5505</v>
      </c>
      <c r="B5505" s="2" t="str">
        <f>IFERROR(__xludf.DUMMYFUNCTION("GOOGLETRANSLATE(A5505, ""en"", ""mt"")"),"Dwar liema sena ġiet żviluppata l-magna tal-vakwu?")</f>
        <v>Dwar liema sena ġiet żviluppata l-magna tal-vakwu?</v>
      </c>
    </row>
    <row r="5506" ht="15.75" customHeight="1">
      <c r="A5506" s="2" t="s">
        <v>5506</v>
      </c>
      <c r="B5506" s="2" t="str">
        <f>IFERROR(__xludf.DUMMYFUNCTION("GOOGLETRANSLATE(A5506, ""en"", ""mt"")"),"L-iskejjel għolja pubbliċi tilfu l-akkreditazzjoni tagħhom")</f>
        <v>L-iskejjel għolja pubbliċi tilfu l-akkreditazzjoni tagħhom</v>
      </c>
    </row>
    <row r="5507" ht="15.75" customHeight="1">
      <c r="A5507" s="2" t="s">
        <v>5507</v>
      </c>
      <c r="B5507" s="2" t="str">
        <f>IFERROR(__xludf.DUMMYFUNCTION("GOOGLETRANSLATE(A5507, ""en"", ""mt"")"),"X'effett għandu l-kummerċ ma 'pajjiżi aktar sinjuri fuq il-ħaddiema f'pajjiżi ifqar?")</f>
        <v>X'effett għandu l-kummerċ ma 'pajjiżi aktar sinjuri fuq il-ħaddiema f'pajjiżi ifqar?</v>
      </c>
    </row>
    <row r="5508" ht="15.75" customHeight="1">
      <c r="A5508" s="2" t="s">
        <v>5508</v>
      </c>
      <c r="B5508" s="2" t="str">
        <f>IFERROR(__xludf.DUMMYFUNCTION("GOOGLETRANSLATE(A5508, ""en"", ""mt"")"),"Jean Ribault")</f>
        <v>Jean Ribault</v>
      </c>
    </row>
    <row r="5509" ht="15.75" customHeight="1">
      <c r="A5509" s="2" t="s">
        <v>5509</v>
      </c>
      <c r="B5509" s="2" t="str">
        <f>IFERROR(__xludf.DUMMYFUNCTION("GOOGLETRANSLATE(A5509, ""en"", ""mt"")"),"X'ġara fis-6 ta 'Ottubru, 1973 mas-Sirja u l-Eġittu?")</f>
        <v>X'ġara fis-6 ta 'Ottubru, 1973 mas-Sirja u l-Eġittu?</v>
      </c>
    </row>
    <row r="5510" ht="15.75" customHeight="1">
      <c r="A5510" s="2" t="s">
        <v>5510</v>
      </c>
      <c r="B5510" s="2" t="str">
        <f>IFERROR(__xludf.DUMMYFUNCTION("GOOGLETRANSLATE(A5510, ""en"", ""mt"")"),"X'tip ta 'persuna ma tistax tiġi attribwita diżubbidjenza ċivili?")</f>
        <v>X'tip ta 'persuna ma tistax tiġi attribwita diżubbidjenza ċivili?</v>
      </c>
    </row>
    <row r="5511" ht="15.75" customHeight="1">
      <c r="A5511" s="2" t="s">
        <v>5511</v>
      </c>
      <c r="B5511" s="2" t="str">
        <f>IFERROR(__xludf.DUMMYFUNCTION("GOOGLETRANSLATE(A5511, ""en"", ""mt"")"),"Negozju Maġġuri")</f>
        <v>Negozju Maġġuri</v>
      </c>
    </row>
    <row r="5512" ht="15.75" customHeight="1">
      <c r="A5512" s="2" t="s">
        <v>5512</v>
      </c>
      <c r="B5512" s="2" t="str">
        <f>IFERROR(__xludf.DUMMYFUNCTION("GOOGLETRANSLATE(A5512, ""en"", ""mt"")"),"Imperu Ingliż")</f>
        <v>Imperu Ingliż</v>
      </c>
    </row>
    <row r="5513" ht="15.75" customHeight="1">
      <c r="A5513" s="2" t="s">
        <v>5513</v>
      </c>
      <c r="B5513" s="2" t="str">
        <f>IFERROR(__xludf.DUMMYFUNCTION("GOOGLETRANSLATE(A5513, ""en"", ""mt"")"),"Liema passaġġ spazjali-ħin huwa meqjus bħala linja mgħawġa fl-ispazju?")</f>
        <v>Liema passaġġ spazjali-ħin huwa meqjus bħala linja mgħawġa fl-ispazju?</v>
      </c>
    </row>
    <row r="5514" ht="15.75" customHeight="1">
      <c r="A5514" s="2" t="s">
        <v>5514</v>
      </c>
      <c r="B5514" s="2" t="str">
        <f>IFERROR(__xludf.DUMMYFUNCTION("GOOGLETRANSLATE(A5514, ""en"", ""mt"")"),"Skond l-istudjużi ġeografiċi taħt l-imperi kolonizzanti, id-dinja tista 'tinqasam f'żoni klimatiċi. Dawn l-istudjużi jemmnu li l-Ewropa tat-Tramuntana u l-klima moderata f'nofs l-Atlantiku pproduċew bniedem li jaħdem ħafna, morali u li jispikka. Alternatt"&amp;"ivament, klimi tropikali taw attitudnijiet għażżien, promiskuità sesswali, kultura eżotika, u deġenerazzjoni morali. In-nies ta 'dawn il-klimi kienu maħsuba li għandhom bżonn gwida u intervent mill-Imperu Ewropew biex jgħinu fil-gvern ta' struttura soċjal"&amp;"i aktar evolvuta; Kienu meqjusa bħala inkapaċi ta 'tali proeza. Bl-istess mod, l-Orjentaliżmu huwa veduta ta 'nies ibbażati fuq il-post ġeografiku tagħhom.")</f>
        <v>Skond l-istudjużi ġeografiċi taħt l-imperi kolonizzanti, id-dinja tista 'tinqasam f'żoni klimatiċi. Dawn l-istudjużi jemmnu li l-Ewropa tat-Tramuntana u l-klima moderata f'nofs l-Atlantiku pproduċew bniedem li jaħdem ħafna, morali u li jispikka. Alternattivament, klimi tropikali taw attitudnijiet għażżien, promiskuità sesswali, kultura eżotika, u deġenerazzjoni morali. In-nies ta 'dawn il-klimi kienu maħsuba li għandhom bżonn gwida u intervent mill-Imperu Ewropew biex jgħinu fil-gvern ta' struttura soċjali aktar evolvuta; Kienu meqjusa bħala inkapaċi ta 'tali proeza. Bl-istess mod, l-Orjentaliżmu huwa veduta ta 'nies ibbażati fuq il-post ġeografiku tagħhom.</v>
      </c>
    </row>
    <row r="5515" ht="15.75" customHeight="1">
      <c r="A5515" s="2" t="s">
        <v>5515</v>
      </c>
      <c r="B5515" s="2" t="str">
        <f>IFERROR(__xludf.DUMMYFUNCTION("GOOGLETRANSLATE(A5515, ""en"", ""mt"")"),"Min inħatar bħala t-tieni fil-kmand lil Lor Loudoun fl-1765?")</f>
        <v>Min inħatar bħala t-tieni fil-kmand lil Lor Loudoun fl-1765?</v>
      </c>
    </row>
    <row r="5516" ht="15.75" customHeight="1">
      <c r="A5516" s="2" t="s">
        <v>5516</v>
      </c>
      <c r="B5516" s="2" t="str">
        <f>IFERROR(__xludf.DUMMYFUNCTION("GOOGLETRANSLATE(A5516, ""en"", ""mt"")"),"Min kien parti mill-każ ma 'Wisconsin fl-1976?")</f>
        <v>Min kien parti mill-każ ma 'Wisconsin fl-1976?</v>
      </c>
    </row>
    <row r="5517" ht="15.75" customHeight="1">
      <c r="A5517" s="2" t="s">
        <v>5517</v>
      </c>
      <c r="B5517" s="2" t="str">
        <f>IFERROR(__xludf.DUMMYFUNCTION("GOOGLETRANSLATE(A5517, ""en"", ""mt"")"),"Lagos u Quiberon Bay")</f>
        <v>Lagos u Quiberon Bay</v>
      </c>
    </row>
    <row r="5518" ht="15.75" customHeight="1">
      <c r="A5518" s="2" t="s">
        <v>5518</v>
      </c>
      <c r="B5518" s="2" t="str">
        <f>IFERROR(__xludf.DUMMYFUNCTION("GOOGLETRANSLATE(A5518, ""en"", ""mt"")"),"Iran")</f>
        <v>Iran</v>
      </c>
    </row>
    <row r="5519" ht="15.75" customHeight="1">
      <c r="A5519" s="2" t="s">
        <v>5519</v>
      </c>
      <c r="B5519" s="2" t="str">
        <f>IFERROR(__xludf.DUMMYFUNCTION("GOOGLETRANSLATE(A5519, ""en"", ""mt"")"),"Ċiniż tat-Tramuntana")</f>
        <v>Ċiniż tat-Tramuntana</v>
      </c>
    </row>
    <row r="5520" ht="15.75" customHeight="1">
      <c r="A5520" s="2" t="s">
        <v>5520</v>
      </c>
      <c r="B5520" s="2" t="str">
        <f>IFERROR(__xludf.DUMMYFUNCTION("GOOGLETRANSLATE(A5520, ""en"", ""mt"")"),"Sopravivenza")</f>
        <v>Sopravivenza</v>
      </c>
    </row>
    <row r="5521" ht="15.75" customHeight="1">
      <c r="A5521" s="2" t="s">
        <v>5521</v>
      </c>
      <c r="B5521" s="2" t="str">
        <f>IFERROR(__xludf.DUMMYFUNCTION("GOOGLETRANSLATE(A5521, ""en"", ""mt"")"),"Tratturi tar-razzett")</f>
        <v>Tratturi tar-razzett</v>
      </c>
    </row>
    <row r="5522" ht="15.75" customHeight="1">
      <c r="A5522" s="2" t="s">
        <v>5522</v>
      </c>
      <c r="B5522" s="2" t="str">
        <f>IFERROR(__xludf.DUMMYFUNCTION("GOOGLETRANSLATE(A5522, ""en"", ""mt"")"),"Liema pajjiżi jużaw A stilizzati blu biex ifissru l-ispiżerija?")</f>
        <v>Liema pajjiżi jużaw A stilizzati blu biex ifissru l-ispiżerija?</v>
      </c>
    </row>
    <row r="5523" ht="15.75" customHeight="1">
      <c r="A5523" s="2" t="s">
        <v>5523</v>
      </c>
      <c r="B5523" s="2" t="str">
        <f>IFERROR(__xludf.DUMMYFUNCTION("GOOGLETRANSLATE(A5523, ""en"", ""mt"")"),"Livelli ta 'liema affarijiet jintużaw biex jiddeterminaw il-fatturi ta' emissjoni?")</f>
        <v>Livelli ta 'liema affarijiet jintużaw biex jiddeterminaw il-fatturi ta' emissjoni?</v>
      </c>
    </row>
    <row r="5524" ht="15.75" customHeight="1">
      <c r="A5524" s="2" t="s">
        <v>5524</v>
      </c>
      <c r="B5524" s="2" t="str">
        <f>IFERROR(__xludf.DUMMYFUNCTION("GOOGLETRANSLATE(A5524, ""en"", ""mt"")"),"jistgħu jinkludu b'mod arbitrarju ħafna każijiet ta '1 fi kwalunkwe fatturizzazzjoni")</f>
        <v>jistgħu jinkludu b'mod arbitrarju ħafna każijiet ta '1 fi kwalunkwe fatturizzazzjoni</v>
      </c>
    </row>
    <row r="5525" ht="15.75" customHeight="1">
      <c r="A5525" s="2" t="s">
        <v>5525</v>
      </c>
      <c r="B5525" s="2" t="str">
        <f>IFERROR(__xludf.DUMMYFUNCTION("GOOGLETRANSLATE(A5525, ""en"", ""mt"")"),"Għal xiex kienu x.25 u relay tal-qafas użat")</f>
        <v>Għal xiex kienu x.25 u relay tal-qafas użat</v>
      </c>
    </row>
    <row r="5526" ht="15.75" customHeight="1">
      <c r="A5526" s="2" t="s">
        <v>5526</v>
      </c>
      <c r="B5526" s="2" t="str">
        <f>IFERROR(__xludf.DUMMYFUNCTION("GOOGLETRANSLATE(A5526, ""en"", ""mt"")"),"Tikber malajr")</f>
        <v>Tikber malajr</v>
      </c>
    </row>
    <row r="5527" ht="15.75" customHeight="1">
      <c r="A5527" s="2" t="s">
        <v>5527</v>
      </c>
      <c r="B5527" s="2" t="str">
        <f>IFERROR(__xludf.DUMMYFUNCTION("GOOGLETRANSLATE(A5527, ""en"", ""mt"")"),"lokali")</f>
        <v>lokali</v>
      </c>
    </row>
    <row r="5528" ht="15.75" customHeight="1">
      <c r="A5528" s="2" t="s">
        <v>5528</v>
      </c>
      <c r="B5528" s="2" t="str">
        <f>IFERROR(__xludf.DUMMYFUNCTION("GOOGLETRANSLATE(A5528, ""en"", ""mt"")"),"Liema teorija tiddikjara li l-proċessi ġeoloġiċi bil-mod għadhom qed iseħħu llum, u seħħew fl-istorja tad-Dinja?")</f>
        <v>Liema teorija tiddikjara li l-proċessi ġeoloġiċi bil-mod għadhom qed iseħħu llum, u seħħew fl-istorja tad-Dinja?</v>
      </c>
    </row>
    <row r="5529" ht="15.75" customHeight="1">
      <c r="A5529" s="2" t="s">
        <v>5529</v>
      </c>
      <c r="B5529" s="2" t="str">
        <f>IFERROR(__xludf.DUMMYFUNCTION("GOOGLETRANSLATE(A5529, ""en"", ""mt"")"),"Termini ta 'pressjoni assoċjati ma' forzi li jaġixxu normali għaż-żona ta 'sezzjoni trasversali (id-djagonali tal-matriċi tat-tensjoni) kif ukoll termini ta' shear")</f>
        <v>Termini ta 'pressjoni assoċjati ma' forzi li jaġixxu normali għaż-żona ta 'sezzjoni trasversali (id-djagonali tal-matriċi tat-tensjoni) kif ukoll termini ta' shear</v>
      </c>
    </row>
    <row r="5530" ht="15.75" customHeight="1">
      <c r="A5530" s="2" t="s">
        <v>5530</v>
      </c>
      <c r="B5530" s="2" t="str">
        <f>IFERROR(__xludf.DUMMYFUNCTION("GOOGLETRANSLATE(A5530, ""en"", ""mt"")"),"X'tip ta 'sensittività eċċessiva hija assoċjata ma' allerġiji?")</f>
        <v>X'tip ta 'sensittività eċċessiva hija assoċjata ma' allerġiji?</v>
      </c>
    </row>
    <row r="5531" ht="15.75" customHeight="1">
      <c r="A5531" s="2" t="s">
        <v>5531</v>
      </c>
      <c r="B5531" s="2" t="str">
        <f>IFERROR(__xludf.DUMMYFUNCTION("GOOGLETRANSLATE(A5531, ""en"", ""mt"")"),"L-Ewwel Liġi ta 'Newton")</f>
        <v>L-Ewwel Liġi ta 'Newton</v>
      </c>
    </row>
    <row r="5532" ht="15.75" customHeight="1">
      <c r="A5532" s="2" t="s">
        <v>5532</v>
      </c>
      <c r="B5532" s="2" t="str">
        <f>IFERROR(__xludf.DUMMYFUNCTION("GOOGLETRANSLATE(A5532, ""en"", ""mt"")"),"L-Indiċi Gini")</f>
        <v>L-Indiċi Gini</v>
      </c>
    </row>
    <row r="5533" ht="15.75" customHeight="1">
      <c r="A5533" s="2" t="s">
        <v>5533</v>
      </c>
      <c r="B5533" s="2" t="str">
        <f>IFERROR(__xludf.DUMMYFUNCTION("GOOGLETRANSLATE(A5533, ""en"", ""mt"")"),"Il-kunċett ta 'numru ewlieni huwa tant importanti li ġie ġeneralizzat b'modi differenti f'diversi fergħat tal-matematika. Ġeneralment, ""prim"" jindika minimalità jew indekompożizzjoni, f'sens xieraq. Pereżempju, il-qasam ewlieni huwa l-iżgħar subfield ta"&amp;" 'qasam F li fih kemm 0 u 1. Huwa jew Q jew il-qasam finit b'elementi P, minn fejn l-isem. Ħafna drabi t-tieni, tifsira addizzjonali hija maħsuba billi tuża l-kelma prim, jiġifieri li kwalunkwe oġġett jista 'jkun, essenzjalment b'mod uniku, dekompost fil-"&amp;"komponenti ewlenin tiegħu. Pereżempju, fit-teorija tal-għoqda, għoqda ewlenija hija għoqda li hija indekkomponi fis-sens li ma tistax tinkiteb bħala s-somma tal-għoqda ta 'żewġ għoqod mhux privati. Kull għoqda tista 'tiġi espressa b'mod uniku bħala somma "&amp;"konnessa ta' għoqod ewlenin. Mudelli ewlenin u 3-manifolds ewlenin huma eżempji oħra ta 'dan it-tip.")</f>
        <v>Il-kunċett ta 'numru ewlieni huwa tant importanti li ġie ġeneralizzat b'modi differenti f'diversi fergħat tal-matematika. Ġeneralment, "prim" jindika minimalità jew indekompożizzjoni, f'sens xieraq. Pereżempju, il-qasam ewlieni huwa l-iżgħar subfield ta 'qasam F li fih kemm 0 u 1. Huwa jew Q jew il-qasam finit b'elementi P, minn fejn l-isem. Ħafna drabi t-tieni, tifsira addizzjonali hija maħsuba billi tuża l-kelma prim, jiġifieri li kwalunkwe oġġett jista 'jkun, essenzjalment b'mod uniku, dekompost fil-komponenti ewlenin tiegħu. Pereżempju, fit-teorija tal-għoqda, għoqda ewlenija hija għoqda li hija indekkomponi fis-sens li ma tistax tinkiteb bħala s-somma tal-għoqda ta 'żewġ għoqod mhux privati. Kull għoqda tista 'tiġi espressa b'mod uniku bħala somma konnessa ta' għoqod ewlenin. Mudelli ewlenin u 3-manifolds ewlenin huma eżempji oħra ta 'dan it-tip.</v>
      </c>
    </row>
    <row r="5534" ht="15.75" customHeight="1">
      <c r="A5534" s="2" t="s">
        <v>5534</v>
      </c>
      <c r="B5534" s="2" t="str">
        <f>IFERROR(__xludf.DUMMYFUNCTION("GOOGLETRANSLATE(A5534, ""en"", ""mt"")"),"Il-produzzjoni ta 'problema funzjonali hija tipikament ikkaratterizzata minn tweġiba sempliċi jew kumplessa?")</f>
        <v>Il-produzzjoni ta 'problema funzjonali hija tipikament ikkaratterizzata minn tweġiba sempliċi jew kumplessa?</v>
      </c>
    </row>
    <row r="5535" ht="15.75" customHeight="1">
      <c r="A5535" s="2" t="s">
        <v>5535</v>
      </c>
      <c r="B5535" s="2" t="str">
        <f>IFERROR(__xludf.DUMMYFUNCTION("GOOGLETRANSLATE(A5535, ""en"", ""mt"")"),"1082")</f>
        <v>1082</v>
      </c>
    </row>
    <row r="5536" ht="15.75" customHeight="1">
      <c r="A5536" s="2" t="s">
        <v>5536</v>
      </c>
      <c r="B5536" s="2" t="str">
        <f>IFERROR(__xludf.DUMMYFUNCTION("GOOGLETRANSLATE(A5536, ""en"", ""mt"")"),"Għal xiex is-Sirja tbiegħ żejt raffinat lejn il-Lvant Nofsani?")</f>
        <v>Għal xiex is-Sirja tbiegħ żejt raffinat lejn il-Lvant Nofsani?</v>
      </c>
    </row>
    <row r="5537" ht="15.75" customHeight="1">
      <c r="A5537" s="2" t="s">
        <v>5537</v>
      </c>
      <c r="B5537" s="2" t="str">
        <f>IFERROR(__xludf.DUMMYFUNCTION("GOOGLETRANSLATE(A5537, ""en"", ""mt"")"),"X'inhu t-terminu għal sistema immuni iperattiva li tattakka tessuti normali?")</f>
        <v>X'inhu t-terminu għal sistema immuni iperattiva li tattakka tessuti normali?</v>
      </c>
    </row>
    <row r="5538" ht="15.75" customHeight="1">
      <c r="A5538" s="2" t="s">
        <v>5538</v>
      </c>
      <c r="B5538" s="2" t="str">
        <f>IFERROR(__xludf.DUMMYFUNCTION("GOOGLETRANSLATE(A5538, ""en"", ""mt"")"),"18% ogħla")</f>
        <v>18% ogħla</v>
      </c>
    </row>
    <row r="5539" ht="15.75" customHeight="1">
      <c r="A5539" s="2" t="s">
        <v>5539</v>
      </c>
      <c r="B5539" s="2" t="str">
        <f>IFERROR(__xludf.DUMMYFUNCTION("GOOGLETRANSLATE(A5539, ""en"", ""mt"")"),"Kemm hemm siġġijiet fil-kamra tad-dibattitu?")</f>
        <v>Kemm hemm siġġijiet fil-kamra tad-dibattitu?</v>
      </c>
    </row>
    <row r="5540" ht="15.75" customHeight="1">
      <c r="A5540" s="2" t="s">
        <v>5540</v>
      </c>
      <c r="B5540" s="2" t="str">
        <f>IFERROR(__xludf.DUMMYFUNCTION("GOOGLETRANSLATE(A5540, ""en"", ""mt"")"),"Liema approċċ kien favur Oppenheimer?")</f>
        <v>Liema approċċ kien favur Oppenheimer?</v>
      </c>
    </row>
    <row r="5541" ht="15.75" customHeight="1">
      <c r="A5541" s="2" t="s">
        <v>5541</v>
      </c>
      <c r="B5541" s="2" t="str">
        <f>IFERROR(__xludf.DUMMYFUNCTION("GOOGLETRANSLATE(A5541, ""en"", ""mt"")"),"X'jista 'jagħmel Hermaphrodite simultanju?")</f>
        <v>X'jista 'jagħmel Hermaphrodite simultanju?</v>
      </c>
    </row>
    <row r="5542" ht="15.75" customHeight="1">
      <c r="A5542" s="2" t="s">
        <v>5542</v>
      </c>
      <c r="B5542" s="2" t="str">
        <f>IFERROR(__xludf.DUMMYFUNCTION("GOOGLETRANSLATE(A5542, ""en"", ""mt"")"),"Tipprevjeni l-installazzjoni ta 'immaġini pagani fit-tempju f'Ġerusalemm")</f>
        <v>Tipprevjeni l-installazzjoni ta 'immaġini pagani fit-tempju f'Ġerusalemm</v>
      </c>
    </row>
    <row r="5543" ht="15.75" customHeight="1">
      <c r="A5543" s="2" t="s">
        <v>5543</v>
      </c>
      <c r="B5543" s="2" t="str">
        <f>IFERROR(__xludf.DUMMYFUNCTION("GOOGLETRANSLATE(A5543, ""en"", ""mt"")"),"tnaqqis fil-livelli tal-ormoni bl-età")</f>
        <v>tnaqqis fil-livelli tal-ormoni bl-età</v>
      </c>
    </row>
    <row r="5544" ht="15.75" customHeight="1">
      <c r="A5544" s="2" t="s">
        <v>5544</v>
      </c>
      <c r="B5544" s="2" t="str">
        <f>IFERROR(__xludf.DUMMYFUNCTION("GOOGLETRANSLATE(A5544, ""en"", ""mt"")"),"ugwali fil-kobor")</f>
        <v>ugwali fil-kobor</v>
      </c>
    </row>
    <row r="5545" ht="15.75" customHeight="1">
      <c r="A5545" s="2" t="s">
        <v>5545</v>
      </c>
      <c r="B5545" s="2" t="str">
        <f>IFERROR(__xludf.DUMMYFUNCTION("GOOGLETRANSLATE(A5545, ""en"", ""mt"")"),"Min jirregola l-Bank Ċentrali tal-Premju Nobel?")</f>
        <v>Min jirregola l-Bank Ċentrali tal-Premju Nobel?</v>
      </c>
    </row>
    <row r="5546" ht="15.75" customHeight="1">
      <c r="A5546" s="2" t="s">
        <v>5546</v>
      </c>
      <c r="B5546" s="2" t="str">
        <f>IFERROR(__xludf.DUMMYFUNCTION("GOOGLETRANSLATE(A5546, ""en"", ""mt"")"),"nieqes minnu nnifsu")</f>
        <v>nieqes minnu nnifsu</v>
      </c>
    </row>
    <row r="5547" ht="15.75" customHeight="1">
      <c r="A5547" s="2" t="s">
        <v>5547</v>
      </c>
      <c r="B5547" s="2" t="str">
        <f>IFERROR(__xludf.DUMMYFUNCTION("GOOGLETRANSLATE(A5547, ""en"", ""mt"")"),"Netwerk fuq livell nazzjonali")</f>
        <v>Netwerk fuq livell nazzjonali</v>
      </c>
    </row>
    <row r="5548" ht="15.75" customHeight="1">
      <c r="A5548" s="2" t="s">
        <v>5548</v>
      </c>
      <c r="B5548" s="2" t="str">
        <f>IFERROR(__xludf.DUMMYFUNCTION("GOOGLETRANSLATE(A5548, ""en"", ""mt"")"),"Żoni kkontrollati mir-Russja fl-1914")</f>
        <v>Żoni kkontrollati mir-Russja fl-1914</v>
      </c>
    </row>
    <row r="5549" ht="15.75" customHeight="1">
      <c r="A5549" s="2" t="s">
        <v>5549</v>
      </c>
      <c r="B5549" s="2" t="str">
        <f>IFERROR(__xludf.DUMMYFUNCTION("GOOGLETRANSLATE(A5549, ""en"", ""mt"")"),"kapaċità bħala uffiċjal pubbliku")</f>
        <v>kapaċità bħala uffiċjal pubbliku</v>
      </c>
    </row>
    <row r="5550" ht="15.75" customHeight="1">
      <c r="A5550" s="2" t="s">
        <v>5550</v>
      </c>
      <c r="B5550" s="2" t="str">
        <f>IFERROR(__xludf.DUMMYFUNCTION("GOOGLETRANSLATE(A5550, ""en"", ""mt"")"),"Kap Hendrick")</f>
        <v>Kap Hendrick</v>
      </c>
    </row>
    <row r="5551" ht="15.75" customHeight="1">
      <c r="A5551" s="2" t="s">
        <v>5551</v>
      </c>
      <c r="B5551" s="2" t="str">
        <f>IFERROR(__xludf.DUMMYFUNCTION("GOOGLETRANSLATE(A5551, ""en"", ""mt"")"),"It-terminu imperjalizmu ġie applikat għall-pajjiżi tal-Punent, u liema kontea tal-Lvant?")</f>
        <v>It-terminu imperjalizmu ġie applikat għall-pajjiżi tal-Punent, u liema kontea tal-Lvant?</v>
      </c>
    </row>
    <row r="5552" ht="15.75" customHeight="1">
      <c r="A5552" s="2" t="s">
        <v>5552</v>
      </c>
      <c r="B5552" s="2" t="str">
        <f>IFERROR(__xludf.DUMMYFUNCTION("GOOGLETRANSLATE(A5552, ""en"", ""mt"")"),"Liema apparat li biddel Alan ivvinta fl-1974?")</f>
        <v>Liema apparat li biddel Alan ivvinta fl-1974?</v>
      </c>
    </row>
    <row r="5553" ht="15.75" customHeight="1">
      <c r="A5553" s="2" t="s">
        <v>5553</v>
      </c>
      <c r="B5553" s="2" t="str">
        <f>IFERROR(__xludf.DUMMYFUNCTION("GOOGLETRANSLATE(A5553, ""en"", ""mt"")")," X’kienu qed jagħmlu l-pajjiżi Ewropej matul is-1700?")</f>
        <v> X’kienu qed jagħmlu l-pajjiżi Ewropej matul is-1700?</v>
      </c>
    </row>
    <row r="5554" ht="15.75" customHeight="1">
      <c r="A5554" s="2" t="s">
        <v>5554</v>
      </c>
      <c r="B5554" s="2" t="str">
        <f>IFERROR(__xludf.DUMMYFUNCTION("GOOGLETRANSLATE(A5554, ""en"", ""mt"")"),"$ 105 biljun")</f>
        <v>$ 105 biljun</v>
      </c>
    </row>
    <row r="5555" ht="15.75" customHeight="1">
      <c r="A5555" s="2" t="s">
        <v>5555</v>
      </c>
      <c r="B5555" s="2" t="str">
        <f>IFERROR(__xludf.DUMMYFUNCTION("GOOGLETRANSLATE(A5555, ""en"", ""mt"")"),"F'liema aktar tard kienu interessati l-imperaturi tal-wan?")</f>
        <v>F'liema aktar tard kienu interessati l-imperaturi tal-wan?</v>
      </c>
    </row>
    <row r="5556" ht="15.75" customHeight="1">
      <c r="A5556" s="2" t="s">
        <v>5556</v>
      </c>
      <c r="B5556" s="2" t="str">
        <f>IFERROR(__xludf.DUMMYFUNCTION("GOOGLETRANSLATE(A5556, ""en"", ""mt"")"),"L-ewwel liġi ta 'mozzjoni ta' Newton tiddikjara li l-oġġetti jkomplu jimxu fi stat ta 'veloċità kostanti sakemm ma jaġixxux minn forza netta esterna jew forza li tirriżulta. Din il-liġi hija estensjoni tal-għarfien ta 'Galileo li l-veloċità kostanti kiene"&amp;"t assoċjata ma' nuqqas ta 'forza netta (ara deskrizzjoni aktar dettaljata ta' dan hawn taħt). Newton ippropona li kull oġġett bil-massa jkollu inerzja intrinsika li taħdem bħala l-ekwilibriju fundamentali ""stat naturali"" minflok l-idea aristoteljana ta "&amp;"'l- ""istat naturali ta' mistrieħ"". Jiġifieri, l-ewwel liġi tikkontradixxi t-twemmin aristoteljan intuwittiv li forza netta hija meħtieġa biex iżżomm oġġett li jiċċaqlaq b'veloċità kostanti. Billi tagħmel il-mistrieħ fiżikament indistingwibbli minn veloċ"&amp;"ità kostanti mhux żero, l-ewwel liġi ta 'Newton tgħaqqad direttament l-inerzja mal-kunċett ta' veloċitajiet relattivi. Speċifikament, f'sistemi fejn l-oġġetti qed jimxu b'veloċitajiet differenti, huwa impossibbli li jiġi ddeterminat liema oġġett huwa ""mi"&amp;"exi"" u liema oġġett huwa ""mistrieħ"". Fi kliem ieħor, biex il-frażi huma iktar teknikament, il-liġijiet tal-fiżika huma l-istess f'kull qafas ta 'referenza inerzjali, jiġifieri, fil-frejms kollha relatati minn trasformazzjoni Galiljana.")</f>
        <v>L-ewwel liġi ta 'mozzjoni ta' Newton tiddikjara li l-oġġetti jkomplu jimxu fi stat ta 'veloċità kostanti sakemm ma jaġixxux minn forza netta esterna jew forza li tirriżulta. Din il-liġi hija estensjoni tal-għarfien ta 'Galileo li l-veloċità kostanti kienet assoċjata ma' nuqqas ta 'forza netta (ara deskrizzjoni aktar dettaljata ta' dan hawn taħt). Newton ippropona li kull oġġett bil-massa jkollu inerzja intrinsika li taħdem bħala l-ekwilibriju fundamentali "stat naturali" minflok l-idea aristoteljana ta 'l- "istat naturali ta' mistrieħ". Jiġifieri, l-ewwel liġi tikkontradixxi t-twemmin aristoteljan intuwittiv li forza netta hija meħtieġa biex iżżomm oġġett li jiċċaqlaq b'veloċità kostanti. Billi tagħmel il-mistrieħ fiżikament indistingwibbli minn veloċità kostanti mhux żero, l-ewwel liġi ta 'Newton tgħaqqad direttament l-inerzja mal-kunċett ta' veloċitajiet relattivi. Speċifikament, f'sistemi fejn l-oġġetti qed jimxu b'veloċitajiet differenti, huwa impossibbli li jiġi ddeterminat liema oġġett huwa "miexi" u liema oġġett huwa "mistrieħ". Fi kliem ieħor, biex il-frażi huma iktar teknikament, il-liġijiet tal-fiżika huma l-istess f'kull qafas ta 'referenza inerzjali, jiġifieri, fil-frejms kollha relatati minn trasformazzjoni Galiljana.</v>
      </c>
    </row>
    <row r="5557" ht="15.75" customHeight="1">
      <c r="A5557" s="2" t="s">
        <v>5557</v>
      </c>
      <c r="B5557" s="2" t="str">
        <f>IFERROR(__xludf.DUMMYFUNCTION("GOOGLETRANSLATE(A5557, ""en"", ""mt"")"),"F'liema sena maltempata tropikali kkawżat telf ta 'enerġija ta' erbat ijiem lil Jacksonville?")</f>
        <v>F'liema sena maltempata tropikali kkawżat telf ta 'enerġija ta' erbat ijiem lil Jacksonville?</v>
      </c>
    </row>
    <row r="5558" ht="15.75" customHeight="1">
      <c r="A5558" s="2" t="s">
        <v>5558</v>
      </c>
      <c r="B5558" s="2" t="str">
        <f>IFERROR(__xludf.DUMMYFUNCTION("GOOGLETRANSLATE(A5558, ""en"", ""mt"")"),"Paul Samuelson")</f>
        <v>Paul Samuelson</v>
      </c>
    </row>
    <row r="5559" ht="15.75" customHeight="1">
      <c r="A5559" s="2" t="s">
        <v>5559</v>
      </c>
      <c r="B5559" s="2" t="str">
        <f>IFERROR(__xludf.DUMMYFUNCTION("GOOGLETRANSLATE(A5559, ""en"", ""mt"")"),"Meta xi speċi, inklużi Bathyctena chuni, Euplokamis Stations u Eurhamphaea vexilligera, huma mfixkla, huma jipproduċu sekrezzjonijiet (linka) li luminesce bl-istess tulijiet ta 'mewġ bħall-korpi tagħhom. Il-minorenni se jegħleb aktar jgħajjat ​​fir-rigwar"&amp;"d tad-daqs tal-ġisem tagħhom mill-adulti, li l-luminixxenza tagħhom hija mxerrda fuq ġisimhom. Investigazzjoni statistika dettaljata ma ssuġġerietx il-funzjoni tal-bijoluminesċenza ta 'Ctenophores u lanqas ipproduċiet korrelazzjoni bejn il-kulur eżatt tag"&amp;"ħha u kwalunkwe aspett tal-ambjenti tal-annimali, bħal fond jew jekk jgħixux fl-ilmijiet kostali jew f'nofs l-oċean.")</f>
        <v>Meta xi speċi, inklużi Bathyctena chuni, Euplokamis Stations u Eurhamphaea vexilligera, huma mfixkla, huma jipproduċu sekrezzjonijiet (linka) li luminesce bl-istess tulijiet ta 'mewġ bħall-korpi tagħhom. Il-minorenni se jegħleb aktar jgħajjat ​​fir-rigward tad-daqs tal-ġisem tagħhom mill-adulti, li l-luminixxenza tagħhom hija mxerrda fuq ġisimhom. Investigazzjoni statistika dettaljata ma ssuġġerietx il-funzjoni tal-bijoluminesċenza ta 'Ctenophores u lanqas ipproduċiet korrelazzjoni bejn il-kulur eżatt tagħha u kwalunkwe aspett tal-ambjenti tal-annimali, bħal fond jew jekk jgħixux fl-ilmijiet kostali jew f'nofs l-oċean.</v>
      </c>
    </row>
    <row r="5560" ht="15.75" customHeight="1">
      <c r="A5560" s="2" t="s">
        <v>5560</v>
      </c>
      <c r="B5560" s="2" t="str">
        <f>IFERROR(__xludf.DUMMYFUNCTION("GOOGLETRANSLATE(A5560, ""en"", ""mt"")"),"Minn Awwissu 2010, ir-Rabat kellha 1,548 skejjel pubbliċi, 489 skejjel Kattoliċi u 214 skejjel indipendenti. Ftit inqas minn 540,800 student ġew irreġistrati fi skejjel pubbliċi, u ftit iktar minn 311,800 fi skejjel privati. Aktar minn 61 fil-mija tal-ist"&amp;"udenti privati ​​jattendu skejjel Kattoliċi. Aktar minn 462,000 student ġew irreġistrati fl-iskejjel primarji u aktar minn 390,000 fi skejjel sekondarji. Ir-rati ta ’żamma għall-aħħar sentejn ta’ skola sekondarja kienu 77 fil-mija għal studenti tal-iskola"&amp;" pubblika u 90 fil-mija għal studenti tal-iskola privata. Victoria għandha madwar 63,519 għalliema full-time.")</f>
        <v>Minn Awwissu 2010, ir-Rabat kellha 1,548 skejjel pubbliċi, 489 skejjel Kattoliċi u 214 skejjel indipendenti. Ftit inqas minn 540,800 student ġew irreġistrati fi skejjel pubbliċi, u ftit iktar minn 311,800 fi skejjel privati. Aktar minn 61 fil-mija tal-istudenti privati ​​jattendu skejjel Kattoliċi. Aktar minn 462,000 student ġew irreġistrati fl-iskejjel primarji u aktar minn 390,000 fi skejjel sekondarji. Ir-rati ta ’żamma għall-aħħar sentejn ta’ skola sekondarja kienu 77 fil-mija għal studenti tal-iskola pubblika u 90 fil-mija għal studenti tal-iskola privata. Victoria għandha madwar 63,519 għalliema full-time.</v>
      </c>
    </row>
    <row r="5561" ht="15.75" customHeight="1">
      <c r="A5561" s="2" t="s">
        <v>5561</v>
      </c>
      <c r="B5561" s="2" t="str">
        <f>IFERROR(__xludf.DUMMYFUNCTION("GOOGLETRANSLATE(A5561, ""en"", ""mt"")"),"X'inhu kemm jeżisti kemm f'ekwazzjonijiet kwadratiċi kif ukoll f'interi?")</f>
        <v>X'inhu kemm jeżisti kemm f'ekwazzjonijiet kwadratiċi kif ukoll f'interi?</v>
      </c>
    </row>
    <row r="5562" ht="15.75" customHeight="1">
      <c r="A5562" s="2" t="s">
        <v>5562</v>
      </c>
      <c r="B5562" s="2" t="str">
        <f>IFERROR(__xludf.DUMMYFUNCTION("GOOGLETRANSLATE(A5562, ""en"", ""mt"")"),"X'inhu l-isem tal-funzjoni użata għall-akbar numru sħiħ mhux akbar min-numru in kwistjoni?")</f>
        <v>X'inhu l-isem tal-funzjoni użata għall-akbar numru sħiħ mhux akbar min-numru in kwistjoni?</v>
      </c>
    </row>
    <row r="5563" ht="15.75" customHeight="1">
      <c r="A5563" s="2" t="s">
        <v>5563</v>
      </c>
      <c r="B5563" s="2" t="str">
        <f>IFERROR(__xludf.DUMMYFUNCTION("GOOGLETRANSLATE(A5563, ""en"", ""mt"")"),"Rakkmu")</f>
        <v>Rakkmu</v>
      </c>
    </row>
    <row r="5564" ht="15.75" customHeight="1">
      <c r="A5564" s="2" t="s">
        <v>5564</v>
      </c>
      <c r="B5564" s="2" t="str">
        <f>IFERROR(__xludf.DUMMYFUNCTION("GOOGLETRANSLATE(A5564, ""en"", ""mt"")"),"L-IPCC jikkonċentra l-attivitajiet tiegħu fuq il-kompiti allokati għalih mill-Kunsill Eżekuttiv tal-WMO rilevanti u l-UNEP li jirregola r-riżoluzzjonijiet u d-deċiżjonijiet tal-Kunsill kif ukoll fuq azzjonijiet b'appoġġ għall-proċess UNFCCC. Filwaqt li l-"&amp;"preparazzjoni tar-rapporti ta 'valutazzjoni hija funzjoni ewlenija tal-IPCC, hija tappoġġa wkoll attivitajiet oħra, bħaċ-Ċentru tad-Distribuzzjoni tad-Dejta u l-Programm Nazzjonali tal-Inventar tal-Gass serra, meħtieġa taħt l-UNFCCC. Dan jinvolvi l-pubbli"&amp;"kazzjoni ta 'fatturi ta' emissjoni ta 'inadempjenza, li huma fatturi użati biex jiġu derivati ​​stimi ta' emissjonijiet ibbażati fuq il-livelli ta 'konsum ta' fjuwil, produzzjoni industrijali u l-bqija.")</f>
        <v>L-IPCC jikkonċentra l-attivitajiet tiegħu fuq il-kompiti allokati għalih mill-Kunsill Eżekuttiv tal-WMO rilevanti u l-UNEP li jirregola r-riżoluzzjonijiet u d-deċiżjonijiet tal-Kunsill kif ukoll fuq azzjonijiet b'appoġġ għall-proċess UNFCCC. Filwaqt li l-preparazzjoni tar-rapporti ta 'valutazzjoni hija funzjoni ewlenija tal-IPCC, hija tappoġġa wkoll attivitajiet oħra, bħaċ-Ċentru tad-Distribuzzjoni tad-Dejta u l-Programm Nazzjonali tal-Inventar tal-Gass serra, meħtieġa taħt l-UNFCCC. Dan jinvolvi l-pubblikazzjoni ta 'fatturi ta' emissjoni ta 'inadempjenza, li huma fatturi użati biex jiġu derivati ​​stimi ta' emissjonijiet ibbażati fuq il-livelli ta 'konsum ta' fjuwil, produzzjoni industrijali u l-bqija.</v>
      </c>
    </row>
    <row r="5565" ht="15.75" customHeight="1">
      <c r="A5565" s="2" t="s">
        <v>5565</v>
      </c>
      <c r="B5565" s="2" t="str">
        <f>IFERROR(__xludf.DUMMYFUNCTION("GOOGLETRANSLATE(A5565, ""en"", ""mt"")"),"CD40")</f>
        <v>CD40</v>
      </c>
    </row>
    <row r="5566" ht="15.75" customHeight="1">
      <c r="A5566" s="2" t="s">
        <v>5566</v>
      </c>
      <c r="B5566" s="2" t="str">
        <f>IFERROR(__xludf.DUMMYFUNCTION("GOOGLETRANSLATE(A5566, ""en"", ""mt"")"),"ir-rip")</f>
        <v>ir-rip</v>
      </c>
    </row>
    <row r="5567" ht="15.75" customHeight="1">
      <c r="A5567" s="2" t="s">
        <v>5567</v>
      </c>
      <c r="B5567" s="2" t="str">
        <f>IFERROR(__xludf.DUMMYFUNCTION("GOOGLETRANSLATE(A5567, ""en"", ""mt"")"),"Kif jistgħu l-graffs jiġu kodifikati indirettament?")</f>
        <v>Kif jistgħu l-graffs jiġu kodifikati indirettament?</v>
      </c>
    </row>
    <row r="5568" ht="15.75" customHeight="1">
      <c r="A5568" s="2" t="s">
        <v>5568</v>
      </c>
      <c r="B5568" s="2" t="str">
        <f>IFERROR(__xludf.DUMMYFUNCTION("GOOGLETRANSLATE(A5568, ""en"", ""mt"")"),"X’naqsmu fl-għadd bejn l-1984 u l-1991?")</f>
        <v>X’naqsmu fl-għadd bejn l-1984 u l-1991?</v>
      </c>
    </row>
    <row r="5569" ht="15.75" customHeight="1">
      <c r="A5569" s="2" t="s">
        <v>5569</v>
      </c>
      <c r="B5569" s="2" t="str">
        <f>IFERROR(__xludf.DUMMYFUNCTION("GOOGLETRANSLATE(A5569, ""en"", ""mt"")"),"Liema organizzazzjonijiet tan-NU stabbilixxew l-IPCC?")</f>
        <v>Liema organizzazzjonijiet tan-NU stabbilixxew l-IPCC?</v>
      </c>
    </row>
    <row r="5570" ht="15.75" customHeight="1">
      <c r="A5570" s="2" t="s">
        <v>5570</v>
      </c>
      <c r="B5570" s="2" t="str">
        <f>IFERROR(__xludf.DUMMYFUNCTION("GOOGLETRANSLATE(A5570, ""en"", ""mt"")"),"Meta l-Kunsill Ewropew kompitu entità bl-abbozzar ta 'Karta Ewropea tad-Drittijiet tal-Bniedem?")</f>
        <v>Meta l-Kunsill Ewropew kompitu entità bl-abbozzar ta 'Karta Ewropea tad-Drittijiet tal-Bniedem?</v>
      </c>
    </row>
    <row r="5571" ht="15.75" customHeight="1">
      <c r="A5571" s="2" t="s">
        <v>5571</v>
      </c>
      <c r="B5571" s="2" t="str">
        <f>IFERROR(__xludf.DUMMYFUNCTION("GOOGLETRANSLATE(A5571, ""en"", ""mt"")"),"Għalkemm huwa ġeneralment aċċettat li l-liġi tal-UE għandha l-preminenza, mhux il-liġijiet kollha tal-UE jagħtu liċ-ċittadini biex iġibu talbiet: jiġifieri, mhux il-liġijiet kollha tal-UE għandhom ""effett dirett"". Fil-Van Gend en Loos vs Nederlandse Amm"&amp;"inistratie der Belastingen Ġie kkonstatat li d-dispożizzjonijiet tat-trattati (u r-regolamenti tal-UE) huma direttament effettivi, jekk huma (1) ċari u mhux ambigwi (2) inkondizzjonati, u (3) ma kellhomx bżonn l-UE jew awtoritajiet nazzjonali biex jieħdu "&amp;"aktar azzjoni biex jimplimentawhom. Van Gend En Loos, kumpanija postali, sostniet li dak li issa huwa l-Artikolu 30 TFEU evitat lill-awtoritajiet tad-dwana Olandiżi jiċċarġjaw tariffi, meta importaw il-plastik tal-urea-formaldehyde mill-Ġermanja għall-Ola"&amp;"nda. Wara li qorti Olandiża għamlet referenza, il-Qorti tal-Ġustizzja ddeċidiet li minkejja li t-trattati ma ""espressament"" jagħtu dritt liċ-ċittadini jew kumpaniji biex iġibu talbiet, huma jistgħu jagħmlu dan. Storikament, it-trattati internazzjonali k"&amp;"ienu ppermettew biss lill-istati biex ikollhom talbiet legali għall-infurzar tagħhom, iżda l-Qorti tal-Ġustizzja pproklamat ""il-komunità tikkostitwixxi ordni legali ġdida tal-liġi internazzjonali"". Minħabba li l-Artikolu 30 b'mod ċar, mingħajr kundizzjo"&amp;"ni u immedjatament iddikjara li l-ebda restrizzjoni kwantitattiva ma tista 'titpoġġa fuq il-kummerċ, mingħajr ġustifikazzjoni tajba, van gend en loos jista' jirkupra l-flus li ħallas għat-tariffa. Ir-regolamenti tal-UE huma l-istess bħad-dispożizzjonijiet"&amp;" tat-trattati f'dan is-sens, għaliex kif l-Artikolu 288 TFEU jiddikjara, huma ""applikabbli direttament fl-Istati Membri kollha"". Barra minn hekk, l-Istati Membri jaqgħu taħt id-dmir li ma jirreplikawx ir-regolamenti fil-liġi tagħhom stess, sabiex jevita"&amp;"w konfużjoni. Pereżempju, fil-Kummissjoni v l-Italja l-Qorti tal-Ġustizzja ddeċidiet li l-Italja kisret dmir taħt it-trattati, kemm billi naqset milli topera skema biex tħallas il-bdiewa primjum biex toqtol il-baqar (biex tnaqqas il-produzzjoni żejda tal-"&amp;"ħalib), u billi tirriproduċi r-regoli fi Digriet b'diversi żidiet. ""Regolamenti,"" żammew il-Qorti tal-Ġustizzja, ""jidħlu fis-seħħ biss bis-saħħa tal-pubblikazzjoni tagħhom"" u l-implimentazzjoni jista 'jkollha l-effett li ""tipperikola l-applikazzjoni "&amp;"simultanja u uniformi tagħhom fl-Unjoni kollha."" Min-naħa l-oħra, xi regolamenti jistgħu huma stess jeħtieġu espressament miżuri ta 'implimentazzjoni, f'liema każ għandhom jiġu segwiti dawk ir-regoli speċifiċi.")</f>
        <v>Għalkemm huwa ġeneralment aċċettat li l-liġi tal-UE għandha l-preminenza, mhux il-liġijiet kollha tal-UE jagħtu liċ-ċittadini biex iġibu talbiet: jiġifieri, mhux il-liġijiet kollha tal-UE għandhom "effett dirett". Fil-Van Gend en Loos vs Nederlandse Amministratie der Belastingen Ġie kkonstatat li d-dispożizzjonijiet tat-trattati (u r-regolamenti tal-UE) huma direttament effettivi, jekk huma (1) ċari u mhux ambigwi (2) inkondizzjonati, u (3) ma kellhomx bżonn l-UE jew awtoritajiet nazzjonali biex jieħdu aktar azzjoni biex jimplimentawhom. Van Gend En Loos, kumpanija postali, sostniet li dak li issa huwa l-Artikolu 30 TFEU evitat lill-awtoritajiet tad-dwana Olandiżi jiċċarġjaw tariffi, meta importaw il-plastik tal-urea-formaldehyde mill-Ġermanja għall-Olanda. Wara li qorti Olandiża għamlet referenza, il-Qorti tal-Ġustizzja ddeċidiet li minkejja li t-trattati ma "espressament" jagħtu dritt liċ-ċittadini jew kumpaniji biex iġibu talbiet, huma jistgħu jagħmlu dan. Storikament, it-trattati internazzjonali kienu ppermettew biss lill-istati biex ikollhom talbiet legali għall-infurzar tagħhom, iżda l-Qorti tal-Ġustizzja pproklamat "il-komunità tikkostitwixxi ordni legali ġdida tal-liġi internazzjonali". Minħabba li l-Artikolu 30 b'mod ċar, mingħajr kundizzjoni u immedjatament iddikjara li l-ebda restrizzjoni kwantitattiva ma tista 'titpoġġa fuq il-kummerċ, mingħajr ġustifikazzjoni tajba, van gend en loos jista' jirkupra l-flus li ħallas għat-tariffa. Ir-regolamenti tal-UE huma l-istess bħad-dispożizzjonijiet tat-trattati f'dan is-sens, għaliex kif l-Artikolu 288 TFEU jiddikjara, huma "applikabbli direttament fl-Istati Membri kollha". Barra minn hekk, l-Istati Membri jaqgħu taħt id-dmir li ma jirreplikawx ir-regolamenti fil-liġi tagħhom stess, sabiex jevitaw konfużjoni. Pereżempju, fil-Kummissjoni v l-Italja l-Qorti tal-Ġustizzja ddeċidiet li l-Italja kisret dmir taħt it-trattati, kemm billi naqset milli topera skema biex tħallas il-bdiewa primjum biex toqtol il-baqar (biex tnaqqas il-produzzjoni żejda tal-ħalib), u billi tirriproduċi r-regoli fi Digriet b'diversi żidiet. "Regolamenti," żammew il-Qorti tal-Ġustizzja, "jidħlu fis-seħħ biss bis-saħħa tal-pubblikazzjoni tagħhom" u l-implimentazzjoni jista 'jkollha l-effett li "tipperikola l-applikazzjoni simultanja u uniformi tagħhom fl-Unjoni kollha." Min-naħa l-oħra, xi regolamenti jistgħu huma stess jeħtieġu espressament miżuri ta 'implimentazzjoni, f'liema każ għandhom jiġu segwiti dawk ir-regoli speċifiċi.</v>
      </c>
    </row>
    <row r="5572" ht="15.75" customHeight="1">
      <c r="A5572" s="2" t="s">
        <v>5572</v>
      </c>
      <c r="B5572" s="2" t="str">
        <f>IFERROR(__xludf.DUMMYFUNCTION("GOOGLETRANSLATE(A5572, ""en"", ""mt"")"),"Min irrifjuta li japprova l-IPCC?")</f>
        <v>Min irrifjuta li japprova l-IPCC?</v>
      </c>
    </row>
    <row r="5573" ht="15.75" customHeight="1">
      <c r="A5573" s="2" t="s">
        <v>5573</v>
      </c>
      <c r="B5573" s="2" t="str">
        <f>IFERROR(__xludf.DUMMYFUNCTION("GOOGLETRANSLATE(A5573, ""en"", ""mt"")"),"Kuviasungnerk / Kangeiko")</f>
        <v>Kuviasungnerk / Kangeiko</v>
      </c>
    </row>
    <row r="5574" ht="15.75" customHeight="1">
      <c r="A5574" s="2" t="s">
        <v>5574</v>
      </c>
      <c r="B5574" s="2" t="str">
        <f>IFERROR(__xludf.DUMMYFUNCTION("GOOGLETRANSLATE(A5574, ""en"", ""mt"")"),"Saint-Pierre kif wieġeb għal Washington?")</f>
        <v>Saint-Pierre kif wieġeb għal Washington?</v>
      </c>
    </row>
    <row r="5575" ht="15.75" customHeight="1">
      <c r="A5575" s="2" t="s">
        <v>5575</v>
      </c>
      <c r="B5575" s="2" t="str">
        <f>IFERROR(__xludf.DUMMYFUNCTION("GOOGLETRANSLATE(A5575, ""en"", ""mt"")"),"Fl-2001, 16-il Akkademja Nazzjonali tax-Xjenza ħarġu dikjarazzjoni konġunta dwar it-tibdil fil-klima. Id-dikjarazzjoni konġunta saret mill-Akkademja tax-Xjenza Awstraljana, l-Akkademja Irjali tal-Belġju għax-Xjenza u l-Arti, l-Akkademja tax-Xjenzi Brażilj"&amp;"ana, ir-Royal Society of Canada, l-Akkademja tax-Xjenzi tal-Karibew, l-Akkademja Ċiniża tax-Xjenzi, il-Franċiżi, il-Franċiżi Akkademja tax-Xjenzi, L-Akkademja Ġermaniża tax-Xjentisti Naturali Leopoldina, l-Akkademja Nazzjonali tax-Xjenza Indjana, l-Akkade"&amp;"mja tax-Xjenzi Indoneżjani, l-Akkademja Irlandiża Rjali, Akkademja Nazionale Dei Lincei (l-Italja), l-Akkademja tax-Xjenzi tal-Malasja, l-Akkademja tal-Kunsill tas-Soċjetà Rjali ta ’New Zealand, l-Akkademja tax-Xjenzi Irjali Żvediża, u r-Royal Society (ir"&amp;"-Renju Unit). L-istqarrija, ippubblikata wkoll bħala editorjal fil-ġurnal Science, iddikjarat ""Aħna nappoġġjaw il-konklużjoni [TAR] li hija tal-anqas 90% ċerta li t-temperaturi se jkomplu jiżdiedu, bil-medja tat-temperatura globali tal-wiċċ prevista li t"&amp;"iżdied b'2.4 u 5.8 ° C 'il fuq mil-livelli tal-1990 b'2100 "". Il-qatran ġie wkoll approvat mill-Fondazzjoni Kanadiża għax-Xjenzi dwar il-Klima u l-Atmosferiċi, is-Soċjetà Meteoroloġika u Oċeanografika Kanadiża, u l-Unjoni Ewropea tal-Geosciences (irrefer"&amp;"i għal ""approvazzjonijiet ta 'l-IPCC"").")</f>
        <v>Fl-2001, 16-il Akkademja Nazzjonali tax-Xjenza ħarġu dikjarazzjoni konġunta dwar it-tibdil fil-klima. Id-dikjarazzjoni konġunta saret mill-Akkademja tax-Xjenza Awstraljana, l-Akkademja Irjali tal-Belġju għax-Xjenza u l-Arti, l-Akkademja tax-Xjenzi Brażiljana, ir-Royal Society of Canada, l-Akkademja tax-Xjenzi tal-Karibew, l-Akkademja Ċiniża tax-Xjenzi, il-Franċiżi, il-Franċiżi Akkademja tax-Xjenzi, L-Akkademja Ġermaniża tax-Xjentisti Naturali Leopoldina, l-Akkademja Nazzjonali tax-Xjenza Indjana, l-Akkademja tax-Xjenzi Indoneżjani, l-Akkademja Irlandiża Rjali, Akkademja Nazionale Dei Lincei (l-Italja), l-Akkademja tax-Xjenzi tal-Malasja, l-Akkademja tal-Kunsill tas-Soċjetà Rjali ta ’New Zealand, l-Akkademja tax-Xjenzi Irjali Żvediża, u r-Royal Society (ir-Renju Unit). L-istqarrija, ippubblikata wkoll bħala editorjal fil-ġurnal Science, iddikjarat "Aħna nappoġġjaw il-konklużjoni [TAR] li hija tal-anqas 90% ċerta li t-temperaturi se jkomplu jiżdiedu, bil-medja tat-temperatura globali tal-wiċċ prevista li tiżdied b'2.4 u 5.8 ° C 'il fuq mil-livelli tal-1990 b'2100 ". Il-qatran ġie wkoll approvat mill-Fondazzjoni Kanadiża għax-Xjenzi dwar il-Klima u l-Atmosferiċi, is-Soċjetà Meteoroloġika u Oċeanografika Kanadiża, u l-Unjoni Ewropea tal-Geosciences (irreferi għal "approvazzjonijiet ta 'l-IPCC").</v>
      </c>
    </row>
    <row r="5576" ht="15.75" customHeight="1">
      <c r="A5576" s="2" t="s">
        <v>5576</v>
      </c>
      <c r="B5576" s="2" t="str">
        <f>IFERROR(__xludf.DUMMYFUNCTION("GOOGLETRANSLATE(A5576, ""en"", ""mt"")"),"frizzjoni statika")</f>
        <v>frizzjoni statika</v>
      </c>
    </row>
    <row r="5577" ht="15.75" customHeight="1">
      <c r="A5577" s="2" t="s">
        <v>5577</v>
      </c>
      <c r="B5577" s="2" t="str">
        <f>IFERROR(__xludf.DUMMYFUNCTION("GOOGLETRANSLATE(A5577, ""en"", ""mt"")"),"Min tilef il-flus?")</f>
        <v>Min tilef il-flus?</v>
      </c>
    </row>
    <row r="5578" ht="15.75" customHeight="1">
      <c r="A5578" s="2" t="s">
        <v>5578</v>
      </c>
      <c r="B5578" s="2" t="str">
        <f>IFERROR(__xludf.DUMMYFUNCTION("GOOGLETRANSLATE(A5578, ""en"", ""mt"")"),"Spettur tal-Bini Muniċipali")</f>
        <v>Spettur tal-Bini Muniċipali</v>
      </c>
    </row>
    <row r="5579" ht="15.75" customHeight="1">
      <c r="A5579" s="2" t="s">
        <v>5579</v>
      </c>
      <c r="B5579" s="2" t="str">
        <f>IFERROR(__xludf.DUMMYFUNCTION("GOOGLETRANSLATE(A5579, ""en"", ""mt"")"),"Kemm damet is-Sinjura Kucukdeveci għall-Swedex GmbH &amp; Co KG qabel ma ġiet miċħuda?")</f>
        <v>Kemm damet is-Sinjura Kucukdeveci għall-Swedex GmbH &amp; Co KG qabel ma ġiet miċħuda?</v>
      </c>
    </row>
    <row r="5580" ht="15.75" customHeight="1">
      <c r="A5580" s="2" t="s">
        <v>5580</v>
      </c>
      <c r="B5580" s="2" t="str">
        <f>IFERROR(__xludf.DUMMYFUNCTION("GOOGLETRANSLATE(A5580, ""en"", ""mt"")"),"Liema magna ma tiddefinixxix BQP jew QMA?")</f>
        <v>Liema magna ma tiddefinixxix BQP jew QMA?</v>
      </c>
    </row>
    <row r="5581" ht="15.75" customHeight="1">
      <c r="A5581" s="2" t="s">
        <v>5581</v>
      </c>
      <c r="B5581" s="2" t="str">
        <f>IFERROR(__xludf.DUMMYFUNCTION("GOOGLETRANSLATE(A5581, ""en"", ""mt"")"),"X'inhu possibbli li tittrasferixxi minn persuna għal oħra artifiċjalment?")</f>
        <v>X'inhu possibbli li tittrasferixxi minn persuna għal oħra artifiċjalment?</v>
      </c>
    </row>
    <row r="5582" ht="15.75" customHeight="1">
      <c r="A5582" s="2" t="s">
        <v>5582</v>
      </c>
      <c r="B5582" s="2" t="str">
        <f>IFERROR(__xludf.DUMMYFUNCTION("GOOGLETRANSLATE(A5582, ""en"", ""mt"")"),"10")</f>
        <v>10</v>
      </c>
    </row>
    <row r="5583" ht="15.75" customHeight="1">
      <c r="A5583" s="2" t="s">
        <v>5583</v>
      </c>
      <c r="B5583" s="2" t="str">
        <f>IFERROR(__xludf.DUMMYFUNCTION("GOOGLETRANSLATE(A5583, ""en"", ""mt"")"),"projbizzjonijiet")</f>
        <v>projbizzjonijiet</v>
      </c>
    </row>
    <row r="5584" ht="15.75" customHeight="1">
      <c r="A5584" s="2" t="s">
        <v>5584</v>
      </c>
      <c r="B5584" s="2" t="str">
        <f>IFERROR(__xludf.DUMMYFUNCTION("GOOGLETRANSLATE(A5584, ""en"", ""mt"")"),"Meta bdiet terġa 'tinbena l-Palazz ta' Varsavja?")</f>
        <v>Meta bdiet terġa 'tinbena l-Palazz ta' Varsavja?</v>
      </c>
    </row>
    <row r="5585" ht="15.75" customHeight="1">
      <c r="A5585" s="2" t="s">
        <v>5585</v>
      </c>
      <c r="B5585" s="2" t="str">
        <f>IFERROR(__xludf.DUMMYFUNCTION("GOOGLETRANSLATE(A5585, ""en"", ""mt"")"),"Netwerk Internazzjonali tal-Komunikazzjonijiet tad-Dejta bil-kwartjieri ġenerali f'San Jose, CA")</f>
        <v>Netwerk Internazzjonali tal-Komunikazzjonijiet tad-Dejta bil-kwartjieri ġenerali f'San Jose, CA</v>
      </c>
    </row>
    <row r="5586" ht="15.75" customHeight="1">
      <c r="A5586" s="2" t="s">
        <v>5586</v>
      </c>
      <c r="B5586" s="2" t="str">
        <f>IFERROR(__xludf.DUMMYFUNCTION("GOOGLETRANSLATE(A5586, ""en"", ""mt"")"),"Għalhekk, 6 mhix primarja. L-immaġni fuq il-lemin turi li 12 mhuwiex prim: 12 = 3 · 4. L-ebda numru uniformi akbar minn 2 huwa prim għaliex bid-definizzjoni, kwalunkwe numru n-Numru N għandu mill-inqas tliet diviżuri distinti, jiġifieri 1, 2, u n. Dan jim"&amp;"plika li n mhix primarja. Għaldaqstant, it-terminu fard prim jirreferi għal kwalunkwe numru ewlieni akbar minn 2. Bl-istess mod, meta miktub fis-sistema deċimali tas-soltu, in-numri ewlenin kollha akbar minn 5 jispiċċaw f'1, 3, 7, jew 9, peress li n-numri"&amp;" uniformi huma multipli ta '2 u In-numri li jispiċċaw f'0 jew 5 huma multipli ta '5.")</f>
        <v>Għalhekk, 6 mhix primarja. L-immaġni fuq il-lemin turi li 12 mhuwiex prim: 12 = 3 · 4. L-ebda numru uniformi akbar minn 2 huwa prim għaliex bid-definizzjoni, kwalunkwe numru n-Numru N għandu mill-inqas tliet diviżuri distinti, jiġifieri 1, 2, u n. Dan jimplika li n mhix primarja. Għaldaqstant, it-terminu fard prim jirreferi għal kwalunkwe numru ewlieni akbar minn 2. Bl-istess mod, meta miktub fis-sistema deċimali tas-soltu, in-numri ewlenin kollha akbar minn 5 jispiċċaw f'1, 3, 7, jew 9, peress li n-numri uniformi huma multipli ta '2 u In-numri li jispiċċaw f'0 jew 5 huma multipli ta '5.</v>
      </c>
    </row>
    <row r="5587" ht="15.75" customHeight="1">
      <c r="A5587" s="2" t="s">
        <v>5587</v>
      </c>
      <c r="B5587" s="2" t="str">
        <f>IFERROR(__xludf.DUMMYFUNCTION("GOOGLETRANSLATE(A5587, ""en"", ""mt"")"),"Partijiet oħra")</f>
        <v>Partijiet oħra</v>
      </c>
    </row>
    <row r="5588" ht="15.75" customHeight="1">
      <c r="A5588" s="2" t="s">
        <v>5588</v>
      </c>
      <c r="B5588" s="2" t="str">
        <f>IFERROR(__xludf.DUMMYFUNCTION("GOOGLETRANSLATE(A5588, ""en"", ""mt"")"),"Meta l-Gran Brittanja tbiegħ l-Awstralja?")</f>
        <v>Meta l-Gran Brittanja tbiegħ l-Awstralja?</v>
      </c>
    </row>
    <row r="5589" ht="15.75" customHeight="1">
      <c r="A5589" s="2" t="s">
        <v>5589</v>
      </c>
      <c r="B5589" s="2" t="str">
        <f>IFERROR(__xludf.DUMMYFUNCTION("GOOGLETRANSLATE(A5589, ""en"", ""mt"")"),"X'ħeġġeġ il-Karta tal-Ħamas mingħajr kompromess?")</f>
        <v>X'ħeġġeġ il-Karta tal-Ħamas mingħajr kompromess?</v>
      </c>
    </row>
    <row r="5590" ht="15.75" customHeight="1">
      <c r="A5590" s="2" t="s">
        <v>5590</v>
      </c>
      <c r="B5590" s="2" t="str">
        <f>IFERROR(__xludf.DUMMYFUNCTION("GOOGLETRANSLATE(A5590, ""en"", ""mt"")"),"baqgħu ħajjin ħafna gwerer, kunflitti u invażjonijiet")</f>
        <v>baqgħu ħajjin ħafna gwerer, kunflitti u invażjonijiet</v>
      </c>
    </row>
    <row r="5591" ht="15.75" customHeight="1">
      <c r="A5591" s="2" t="s">
        <v>5591</v>
      </c>
      <c r="B5591" s="2" t="str">
        <f>IFERROR(__xludf.DUMMYFUNCTION("GOOGLETRANSLATE(A5591, ""en"", ""mt"")"),"X'inhuma xi eżempji ta 'kunsiderazzjonijiet legali għal żieda?")</f>
        <v>X'inhuma xi eżempji ta 'kunsiderazzjonijiet legali għal żieda?</v>
      </c>
    </row>
    <row r="5592" ht="15.75" customHeight="1">
      <c r="A5592" s="2" t="s">
        <v>5592</v>
      </c>
      <c r="B5592" s="2" t="str">
        <f>IFERROR(__xludf.DUMMYFUNCTION("GOOGLETRANSLATE(A5592, ""en"", ""mt"")"),"Età indurata")</f>
        <v>Età indurata</v>
      </c>
    </row>
    <row r="5593" ht="15.75" customHeight="1">
      <c r="A5593" s="2" t="s">
        <v>5593</v>
      </c>
      <c r="B5593" s="2" t="str">
        <f>IFERROR(__xludf.DUMMYFUNCTION("GOOGLETRANSLATE(A5593, ""en"", ""mt"")"),"Mill-129 MSPs, 73 huma eletti biex jirrappreżentaw l-ewwel kostitwenzi tal-passat u huma magħrufa bħala ""kostitwenza MSPs"". Il-votanti jagħżlu membru wieħed biex jirrappreżenta l-kostitwenza, u l-membru bil-biċċa l-kbira tal-voti jintbagħat bħala MSP ta"&amp;"l-kostitwenza. It-73 kostitwenzi tal-Parlament Skoċċiżi qasmu l-istess konfini bħall-kostitwenzi tal-Parlament tar-Renju Unit fl-Iskozja, qabel it-tnaqqis tal-2005 fl-għadd ta 'membri parlamentari Skoċċiżi, bl-eċċezzjoni ta' Orkney u Shetland li kull wieħ"&amp;"ed jirritorna l-MSP tal-kostitwenza tagħhom stess. Bħalissa, il-kostitwenza medja tal-Parlament Skoċċiża tinkludi 55,000 elettur. Minħabba d-distribuzzjoni ġeografika tal-popolazzjoni fl-Iskozja, dan jirriżulta f'kostitwenzi ta 'żona iżgħar fl-artijiet ba"&amp;"xxi ċentrali, fejn tgħix il-biċċa l-kbira tal-popolazzjoni tal-Iskozja, u żoni ta' kostitwenza ferm akbar fit-tramuntana u fil-punent tal-pajjiż, li għandhom densità baxxa tal-popolazzjoni - L-arċipelagos tal-gżira ta 'Orkney, Shetland u l-Gżejjer tal-Pun"&amp;"ent jinkludu numru ferm iżgħar ta' eletturi, minħabba l-popolazzjoni mxerrda tagħhom u d-distanza mill-Parlament Skoċċiż f'Edinburgu. Jekk MSP ta 'kostitwenza jirriżenja mill-Parlament, dan iqajjem elezzjoni każwali fil-kostitwenza tiegħu jew tagħha, fejn"&amp;" MSP ta' sostituzzjoni jintbagħat lura minn waħda mill-partijiet mis-sistema tal-pluralità.")</f>
        <v>Mill-129 MSPs, 73 huma eletti biex jirrappreżentaw l-ewwel kostitwenzi tal-passat u huma magħrufa bħala "kostitwenza MSPs". Il-votanti jagħżlu membru wieħed biex jirrappreżenta l-kostitwenza, u l-membru bil-biċċa l-kbira tal-voti jintbagħat bħala MSP tal-kostitwenza. It-73 kostitwenzi tal-Parlament Skoċċiżi qasmu l-istess konfini bħall-kostitwenzi tal-Parlament tar-Renju Unit fl-Iskozja, qabel it-tnaqqis tal-2005 fl-għadd ta 'membri parlamentari Skoċċiżi, bl-eċċezzjoni ta' Orkney u Shetland li kull wieħed jirritorna l-MSP tal-kostitwenza tagħhom stess. Bħalissa, il-kostitwenza medja tal-Parlament Skoċċiża tinkludi 55,000 elettur. Minħabba d-distribuzzjoni ġeografika tal-popolazzjoni fl-Iskozja, dan jirriżulta f'kostitwenzi ta 'żona iżgħar fl-artijiet baxxi ċentrali, fejn tgħix il-biċċa l-kbira tal-popolazzjoni tal-Iskozja, u żoni ta' kostitwenza ferm akbar fit-tramuntana u fil-punent tal-pajjiż, li għandhom densità baxxa tal-popolazzjoni - L-arċipelagos tal-gżira ta 'Orkney, Shetland u l-Gżejjer tal-Punent jinkludu numru ferm iżgħar ta' eletturi, minħabba l-popolazzjoni mxerrda tagħhom u d-distanza mill-Parlament Skoċċiż f'Edinburgu. Jekk MSP ta 'kostitwenza jirriżenja mill-Parlament, dan iqajjem elezzjoni każwali fil-kostitwenza tiegħu jew tagħha, fejn MSP ta' sostituzzjoni jintbagħat lura minn waħda mill-partijiet mis-sistema tal-pluralità.</v>
      </c>
    </row>
    <row r="5594" ht="15.75" customHeight="1">
      <c r="A5594" s="2" t="s">
        <v>5594</v>
      </c>
      <c r="B5594" s="2" t="str">
        <f>IFERROR(__xludf.DUMMYFUNCTION("GOOGLETRANSLATE(A5594, ""en"", ""mt"")"),"William Smilie")</f>
        <v>William Smilie</v>
      </c>
    </row>
    <row r="5595" ht="15.75" customHeight="1">
      <c r="A5595" s="2" t="s">
        <v>5595</v>
      </c>
      <c r="B5595" s="2" t="str">
        <f>IFERROR(__xludf.DUMMYFUNCTION("GOOGLETRANSLATE(A5595, ""en"", ""mt"")"),"Il-Parlament Skoċċiż")</f>
        <v>Il-Parlament Skoċċiż</v>
      </c>
    </row>
    <row r="5596" ht="15.75" customHeight="1">
      <c r="A5596" s="2" t="s">
        <v>5596</v>
      </c>
      <c r="B5596" s="2" t="str">
        <f>IFERROR(__xludf.DUMMYFUNCTION("GOOGLETRANSLATE(A5596, ""en"", ""mt"")"),"interface standardizzata")</f>
        <v>interface standardizzata</v>
      </c>
    </row>
    <row r="5597" ht="15.75" customHeight="1">
      <c r="A5597" s="2" t="s">
        <v>5597</v>
      </c>
      <c r="B5597" s="2" t="str">
        <f>IFERROR(__xludf.DUMMYFUNCTION("GOOGLETRANSLATE(A5597, ""en"", ""mt"")"),"F'liema sena Boleslaw sar il-kapitali uffiċjali tad-Dukat Masovjan?")</f>
        <v>F'liema sena Boleslaw sar il-kapitali uffiċjali tad-Dukat Masovjan?</v>
      </c>
    </row>
    <row r="5598" ht="15.75" customHeight="1">
      <c r="A5598" s="2" t="s">
        <v>5598</v>
      </c>
      <c r="B5598" s="2" t="str">
        <f>IFERROR(__xludf.DUMMYFUNCTION("GOOGLETRANSLATE(A5598, ""en"", ""mt"")"),"Min hu Miasta għandu s-setgħa ta 'azzjoni leġiżlattiva?")</f>
        <v>Min hu Miasta għandu s-setgħa ta 'azzjoni leġiżlattiva?</v>
      </c>
    </row>
    <row r="5599" ht="15.75" customHeight="1">
      <c r="A5599" s="2" t="s">
        <v>5599</v>
      </c>
      <c r="B5599" s="2" t="str">
        <f>IFERROR(__xludf.DUMMYFUNCTION("GOOGLETRANSLATE(A5599, ""en"", ""mt"")"),"Kemm ikunu akbar popolazzjonijiet ta 'cicada jekk it-tifqigħ tal-predaturi jkun ġara f'intervalli ta' 14 u 15-il sena?")</f>
        <v>Kemm ikunu akbar popolazzjonijiet ta 'cicada jekk it-tifqigħ tal-predaturi jkun ġara f'intervalli ta' 14 u 15-il sena?</v>
      </c>
    </row>
    <row r="5600" ht="15.75" customHeight="1">
      <c r="A5600" s="2" t="s">
        <v>5600</v>
      </c>
      <c r="B5600" s="2" t="str">
        <f>IFERROR(__xludf.DUMMYFUNCTION("GOOGLETRANSLATE(A5600, ""en"", ""mt"")"),"Kemm żdied il-prodott agrikolu gross mill-2004?")</f>
        <v>Kemm żdied il-prodott agrikolu gross mill-2004?</v>
      </c>
    </row>
    <row r="5601" ht="15.75" customHeight="1">
      <c r="A5601" s="2" t="s">
        <v>5601</v>
      </c>
      <c r="B5601" s="2" t="str">
        <f>IFERROR(__xludf.DUMMYFUNCTION("GOOGLETRANSLATE(A5601, ""en"", ""mt"")"),"62,528")</f>
        <v>62,528</v>
      </c>
    </row>
    <row r="5602" ht="15.75" customHeight="1">
      <c r="A5602" s="2" t="s">
        <v>5602</v>
      </c>
      <c r="B5602" s="2" t="str">
        <f>IFERROR(__xludf.DUMMYFUNCTION("GOOGLETRANSLATE(A5602, ""en"", ""mt"")"),"Kemm riżorsi kienu jpoġġu l-Franċiżi fl-Amerika ta ’Fuq?")</f>
        <v>Kemm riżorsi kienu jpoġġu l-Franċiżi fl-Amerika ta ’Fuq?</v>
      </c>
    </row>
    <row r="5603" ht="15.75" customHeight="1">
      <c r="A5603" s="2" t="s">
        <v>5603</v>
      </c>
      <c r="B5603" s="2" t="str">
        <f>IFERROR(__xludf.DUMMYFUNCTION("GOOGLETRANSLATE(A5603, ""en"", ""mt"")"),"Annam")</f>
        <v>Annam</v>
      </c>
    </row>
    <row r="5604" ht="15.75" customHeight="1">
      <c r="A5604" s="2" t="s">
        <v>5604</v>
      </c>
      <c r="B5604" s="2" t="str">
        <f>IFERROR(__xludf.DUMMYFUNCTION("GOOGLETRANSLATE(A5604, ""en"", ""mt"")"),"Liema element skoprew Gay-Lussac u Von Humboldt kien preżenti fid-doppju tal-ammont ta 'ossiġnu fl-ilma?")</f>
        <v>Liema element skoprew Gay-Lussac u Von Humboldt kien preżenti fid-doppju tal-ammont ta 'ossiġnu fl-ilma?</v>
      </c>
    </row>
    <row r="5605" ht="15.75" customHeight="1">
      <c r="A5605" s="2" t="s">
        <v>5605</v>
      </c>
      <c r="B5605" s="2" t="str">
        <f>IFERROR(__xludf.DUMMYFUNCTION("GOOGLETRANSLATE(A5605, ""en"", ""mt"")")," F'liema aspetti tal-ħajja l-Iżlamiżmu ma jfittixx li jintegra ruħu?")</f>
        <v> F'liema aspetti tal-ħajja l-Iżlamiżmu ma jfittixx li jintegra ruħu?</v>
      </c>
    </row>
    <row r="5606" ht="15.75" customHeight="1">
      <c r="A5606" s="2" t="s">
        <v>5606</v>
      </c>
      <c r="B5606" s="2" t="str">
        <f>IFERROR(__xludf.DUMMYFUNCTION("GOOGLETRANSLATE(A5606, ""en"", ""mt"")"),"fi żminijiet moderni, issir kompletament imnaqqsa")</f>
        <v>fi żminijiet moderni, issir kompletament imnaqqsa</v>
      </c>
    </row>
    <row r="5607" ht="15.75" customHeight="1">
      <c r="A5607" s="2" t="s">
        <v>5607</v>
      </c>
      <c r="B5607" s="2" t="str">
        <f>IFERROR(__xludf.DUMMYFUNCTION("GOOGLETRANSLATE(A5607, ""en"", ""mt"")"),"Akkademiku")</f>
        <v>Akkademiku</v>
      </c>
    </row>
    <row r="5608" ht="15.75" customHeight="1">
      <c r="A5608" s="2" t="s">
        <v>5608</v>
      </c>
      <c r="B5608" s="2" t="str">
        <f>IFERROR(__xludf.DUMMYFUNCTION("GOOGLETRANSLATE(A5608, ""en"", ""mt"")"),"L-annimali l-oħra kollha")</f>
        <v>L-annimali l-oħra kollha</v>
      </c>
    </row>
    <row r="5609" ht="15.75" customHeight="1">
      <c r="A5609" s="2" t="s">
        <v>5609</v>
      </c>
      <c r="B5609" s="2" t="str">
        <f>IFERROR(__xludf.DUMMYFUNCTION("GOOGLETRANSLATE(A5609, ""en"", ""mt"")"),"Għaliex il-vjolenza rampanti tipprevjeni lin-nies milli jaħdmu?")</f>
        <v>Għaliex il-vjolenza rampanti tipprevjeni lin-nies milli jaħdmu?</v>
      </c>
    </row>
    <row r="5610" ht="15.75" customHeight="1">
      <c r="A5610" s="2" t="s">
        <v>5610</v>
      </c>
      <c r="B5610" s="2" t="str">
        <f>IFERROR(__xludf.DUMMYFUNCTION("GOOGLETRANSLATE(A5610, ""en"", ""mt"")"),"spiritus nitroeereus jew biss nitroereus")</f>
        <v>spiritus nitroeereus jew biss nitroereus</v>
      </c>
    </row>
    <row r="5611" ht="15.75" customHeight="1">
      <c r="A5611" s="2" t="s">
        <v>5611</v>
      </c>
      <c r="B5611" s="2" t="str">
        <f>IFERROR(__xludf.DUMMYFUNCTION("GOOGLETRANSLATE(A5611, ""en"", ""mt"")"),"Għal liema mudell ta 'skola hija notevoli l-Isvezja?")</f>
        <v>Għal liema mudell ta 'skola hija notevoli l-Isvezja?</v>
      </c>
    </row>
    <row r="5612" ht="15.75" customHeight="1">
      <c r="A5612" s="2" t="s">
        <v>5612</v>
      </c>
      <c r="B5612" s="2" t="str">
        <f>IFERROR(__xludf.DUMMYFUNCTION("GOOGLETRANSLATE(A5612, ""en"", ""mt"")"),"tistrieħ fuq pressjoni osmotika")</f>
        <v>tistrieħ fuq pressjoni osmotika</v>
      </c>
    </row>
    <row r="5613" ht="15.75" customHeight="1">
      <c r="A5613" s="2" t="s">
        <v>5613</v>
      </c>
      <c r="B5613" s="2" t="str">
        <f>IFERROR(__xludf.DUMMYFUNCTION("GOOGLETRANSLATE(A5613, ""en"", ""mt"")"),"Fejn il-kotba ta 'Maududi poġġew l-Islam?")</f>
        <v>Fejn il-kotba ta 'Maududi poġġew l-Islam?</v>
      </c>
    </row>
    <row r="5614" ht="15.75" customHeight="1">
      <c r="A5614" s="2" t="s">
        <v>5614</v>
      </c>
      <c r="B5614" s="2" t="str">
        <f>IFERROR(__xludf.DUMMYFUNCTION("GOOGLETRANSLATE(A5614, ""en"", ""mt"")"),"Liema filosofiji jwaqqfu l-mediċina Ċiniża?")</f>
        <v>Liema filosofiji jwaqqfu l-mediċina Ċiniża?</v>
      </c>
    </row>
    <row r="5615" ht="15.75" customHeight="1">
      <c r="A5615" s="2" t="s">
        <v>5615</v>
      </c>
      <c r="B5615" s="2" t="str">
        <f>IFERROR(__xludf.DUMMYFUNCTION("GOOGLETRANSLATE(A5615, ""en"", ""mt"")"),"L-Imperu Ottoman ikkontrolla t-territorju fuq tliet kontinenti, l-Afrika, l-Asja u liema oħra?")</f>
        <v>L-Imperu Ottoman ikkontrolla t-territorju fuq tliet kontinenti, l-Afrika, l-Asja u liema oħra?</v>
      </c>
    </row>
    <row r="5616" ht="15.75" customHeight="1">
      <c r="A5616" s="2" t="s">
        <v>5616</v>
      </c>
      <c r="B5616" s="2" t="str">
        <f>IFERROR(__xludf.DUMMYFUNCTION("GOOGLETRANSLATE(A5616, ""en"", ""mt"")"),"X'inhi raġuni għall-moviment biex tkun illegalizza l-importazzjoni ta 'mediċini minn pajjiżi oħra?")</f>
        <v>X'inhi raġuni għall-moviment biex tkun illegalizza l-importazzjoni ta 'mediċini minn pajjiżi oħra?</v>
      </c>
    </row>
    <row r="5617" ht="15.75" customHeight="1">
      <c r="A5617" s="2" t="s">
        <v>5617</v>
      </c>
      <c r="B5617" s="2" t="str">
        <f>IFERROR(__xludf.DUMMYFUNCTION("GOOGLETRANSLATE(A5617, ""en"", ""mt"")"),"Ġeografija Mediterranja")</f>
        <v>Ġeografija Mediterranja</v>
      </c>
    </row>
    <row r="5618" ht="15.75" customHeight="1">
      <c r="A5618" s="2" t="s">
        <v>5618</v>
      </c>
      <c r="B5618" s="2" t="str">
        <f>IFERROR(__xludf.DUMMYFUNCTION("GOOGLETRANSLATE(A5618, ""en"", ""mt"")"),"ottimizzazzjoni ta 'trattament ta' mediċina")</f>
        <v>ottimizzazzjoni ta 'trattament ta' mediċina</v>
      </c>
    </row>
    <row r="5619" ht="15.75" customHeight="1">
      <c r="A5619" s="2" t="s">
        <v>5619</v>
      </c>
      <c r="B5619" s="2" t="str">
        <f>IFERROR(__xludf.DUMMYFUNCTION("GOOGLETRANSLATE(A5619, ""en"", ""mt"")"),"X’aċċettaw in-nies ta ’Ruma bħala l-unika pjanura fertili?")</f>
        <v>X’aċċettaw in-nies ta ’Ruma bħala l-unika pjanura fertili?</v>
      </c>
    </row>
    <row r="5620" ht="15.75" customHeight="1">
      <c r="A5620" s="2" t="s">
        <v>5620</v>
      </c>
      <c r="B5620" s="2" t="str">
        <f>IFERROR(__xludf.DUMMYFUNCTION("GOOGLETRANSLATE(A5620, ""en"", ""mt"")"),"X'tagħmel l-għarbiel ta 'Ewklide?")</f>
        <v>X'tagħmel l-għarbiel ta 'Ewklide?</v>
      </c>
    </row>
    <row r="5621" ht="15.75" customHeight="1">
      <c r="A5621" s="2" t="s">
        <v>5621</v>
      </c>
      <c r="B5621" s="2" t="str">
        <f>IFERROR(__xludf.DUMMYFUNCTION("GOOGLETRANSLATE(A5621, ""en"", ""mt"")"),"Segretarjat Ċentrali")</f>
        <v>Segretarjat Ċentrali</v>
      </c>
    </row>
    <row r="5622" ht="15.75" customHeight="1">
      <c r="A5622" s="2" t="s">
        <v>5622</v>
      </c>
      <c r="B5622" s="2" t="str">
        <f>IFERROR(__xludf.DUMMYFUNCTION("GOOGLETRANSLATE(A5622, ""en"", ""mt"")"),"Tip Nazzjonali")</f>
        <v>Tip Nazzjonali</v>
      </c>
    </row>
    <row r="5623" ht="15.75" customHeight="1">
      <c r="A5623" s="2" t="s">
        <v>5623</v>
      </c>
      <c r="B5623" s="2" t="str">
        <f>IFERROR(__xludf.DUMMYFUNCTION("GOOGLETRANSLATE(A5623, ""en"", ""mt"")"),"X’kienet il-ħakma tal-Qorti tal-Ġustizzja naqset taħt l-Artikolu 34 tat-TFEU?")</f>
        <v>X’kienet il-ħakma tal-Qorti tal-Ġustizzja naqset taħt l-Artikolu 34 tat-TFEU?</v>
      </c>
    </row>
    <row r="5624" ht="15.75" customHeight="1">
      <c r="A5624" s="2" t="s">
        <v>5624</v>
      </c>
      <c r="B5624" s="2" t="str">
        <f>IFERROR(__xludf.DUMMYFUNCTION("GOOGLETRANSLATE(A5624, ""en"", ""mt"")"),"1.6 kilometri")</f>
        <v>1.6 kilometri</v>
      </c>
    </row>
    <row r="5625" ht="15.75" customHeight="1">
      <c r="A5625" s="2" t="s">
        <v>5625</v>
      </c>
      <c r="B5625" s="2" t="str">
        <f>IFERROR(__xludf.DUMMYFUNCTION("GOOGLETRANSLATE(A5625, ""en"", ""mt"")"),"Fuq liema hi bbażata t-teorija tal-evoluzzjoni?")</f>
        <v>Fuq liema hi bbażata t-teorija tal-evoluzzjoni?</v>
      </c>
    </row>
    <row r="5626" ht="15.75" customHeight="1">
      <c r="A5626" s="2" t="s">
        <v>5626</v>
      </c>
      <c r="B5626" s="2" t="str">
        <f>IFERROR(__xludf.DUMMYFUNCTION("GOOGLETRANSLATE(A5626, ""en"", ""mt"")"),"Liema Parlament m'għandu l-ebda abbiltà li jemenda t-Termini ta 'Referenza tal-Parlament Skoċċiż?")</f>
        <v>Liema Parlament m'għandu l-ebda abbiltà li jemenda t-Termini ta 'Referenza tal-Parlament Skoċċiż?</v>
      </c>
    </row>
    <row r="5627" ht="15.75" customHeight="1">
      <c r="A5627" s="2" t="s">
        <v>5627</v>
      </c>
      <c r="B5627" s="2" t="str">
        <f>IFERROR(__xludf.DUMMYFUNCTION("GOOGLETRANSLATE(A5627, ""en"", ""mt"")"),"Għas-sena skolastika 2012–13 it-tagħlim annwali kien ta ’$ 38,000, bi spiża totali ta’ attendenza ta ’$ 57,000. Mill-2007, familji bi dħul taħt $ 60,000 ma jħallsu xejn biex jattendu uliedhom, inklużi kamra u bord. Familji bi dħul bejn $ 60,000 sa $ 80,00"&amp;"0 iħallsu biss ftit eluf ta 'dollari fis-sena, u l-familji li jaqilgħu bejn $ 120,000 u $ 180,000 iħallsu mhux aktar minn 10% tad-dħul annwali tagħhom. Fl-2009, Harvard offra għotjiet li jammontaw għal $ 414 miljun fil-ħdax-il diviżjoni kollha; [aktar spj"&amp;"egazzjoni meħtieġa] $ 340 miljun ġew minn fondi istituzzjonali, $ 35 miljun mill-appoġġ federali, u $ 39 miljun minn appoġġ ieħor barra. Għotjiet totali ta '88% tal-għajnuna ta 'Harvard għal studenti li għadhom ma ggradwawx, bl-għajnuna pprovduta wkoll mi"&amp;"nn self (8%) u studju tax-xogħol (4%).")</f>
        <v>Għas-sena skolastika 2012–13 it-tagħlim annwali kien ta ’$ 38,000, bi spiża totali ta’ attendenza ta ’$ 57,000. Mill-2007, familji bi dħul taħt $ 60,000 ma jħallsu xejn biex jattendu uliedhom, inklużi kamra u bord. Familji bi dħul bejn $ 60,000 sa $ 80,000 iħallsu biss ftit eluf ta 'dollari fis-sena, u l-familji li jaqilgħu bejn $ 120,000 u $ 180,000 iħallsu mhux aktar minn 10% tad-dħul annwali tagħhom. Fl-2009, Harvard offra għotjiet li jammontaw għal $ 414 miljun fil-ħdax-il diviżjoni kollha; [aktar spjegazzjoni meħtieġa] $ 340 miljun ġew minn fondi istituzzjonali, $ 35 miljun mill-appoġġ federali, u $ 39 miljun minn appoġġ ieħor barra. Għotjiet totali ta '88% tal-għajnuna ta 'Harvard għal studenti li għadhom ma ggradwawx, bl-għajnuna pprovduta wkoll minn self (8%) u studju tax-xogħol (4%).</v>
      </c>
    </row>
    <row r="5628" ht="15.75" customHeight="1">
      <c r="A5628" s="2" t="s">
        <v>5628</v>
      </c>
      <c r="B5628" s="2" t="str">
        <f>IFERROR(__xludf.DUMMYFUNCTION("GOOGLETRANSLATE(A5628, ""en"", ""mt"")"),"Liema sistema m'għandha l-ebda impatt fuq l-inugwaljanza tad-dħul?")</f>
        <v>Liema sistema m'għandha l-ebda impatt fuq l-inugwaljanza tad-dħul?</v>
      </c>
    </row>
    <row r="5629" ht="15.75" customHeight="1">
      <c r="A5629" s="2" t="s">
        <v>5629</v>
      </c>
      <c r="B5629" s="2" t="str">
        <f>IFERROR(__xludf.DUMMYFUNCTION("GOOGLETRANSLATE(A5629, ""en"", ""mt"")"),"X'inhu riżultat ta 'bond kovalenti?")</f>
        <v>X'inhu riżultat ta 'bond kovalenti?</v>
      </c>
    </row>
    <row r="5630" ht="15.75" customHeight="1">
      <c r="A5630" s="2" t="s">
        <v>5630</v>
      </c>
      <c r="B5630" s="2" t="str">
        <f>IFERROR(__xludf.DUMMYFUNCTION("GOOGLETRANSLATE(A5630, ""en"", ""mt"")"),"San Lawrence u Mississippi Watersheds, għamlu negozju ma 'tribujiet lokali, u ħafna drabi żżewġu nisa Indjani")</f>
        <v>San Lawrence u Mississippi Watersheds, għamlu negozju ma 'tribujiet lokali, u ħafna drabi żżewġu nisa Indjani</v>
      </c>
    </row>
    <row r="5631" ht="15.75" customHeight="1">
      <c r="A5631" s="2" t="s">
        <v>5631</v>
      </c>
      <c r="B5631" s="2" t="str">
        <f>IFERROR(__xludf.DUMMYFUNCTION("GOOGLETRANSLATE(A5631, ""en"", ""mt"")"),"Newton's")</f>
        <v>Newton's</v>
      </c>
    </row>
    <row r="5632" ht="15.75" customHeight="1">
      <c r="A5632" s="2" t="s">
        <v>5632</v>
      </c>
      <c r="B5632" s="2" t="str">
        <f>IFERROR(__xludf.DUMMYFUNCTION("GOOGLETRANSLATE(A5632, ""en"", ""mt"")"),"Dating ta 'lava u saffi ta' rmied vulkaniku misjuba f'sekwenza stratigrafika")</f>
        <v>Dating ta 'lava u saffi ta' rmied vulkaniku misjuba f'sekwenza stratigrafika</v>
      </c>
    </row>
    <row r="5633" ht="15.75" customHeight="1">
      <c r="A5633" s="2" t="s">
        <v>5633</v>
      </c>
      <c r="B5633" s="2" t="str">
        <f>IFERROR(__xludf.DUMMYFUNCTION("GOOGLETRANSLATE(A5633, ""en"", ""mt"")"),"Uffiċjali tal-gvern li jheddu")</f>
        <v>Uffiċjali tal-gvern li jheddu</v>
      </c>
    </row>
    <row r="5634" ht="15.75" customHeight="1">
      <c r="A5634" s="2" t="s">
        <v>5634</v>
      </c>
      <c r="B5634" s="2" t="str">
        <f>IFERROR(__xludf.DUMMYFUNCTION("GOOGLETRANSLATE(A5634, ""en"", ""mt"")"),"Valutazzjonijiet iżgħar ta 'problemi speċjali minflok l-approċċ fuq skala kbira")</f>
        <v>Valutazzjonijiet iżgħar ta 'problemi speċjali minflok l-approċċ fuq skala kbira</v>
      </c>
    </row>
    <row r="5635" ht="15.75" customHeight="1">
      <c r="A5635" s="2" t="s">
        <v>5635</v>
      </c>
      <c r="B5635" s="2" t="str">
        <f>IFERROR(__xludf.DUMMYFUNCTION("GOOGLETRANSLATE(A5635, ""en"", ""mt"")"),"Kif huwa deskritt id-dioxygen l-iktar sempliċement deskritt?")</f>
        <v>Kif huwa deskritt id-dioxygen l-iktar sempliċement deskritt?</v>
      </c>
    </row>
    <row r="5636" ht="15.75" customHeight="1">
      <c r="A5636" s="2" t="s">
        <v>5636</v>
      </c>
      <c r="B5636" s="2" t="str">
        <f>IFERROR(__xludf.DUMMYFUNCTION("GOOGLETRANSLATE(A5636, ""en"", ""mt"")"),"Inizjalment mibnija bi tliet saffi, aktar tard (1982) evolviet fi protokoll ta 'netwerking konformi ma' seba 'saffi")</f>
        <v>Inizjalment mibnija bi tliet saffi, aktar tard (1982) evolviet fi protokoll ta 'netwerking konformi ma' seba 'saffi</v>
      </c>
    </row>
    <row r="5637" ht="15.75" customHeight="1">
      <c r="A5637" s="2" t="s">
        <v>5637</v>
      </c>
      <c r="B5637" s="2" t="str">
        <f>IFERROR(__xludf.DUMMYFUNCTION("GOOGLETRANSLATE(A5637, ""en"", ""mt"")"),"Kemm sħubijiet tal-istess sess mingħajr tfal kienu hemm?")</f>
        <v>Kemm sħubijiet tal-istess sess mingħajr tfal kienu hemm?</v>
      </c>
    </row>
    <row r="5638" ht="15.75" customHeight="1">
      <c r="A5638" s="2" t="s">
        <v>5638</v>
      </c>
      <c r="B5638" s="2" t="str">
        <f>IFERROR(__xludf.DUMMYFUNCTION("GOOGLETRANSLATE(A5638, ""en"", ""mt"")"),"fażi likwida")</f>
        <v>fażi likwida</v>
      </c>
    </row>
    <row r="5639" ht="15.75" customHeight="1">
      <c r="A5639" s="2" t="s">
        <v>5639</v>
      </c>
      <c r="B5639" s="2" t="str">
        <f>IFERROR(__xludf.DUMMYFUNCTION("GOOGLETRANSLATE(A5639, ""en"", ""mt"")"),"X'inhuma eżempji ta 'ċelloli effetturi differenzjati li jilħqu l-quċċata matul il-perjodi ta' qawmien?")</f>
        <v>X'inhuma eżempji ta 'ċelloli effetturi differenzjati li jilħqu l-quċċata matul il-perjodi ta' qawmien?</v>
      </c>
    </row>
    <row r="5640" ht="15.75" customHeight="1">
      <c r="A5640" s="2" t="s">
        <v>5640</v>
      </c>
      <c r="B5640" s="2" t="str">
        <f>IFERROR(__xludf.DUMMYFUNCTION("GOOGLETRANSLATE(A5640, ""en"", ""mt"")"),"Għaliex l-oċeani polari jappoġġjaw ammonti ta 'ħajja mnaqqsa?")</f>
        <v>Għaliex l-oċeani polari jappoġġjaw ammonti ta 'ħajja mnaqqsa?</v>
      </c>
    </row>
    <row r="5641" ht="15.75" customHeight="1">
      <c r="A5641" s="2" t="s">
        <v>5641</v>
      </c>
      <c r="B5641" s="2" t="str">
        <f>IFERROR(__xludf.DUMMYFUNCTION("GOOGLETRANSLATE(A5641, ""en"", ""mt"")"),"Steam Avvanzat")</f>
        <v>Steam Avvanzat</v>
      </c>
    </row>
    <row r="5642" ht="15.75" customHeight="1">
      <c r="A5642" s="2" t="s">
        <v>5642</v>
      </c>
      <c r="B5642" s="2" t="str">
        <f>IFERROR(__xludf.DUMMYFUNCTION("GOOGLETRANSLATE(A5642, ""en"", ""mt"")"),"Liema fergħa tax-xjenza teoretika tal-kompjuter tittratta l-klassifikazzjoni ġeneralment ta 'problemi tal-komputazzjoni permezz ta' diffikultà u klassi ta 'relazzjoni?")</f>
        <v>Liema fergħa tax-xjenza teoretika tal-kompjuter tittratta l-klassifikazzjoni ġeneralment ta 'problemi tal-komputazzjoni permezz ta' diffikultà u klassi ta 'relazzjoni?</v>
      </c>
    </row>
    <row r="5643" ht="15.75" customHeight="1">
      <c r="A5643" s="2" t="s">
        <v>5643</v>
      </c>
      <c r="B5643" s="2" t="str">
        <f>IFERROR(__xludf.DUMMYFUNCTION("GOOGLETRANSLATE(A5643, ""en"", ""mt"")"),"Waħda mill-iktar persuni famużi mwielda f'Varsavja kienet Maria Skłodowska-Curie, li kisbet rikonoxximent internazzjonali għar-riċerka tagħha dwar ir-radjuattività u kienet l-ewwel mara riċevitur tal-Premju Nobel. Mużiċisti famużi jinkludu Władysław Szpil"&amp;"man u Frédéric Chopin. Għalkemm Chopin twieled fir-raħal ta 'Żelazowa Wola, madwar 60 km (37 mi) minn Varsavja, huwa mar il-belt mal-familja tiegħu meta kellu seba' xhur. Casimir Pulaski, ġenerali Pollakk u eroj tal-Gwerra Rivoluzzjonarja Amerikana, twiel"&amp;"ed hawn fl-1745.")</f>
        <v>Waħda mill-iktar persuni famużi mwielda f'Varsavja kienet Maria Skłodowska-Curie, li kisbet rikonoxximent internazzjonali għar-riċerka tagħha dwar ir-radjuattività u kienet l-ewwel mara riċevitur tal-Premju Nobel. Mużiċisti famużi jinkludu Władysław Szpilman u Frédéric Chopin. Għalkemm Chopin twieled fir-raħal ta 'Żelazowa Wola, madwar 60 km (37 mi) minn Varsavja, huwa mar il-belt mal-familja tiegħu meta kellu seba' xhur. Casimir Pulaski, ġenerali Pollakk u eroj tal-Gwerra Rivoluzzjonarja Amerikana, twieled hawn fl-1745.</v>
      </c>
    </row>
    <row r="5644" ht="15.75" customHeight="1">
      <c r="A5644" s="2" t="s">
        <v>5644</v>
      </c>
      <c r="B5644" s="2" t="str">
        <f>IFERROR(__xludf.DUMMYFUNCTION("GOOGLETRANSLATE(A5644, ""en"", ""mt"")"),"Netwerk tax-Xjenza tal-Kompjuter")</f>
        <v>Netwerk tax-Xjenza tal-Kompjuter</v>
      </c>
    </row>
    <row r="5645" ht="15.75" customHeight="1">
      <c r="A5645" s="2" t="s">
        <v>5645</v>
      </c>
      <c r="B5645" s="2" t="str">
        <f>IFERROR(__xludf.DUMMYFUNCTION("GOOGLETRANSLATE(A5645, ""en"", ""mt"")"),"Il-Baċin Solimões")</f>
        <v>Il-Baċin Solimões</v>
      </c>
    </row>
    <row r="5646" ht="15.75" customHeight="1">
      <c r="A5646" s="2" t="s">
        <v>5646</v>
      </c>
      <c r="B5646" s="2" t="str">
        <f>IFERROR(__xludf.DUMMYFUNCTION("GOOGLETRANSLATE(A5646, ""en"", ""mt"")"),"Għal liema fiduċja tagħti l-IPCC?")</f>
        <v>Għal liema fiduċja tagħti l-IPCC?</v>
      </c>
    </row>
    <row r="5647" ht="15.75" customHeight="1">
      <c r="A5647" s="2" t="s">
        <v>5647</v>
      </c>
      <c r="B5647" s="2" t="str">
        <f>IFERROR(__xludf.DUMMYFUNCTION("GOOGLETRANSLATE(A5647, ""en"", ""mt"")"),"Żieda sostanzjalment il-konċentrazzjonijiet atmosferiċi tal-gassijiet serra")</f>
        <v>Żieda sostanzjalment il-konċentrazzjonijiet atmosferiċi tal-gassijiet serra</v>
      </c>
    </row>
    <row r="5648" ht="15.75" customHeight="1">
      <c r="A5648" s="2" t="s">
        <v>5648</v>
      </c>
      <c r="B5648" s="2" t="str">
        <f>IFERROR(__xludf.DUMMYFUNCTION("GOOGLETRANSLATE(A5648, ""en"", ""mt"")"),"X'janalizzaw il-kompjuters fil-laboratorju?")</f>
        <v>X'janalizzaw il-kompjuters fil-laboratorju?</v>
      </c>
    </row>
    <row r="5649" ht="15.75" customHeight="1">
      <c r="A5649" s="2" t="s">
        <v>5649</v>
      </c>
      <c r="B5649" s="2" t="str">
        <f>IFERROR(__xludf.DUMMYFUNCTION("GOOGLETRANSLATE(A5649, ""en"", ""mt"")"),"Sa Awwissu 2010 kemm l-iskejjel pubbliċi kellhom ir-Rabat?")</f>
        <v>Sa Awwissu 2010 kemm l-iskejjel pubbliċi kellhom ir-Rabat?</v>
      </c>
    </row>
    <row r="5650" ht="15.75" customHeight="1">
      <c r="A5650" s="2" t="s">
        <v>5650</v>
      </c>
      <c r="B5650" s="2" t="str">
        <f>IFERROR(__xludf.DUMMYFUNCTION("GOOGLETRANSLATE(A5650, ""en"", ""mt"")"),"Liema politika Stalin implimenta ftit wara l-mewt ta 'Lenin?")</f>
        <v>Liema politika Stalin implimenta ftit wara l-mewt ta 'Lenin?</v>
      </c>
    </row>
    <row r="5651" ht="15.75" customHeight="1">
      <c r="A5651" s="2" t="s">
        <v>5651</v>
      </c>
      <c r="B5651" s="2" t="str">
        <f>IFERROR(__xludf.DUMMYFUNCTION("GOOGLETRANSLATE(A5651, ""en"", ""mt"")"),"Kemm passiġġieri jistgħu jakkomodaw il-Ford Fiesta?")</f>
        <v>Kemm passiġġieri jistgħu jakkomodaw il-Ford Fiesta?</v>
      </c>
    </row>
    <row r="5652" ht="15.75" customHeight="1">
      <c r="A5652" s="2" t="s">
        <v>5652</v>
      </c>
      <c r="B5652" s="2" t="str">
        <f>IFERROR(__xludf.DUMMYFUNCTION("GOOGLETRANSLATE(A5652, ""en"", ""mt"")"),"Ħafna antibijotiċi jimmiraw batterji u ma jaffettwawx liema klassi ta 'organiżmi?")</f>
        <v>Ħafna antibijotiċi jimmiraw batterji u ma jaffettwawx liema klassi ta 'organiżmi?</v>
      </c>
    </row>
    <row r="5653" ht="15.75" customHeight="1">
      <c r="A5653" s="2" t="s">
        <v>5653</v>
      </c>
      <c r="B5653" s="2" t="str">
        <f>IFERROR(__xludf.DUMMYFUNCTION("GOOGLETRANSLATE(A5653, ""en"", ""mt"")"),"Meta l-Palazz ta ’Varsavja ġie kompletament imqaxxar mal-art billi bombi r-rejds?")</f>
        <v>Meta l-Palazz ta ’Varsavja ġie kompletament imqaxxar mal-art billi bombi r-rejds?</v>
      </c>
    </row>
    <row r="5654" ht="15.75" customHeight="1">
      <c r="A5654" s="2" t="s">
        <v>5654</v>
      </c>
      <c r="B5654" s="2" t="str">
        <f>IFERROR(__xludf.DUMMYFUNCTION("GOOGLETRANSLATE(A5654, ""en"", ""mt"")"),"X'jesperjenzaw l-astronawti meta jkunu fl-orbita tal-waqgħa ħielsa madwar Saturnu?")</f>
        <v>X'jesperjenzaw l-astronawti meta jkunu fl-orbita tal-waqgħa ħielsa madwar Saturnu?</v>
      </c>
    </row>
    <row r="5655" ht="15.75" customHeight="1">
      <c r="A5655" s="2" t="s">
        <v>5655</v>
      </c>
      <c r="B5655" s="2" t="str">
        <f>IFERROR(__xludf.DUMMYFUNCTION("GOOGLETRANSLATE(A5655, ""en"", ""mt"")"),"Poġġi xarabank u ttieħdet fis-sede tal-Kontea ta ’Nye ta’ Tonopah, Nevada, u ppreżentat għall-proċess quddiem il-ġustizzja lokali tal-paċi")</f>
        <v>Poġġi xarabank u ttieħdet fis-sede tal-Kontea ta ’Nye ta’ Tonopah, Nevada, u ppreżentat għall-proċess quddiem il-ġustizzja lokali tal-paċi</v>
      </c>
    </row>
    <row r="5656" ht="15.75" customHeight="1">
      <c r="A5656" s="2" t="s">
        <v>5656</v>
      </c>
      <c r="B5656" s="2" t="str">
        <f>IFERROR(__xludf.DUMMYFUNCTION("GOOGLETRANSLATE(A5656, ""en"", ""mt"")"),"European_union_law")</f>
        <v>European_union_law</v>
      </c>
    </row>
    <row r="5657" ht="15.75" customHeight="1">
      <c r="A5657" s="2" t="s">
        <v>5657</v>
      </c>
      <c r="B5657" s="2" t="str">
        <f>IFERROR(__xludf.DUMMYFUNCTION("GOOGLETRANSLATE(A5657, ""en"", ""mt"")"),"F'liema sena bdew il-gwerer tar-reliġjon?")</f>
        <v>F'liema sena bdew il-gwerer tar-reliġjon?</v>
      </c>
    </row>
    <row r="5658" ht="15.75" customHeight="1">
      <c r="A5658" s="2" t="s">
        <v>5658</v>
      </c>
      <c r="B5658" s="2" t="str">
        <f>IFERROR(__xludf.DUMMYFUNCTION("GOOGLETRANSLATE(A5658, ""en"", ""mt"")"),"Minbarra l-ilma li jirriċirkula, x'jagħmlu l-kondensaturi?")</f>
        <v>Minbarra l-ilma li jirriċirkula, x'jagħmlu l-kondensaturi?</v>
      </c>
    </row>
    <row r="5659" ht="15.75" customHeight="1">
      <c r="A5659" s="2" t="s">
        <v>5659</v>
      </c>
      <c r="B5659" s="2" t="str">
        <f>IFERROR(__xludf.DUMMYFUNCTION("GOOGLETRANSLATE(A5659, ""en"", ""mt"")"),"handshake bejn il-partijiet li jikkomunikaw qabel ma jiġu trasmessi xi pakketti tal-utent")</f>
        <v>handshake bejn il-partijiet li jikkomunikaw qabel ma jiġu trasmessi xi pakketti tal-utent</v>
      </c>
    </row>
    <row r="5660" ht="15.75" customHeight="1">
      <c r="A5660" s="2" t="s">
        <v>5660</v>
      </c>
      <c r="B5660" s="2" t="str">
        <f>IFERROR(__xludf.DUMMYFUNCTION("GOOGLETRANSLATE(A5660, ""en"", ""mt"")"),"X'inhuma l-partiċelli skambjati mbassra mill-mudell standard?")</f>
        <v>X'inhuma l-partiċelli skambjati mbassra mill-mudell standard?</v>
      </c>
    </row>
    <row r="5661" ht="15.75" customHeight="1">
      <c r="A5661" s="2" t="s">
        <v>5661</v>
      </c>
      <c r="B5661" s="2" t="str">
        <f>IFERROR(__xludf.DUMMYFUNCTION("GOOGLETRANSLATE(A5661, ""en"", ""mt"")"),"Il-forza normali hija dovuta għal forzi repulsivi ta 'interazzjoni bejn l-atomi f'kuntatt mill-qrib. Meta s-sħab tal-elettroni tagħhom jikkoinċidu, ir-repulsjoni ta 'Pauli (minħabba n-natura fermjonika ta' l-elettroni) issegwi li tirriżulta fil-forza li t"&amp;"aġixxi f'direzzjoni normali għall-interface tal-wiċċ bejn żewġ oġġetti.:93 Il-forza normali, pereżempju, hija responsabbli għall-integrità strutturali ta 'tabelli u sulari kif ukoll il-forza li tirrispondi kull meta forza esterna timbotta fuq oġġett solid"&amp;"u. Eżempju tal-forza normali fl-azzjoni hija l-forza tal-impatt fuq oġġett li jiġġarraf f'wiċċ immobbli.")</f>
        <v>Il-forza normali hija dovuta għal forzi repulsivi ta 'interazzjoni bejn l-atomi f'kuntatt mill-qrib. Meta s-sħab tal-elettroni tagħhom jikkoinċidu, ir-repulsjoni ta 'Pauli (minħabba n-natura fermjonika ta' l-elettroni) issegwi li tirriżulta fil-forza li taġixxi f'direzzjoni normali għall-interface tal-wiċċ bejn żewġ oġġetti.:93 Il-forza normali, pereżempju, hija responsabbli għall-integrità strutturali ta 'tabelli u sulari kif ukoll il-forza li tirrispondi kull meta forza esterna timbotta fuq oġġett solidu. Eżempju tal-forza normali fl-azzjoni hija l-forza tal-impatt fuq oġġett li jiġġarraf f'wiċċ immobbli.</v>
      </c>
    </row>
    <row r="5662" ht="15.75" customHeight="1">
      <c r="A5662" s="2" t="s">
        <v>5662</v>
      </c>
      <c r="B5662" s="2" t="str">
        <f>IFERROR(__xludf.DUMMYFUNCTION("GOOGLETRANSLATE(A5662, ""en"", ""mt"")"),"Ted Heath")</f>
        <v>Ted Heath</v>
      </c>
    </row>
    <row r="5663" ht="15.75" customHeight="1">
      <c r="A5663" s="2" t="s">
        <v>5663</v>
      </c>
      <c r="B5663" s="2" t="str">
        <f>IFERROR(__xludf.DUMMYFUNCTION("GOOGLETRANSLATE(A5663, ""en"", ""mt"")"),"L-ossiġnu jiġi rilaxxat fir-respirazzjoni ċellulari minn?")</f>
        <v>L-ossiġnu jiġi rilaxxat fir-respirazzjoni ċellulari minn?</v>
      </c>
    </row>
    <row r="5664" ht="15.75" customHeight="1">
      <c r="A5664" s="2" t="s">
        <v>5664</v>
      </c>
      <c r="B5664" s="2" t="str">
        <f>IFERROR(__xludf.DUMMYFUNCTION("GOOGLETRANSLATE(A5664, ""en"", ""mt"")"),"iżolat")</f>
        <v>iżolat</v>
      </c>
    </row>
    <row r="5665" ht="15.75" customHeight="1">
      <c r="A5665" s="2" t="s">
        <v>5665</v>
      </c>
      <c r="B5665" s="2" t="str">
        <f>IFERROR(__xludf.DUMMYFUNCTION("GOOGLETRANSLATE(A5665, ""en"", ""mt"")"),"X'inhu l-iżgħar port intern tal-Ewropa?")</f>
        <v>X'inhu l-iżgħar port intern tal-Ewropa?</v>
      </c>
    </row>
    <row r="5666" ht="15.75" customHeight="1">
      <c r="A5666" s="2" t="s">
        <v>5666</v>
      </c>
      <c r="B5666" s="2" t="str">
        <f>IFERROR(__xludf.DUMMYFUNCTION("GOOGLETRANSLATE(A5666, ""en"", ""mt"")"),"Fejn kien iBna Sina emmen li kienet l-oriġini tax-xjenza tal-ġeoloġija?")</f>
        <v>Fejn kien iBna Sina emmen li kienet l-oriġini tax-xjenza tal-ġeoloġija?</v>
      </c>
    </row>
    <row r="5667" ht="15.75" customHeight="1">
      <c r="A5667" s="2" t="s">
        <v>5667</v>
      </c>
      <c r="B5667" s="2" t="str">
        <f>IFERROR(__xludf.DUMMYFUNCTION("GOOGLETRANSLATE(A5667, ""en"", ""mt"")"),"USSR's")</f>
        <v>USSR's</v>
      </c>
    </row>
    <row r="5668" ht="15.75" customHeight="1">
      <c r="A5668" s="2" t="s">
        <v>5668</v>
      </c>
      <c r="B5668" s="2" t="str">
        <f>IFERROR(__xludf.DUMMYFUNCTION("GOOGLETRANSLATE(A5668, ""en"", ""mt"")"),"riċiklat kontinwament")</f>
        <v>riċiklat kontinwament</v>
      </c>
    </row>
    <row r="5669" ht="15.75" customHeight="1">
      <c r="A5669" s="2" t="s">
        <v>5669</v>
      </c>
      <c r="B5669" s="2" t="str">
        <f>IFERROR(__xludf.DUMMYFUNCTION("GOOGLETRANSLATE(A5669, ""en"", ""mt"")"),"Franza Antartika")</f>
        <v>Franza Antartika</v>
      </c>
    </row>
    <row r="5670" ht="15.75" customHeight="1">
      <c r="A5670" s="2" t="s">
        <v>5670</v>
      </c>
      <c r="B5670" s="2" t="str">
        <f>IFERROR(__xludf.DUMMYFUNCTION("GOOGLETRANSLATE(A5670, ""en"", ""mt"")"),"Liema belt hija l-iktar popolata f'Kalifornja?")</f>
        <v>Liema belt hija l-iktar popolata f'Kalifornja?</v>
      </c>
    </row>
    <row r="5671" ht="15.75" customHeight="1">
      <c r="A5671" s="2" t="s">
        <v>5671</v>
      </c>
      <c r="B5671" s="2" t="str">
        <f>IFERROR(__xludf.DUMMYFUNCTION("GOOGLETRANSLATE(A5671, ""en"", ""mt"")"),"X'jikkompila u jirrapporta dwar dejta dwar id-daqs tal-kumpaniji tad-disinn u tal-kostruzzjoni?")</f>
        <v>X'jikkompila u jirrapporta dwar dejta dwar id-daqs tal-kumpaniji tad-disinn u tal-kostruzzjoni?</v>
      </c>
    </row>
    <row r="5672" ht="15.75" customHeight="1">
      <c r="A5672" s="2" t="s">
        <v>5672</v>
      </c>
      <c r="B5672" s="2" t="str">
        <f>IFERROR(__xludf.DUMMYFUNCTION("GOOGLETRANSLATE(A5672, ""en"", ""mt"")"),"bejn il-baden modern u l-württemberg")</f>
        <v>bejn il-baden modern u l-württemberg</v>
      </c>
    </row>
    <row r="5673" ht="15.75" customHeight="1">
      <c r="A5673" s="2" t="s">
        <v>5673</v>
      </c>
      <c r="B5673" s="2" t="str">
        <f>IFERROR(__xludf.DUMMYFUNCTION("GOOGLETRANSLATE(A5673, ""en"", ""mt"")"),"Kemm truppi ġew megħluba għall-Ingliżi fil-Battalja ta ’Carillon?")</f>
        <v>Kemm truppi ġew megħluba għall-Ingliżi fil-Battalja ta ’Carillon?</v>
      </c>
    </row>
    <row r="5674" ht="15.75" customHeight="1">
      <c r="A5674" s="2" t="s">
        <v>5674</v>
      </c>
      <c r="B5674" s="2" t="str">
        <f>IFERROR(__xludf.DUMMYFUNCTION("GOOGLETRANSLATE(A5674, ""en"", ""mt"")"),"Nederrijn fil-Angeren")</f>
        <v>Nederrijn fil-Angeren</v>
      </c>
    </row>
    <row r="5675" ht="15.75" customHeight="1">
      <c r="A5675" s="2" t="s">
        <v>5675</v>
      </c>
      <c r="B5675" s="2" t="str">
        <f>IFERROR(__xludf.DUMMYFUNCTION("GOOGLETRANSLATE(A5675, ""en"", ""mt"")"),"Kif jissejħu l-flus tal-plastik tal-wan?")</f>
        <v>Kif jissejħu l-flus tal-plastik tal-wan?</v>
      </c>
    </row>
    <row r="5676" ht="15.75" customHeight="1">
      <c r="A5676" s="2" t="s">
        <v>5676</v>
      </c>
      <c r="B5676" s="2" t="str">
        <f>IFERROR(__xludf.DUMMYFUNCTION("GOOGLETRANSLATE(A5676, ""en"", ""mt"")"),"X'inhi t-temperatura approssimattiva tal-kondensatur fit-turbina?")</f>
        <v>X'inhi t-temperatura approssimattiva tal-kondensatur fit-turbina?</v>
      </c>
    </row>
    <row r="5677" ht="15.75" customHeight="1">
      <c r="A5677" s="2" t="s">
        <v>5677</v>
      </c>
      <c r="B5677" s="2" t="str">
        <f>IFERROR(__xludf.DUMMYFUNCTION("GOOGLETRANSLATE(A5677, ""en"", ""mt"")"),"F'liema sena kien hemm 5751 Filippini f'Jacksonville")</f>
        <v>F'liema sena kien hemm 5751 Filippini f'Jacksonville</v>
      </c>
    </row>
    <row r="5678" ht="15.75" customHeight="1">
      <c r="A5678" s="2" t="s">
        <v>5678</v>
      </c>
      <c r="B5678" s="2" t="str">
        <f>IFERROR(__xludf.DUMMYFUNCTION("GOOGLETRANSLATE(A5678, ""en"", ""mt"")"),"Liema artikolu TFEU jiddikjara li l-istati huma eżentati milli jiksru d-drittijiet ta 'stabbiliment meta jeżerċitaw awtorità uffiċjali?")</f>
        <v>Liema artikolu TFEU jiddikjara li l-istati huma eżentati milli jiksru d-drittijiet ta 'stabbiliment meta jeżerċitaw awtorità uffiċjali?</v>
      </c>
    </row>
    <row r="5679" ht="15.75" customHeight="1">
      <c r="A5679" s="2" t="s">
        <v>5679</v>
      </c>
      <c r="B5679" s="2" t="str">
        <f>IFERROR(__xludf.DUMMYFUNCTION("GOOGLETRANSLATE(A5679, ""en"", ""mt"")"),"Liema suċċessur ta 'Henry reġa' beda l-persekuzzjoni tal-Huguenots?")</f>
        <v>Liema suċċessur ta 'Henry reġa' beda l-persekuzzjoni tal-Huguenots?</v>
      </c>
    </row>
    <row r="5680" ht="15.75" customHeight="1">
      <c r="A5680" s="2" t="s">
        <v>5680</v>
      </c>
      <c r="B5680" s="2" t="str">
        <f>IFERROR(__xludf.DUMMYFUNCTION("GOOGLETRANSLATE(A5680, ""en"", ""mt"")")," Kemm kien ineffettiv l-użu militari tal- ""Għarab Afgan""?")</f>
        <v> Kemm kien ineffettiv l-użu militari tal- "Għarab Afgan"?</v>
      </c>
    </row>
    <row r="5681" ht="15.75" customHeight="1">
      <c r="A5681" s="2" t="s">
        <v>5681</v>
      </c>
      <c r="B5681" s="2" t="str">
        <f>IFERROR(__xludf.DUMMYFUNCTION("GOOGLETRANSLATE(A5681, ""en"", ""mt"")"),"$ 159 miljun")</f>
        <v>$ 159 miljun</v>
      </c>
    </row>
    <row r="5682" ht="15.75" customHeight="1">
      <c r="A5682" s="2" t="s">
        <v>5682</v>
      </c>
      <c r="B5682" s="2" t="str">
        <f>IFERROR(__xludf.DUMMYFUNCTION("GOOGLETRANSLATE(A5682, ""en"", ""mt"")"),"Liema reliġjon kienet John Calvin?")</f>
        <v>Liema reliġjon kienet John Calvin?</v>
      </c>
    </row>
    <row r="5683" ht="15.75" customHeight="1">
      <c r="A5683" s="2" t="s">
        <v>5683</v>
      </c>
      <c r="B5683" s="2" t="str">
        <f>IFERROR(__xludf.DUMMYFUNCTION("GOOGLETRANSLATE(A5683, ""en"", ""mt"")"),"X'inhu l-Gorge Rhine elenkat bħala?")</f>
        <v>X'inhu l-Gorge Rhine elenkat bħala?</v>
      </c>
    </row>
    <row r="5684" ht="15.75" customHeight="1">
      <c r="A5684" s="2" t="s">
        <v>5684</v>
      </c>
      <c r="B5684" s="2" t="str">
        <f>IFERROR(__xludf.DUMMYFUNCTION("GOOGLETRANSLATE(A5684, ""en"", ""mt"")"),"BPP, ZPP u RP")</f>
        <v>BPP, ZPP u RP</v>
      </c>
    </row>
    <row r="5685" ht="15.75" customHeight="1">
      <c r="A5685" s="2" t="s">
        <v>5685</v>
      </c>
      <c r="B5685" s="2" t="str">
        <f>IFERROR(__xludf.DUMMYFUNCTION("GOOGLETRANSLATE(A5685, ""en"", ""mt"")"),"Ossidu Merkuriku (HGO)")</f>
        <v>Ossidu Merkuriku (HGO)</v>
      </c>
    </row>
    <row r="5686" ht="15.75" customHeight="1">
      <c r="A5686" s="2" t="s">
        <v>5686</v>
      </c>
      <c r="B5686" s="2" t="str">
        <f>IFERROR(__xludf.DUMMYFUNCTION("GOOGLETRANSLATE(A5686, ""en"", ""mt"")"),"Il-proċess tal-IPCC dwar it-tibdil fil-klima u l-effiċjenza u s-suċċess tiegħu ġie mqabbel ma 'trattamenti ma' sfidi ambjentali oħra (qabbel it-tnaqqis tal-ożonu u t-tisħin globali). Fil-każ tar-regolament globali tat-tnaqqis tal-ożonu bbażat fuq il-proto"&amp;"koll ta 'Montreal kien suċċess, f'każ ta' bidla fil-klima, il-protokoll ta 'Kyoto falla. Il-każ tal-ożonu ntuża biex tevalwa l-effiċjenza tal-proċess IPCC. Is-sitwazzjoni tal-lockstep tal-IPCC qed tibni kunsens wiesa 'tax-xjenza filwaqt li l-istati u l-gv"&amp;"ernijiet għadhom isegwu għanijiet differenti, jekk mhux opposti. Il-mudell lineari sottostanti tat-tfassil tal-politika ta 'aktar għarfien li għandna, aħjar tkun qed tiġi ddubita r-rispons politiku.")</f>
        <v>Il-proċess tal-IPCC dwar it-tibdil fil-klima u l-effiċjenza u s-suċċess tiegħu ġie mqabbel ma 'trattamenti ma' sfidi ambjentali oħra (qabbel it-tnaqqis tal-ożonu u t-tisħin globali). Fil-każ tar-regolament globali tat-tnaqqis tal-ożonu bbażat fuq il-protokoll ta 'Montreal kien suċċess, f'każ ta' bidla fil-klima, il-protokoll ta 'Kyoto falla. Il-każ tal-ożonu ntuża biex tevalwa l-effiċjenza tal-proċess IPCC. Is-sitwazzjoni tal-lockstep tal-IPCC qed tibni kunsens wiesa 'tax-xjenza filwaqt li l-istati u l-gvernijiet għadhom isegwu għanijiet differenti, jekk mhux opposti. Il-mudell lineari sottostanti tat-tfassil tal-politika ta 'aktar għarfien li għandna, aħjar tkun qed tiġi ddubita r-rispons politiku.</v>
      </c>
    </row>
    <row r="5687" ht="15.75" customHeight="1">
      <c r="A5687" s="2" t="s">
        <v>5687</v>
      </c>
      <c r="B5687" s="2" t="str">
        <f>IFERROR(__xludf.DUMMYFUNCTION("GOOGLETRANSLATE(A5687, ""en"", ""mt"")"),"438,000 speċi")</f>
        <v>438,000 speċi</v>
      </c>
    </row>
    <row r="5688" ht="15.75" customHeight="1">
      <c r="A5688" s="2" t="s">
        <v>5688</v>
      </c>
      <c r="B5688" s="2" t="str">
        <f>IFERROR(__xludf.DUMMYFUNCTION("GOOGLETRANSLATE(A5688, ""en"", ""mt"")"),"Tnaqqas in-nar")</f>
        <v>Tnaqqas in-nar</v>
      </c>
    </row>
    <row r="5689" ht="15.75" customHeight="1">
      <c r="A5689" s="2" t="s">
        <v>5689</v>
      </c>
      <c r="B5689" s="2" t="str">
        <f>IFERROR(__xludf.DUMMYFUNCTION("GOOGLETRANSLATE(A5689, ""en"", ""mt"")"),"Ipersensittività li tiddependi mill-antikorpi tappartjeni għal liema klassi ta 'sensittività eċċessiva?")</f>
        <v>Ipersensittività li tiddependi mill-antikorpi tappartjeni għal liema klassi ta 'sensittività eċċessiva?</v>
      </c>
    </row>
    <row r="5690" ht="15.75" customHeight="1">
      <c r="A5690" s="2" t="s">
        <v>5690</v>
      </c>
      <c r="B5690" s="2" t="str">
        <f>IFERROR(__xludf.DUMMYFUNCTION("GOOGLETRANSLATE(A5690, ""en"", ""mt"")"),"Hemm tliet tipi ewlenin ta 'blat: igneous, sedimentarji, u metamorfiċi. Iċ-ċiklu tal-blat huwa kunċett importanti fil-ġeoloġija li juri r-relazzjonijiet bejn dawn it-tliet tipi ta 'blat, u magma. Meta blat jikkristallizza minn tidwib (magma u / jew lava),"&amp;" huwa blat igneous. Dan il-blat jista 'jitħaffef u jitnaqqar, u mbagħad jerġa' jiġi mdaħħal mill-ġdid u mdaħħal fi blat sedimentarju, jew jinbidel fi blat metamorfiku minħabba s-sħana u l-pressjoni li jibdlu l-kontenut minerali tal-blat li jagħtih drapp k"&amp;"aratteristiku. Il-blat sedimentarju jista 'mbagħad jiġi sussegwentement jinbidel fi blat metamorfiku minħabba s-sħana u l-pressjoni u mbagħad jiġi mtawwal, imnaqqar, depożitat, u litifikat, fl-aħħar isir blat sedimentarju. Il-blat sedimentarju jista 'wkol"&amp;"l jerġa' jiġi evitat u mill-ġdid, u l-blat metamorfiku jista 'wkoll jgħaddi minn metamorfiżmu addizzjonali. It-tliet tipi ta 'blat kollha jistgħu jerġgħu jinħallu; Meta jiġri dan, hija ffurmata magma ġdida, li minnha blat igneous jista 'jerġa' jikkristall"&amp;"izza.")</f>
        <v>Hemm tliet tipi ewlenin ta 'blat: igneous, sedimentarji, u metamorfiċi. Iċ-ċiklu tal-blat huwa kunċett importanti fil-ġeoloġija li juri r-relazzjonijiet bejn dawn it-tliet tipi ta 'blat, u magma. Meta blat jikkristallizza minn tidwib (magma u / jew lava), huwa blat igneous. Dan il-blat jista 'jitħaffef u jitnaqqar, u mbagħad jerġa' jiġi mdaħħal mill-ġdid u mdaħħal fi blat sedimentarju, jew jinbidel fi blat metamorfiku minħabba s-sħana u l-pressjoni li jibdlu l-kontenut minerali tal-blat li jagħtih drapp karatteristiku. Il-blat sedimentarju jista 'mbagħad jiġi sussegwentement jinbidel fi blat metamorfiku minħabba s-sħana u l-pressjoni u mbagħad jiġi mtawwal, imnaqqar, depożitat, u litifikat, fl-aħħar isir blat sedimentarju. Il-blat sedimentarju jista 'wkoll jerġa' jiġi evitat u mill-ġdid, u l-blat metamorfiku jista 'wkoll jgħaddi minn metamorfiżmu addizzjonali. It-tliet tipi ta 'blat kollha jistgħu jerġgħu jinħallu; Meta jiġri dan, hija ffurmata magma ġdida, li minnha blat igneous jista 'jerġa' jikkristallizza.</v>
      </c>
    </row>
    <row r="5691" ht="15.75" customHeight="1">
      <c r="A5691" s="2" t="s">
        <v>5691</v>
      </c>
      <c r="B5691" s="2" t="str">
        <f>IFERROR(__xludf.DUMMYFUNCTION("GOOGLETRANSLATE(A5691, ""en"", ""mt"")"),"Duttrina ta ’Satyagraha")</f>
        <v>Duttrina ta ’Satyagraha</v>
      </c>
    </row>
    <row r="5692" ht="15.75" customHeight="1">
      <c r="A5692" s="2" t="s">
        <v>5692</v>
      </c>
      <c r="B5692" s="2" t="str">
        <f>IFERROR(__xludf.DUMMYFUNCTION("GOOGLETRANSLATE(A5692, ""en"", ""mt"")"),"mijiet")</f>
        <v>mijiet</v>
      </c>
    </row>
    <row r="5693" ht="15.75" customHeight="1">
      <c r="A5693" s="2" t="s">
        <v>5693</v>
      </c>
      <c r="B5693" s="2" t="str">
        <f>IFERROR(__xludf.DUMMYFUNCTION("GOOGLETRANSLATE(A5693, ""en"", ""mt"")"),"Il-biċċa l-kbira tal-platyctenida għandhom korpi ovali li huma ċċattjati fid-direzzjoni orali-aborat, b'par ta 'tentakli li jġorru t-tentilla fuq il-wiċċ aboral. Huma jaqbdu u jkabbru fuq uċuħ billi jtaffu l-farinġi u jużawha bħala ""sieq"" muskolari. L-i"&amp;"speċi kollha tal-platyctenid magħrufa kollha kemm huma nieqsa mill-moxt. Il-platyctenids huma ġeneralment ikkuluriti kriptikament, jgħixu fuq blat, alka, jew l-uċuħ tal-ġisem ta 'invertebrati oħra, u ħafna drabi jiġu żvelati bit-tentakli twal tagħhom b'ħa"&amp;"fna sidebranches, li jidhru streaming barra minn wara tal-ctenophore fil-kurrent.")</f>
        <v>Il-biċċa l-kbira tal-platyctenida għandhom korpi ovali li huma ċċattjati fid-direzzjoni orali-aborat, b'par ta 'tentakli li jġorru t-tentilla fuq il-wiċċ aboral. Huma jaqbdu u jkabbru fuq uċuħ billi jtaffu l-farinġi u jużawha bħala "sieq" muskolari. L-ispeċi kollha tal-platyctenid magħrufa kollha kemm huma nieqsa mill-moxt. Il-platyctenids huma ġeneralment ikkuluriti kriptikament, jgħixu fuq blat, alka, jew l-uċuħ tal-ġisem ta 'invertebrati oħra, u ħafna drabi jiġu żvelati bit-tentakli twal tagħhom b'ħafna sidebranches, li jidhru streaming barra minn wara tal-ctenophore fil-kurrent.</v>
      </c>
    </row>
    <row r="5694" ht="15.75" customHeight="1">
      <c r="A5694" s="2" t="s">
        <v>5694</v>
      </c>
      <c r="B5694" s="2" t="str">
        <f>IFERROR(__xludf.DUMMYFUNCTION("GOOGLETRANSLATE(A5694, ""en"", ""mt"")"),"16 ta 'Ottubru, 1973,")</f>
        <v>16 ta 'Ottubru, 1973,</v>
      </c>
    </row>
    <row r="5695" ht="15.75" customHeight="1">
      <c r="A5695" s="2" t="s">
        <v>5695</v>
      </c>
      <c r="B5695" s="2" t="str">
        <f>IFERROR(__xludf.DUMMYFUNCTION("GOOGLETRANSLATE(A5695, ""en"", ""mt"")"),"monofiletiku")</f>
        <v>monofiletiku</v>
      </c>
    </row>
    <row r="5696" ht="15.75" customHeight="1">
      <c r="A5696" s="2" t="s">
        <v>5696</v>
      </c>
      <c r="B5696" s="2" t="str">
        <f>IFERROR(__xludf.DUMMYFUNCTION("GOOGLETRANSLATE(A5696, ""en"", ""mt"")"),"Perossidi, klorati, nitrati, perklorati, u dikromi")</f>
        <v>Perossidi, klorati, nitrati, perklorati, u dikromi</v>
      </c>
    </row>
    <row r="5697" ht="15.75" customHeight="1">
      <c r="A5697" s="2" t="s">
        <v>5697</v>
      </c>
      <c r="B5697" s="2" t="str">
        <f>IFERROR(__xludf.DUMMYFUNCTION("GOOGLETRANSLATE(A5697, ""en"", ""mt"")"),"Kif huwa allokat il-bidla tal-pakketti?")</f>
        <v>Kif huwa allokat il-bidla tal-pakketti?</v>
      </c>
    </row>
    <row r="5698" ht="15.75" customHeight="1">
      <c r="A5698" s="2" t="s">
        <v>5698</v>
      </c>
      <c r="B5698" s="2" t="str">
        <f>IFERROR(__xludf.DUMMYFUNCTION("GOOGLETRANSLATE(A5698, ""en"", ""mt"")"),"Liema partijiet ta 'magna tal-fwar reċiprokanti konvenzjonali jistgħu jiġu sostitwiti b'irkaptu tal-valv bla piston?")</f>
        <v>Liema partijiet ta 'magna tal-fwar reċiprokanti konvenzjonali jistgħu jiġu sostitwiti b'irkaptu tal-valv bla piston?</v>
      </c>
    </row>
    <row r="5699" ht="15.75" customHeight="1">
      <c r="A5699" s="2" t="s">
        <v>5699</v>
      </c>
      <c r="B5699" s="2" t="str">
        <f>IFERROR(__xludf.DUMMYFUNCTION("GOOGLETRANSLATE(A5699, ""en"", ""mt"")"),"Politiki li jippruvaw jikkontrollaw it-tkabbir ekonomiku tal-qgħad għax inaqqsu?")</f>
        <v>Politiki li jippruvaw jikkontrollaw it-tkabbir ekonomiku tal-qgħad għax inaqqsu?</v>
      </c>
    </row>
    <row r="5700" ht="15.75" customHeight="1">
      <c r="A5700" s="2" t="s">
        <v>5700</v>
      </c>
      <c r="B5700" s="2" t="str">
        <f>IFERROR(__xludf.DUMMYFUNCTION("GOOGLETRANSLATE(A5700, ""en"", ""mt"")"),"Fejn hi r-Regolament tar-Renu tal-Kanal tal-Punent?")</f>
        <v>Fejn hi r-Regolament tar-Renu tal-Kanal tal-Punent?</v>
      </c>
    </row>
    <row r="5701" ht="15.75" customHeight="1">
      <c r="A5701" s="2" t="s">
        <v>5701</v>
      </c>
      <c r="B5701" s="2" t="str">
        <f>IFERROR(__xludf.DUMMYFUNCTION("GOOGLETRANSLATE(A5701, ""en"", ""mt"")"),"X'kien l-għan tal-proklamazzjoni rjali tal-1736?")</f>
        <v>X'kien l-għan tal-proklamazzjoni rjali tal-1736?</v>
      </c>
    </row>
    <row r="5702" ht="15.75" customHeight="1">
      <c r="A5702" s="2" t="s">
        <v>5702</v>
      </c>
      <c r="B5702" s="2" t="str">
        <f>IFERROR(__xludf.DUMMYFUNCTION("GOOGLETRANSLATE(A5702, ""en"", ""mt"")"),"1.4 darbiet")</f>
        <v>1.4 darbiet</v>
      </c>
    </row>
    <row r="5703" ht="15.75" customHeight="1">
      <c r="A5703" s="2" t="s">
        <v>5703</v>
      </c>
      <c r="B5703" s="2" t="str">
        <f>IFERROR(__xludf.DUMMYFUNCTION("GOOGLETRANSLATE(A5703, ""en"", ""mt"")"),"F'liema angolu ġew issettjati l-gruppi ta 'pistuni f'relazzjoni ma' xulxin fi krank ta '4 ċilindri?")</f>
        <v>F'liema angolu ġew issettjati l-gruppi ta 'pistuni f'relazzjoni ma' xulxin fi krank ta '4 ċilindri?</v>
      </c>
    </row>
    <row r="5704" ht="15.75" customHeight="1">
      <c r="A5704" s="2" t="s">
        <v>5704</v>
      </c>
      <c r="B5704" s="2" t="str">
        <f>IFERROR(__xludf.DUMMYFUNCTION("GOOGLETRANSLATE(A5704, ""en"", ""mt"")"),"Fis-sistema ta 'telefonati virtwali, in-netwerk jiggarantixxi konsenja sekwenzjata ta' data lill-host")</f>
        <v>Fis-sistema ta 'telefonati virtwali, in-netwerk jiggarantixxi konsenja sekwenzjata ta' data lill-host</v>
      </c>
    </row>
    <row r="5705" ht="15.75" customHeight="1">
      <c r="A5705" s="2" t="s">
        <v>5705</v>
      </c>
      <c r="B5705" s="2" t="str">
        <f>IFERROR(__xludf.DUMMYFUNCTION("GOOGLETRANSLATE(A5705, ""en"", ""mt"")"),"Liema sistema tal-librerija tal-università għandha aktar minn 10 miljunvolumes?")</f>
        <v>Liema sistema tal-librerija tal-università għandha aktar minn 10 miljunvolumes?</v>
      </c>
    </row>
    <row r="5706" ht="15.75" customHeight="1">
      <c r="A5706" s="2" t="s">
        <v>5706</v>
      </c>
      <c r="B5706" s="2" t="str">
        <f>IFERROR(__xludf.DUMMYFUNCTION("GOOGLETRANSLATE(A5706, ""en"", ""mt"")"),"1,294")</f>
        <v>1,294</v>
      </c>
    </row>
    <row r="5707" ht="15.75" customHeight="1">
      <c r="A5707" s="2" t="s">
        <v>5707</v>
      </c>
      <c r="B5707" s="2" t="str">
        <f>IFERROR(__xludf.DUMMYFUNCTION("GOOGLETRANSLATE(A5707, ""en"", ""mt"")"),"L-imħatri on-line kien appoġġjat minn liema qafas tan-netwerk?")</f>
        <v>L-imħatri on-line kien appoġġjat minn liema qafas tan-netwerk?</v>
      </c>
    </row>
    <row r="5708" ht="15.75" customHeight="1">
      <c r="A5708" s="2" t="s">
        <v>5708</v>
      </c>
      <c r="B5708" s="2" t="str">
        <f>IFERROR(__xludf.DUMMYFUNCTION("GOOGLETRANSLATE(A5708, ""en"", ""mt"")"),"Meta Barton u Whitfield jitolbu rekords ta 'riċerka dwar il-klima?")</f>
        <v>Meta Barton u Whitfield jitolbu rekords ta 'riċerka dwar il-klima?</v>
      </c>
    </row>
    <row r="5709" ht="15.75" customHeight="1">
      <c r="A5709" s="2" t="s">
        <v>5709</v>
      </c>
      <c r="B5709" s="2" t="str">
        <f>IFERROR(__xludf.DUMMYFUNCTION("GOOGLETRANSLATE(A5709, ""en"", ""mt"")"),"X'għamel Harold Wilson biex jagħmel Iżrael fl-1970?")</f>
        <v>X'għamel Harold Wilson biex jagħmel Iżrael fl-1970?</v>
      </c>
    </row>
    <row r="5710" ht="15.75" customHeight="1">
      <c r="A5710" s="2" t="s">
        <v>5710</v>
      </c>
      <c r="B5710" s="2" t="str">
        <f>IFERROR(__xludf.DUMMYFUNCTION("GOOGLETRANSLATE(A5710, ""en"", ""mt"")"),"Kemm diviżjonijiet jiffurmaw l-akkademiċi tal-università?")</f>
        <v>Kemm diviżjonijiet jiffurmaw l-akkademiċi tal-università?</v>
      </c>
    </row>
    <row r="5711" ht="15.75" customHeight="1">
      <c r="A5711" s="2" t="s">
        <v>5711</v>
      </c>
      <c r="B5711" s="2" t="str">
        <f>IFERROR(__xludf.DUMMYFUNCTION("GOOGLETRANSLATE(A5711, ""en"", ""mt"")"),"L-immuni innata")</f>
        <v>L-immuni innata</v>
      </c>
    </row>
    <row r="5712" ht="15.75" customHeight="1">
      <c r="A5712" s="2" t="s">
        <v>5712</v>
      </c>
      <c r="B5712" s="2" t="str">
        <f>IFERROR(__xludf.DUMMYFUNCTION("GOOGLETRANSLATE(A5712, ""en"", ""mt"")"),"Tribujiet Ġermaniċi qasmu r-Renu fil-perjodu ta 'migrazzjoni, sas-seklu 5 stabbilixxew ir-renji ta' Francia fuq ir-Renu t'isfel, Burgundy fuq ir-Renu ta 'Fuq u l-Alemannia fuq ir-Renu għoli. Din l- ""Età Erojka Ġermanika"" hija riflessa fil-leġġenda medje"&amp;"vali, bħalma huma n-Nibelungenelied li jirrakkonta lill-eroj Siegfried joqtol dragun fuq id-Drachenfels (Siebengebirge) (""Dragons Rock""), ħdejn Bonn fir-Rhine u fil-Burgundians u l-qorti tagħhom fi Worms, fit-Teżor tad-Deheb tar-Renu u Kriemhild, li ġie"&amp;" mitfugħ fir-Renu minn Hagen.")</f>
        <v>Tribujiet Ġermaniċi qasmu r-Renu fil-perjodu ta 'migrazzjoni, sas-seklu 5 stabbilixxew ir-renji ta' Francia fuq ir-Renu t'isfel, Burgundy fuq ir-Renu ta 'Fuq u l-Alemannia fuq ir-Renu għoli. Din l- "Età Erojka Ġermanika" hija riflessa fil-leġġenda medjevali, bħalma huma n-Nibelungenelied li jirrakkonta lill-eroj Siegfried joqtol dragun fuq id-Drachenfels (Siebengebirge) ("Dragons Rock"), ħdejn Bonn fir-Rhine u fil-Burgundians u l-qorti tagħhom fi Worms, fit-Teżor tad-Deheb tar-Renu u Kriemhild, li ġie mitfugħ fir-Renu minn Hagen.</v>
      </c>
    </row>
    <row r="5713" ht="15.75" customHeight="1">
      <c r="A5713" s="2" t="s">
        <v>5713</v>
      </c>
      <c r="B5713" s="2" t="str">
        <f>IFERROR(__xludf.DUMMYFUNCTION("GOOGLETRANSLATE(A5713, ""en"", ""mt"")"),"ambjent li fih għexu")</f>
        <v>ambjent li fih għexu</v>
      </c>
    </row>
    <row r="5714" ht="15.75" customHeight="1">
      <c r="A5714" s="2" t="s">
        <v>5714</v>
      </c>
      <c r="B5714" s="2" t="str">
        <f>IFERROR(__xludf.DUMMYFUNCTION("GOOGLETRANSLATE(A5714, ""en"", ""mt"")"),"Liema suite tuża UDP?")</f>
        <v>Liema suite tuża UDP?</v>
      </c>
    </row>
    <row r="5715" ht="15.75" customHeight="1">
      <c r="A5715" s="2" t="s">
        <v>5715</v>
      </c>
      <c r="B5715" s="2" t="str">
        <f>IFERROR(__xludf.DUMMYFUNCTION("GOOGLETRANSLATE(A5715, ""en"", ""mt"")"),"Assemblea Skoċċiża eletta direttament")</f>
        <v>Assemblea Skoċċiża eletta direttament</v>
      </c>
    </row>
    <row r="5716" ht="15.75" customHeight="1">
      <c r="A5716" s="2" t="s">
        <v>5716</v>
      </c>
      <c r="B5716" s="2" t="str">
        <f>IFERROR(__xludf.DUMMYFUNCTION("GOOGLETRANSLATE(A5716, ""en"", ""mt"")"),"Attakk Amerikan fuq l-Iraq")</f>
        <v>Attakk Amerikan fuq l-Iraq</v>
      </c>
    </row>
    <row r="5717" ht="15.75" customHeight="1">
      <c r="A5717" s="2" t="s">
        <v>5717</v>
      </c>
      <c r="B5717" s="2" t="str">
        <f>IFERROR(__xludf.DUMMYFUNCTION("GOOGLETRANSLATE(A5717, ""en"", ""mt"")"),"Sir Charles Lyell ippubblika l-ewwel ktieb famuż tiegħu, Principles of Geology, fl-1830. Dan il-ktieb, li influwenza l-ħsieb ta ’Charles Darwin, ippromwova b’suċċess id-duttrina tal-uniformitarjiżmu. Din it-teorija tgħid li proċessi ġeoloġiċi bil-mod seħħ"&amp;"ew matul l-istorja tad-Dinja u għadhom iseħħu sal-lum. B'kuntrast, il-katastrofizmu huwa t-teorija li l-karatteristiċi tad-Dinja ffurmaw f'avvenimenti singoli u katastrofiċi u baqgħu mhux mibdula wara. Għalkemm Hutton emmen fl-uniformitarjiżmu, l-idea ma "&amp;"kinitx aċċettata ħafna dak iż-żmien.")</f>
        <v>Sir Charles Lyell ippubblika l-ewwel ktieb famuż tiegħu, Principles of Geology, fl-1830. Dan il-ktieb, li influwenza l-ħsieb ta ’Charles Darwin, ippromwova b’suċċess id-duttrina tal-uniformitarjiżmu. Din it-teorija tgħid li proċessi ġeoloġiċi bil-mod seħħew matul l-istorja tad-Dinja u għadhom iseħħu sal-lum. B'kuntrast, il-katastrofizmu huwa t-teorija li l-karatteristiċi tad-Dinja ffurmaw f'avvenimenti singoli u katastrofiċi u baqgħu mhux mibdula wara. Għalkemm Hutton emmen fl-uniformitarjiżmu, l-idea ma kinitx aċċettata ħafna dak iż-żmien.</v>
      </c>
    </row>
    <row r="5718" ht="15.75" customHeight="1">
      <c r="A5718" s="2" t="s">
        <v>5718</v>
      </c>
      <c r="B5718" s="2" t="str">
        <f>IFERROR(__xludf.DUMMYFUNCTION("GOOGLETRANSLATE(A5718, ""en"", ""mt"")"),"Gegeen Khan")</f>
        <v>Gegeen Khan</v>
      </c>
    </row>
    <row r="5719" ht="15.75" customHeight="1">
      <c r="A5719" s="2" t="s">
        <v>5719</v>
      </c>
      <c r="B5719" s="2" t="str">
        <f>IFERROR(__xludf.DUMMYFUNCTION("GOOGLETRANSLATE(A5719, ""en"", ""mt"")"),"X'inhu tributarju ewlieni għar-Renu li jgħaddi mill-grigal ta 'Franza u parti mill-Belġju?")</f>
        <v>X'inhu tributarju ewlieni għar-Renu li jgħaddi mill-grigal ta 'Franza u parti mill-Belġju?</v>
      </c>
    </row>
    <row r="5720" ht="15.75" customHeight="1">
      <c r="A5720" s="2" t="s">
        <v>5720</v>
      </c>
      <c r="B5720" s="2" t="str">
        <f>IFERROR(__xludf.DUMMYFUNCTION("GOOGLETRANSLATE(A5720, ""en"", ""mt"")"),"John Harvard")</f>
        <v>John Harvard</v>
      </c>
    </row>
    <row r="5721" ht="15.75" customHeight="1">
      <c r="A5721" s="2" t="s">
        <v>5721</v>
      </c>
      <c r="B5721" s="2" t="str">
        <f>IFERROR(__xludf.DUMMYFUNCTION("GOOGLETRANSLATE(A5721, ""en"", ""mt"")"),"X’ġara b’mod konsiderevoli għall-BLOC meta kellha ekonomija tal-Lvant?")</f>
        <v>X’ġara b’mod konsiderevoli għall-BLOC meta kellha ekonomija tal-Lvant?</v>
      </c>
    </row>
    <row r="5722" ht="15.75" customHeight="1">
      <c r="A5722" s="2" t="s">
        <v>5722</v>
      </c>
      <c r="B5722" s="2" t="str">
        <f>IFERROR(__xludf.DUMMYFUNCTION("GOOGLETRANSLATE(A5722, ""en"", ""mt"")"),"Dak li ġeneralment jippermetti liċ-ċittadini biex iħarrku ċittadini oħra?")</f>
        <v>Dak li ġeneralment jippermetti liċ-ċittadini biex iħarrku ċittadini oħra?</v>
      </c>
    </row>
    <row r="5723" ht="15.75" customHeight="1">
      <c r="A5723" s="2" t="s">
        <v>5723</v>
      </c>
      <c r="B5723" s="2" t="str">
        <f>IFERROR(__xludf.DUMMYFUNCTION("GOOGLETRANSLATE(A5723, ""en"", ""mt"")"),"fil-kumitat")</f>
        <v>fil-kumitat</v>
      </c>
    </row>
    <row r="5724" ht="15.75" customHeight="1">
      <c r="A5724" s="2" t="s">
        <v>5724</v>
      </c>
      <c r="B5724" s="2" t="str">
        <f>IFERROR(__xludf.DUMMYFUNCTION("GOOGLETRANSLATE(A5724, ""en"", ""mt"")"),"Agħżel l-istudenti tagħhom")</f>
        <v>Agħżel l-istudenti tagħhom</v>
      </c>
    </row>
    <row r="5725" ht="15.75" customHeight="1">
      <c r="A5725" s="2" t="s">
        <v>5725</v>
      </c>
      <c r="B5725" s="2" t="str">
        <f>IFERROR(__xludf.DUMMYFUNCTION("GOOGLETRANSLATE(A5725, ""en"", ""mt"")"),"Is-sekli 16 u 17")</f>
        <v>Is-sekli 16 u 17</v>
      </c>
    </row>
    <row r="5726" ht="15.75" customHeight="1">
      <c r="A5726" s="2" t="s">
        <v>5726</v>
      </c>
      <c r="B5726" s="2" t="str">
        <f>IFERROR(__xludf.DUMMYFUNCTION("GOOGLETRANSLATE(A5726, ""en"", ""mt"")")," Meta ġie meqrud it-tip mobbli tal-fuħħar?")</f>
        <v> Meta ġie meqrud it-tip mobbli tal-fuħħar?</v>
      </c>
    </row>
    <row r="5727" ht="15.75" customHeight="1">
      <c r="A5727" s="2" t="s">
        <v>5727</v>
      </c>
      <c r="B5727" s="2" t="str">
        <f>IFERROR(__xludf.DUMMYFUNCTION("GOOGLETRANSLATE(A5727, ""en"", ""mt"")"),"Unità tal-Intelliġenza Ekonomista")</f>
        <v>Unità tal-Intelliġenza Ekonomista</v>
      </c>
    </row>
    <row r="5728" ht="15.75" customHeight="1">
      <c r="A5728" s="2" t="s">
        <v>5728</v>
      </c>
      <c r="B5728" s="2" t="str">
        <f>IFERROR(__xludf.DUMMYFUNCTION("GOOGLETRANSLATE(A5728, ""en"", ""mt"")"),"X'għandu effett aktar b'saħħtu waqt iċ-ċaħda fl-irqad?")</f>
        <v>X'għandu effett aktar b'saħħtu waqt iċ-ċaħda fl-irqad?</v>
      </c>
    </row>
    <row r="5729" ht="15.75" customHeight="1">
      <c r="A5729" s="2" t="s">
        <v>5729</v>
      </c>
      <c r="B5729" s="2" t="str">
        <f>IFERROR(__xludf.DUMMYFUNCTION("GOOGLETRANSLATE(A5729, ""en"", ""mt"")"),"F’dak li sar magħruf bħala l-massakru ta ’Jum San Bartolomew fl-24 ta’ Awwissu - 3 ta ’Ottubru 1572, il-Kattoliċi qatlu eluf ta’ Huguenots f’Pariġi. Massakri simili seħħew fi bliet oħra fil-ġimgħat ta ’wara. Il-bliet u l-ibliet provinċjali ewlenin li jesp"&amp;"erjenzaw il-massakru kienu Aix, Bordeaux, Bourges, Lyons, Meaux, Orleans, Rouen, Toulouse, u Troyes. Kważi 3,000 Protestant inqatlu f'Toulouse biss. L-għadd eżatt ta 'fatalitajiet madwar il-pajjiż mhux magħruf. Fit-23-24 ta ’Awwissu, bejn madwar 2,000 u 3"&amp;",000 Protestant inqatlu f’Pariġi u bejn 3,000 u 7,000 aktar fil-provinċji Franċiżi. Sal-17 ta ’Settembru, kważi 25,000 Protestant kienu ġew massakrati biss f’Pariġi. Lil hinn minn Pariġi, il-qtil kompla sat-3 ta ’Ottubru. Amnestija mogħtija fl-1573 maħfra"&amp;" lill-awturi. [Ċitazzjoni meħtieġa]")</f>
        <v>F’dak li sar magħruf bħala l-massakru ta ’Jum San Bartolomew fl-24 ta’ Awwissu - 3 ta ’Ottubru 1572, il-Kattoliċi qatlu eluf ta’ Huguenots f’Pariġi. Massakri simili seħħew fi bliet oħra fil-ġimgħat ta ’wara. Il-bliet u l-ibliet provinċjali ewlenin li jesperjenzaw il-massakru kienu Aix, Bordeaux, Bourges, Lyons, Meaux, Orleans, Rouen, Toulouse, u Troyes. Kważi 3,000 Protestant inqatlu f'Toulouse biss. L-għadd eżatt ta 'fatalitajiet madwar il-pajjiż mhux magħruf. Fit-23-24 ta ’Awwissu, bejn madwar 2,000 u 3,000 Protestant inqatlu f’Pariġi u bejn 3,000 u 7,000 aktar fil-provinċji Franċiżi. Sal-17 ta ’Settembru, kważi 25,000 Protestant kienu ġew massakrati biss f’Pariġi. Lil hinn minn Pariġi, il-qtil kompla sat-3 ta ’Ottubru. Amnestija mogħtija fl-1573 maħfra lill-awturi. [Ċitazzjoni meħtieġa]</v>
      </c>
    </row>
    <row r="5730" ht="15.75" customHeight="1">
      <c r="A5730" s="2" t="s">
        <v>5730</v>
      </c>
      <c r="B5730" s="2" t="str">
        <f>IFERROR(__xludf.DUMMYFUNCTION("GOOGLETRANSLATE(A5730, ""en"", ""mt"")"),"l-istat")</f>
        <v>l-istat</v>
      </c>
    </row>
    <row r="5731" ht="15.75" customHeight="1">
      <c r="A5731" s="2" t="s">
        <v>5731</v>
      </c>
      <c r="B5731" s="2" t="str">
        <f>IFERROR(__xludf.DUMMYFUNCTION("GOOGLETRANSLATE(A5731, ""en"", ""mt"")"),"Kemm għamlet Sky biex tirbaħ l-4 pacakges imxandra li xtraw?")</f>
        <v>Kemm għamlet Sky biex tirbaħ l-4 pacakges imxandra li xtraw?</v>
      </c>
    </row>
    <row r="5732" ht="15.75" customHeight="1">
      <c r="A5732" s="2" t="s">
        <v>5732</v>
      </c>
      <c r="B5732" s="2" t="str">
        <f>IFERROR(__xludf.DUMMYFUNCTION("GOOGLETRANSLATE(A5732, ""en"", ""mt"")"),"Fost stati fl-Istati Uniti b'inugwaljanzi ta 'dħul akbar")</f>
        <v>Fost stati fl-Istati Uniti b'inugwaljanzi ta 'dħul akbar</v>
      </c>
    </row>
    <row r="5733" ht="15.75" customHeight="1">
      <c r="A5733" s="2" t="s">
        <v>5733</v>
      </c>
      <c r="B5733" s="2" t="str">
        <f>IFERROR(__xludf.DUMMYFUNCTION("GOOGLETRANSLATE(A5733, ""en"", ""mt"")"),"Harvard")</f>
        <v>Harvard</v>
      </c>
    </row>
    <row r="5734" ht="15.75" customHeight="1">
      <c r="A5734" s="2" t="s">
        <v>5734</v>
      </c>
      <c r="B5734" s="2" t="str">
        <f>IFERROR(__xludf.DUMMYFUNCTION("GOOGLETRANSLATE(A5734, ""en"", ""mt"")"),"Kull meta ltaqa 'ma' negozjanti Ingliżi jew negozji tal-pil, Céloron għarrafhom bit-talbiet Franċiżi fit-territorju u qalilhom biex jitilqu.")</f>
        <v>Kull meta ltaqa 'ma' negozjanti Ingliżi jew negozji tal-pil, Céloron għarrafhom bit-talbiet Franċiżi fit-territorju u qalilhom biex jitilqu.</v>
      </c>
    </row>
    <row r="5735" ht="15.75" customHeight="1">
      <c r="A5735" s="2" t="s">
        <v>5735</v>
      </c>
      <c r="B5735" s="2" t="str">
        <f>IFERROR(__xludf.DUMMYFUNCTION("GOOGLETRANSLATE(A5735, ""en"", ""mt"")"),"strajkijiet minn minaturi tal-faħam u ħaddiema tal-ferrovija")</f>
        <v>strajkijiet minn minaturi tal-faħam u ħaddiema tal-ferrovija</v>
      </c>
    </row>
    <row r="5736" ht="15.75" customHeight="1">
      <c r="A5736" s="2" t="s">
        <v>5736</v>
      </c>
      <c r="B5736" s="2" t="str">
        <f>IFERROR(__xludf.DUMMYFUNCTION("GOOGLETRANSLATE(A5736, ""en"", ""mt"")"),"Liema kumpaniji ewlenin għandhom kwartjieri ġenerali f'Los Angeles?")</f>
        <v>Liema kumpaniji ewlenin għandhom kwartjieri ġenerali f'Los Angeles?</v>
      </c>
    </row>
    <row r="5737" ht="15.75" customHeight="1">
      <c r="A5737" s="2" t="s">
        <v>5737</v>
      </c>
      <c r="B5737" s="2" t="str">
        <f>IFERROR(__xludf.DUMMYFUNCTION("GOOGLETRANSLATE(A5737, ""en"", ""mt"")"),"Liema grupp jeħtieġ li jiddeċiedi jekk għandhomx jagħmlu motiv kreattiv jew le?")</f>
        <v>Liema grupp jeħtieġ li jiddeċiedi jekk għandhomx jagħmlu motiv kreattiv jew le?</v>
      </c>
    </row>
    <row r="5738" ht="15.75" customHeight="1">
      <c r="A5738" s="2" t="s">
        <v>5738</v>
      </c>
      <c r="B5738" s="2" t="str">
        <f>IFERROR(__xludf.DUMMYFUNCTION("GOOGLETRANSLATE(A5738, ""en"", ""mt"")"),"Liema tweġiba immuni mhix speċifika għall-antiġen?")</f>
        <v>Liema tweġiba immuni mhix speċifika għall-antiġen?</v>
      </c>
    </row>
    <row r="5739" ht="15.75" customHeight="1">
      <c r="A5739" s="2" t="s">
        <v>5739</v>
      </c>
      <c r="B5739" s="2" t="str">
        <f>IFERROR(__xludf.DUMMYFUNCTION("GOOGLETRANSLATE(A5739, ""en"", ""mt"")"),"Kemm kellu Chopin meta mar joqgħod Wola mal-familja tiegħu?")</f>
        <v>Kemm kellu Chopin meta mar joqgħod Wola mal-familja tiegħu?</v>
      </c>
    </row>
    <row r="5740" ht="15.75" customHeight="1">
      <c r="A5740" s="2" t="s">
        <v>5740</v>
      </c>
      <c r="B5740" s="2" t="str">
        <f>IFERROR(__xludf.DUMMYFUNCTION("GOOGLETRANSLATE(A5740, ""en"", ""mt"")"),"il-konvenjenza tal-ferrovija u mħassba dwar l-għargħar")</f>
        <v>il-konvenjenza tal-ferrovija u mħassba dwar l-għargħar</v>
      </c>
    </row>
    <row r="5741" ht="15.75" customHeight="1">
      <c r="A5741" s="2" t="s">
        <v>5741</v>
      </c>
      <c r="B5741" s="2" t="str">
        <f>IFERROR(__xludf.DUMMYFUNCTION("GOOGLETRANSLATE(A5741, ""en"", ""mt"")")," Liema dinastija illeġittima waslet quddiem il-wan?")</f>
        <v> Liema dinastija illeġittima waslet quddiem il-wan?</v>
      </c>
    </row>
    <row r="5742" ht="15.75" customHeight="1">
      <c r="A5742" s="2" t="s">
        <v>5742</v>
      </c>
      <c r="B5742" s="2" t="str">
        <f>IFERROR(__xludf.DUMMYFUNCTION("GOOGLETRANSLATE(A5742, ""en"", ""mt"")"),"Min iservi bħala avukat ġenerali kif ukoll bħala konsulent politiku ewlieni għall-president?")</f>
        <v>Min iservi bħala avukat ġenerali kif ukoll bħala konsulent politiku ewlieni għall-president?</v>
      </c>
    </row>
    <row r="5743" ht="15.75" customHeight="1">
      <c r="A5743" s="2" t="s">
        <v>5743</v>
      </c>
      <c r="B5743" s="2" t="str">
        <f>IFERROR(__xludf.DUMMYFUNCTION("GOOGLETRANSLATE(A5743, ""en"", ""mt"")"),"X'inhuma l-Ingliżi li jitkellmu bil-Siouan?")</f>
        <v>X'inhuma l-Ingliżi li jitkellmu bil-Siouan?</v>
      </c>
    </row>
    <row r="5744" ht="15.75" customHeight="1">
      <c r="A5744" s="2" t="s">
        <v>5744</v>
      </c>
      <c r="B5744" s="2" t="str">
        <f>IFERROR(__xludf.DUMMYFUNCTION("GOOGLETRANSLATE(A5744, ""en"", ""mt"")"),"Meta kien rifless il-kumpless politiku militari fl-ambitu tal-fehim tal-imperjalizmu?")</f>
        <v>Meta kien rifless il-kumpless politiku militari fl-ambitu tal-fehim tal-imperjalizmu?</v>
      </c>
    </row>
    <row r="5745" ht="15.75" customHeight="1">
      <c r="A5745" s="2" t="s">
        <v>5745</v>
      </c>
      <c r="B5745" s="2" t="str">
        <f>IFERROR(__xludf.DUMMYFUNCTION("GOOGLETRANSLATE(A5745, ""en"", ""mt"")"),"Min għamel kejl sperimentali fuq magna tal-fwar tal-mudell?")</f>
        <v>Min għamel kejl sperimentali fuq magna tal-fwar tal-mudell?</v>
      </c>
    </row>
    <row r="5746" ht="15.75" customHeight="1">
      <c r="A5746" s="2" t="s">
        <v>5746</v>
      </c>
      <c r="B5746" s="2" t="str">
        <f>IFERROR(__xludf.DUMMYFUNCTION("GOOGLETRANSLATE(A5746, ""en"", ""mt"")"),"Ċilindru li joxxilla")</f>
        <v>Ċilindru li joxxilla</v>
      </c>
    </row>
    <row r="5747" ht="15.75" customHeight="1">
      <c r="A5747" s="2" t="s">
        <v>5747</v>
      </c>
      <c r="B5747" s="2" t="str">
        <f>IFERROR(__xludf.DUMMYFUNCTION("GOOGLETRANSLATE(A5747, ""en"", ""mt"")"),"L-ekonomija tar-Rabat hija diversifikata ħafna: setturi tas-servizzi li jinkludu servizzi finanzjarji u tal-propjetà, saħħa, edukazzjoni, bejgħ bl-ingrossa, bejgħ bl-imnut, ospitalità u manifattura jikkostitwixxu l-maġġoranza tal-impjiegi. Il-prodott tota"&amp;"li ta 'l-istat gross ta' Victoria (GSP) huwa kklassifikat it-tieni fl-Awstralja, għalkemm ir-Rabat hija kklassifikata r-raba 'f'termini ta' GSP per capita minħabba l-attività limitata tagħha tal-minjieri. Kulturalment, Melbourne hija dar għal numru ta 'mu"&amp;"żewijiet, galleriji tal-arti u teatri u hija deskritta wkoll bħala l- ""kapitali sportiva tal-Awstralja"". Il-Melbourne Cricket Ground huwa l-akbar grawnd fl-Awstralja, u l-ospitanti tal-Olimpjadi tas-Sajf tal-1956 u l-Logħob tal-Commonwealth tal-2006. L-"&amp;"art hija meqjusa wkoll bħala d- ""dar spiritwali"" tal-cricket Awstraljan u r-regoli Awstraljani tal-futbol, ​​u tospita l-finali tal-Lega tal-Futbol Awstraljan (AFL) kull sena, ġeneralment tiġbed folol ta 'aktar minn 95,000 persuna. Ir-Rabat tinkludi tmi"&amp;"en universitajiet pubbliċi, bl-eqdem, l-Università ta ’Melbourne, wara li twaqqfet fl-1853.")</f>
        <v>L-ekonomija tar-Rabat hija diversifikata ħafna: setturi tas-servizzi li jinkludu servizzi finanzjarji u tal-propjetà, saħħa, edukazzjoni, bejgħ bl-ingrossa, bejgħ bl-imnut, ospitalità u manifattura jikkostitwixxu l-maġġoranza tal-impjiegi. Il-prodott totali ta 'l-istat gross ta' Victoria (GSP) huwa kklassifikat it-tieni fl-Awstralja, għalkemm ir-Rabat hija kklassifikata r-raba 'f'termini ta' GSP per capita minħabba l-attività limitata tagħha tal-minjieri. Kulturalment, Melbourne hija dar għal numru ta 'mużewijiet, galleriji tal-arti u teatri u hija deskritta wkoll bħala l- "kapitali sportiva tal-Awstralja". Il-Melbourne Cricket Ground huwa l-akbar grawnd fl-Awstralja, u l-ospitanti tal-Olimpjadi tas-Sajf tal-1956 u l-Logħob tal-Commonwealth tal-2006. L-art hija meqjusa wkoll bħala d- "dar spiritwali" tal-cricket Awstraljan u r-regoli Awstraljani tal-futbol, ​​u tospita l-finali tal-Lega tal-Futbol Awstraljan (AFL) kull sena, ġeneralment tiġbed folol ta 'aktar minn 95,000 persuna. Ir-Rabat tinkludi tmien universitajiet pubbliċi, bl-eqdem, l-Università ta ’Melbourne, wara li twaqqfet fl-1853.</v>
      </c>
    </row>
    <row r="5748" ht="15.75" customHeight="1">
      <c r="A5748" s="2" t="s">
        <v>5748</v>
      </c>
      <c r="B5748" s="2" t="str">
        <f>IFERROR(__xludf.DUMMYFUNCTION("GOOGLETRANSLATE(A5748, ""en"", ""mt"")"),"il-metodu D'Hondt")</f>
        <v>il-metodu D'Hondt</v>
      </c>
    </row>
    <row r="5749" ht="15.75" customHeight="1">
      <c r="A5749" s="2" t="s">
        <v>5749</v>
      </c>
      <c r="B5749" s="2" t="str">
        <f>IFERROR(__xludf.DUMMYFUNCTION("GOOGLETRANSLATE(A5749, ""en"", ""mt"")"),"NP-Intermedjat")</f>
        <v>NP-Intermedjat</v>
      </c>
    </row>
    <row r="5750" ht="15.75" customHeight="1">
      <c r="A5750" s="2" t="s">
        <v>5750</v>
      </c>
      <c r="B5750" s="2" t="str">
        <f>IFERROR(__xludf.DUMMYFUNCTION("GOOGLETRANSLATE(A5750, ""en"", ""mt"")")," X’ma kienx l-Islam apolitiku?")</f>
        <v> X’ma kienx l-Islam apolitiku?</v>
      </c>
    </row>
    <row r="5751" ht="15.75" customHeight="1">
      <c r="A5751" s="2" t="s">
        <v>5751</v>
      </c>
      <c r="B5751" s="2" t="str">
        <f>IFERROR(__xludf.DUMMYFUNCTION("GOOGLETRANSLATE(A5751, ""en"", ""mt"")"),"biex jagħżlu l-istudenti tagħhom")</f>
        <v>biex jagħżlu l-istudenti tagħhom</v>
      </c>
    </row>
    <row r="5752" ht="15.75" customHeight="1">
      <c r="A5752" s="2" t="s">
        <v>5752</v>
      </c>
      <c r="B5752" s="2" t="str">
        <f>IFERROR(__xludf.DUMMYFUNCTION("GOOGLETRANSLATE(A5752, ""en"", ""mt"")"),"ħati li ma għamel l-ebda ħażin")</f>
        <v>ħati li ma għamel l-ebda ħażin</v>
      </c>
    </row>
    <row r="5753" ht="15.75" customHeight="1">
      <c r="A5753" s="2" t="s">
        <v>5753</v>
      </c>
      <c r="B5753" s="2" t="str">
        <f>IFERROR(__xludf.DUMMYFUNCTION("GOOGLETRANSLATE(A5753, ""en"", ""mt"")"),"Min irċieva l-ewwel brevett tal-magna tal-kamra?")</f>
        <v>Min irċieva l-ewwel brevett tal-magna tal-kamra?</v>
      </c>
    </row>
    <row r="5754" ht="15.75" customHeight="1">
      <c r="A5754" s="2" t="s">
        <v>5754</v>
      </c>
      <c r="B5754" s="2" t="str">
        <f>IFERROR(__xludf.DUMMYFUNCTION("GOOGLETRANSLATE(A5754, ""en"", ""mt"")"),"Fit-tarf dejqa")</f>
        <v>Fit-tarf dejqa</v>
      </c>
    </row>
    <row r="5755" ht="15.75" customHeight="1">
      <c r="A5755" s="2" t="s">
        <v>5755</v>
      </c>
      <c r="B5755" s="2" t="str">
        <f>IFERROR(__xludf.DUMMYFUNCTION("GOOGLETRANSLATE(A5755, ""en"", ""mt"")"),"sekulariżmu")</f>
        <v>sekulariżmu</v>
      </c>
    </row>
    <row r="5756" ht="15.75" customHeight="1">
      <c r="A5756" s="2" t="s">
        <v>5756</v>
      </c>
      <c r="B5756" s="2" t="str">
        <f>IFERROR(__xludf.DUMMYFUNCTION("GOOGLETRANSLATE(A5756, ""en"", ""mt"")"),"Rajthom bħala Ċiniżi wisq")</f>
        <v>Rajthom bħala Ċiniżi wisq</v>
      </c>
    </row>
    <row r="5757" ht="15.75" customHeight="1">
      <c r="A5757" s="2" t="s">
        <v>5757</v>
      </c>
      <c r="B5757" s="2" t="str">
        <f>IFERROR(__xludf.DUMMYFUNCTION("GOOGLETRANSLATE(A5757, ""en"", ""mt"")"),"Spjegazzjonijiet huma raġonevolment appoġġati tajjeb")</f>
        <v>Spjegazzjonijiet huma raġonevolment appoġġati tajjeb</v>
      </c>
    </row>
    <row r="5758" ht="15.75" customHeight="1">
      <c r="A5758" s="2" t="s">
        <v>5758</v>
      </c>
      <c r="B5758" s="2" t="str">
        <f>IFERROR(__xludf.DUMMYFUNCTION("GOOGLETRANSLATE(A5758, ""en"", ""mt"")"),"Għal xiex tittraduċi l-kelma Seerhein?")</f>
        <v>Għal xiex tittraduċi l-kelma Seerhein?</v>
      </c>
    </row>
    <row r="5759" ht="15.75" customHeight="1">
      <c r="A5759" s="2" t="s">
        <v>5759</v>
      </c>
      <c r="B5759" s="2" t="str">
        <f>IFERROR(__xludf.DUMMYFUNCTION("GOOGLETRANSLATE(A5759, ""en"", ""mt"")"),"Tliet mużewijiet.")</f>
        <v>Tliet mużewijiet.</v>
      </c>
    </row>
    <row r="5760" ht="15.75" customHeight="1">
      <c r="A5760" s="2" t="s">
        <v>5760</v>
      </c>
      <c r="B5760" s="2" t="str">
        <f>IFERROR(__xludf.DUMMYFUNCTION("GOOGLETRANSLATE(A5760, ""en"", ""mt"")"),"Ġenerali Ban Ki-moon")</f>
        <v>Ġenerali Ban Ki-moon</v>
      </c>
    </row>
    <row r="5761" ht="15.75" customHeight="1">
      <c r="A5761" s="2" t="s">
        <v>5761</v>
      </c>
      <c r="B5761" s="2" t="str">
        <f>IFERROR(__xludf.DUMMYFUNCTION("GOOGLETRANSLATE(A5761, ""en"", ""mt"")"),"Għaliex in-nodu huwa meħtieġ biex tfittex")</f>
        <v>Għaliex in-nodu huwa meħtieġ biex tfittex</v>
      </c>
    </row>
    <row r="5762" ht="15.75" customHeight="1">
      <c r="A5762" s="2" t="s">
        <v>5762</v>
      </c>
      <c r="B5762" s="2" t="str">
        <f>IFERROR(__xludf.DUMMYFUNCTION("GOOGLETRANSLATE(A5762, ""en"", ""mt"")"),"huma ġġudikati ""ħażin"" minn kuxjenza individwali")</f>
        <v>huma ġġudikati "ħażin" minn kuxjenza individwali</v>
      </c>
    </row>
    <row r="5763" ht="15.75" customHeight="1">
      <c r="A5763" s="2" t="s">
        <v>5763</v>
      </c>
      <c r="B5763" s="2" t="str">
        <f>IFERROR(__xludf.DUMMYFUNCTION("GOOGLETRANSLATE(A5763, ""en"", ""mt"")"),"X'kien wieħed mill-pajjiżi li kellhom irħula alpini iżolati?")</f>
        <v>X'kien wieħed mill-pajjiżi li kellhom irħula alpini iżolati?</v>
      </c>
    </row>
    <row r="5764" ht="15.75" customHeight="1">
      <c r="A5764" s="2" t="s">
        <v>5764</v>
      </c>
      <c r="B5764" s="2" t="str">
        <f>IFERROR(__xludf.DUMMYFUNCTION("GOOGLETRANSLATE(A5764, ""en"", ""mt"")"),"li tikkonferma l-pożizzjoni tal-Gran Brittanja bħala l-poter kolonjali dominanti fil-Lvant ta ’l-Amerika")</f>
        <v>li tikkonferma l-pożizzjoni tal-Gran Brittanja bħala l-poter kolonjali dominanti fil-Lvant ta ’l-Amerika</v>
      </c>
    </row>
    <row r="5765" ht="15.75" customHeight="1">
      <c r="A5765" s="2" t="s">
        <v>5765</v>
      </c>
      <c r="B5765" s="2" t="str">
        <f>IFERROR(__xludf.DUMMYFUNCTION("GOOGLETRANSLATE(A5765, ""en"", ""mt"")"),"Greenland")</f>
        <v>Greenland</v>
      </c>
    </row>
    <row r="5766" ht="15.75" customHeight="1">
      <c r="A5766" s="2" t="s">
        <v>5766</v>
      </c>
      <c r="B5766" s="2" t="str">
        <f>IFERROR(__xludf.DUMMYFUNCTION("GOOGLETRANSLATE(A5766, ""en"", ""mt"")"),"Liema grupp razzjali żdied mill-1970?")</f>
        <v>Liema grupp razzjali żdied mill-1970?</v>
      </c>
    </row>
    <row r="5767" ht="15.75" customHeight="1">
      <c r="A5767" s="2" t="s">
        <v>5767</v>
      </c>
      <c r="B5767" s="2" t="str">
        <f>IFERROR(__xludf.DUMMYFUNCTION("GOOGLETRANSLATE(A5767, ""en"", ""mt"")"),"L-10 u l-11-il seklu")</f>
        <v>L-10 u l-11-il seklu</v>
      </c>
    </row>
    <row r="5768" ht="15.75" customHeight="1">
      <c r="A5768" s="2" t="s">
        <v>5768</v>
      </c>
      <c r="B5768" s="2" t="str">
        <f>IFERROR(__xludf.DUMMYFUNCTION("GOOGLETRANSLATE(A5768, ""en"", ""mt"")"),"Liema park ikopri żona ta '76 ettari.?")</f>
        <v>Liema park ikopri żona ta '76 ettari.?</v>
      </c>
    </row>
    <row r="5769" ht="15.75" customHeight="1">
      <c r="A5769" s="2" t="s">
        <v>5769</v>
      </c>
      <c r="B5769" s="2" t="str">
        <f>IFERROR(__xludf.DUMMYFUNCTION("GOOGLETRANSLATE(A5769, ""en"", ""mt"")"),"F'liema sena saru l-ewwel esperimenti magħrufa dwar il-kombustjoni u l-arja?")</f>
        <v>F'liema sena saru l-ewwel esperimenti magħrufa dwar il-kombustjoni u l-arja?</v>
      </c>
    </row>
    <row r="5770" ht="15.75" customHeight="1">
      <c r="A5770" s="2" t="s">
        <v>5770</v>
      </c>
      <c r="B5770" s="2" t="str">
        <f>IFERROR(__xludf.DUMMYFUNCTION("GOOGLETRANSLATE(A5770, ""en"", ""mt"")"),"Kemm mill-popolazzjoni tal-istudenti marret fi skejjel privati ​​fl-1984?")</f>
        <v>Kemm mill-popolazzjoni tal-istudenti marret fi skejjel privati ​​fl-1984?</v>
      </c>
    </row>
    <row r="5771" ht="15.75" customHeight="1">
      <c r="A5771" s="2" t="s">
        <v>5771</v>
      </c>
      <c r="B5771" s="2" t="str">
        <f>IFERROR(__xludf.DUMMYFUNCTION("GOOGLETRANSLATE(A5771, ""en"", ""mt"")"),"Xi drabi ma jgħinx l-algoritmi jsolvu problemi b'mod aktar effiċjenti?")</f>
        <v>Xi drabi ma jgħinx l-algoritmi jsolvu problemi b'mod aktar effiċjenti?</v>
      </c>
    </row>
    <row r="5772" ht="15.75" customHeight="1">
      <c r="A5772" s="2" t="s">
        <v>5772</v>
      </c>
      <c r="B5772" s="2" t="str">
        <f>IFERROR(__xludf.DUMMYFUNCTION("GOOGLETRANSLATE(A5772, ""en"", ""mt"")"),"X'inhi ħaġa waħda li s-saffi ta 'l-irmied jistgħu jintużaw biex jiddeterminaw fil-kannizzata tal-kristall?")</f>
        <v>X'inhi ħaġa waħda li s-saffi ta 'l-irmied jistgħu jintużaw biex jiddeterminaw fil-kannizzata tal-kristall?</v>
      </c>
    </row>
    <row r="5773" ht="15.75" customHeight="1">
      <c r="A5773" s="2" t="s">
        <v>5773</v>
      </c>
      <c r="B5773" s="2" t="str">
        <f>IFERROR(__xludf.DUMMYFUNCTION("GOOGLETRANSLATE(A5773, ""en"", ""mt"")"),"Kważi l-impjanti tal-enerġija nukleari kollha jiġġeneraw l-elettriku billi jsaħħnu l-ilma biex jipprovdu fwar li jmexxi turbina konnessa ma 'ġeneratur elettriku. Vapuri u sottomarini li jaħdmu bl-enerġija nukleari jew jużaw turbina tal-fwar direttament għ"&amp;"all-propulsjoni ewlenija, bil-ġeneraturi jipprovdu enerġija awżiljarja, jew inkella jimpjegaw trasmissjoni turbo-elettrika, fejn il-fwar isuq ġeneratur turbo stabbilit bil-propulsjoni pprovduta minn muturi elettriċi. Numru limitat ta 'lokomottivi tal-ferr"&amp;"ovija tat-turbina bil-fwar ġew manifatturati. Xi lokomottivi li ma jikkondensawx li jmexxu dirett iltaqgħu ma 'xi suċċess għal operazzjonijiet ta' merkanzija ta 'ġibda twila fl-Iżvezja u għal xogħol ta' passiġġieri espressi fil-Gran Brittanja, iżda ma kin"&amp;"ux ripetuti. X'imkien ieħor, l-aktar fl-Istati Uniti, disinji aktar avvanzati bi trasmissjoni elettrika ġew mibnija b'mod sperimentali, iżda mhux riprodotti. Instab li t-turbini tal-fwar ma kinux idealment adattati għall-ambjent tal-ferrovija u dawn il-lo"&amp;"komottivi naqsu milli jneħħu l-unità tal-fwar reċiprokanti klassiċi bil-mod li għamlu t-trazzjoni tad-diżil modern u l-elettriku. [Ċitazzjoni meħtieġa]")</f>
        <v>Kważi l-impjanti tal-enerġija nukleari kollha jiġġeneraw l-elettriku billi jsaħħnu l-ilma biex jipprovdu fwar li jmexxi turbina konnessa ma 'ġeneratur elettriku. Vapuri u sottomarini li jaħdmu bl-enerġija nukleari jew jużaw turbina tal-fwar direttament għall-propulsjoni ewlenija, bil-ġeneraturi jipprovdu enerġija awżiljarja, jew inkella jimpjegaw trasmissjoni turbo-elettrika, fejn il-fwar isuq ġeneratur turbo stabbilit bil-propulsjoni pprovduta minn muturi elettriċi. Numru limitat ta 'lokomottivi tal-ferrovija tat-turbina bil-fwar ġew manifatturati. Xi lokomottivi li ma jikkondensawx li jmexxu dirett iltaqgħu ma 'xi suċċess għal operazzjonijiet ta' merkanzija ta 'ġibda twila fl-Iżvezja u għal xogħol ta' passiġġieri espressi fil-Gran Brittanja, iżda ma kinux ripetuti. X'imkien ieħor, l-aktar fl-Istati Uniti, disinji aktar avvanzati bi trasmissjoni elettrika ġew mibnija b'mod sperimentali, iżda mhux riprodotti. Instab li t-turbini tal-fwar ma kinux idealment adattati għall-ambjent tal-ferrovija u dawn il-lokomottivi naqsu milli jneħħu l-unità tal-fwar reċiprokanti klassiċi bil-mod li għamlu t-trazzjoni tad-diżil modern u l-elettriku. [Ċitazzjoni meħtieġa]</v>
      </c>
    </row>
    <row r="5774" ht="15.75" customHeight="1">
      <c r="A5774" s="2" t="s">
        <v>5774</v>
      </c>
      <c r="B5774" s="2" t="str">
        <f>IFERROR(__xludf.DUMMYFUNCTION("GOOGLETRANSLATE(A5774, ""en"", ""mt"")"),"Ġeoloġija")</f>
        <v>Ġeoloġija</v>
      </c>
    </row>
    <row r="5775" ht="15.75" customHeight="1">
      <c r="A5775" s="2" t="s">
        <v>5775</v>
      </c>
      <c r="B5775" s="2" t="str">
        <f>IFERROR(__xludf.DUMMYFUNCTION("GOOGLETRANSLATE(A5775, ""en"", ""mt"")")," X'kien l-isem ta 'l-istil Ġappuniż ta' Tugh?")</f>
        <v> X'kien l-isem ta 'l-istil Ġappuniż ta' Tugh?</v>
      </c>
    </row>
    <row r="5776" ht="15.75" customHeight="1">
      <c r="A5776" s="2" t="s">
        <v>5776</v>
      </c>
      <c r="B5776" s="2" t="str">
        <f>IFERROR(__xludf.DUMMYFUNCTION("GOOGLETRANSLATE(A5776, ""en"", ""mt"")"),"Minn fejn oriġina l-pesta?")</f>
        <v>Minn fejn oriġina l-pesta?</v>
      </c>
    </row>
    <row r="5777" ht="15.75" customHeight="1">
      <c r="A5777" s="2" t="s">
        <v>5777</v>
      </c>
      <c r="B5777" s="2" t="str">
        <f>IFERROR(__xludf.DUMMYFUNCTION("GOOGLETRANSLATE(A5777, ""en"", ""mt"")"),"Kemm kien twil it-Teatru Leon fl-operazzjoni?")</f>
        <v>Kemm kien twil it-Teatru Leon fl-operazzjoni?</v>
      </c>
    </row>
    <row r="5778" ht="15.75" customHeight="1">
      <c r="A5778" s="2" t="s">
        <v>5778</v>
      </c>
      <c r="B5778" s="2" t="str">
        <f>IFERROR(__xludf.DUMMYFUNCTION("GOOGLETRANSLATE(A5778, ""en"", ""mt"")"),"plaċebo")</f>
        <v>plaċebo</v>
      </c>
    </row>
    <row r="5779" ht="15.75" customHeight="1">
      <c r="A5779" s="2" t="s">
        <v>5779</v>
      </c>
      <c r="B5779" s="2" t="str">
        <f>IFERROR(__xludf.DUMMYFUNCTION("GOOGLETRANSLATE(A5779, ""en"", ""mt"")"),"Cape Town")</f>
        <v>Cape Town</v>
      </c>
    </row>
    <row r="5780" ht="15.75" customHeight="1">
      <c r="A5780" s="2" t="s">
        <v>5780</v>
      </c>
      <c r="B5780" s="2" t="str">
        <f>IFERROR(__xludf.DUMMYFUNCTION("GOOGLETRANSLATE(A5780, ""en"", ""mt"")"),"Kif jissejħu l-istadji fil-magna kompost?")</f>
        <v>Kif jissejħu l-istadji fil-magna kompost?</v>
      </c>
    </row>
    <row r="5781" ht="15.75" customHeight="1">
      <c r="A5781" s="2" t="s">
        <v>5781</v>
      </c>
      <c r="B5781" s="2" t="str">
        <f>IFERROR(__xludf.DUMMYFUNCTION("GOOGLETRANSLATE(A5781, ""en"", ""mt"")"),"Kif jitqassam id-dħul fl-Iżvezja?")</f>
        <v>Kif jitqassam id-dħul fl-Iżvezja?</v>
      </c>
    </row>
    <row r="5782" ht="15.75" customHeight="1">
      <c r="A5782" s="2" t="s">
        <v>5782</v>
      </c>
      <c r="B5782" s="2" t="str">
        <f>IFERROR(__xludf.DUMMYFUNCTION("GOOGLETRANSLATE(A5782, ""en"", ""mt"")"),"Il-Beroida")</f>
        <v>Il-Beroida</v>
      </c>
    </row>
    <row r="5783" ht="15.75" customHeight="1">
      <c r="A5783" s="2" t="s">
        <v>5783</v>
      </c>
      <c r="B5783" s="2" t="str">
        <f>IFERROR(__xludf.DUMMYFUNCTION("GOOGLETRANSLATE(A5783, ""en"", ""mt"")"),"Meta liema huma ppakkjati flimkien laxk m'hemmx biżżejjed enerġija aktar baxxa?")</f>
        <v>Meta liema huma ppakkjati flimkien laxk m'hemmx biżżejjed enerġija aktar baxxa?</v>
      </c>
    </row>
    <row r="5784" ht="15.75" customHeight="1">
      <c r="A5784" s="2" t="s">
        <v>5784</v>
      </c>
      <c r="B5784" s="2" t="str">
        <f>IFERROR(__xludf.DUMMYFUNCTION("GOOGLETRANSLATE(A5784, ""en"", ""mt"")"),"Kelliema jinnominaw")</f>
        <v>Kelliema jinnominaw</v>
      </c>
    </row>
    <row r="5785" ht="15.75" customHeight="1">
      <c r="A5785" s="2" t="s">
        <v>5785</v>
      </c>
      <c r="B5785" s="2" t="str">
        <f>IFERROR(__xludf.DUMMYFUNCTION("GOOGLETRANSLATE(A5785, ""en"", ""mt"")"),"Il-problema tal-isomorfiżmu graff")</f>
        <v>Il-problema tal-isomorfiżmu graff</v>
      </c>
    </row>
    <row r="5786" ht="15.75" customHeight="1">
      <c r="A5786" s="2" t="s">
        <v>5786</v>
      </c>
      <c r="B5786" s="2" t="str">
        <f>IFERROR(__xludf.DUMMYFUNCTION("GOOGLETRANSLATE(A5786, ""en"", ""mt"")"),"Kemm it-trab jiġi minfuħ mis-Saħara kull sena?")</f>
        <v>Kemm it-trab jiġi minfuħ mis-Saħara kull sena?</v>
      </c>
    </row>
    <row r="5787" ht="15.75" customHeight="1">
      <c r="A5787" s="2" t="s">
        <v>5787</v>
      </c>
      <c r="B5787" s="2" t="str">
        <f>IFERROR(__xludf.DUMMYFUNCTION("GOOGLETRANSLATE(A5787, ""en"", ""mt"")"),"Odo")</f>
        <v>Odo</v>
      </c>
    </row>
    <row r="5788" ht="15.75" customHeight="1">
      <c r="A5788" s="2" t="s">
        <v>5788</v>
      </c>
      <c r="B5788" s="2" t="str">
        <f>IFERROR(__xludf.DUMMYFUNCTION("GOOGLETRANSLATE(A5788, ""en"", ""mt"")"),"X'inhi r-rata ta 'mortalità tal-pesta pnewmonika?")</f>
        <v>X'inhi r-rata ta 'mortalità tal-pesta pnewmonika?</v>
      </c>
    </row>
    <row r="5789" ht="15.75" customHeight="1">
      <c r="A5789" s="2" t="s">
        <v>5789</v>
      </c>
      <c r="B5789" s="2" t="str">
        <f>IFERROR(__xludf.DUMMYFUNCTION("GOOGLETRANSLATE(A5789, ""en"", ""mt"")"),"F'liema lingwa minbarra l-Ingliż kellu l-Parlament Skoċċiż li kellu laqgħat?")</f>
        <v>F'liema lingwa minbarra l-Ingliż kellu l-Parlament Skoċċiż li kellu laqgħat?</v>
      </c>
    </row>
    <row r="5790" ht="15.75" customHeight="1">
      <c r="A5790" s="2" t="s">
        <v>5790</v>
      </c>
      <c r="B5790" s="2" t="str">
        <f>IFERROR(__xludf.DUMMYFUNCTION("GOOGLETRANSLATE(A5790, ""en"", ""mt"")"),"Total stmat minn 75,000 sa 100,000 persuna")</f>
        <v>Total stmat minn 75,000 sa 100,000 persuna</v>
      </c>
    </row>
    <row r="5791" ht="15.75" customHeight="1">
      <c r="A5791" s="2" t="s">
        <v>5791</v>
      </c>
      <c r="B5791" s="2" t="str">
        <f>IFERROR(__xludf.DUMMYFUNCTION("GOOGLETRANSLATE(A5791, ""en"", ""mt"")"),"Partit Laburista Awstraljan")</f>
        <v>Partit Laburista Awstraljan</v>
      </c>
    </row>
    <row r="5792" ht="15.75" customHeight="1">
      <c r="A5792" s="2" t="s">
        <v>5792</v>
      </c>
      <c r="B5792" s="2" t="str">
        <f>IFERROR(__xludf.DUMMYFUNCTION("GOOGLETRANSLATE(A5792, ""en"", ""mt"")"),"Is-salarji tal-għalliema jitħallsu mill-istat")</f>
        <v>Is-salarji tal-għalliema jitħallsu mill-istat</v>
      </c>
    </row>
    <row r="5793" ht="15.75" customHeight="1">
      <c r="A5793" s="2" t="s">
        <v>5793</v>
      </c>
      <c r="B5793" s="2" t="str">
        <f>IFERROR(__xludf.DUMMYFUNCTION("GOOGLETRANSLATE(A5793, ""en"", ""mt"")"),"Perjodu tan-nofs ta 'l-antikità klassika")</f>
        <v>Perjodu tan-nofs ta 'l-antikità klassika</v>
      </c>
    </row>
    <row r="5794" ht="15.75" customHeight="1">
      <c r="A5794" s="2" t="s">
        <v>5794</v>
      </c>
      <c r="B5794" s="2" t="str">
        <f>IFERROR(__xludf.DUMMYFUNCTION("GOOGLETRANSLATE(A5794, ""en"", ""mt"")"),"Fejn marru l-iskarikar mill-glaċieri fl-Ewropa fl-aħħar era tas-silġ?")</f>
        <v>Fejn marru l-iskarikar mill-glaċieri fl-Ewropa fl-aħħar era tas-silġ?</v>
      </c>
    </row>
    <row r="5795" ht="15.75" customHeight="1">
      <c r="A5795" s="2" t="s">
        <v>5795</v>
      </c>
      <c r="B5795" s="2" t="str">
        <f>IFERROR(__xludf.DUMMYFUNCTION("GOOGLETRANSLATE(A5795, ""en"", ""mt"")"),"Liema industrija tal-Afrika t'Isfel niżlet mill-kolonizzaturi Huguenot?")</f>
        <v>Liema industrija tal-Afrika t'Isfel niżlet mill-kolonizzaturi Huguenot?</v>
      </c>
    </row>
    <row r="5796" ht="15.75" customHeight="1">
      <c r="A5796" s="2" t="s">
        <v>5796</v>
      </c>
      <c r="B5796" s="2" t="str">
        <f>IFERROR(__xludf.DUMMYFUNCTION("GOOGLETRANSLATE(A5796, ""en"", ""mt"")"),"Iffirmar tat-Trattat ta 'Aix-La-Chapelle")</f>
        <v>Iffirmar tat-Trattat ta 'Aix-La-Chapelle</v>
      </c>
    </row>
    <row r="5797" ht="15.75" customHeight="1">
      <c r="A5797" s="2" t="s">
        <v>5797</v>
      </c>
      <c r="B5797" s="2" t="str">
        <f>IFERROR(__xludf.DUMMYFUNCTION("GOOGLETRANSLATE(A5797, ""en"", ""mt"")"),"Awtoimmuni")</f>
        <v>Awtoimmuni</v>
      </c>
    </row>
    <row r="5798" ht="15.75" customHeight="1">
      <c r="A5798" s="2" t="s">
        <v>5798</v>
      </c>
      <c r="B5798" s="2" t="str">
        <f>IFERROR(__xludf.DUMMYFUNCTION("GOOGLETRANSLATE(A5798, ""en"", ""mt"")"),"Il-kummissarji għandhom diversi privileġġi, bħalma huma eżentati mit-taxxi tal-Istat Membru (iżda mhux it-taxxi tal-UE), u għandhom immunità mill-prosekuzzjoni talli għamlu atti uffiċjali. Xi drabi l-kummissarji nstabu li abbużaw mill-uffiċċji tagħhom, pa"&amp;"rtikolarment peress li l-Kummissjoni Santer ġiet iċċensurata mill-Parlament fl-1999, u eventwalment irriżenjaw minħabba allegazzjonijiet ta 'korruzzjoni. Dan irriżulta f'każ ewlieni wieħed, il-Kummissjoni v Edith Cresson fejn il-Qorti Ewropea tal-Ġustizzj"&amp;"a ddeċidiet li kummissarju li jagħti xogħol lid-dentist tagħha, li għalih kien ċar mhux kwalifikat, fil-fatt ma kiser l-ebda liġi. B'kuntrast mal-approċċ rilassat tal-ECJ, kumitat ta 'esperti indipendenti sab li kultura kienet żviluppat fejn ftit kummissa"&amp;"rji kellhom ""anke l-iċken sens ta' responsabbiltà"". Dan wassal għall-ħolqien tal-uffiċċju Ewropew kontra l-frodi. Fl-2012 hija investigat il-Kummissarju Malti għas-Saħħa, John Dalli, li malajr irriżenja wara allegazzjonijiet li rċieva tixħim ta '€ 60m b"&amp;"'rabta ma' direttiva dwar il-Prodotti tat-Tabakk. Lil hinn mill-Kummissjoni, il-Bank Ċentrali Ewropew għandu awtonomija eżekuttiva relattiva fit-tmexxija tiegħu tal-politika monetarja bl-iskop li timmaniġġja l-euro. Għandu bord ta 'sitt persuni maħtur mil"&amp;"l-Kunsill Ewropew, dwar ir-rakkomandazzjoni tal-Kunsill. Il-President tal-Kunsill u Kummissarju jistgħu joqogħdu fil-laqgħat tal-BĊE, iżda m'għandhomx drittijiet tal-vot.")</f>
        <v>Il-kummissarji għandhom diversi privileġġi, bħalma huma eżentati mit-taxxi tal-Istat Membru (iżda mhux it-taxxi tal-UE), u għandhom immunità mill-prosekuzzjoni talli għamlu atti uffiċjali. Xi drabi l-kummissarji nstabu li abbużaw mill-uffiċċji tagħhom, partikolarment peress li l-Kummissjoni Santer ġiet iċċensurata mill-Parlament fl-1999, u eventwalment irriżenjaw minħabba allegazzjonijiet ta 'korruzzjoni. Dan irriżulta f'każ ewlieni wieħed, il-Kummissjoni v Edith Cresson fejn il-Qorti Ewropea tal-Ġustizzja ddeċidiet li kummissarju li jagħti xogħol lid-dentist tagħha, li għalih kien ċar mhux kwalifikat, fil-fatt ma kiser l-ebda liġi. B'kuntrast mal-approċċ rilassat tal-ECJ, kumitat ta 'esperti indipendenti sab li kultura kienet żviluppat fejn ftit kummissarji kellhom "anke l-iċken sens ta' responsabbiltà". Dan wassal għall-ħolqien tal-uffiċċju Ewropew kontra l-frodi. Fl-2012 hija investigat il-Kummissarju Malti għas-Saħħa, John Dalli, li malajr irriżenja wara allegazzjonijiet li rċieva tixħim ta '€ 60m b'rabta ma' direttiva dwar il-Prodotti tat-Tabakk. Lil hinn mill-Kummissjoni, il-Bank Ċentrali Ewropew għandu awtonomija eżekuttiva relattiva fit-tmexxija tiegħu tal-politika monetarja bl-iskop li timmaniġġja l-euro. Għandu bord ta 'sitt persuni maħtur mill-Kunsill Ewropew, dwar ir-rakkomandazzjoni tal-Kunsill. Il-President tal-Kunsill u Kummissarju jistgħu joqogħdu fil-laqgħat tal-BĊE, iżda m'għandhomx drittijiet tal-vot.</v>
      </c>
    </row>
    <row r="5799" ht="15.75" customHeight="1">
      <c r="A5799" s="2" t="s">
        <v>5799</v>
      </c>
      <c r="B5799" s="2" t="str">
        <f>IFERROR(__xludf.DUMMYFUNCTION("GOOGLETRANSLATE(A5799, ""en"", ""mt"")"),"Għaliex xi kultant qed jagħti diskors sfidanti għall-individwu?")</f>
        <v>Għaliex xi kultant qed jagħti diskors sfidanti għall-individwu?</v>
      </c>
    </row>
    <row r="5800" ht="15.75" customHeight="1">
      <c r="A5800" s="2" t="s">
        <v>5800</v>
      </c>
      <c r="B5800" s="2" t="str">
        <f>IFERROR(__xludf.DUMMYFUNCTION("GOOGLETRANSLATE(A5800, ""en"", ""mt"")"),"tentakli u għant tat-tentaklu")</f>
        <v>tentakli u għant tat-tentaklu</v>
      </c>
    </row>
    <row r="5801" ht="15.75" customHeight="1">
      <c r="A5801" s="2" t="s">
        <v>5801</v>
      </c>
      <c r="B5801" s="2" t="str">
        <f>IFERROR(__xludf.DUMMYFUNCTION("GOOGLETRANSLATE(A5801, ""en"", ""mt"")"),"Problema tal-funzjoni hija eżempju ta 'xiex?")</f>
        <v>Problema tal-funzjoni hija eżempju ta 'xiex?</v>
      </c>
    </row>
    <row r="5802" ht="15.75" customHeight="1">
      <c r="A5802" s="2" t="s">
        <v>5802</v>
      </c>
      <c r="B5802" s="2" t="str">
        <f>IFERROR(__xludf.DUMMYFUNCTION("GOOGLETRANSLATE(A5802, ""en"", ""mt"")"),"Meta ġie ppubblikat studju li jikkonferma l-projezzjonijiet tal-IPCC tal-2001?")</f>
        <v>Meta ġie ppubblikat studju li jikkonferma l-projezzjonijiet tal-IPCC tal-2001?</v>
      </c>
    </row>
    <row r="5803" ht="15.75" customHeight="1">
      <c r="A5803" s="2" t="s">
        <v>5803</v>
      </c>
      <c r="B5803" s="2" t="str">
        <f>IFERROR(__xludf.DUMMYFUNCTION("GOOGLETRANSLATE(A5803, ""en"", ""mt"")"),"Kompli jaduraw fit-tradizzjoni Kattolika Rumana tagħhom, komplew is-sjieda tal-propjetà tagħhom, u d-dritt li jibqgħu mhux disturbati")</f>
        <v>Kompli jaduraw fit-tradizzjoni Kattolika Rumana tagħhom, komplew is-sjieda tal-propjetà tagħhom, u d-dritt li jibqgħu mhux disturbati</v>
      </c>
    </row>
    <row r="5804" ht="15.75" customHeight="1">
      <c r="A5804" s="2" t="s">
        <v>5804</v>
      </c>
      <c r="B5804" s="2" t="str">
        <f>IFERROR(__xludf.DUMMYFUNCTION("GOOGLETRANSLATE(A5804, ""en"", ""mt"")"),"Kgpe")</f>
        <v>Kgpe</v>
      </c>
    </row>
    <row r="5805" ht="15.75" customHeight="1">
      <c r="A5805" s="2" t="s">
        <v>5805</v>
      </c>
      <c r="B5805" s="2" t="str">
        <f>IFERROR(__xludf.DUMMYFUNCTION("GOOGLETRANSLATE(A5805, ""en"", ""mt"")"),"Liema ġerarkija finita timplika li l-problema tal-isomorfiżmu tal-graff hija kompluta NP?")</f>
        <v>Liema ġerarkija finita timplika li l-problema tal-isomorfiżmu tal-graff hija kompluta NP?</v>
      </c>
    </row>
    <row r="5806" ht="15.75" customHeight="1">
      <c r="A5806" s="2" t="s">
        <v>5806</v>
      </c>
      <c r="B5806" s="2" t="str">
        <f>IFERROR(__xludf.DUMMYFUNCTION("GOOGLETRANSLATE(A5806, ""en"", ""mt"")"),"X'inhuma kawżi oħra ta 'fatalità?")</f>
        <v>X'inhuma kawżi oħra ta 'fatalità?</v>
      </c>
    </row>
    <row r="5807" ht="15.75" customHeight="1">
      <c r="A5807" s="2" t="s">
        <v>5807</v>
      </c>
      <c r="B5807" s="2" t="str">
        <f>IFERROR(__xludf.DUMMYFUNCTION("GOOGLETRANSLATE(A5807, ""en"", ""mt"")"),"Fejn jistgħu jinstabu ċ-ctenophores f'ammonti kbar?")</f>
        <v>Fejn jistgħu jinstabu ċ-ctenophores f'ammonti kbar?</v>
      </c>
    </row>
    <row r="5808" ht="15.75" customHeight="1">
      <c r="A5808" s="2" t="s">
        <v>5808</v>
      </c>
      <c r="B5808" s="2" t="str">
        <f>IFERROR(__xludf.DUMMYFUNCTION("GOOGLETRANSLATE(A5808, ""en"", ""mt"")"),"2,000 bini")</f>
        <v>2,000 bini</v>
      </c>
    </row>
    <row r="5809" ht="15.75" customHeight="1">
      <c r="A5809" s="2" t="s">
        <v>5809</v>
      </c>
      <c r="B5809" s="2" t="str">
        <f>IFERROR(__xludf.DUMMYFUNCTION("GOOGLETRANSLATE(A5809, ""en"", ""mt"")"),"Ku Band")</f>
        <v>Ku Band</v>
      </c>
    </row>
    <row r="5810" ht="15.75" customHeight="1">
      <c r="A5810" s="2" t="s">
        <v>5810</v>
      </c>
      <c r="B5810" s="2" t="str">
        <f>IFERROR(__xludf.DUMMYFUNCTION("GOOGLETRANSLATE(A5810, ""en"", ""mt"")"),"Fejn jista 'l-interess innifsu tat-tabib ikun f'kontradizzjoni ma' l-interess innifsu tal-pazjent?")</f>
        <v>Fejn jista 'l-interess innifsu tat-tabib ikun f'kontradizzjoni ma' l-interess innifsu tal-pazjent?</v>
      </c>
    </row>
    <row r="5811" ht="15.75" customHeight="1">
      <c r="A5811" s="2" t="s">
        <v>5811</v>
      </c>
      <c r="B5811" s="2" t="str">
        <f>IFERROR(__xludf.DUMMYFUNCTION("GOOGLETRANSLATE(A5811, ""en"", ""mt"")"),"F'liema sena gradwat John Calvin mill-Università ta 'Pariġi?")</f>
        <v>F'liema sena gradwat John Calvin mill-Università ta 'Pariġi?</v>
      </c>
    </row>
    <row r="5812" ht="15.75" customHeight="1">
      <c r="A5812" s="2" t="s">
        <v>5812</v>
      </c>
      <c r="B5812" s="2" t="str">
        <f>IFERROR(__xludf.DUMMYFUNCTION("GOOGLETRANSLATE(A5812, ""en"", ""mt"")"),"Kemm nies iżuru l-park kuljum?")</f>
        <v>Kemm nies iżuru l-park kuljum?</v>
      </c>
    </row>
    <row r="5813" ht="15.75" customHeight="1">
      <c r="A5813" s="2" t="s">
        <v>5813</v>
      </c>
      <c r="B5813" s="2" t="str">
        <f>IFERROR(__xludf.DUMMYFUNCTION("GOOGLETRANSLATE(A5813, ""en"", ""mt"")"),"Liema ċelloli jattakkaw patoġeni iżgħar permezz tal-kuntatt?")</f>
        <v>Liema ċelloli jattakkaw patoġeni iżgħar permezz tal-kuntatt?</v>
      </c>
    </row>
    <row r="5814" ht="15.75" customHeight="1">
      <c r="A5814" s="2" t="s">
        <v>5814</v>
      </c>
      <c r="B5814" s="2" t="str">
        <f>IFERROR(__xludf.DUMMYFUNCTION("GOOGLETRANSLATE(A5814, ""en"", ""mt"")")," Min ma kellu l-ebda poter militari reali wara l-wan?")</f>
        <v> Min ma kellu l-ebda poter militari reali wara l-wan?</v>
      </c>
    </row>
    <row r="5815" ht="15.75" customHeight="1">
      <c r="A5815" s="2" t="s">
        <v>5815</v>
      </c>
      <c r="B5815" s="2" t="str">
        <f>IFERROR(__xludf.DUMMYFUNCTION("GOOGLETRANSLATE(A5815, ""en"", ""mt"")"),"Min inizjalment beda l-gwerer tar-reliġjon?")</f>
        <v>Min inizjalment beda l-gwerer tar-reliġjon?</v>
      </c>
    </row>
    <row r="5816" ht="15.75" customHeight="1">
      <c r="A5816" s="2" t="s">
        <v>5816</v>
      </c>
      <c r="B5816" s="2" t="str">
        <f>IFERROR(__xludf.DUMMYFUNCTION("GOOGLETRANSLATE(A5816, ""en"", ""mt"")"),"Ostakli Fiżiċi")</f>
        <v>Ostakli Fiżiċi</v>
      </c>
    </row>
    <row r="5817" ht="15.75" customHeight="1">
      <c r="A5817" s="2" t="s">
        <v>5817</v>
      </c>
      <c r="B5817" s="2" t="str">
        <f>IFERROR(__xludf.DUMMYFUNCTION("GOOGLETRANSLATE(A5817, ""en"", ""mt"")"),"Killer T Cell u l-Helper T Cell")</f>
        <v>Killer T Cell u l-Helper T Cell</v>
      </c>
    </row>
    <row r="5818" ht="15.75" customHeight="1">
      <c r="A5818" s="2" t="s">
        <v>5818</v>
      </c>
      <c r="B5818" s="2" t="str">
        <f>IFERROR(__xludf.DUMMYFUNCTION("GOOGLETRANSLATE(A5818, ""en"", ""mt"")"),"Miżuri ta 'kumplessità")</f>
        <v>Miżuri ta 'kumplessità</v>
      </c>
    </row>
    <row r="5819" ht="15.75" customHeight="1">
      <c r="A5819" s="2" t="s">
        <v>5819</v>
      </c>
      <c r="B5819" s="2" t="str">
        <f>IFERROR(__xludf.DUMMYFUNCTION("GOOGLETRANSLATE(A5819, ""en"", ""mt"")"),"Min jiddependi fuq il-Fondazzjoni Carnegie għal xi aspetti tal-edukazzjoni li għadhom ma ggradwawx?")</f>
        <v>Min jiddependi fuq il-Fondazzjoni Carnegie għal xi aspetti tal-edukazzjoni li għadhom ma ggradwawx?</v>
      </c>
    </row>
    <row r="5820" ht="15.75" customHeight="1">
      <c r="A5820" s="2" t="s">
        <v>5820</v>
      </c>
      <c r="B5820" s="2" t="str">
        <f>IFERROR(__xludf.DUMMYFUNCTION("GOOGLETRANSLATE(A5820, ""en"", ""mt"")"),"Min jista 'wkoll jissottometti kontijiet privati ​​fil-Parlament?")</f>
        <v>Min jista 'wkoll jissottometti kontijiet privati ​​fil-Parlament?</v>
      </c>
    </row>
    <row r="5821" ht="15.75" customHeight="1">
      <c r="A5821" s="2" t="s">
        <v>5821</v>
      </c>
      <c r="B5821" s="2" t="str">
        <f>IFERROR(__xludf.DUMMYFUNCTION("GOOGLETRANSLATE(A5821, ""en"", ""mt"")"),"Fejn kien hemm dgħjufija fil-katina tal-provvista Ingliża?")</f>
        <v>Fejn kien hemm dgħjufija fil-katina tal-provvista Ingliża?</v>
      </c>
    </row>
    <row r="5822" ht="15.75" customHeight="1">
      <c r="A5822" s="2" t="s">
        <v>5822</v>
      </c>
      <c r="B5822" s="2" t="str">
        <f>IFERROR(__xludf.DUMMYFUNCTION("GOOGLETRANSLATE(A5822, ""en"", ""mt"")"),"il-qalba ta 'barra u l-qalba ta' ġewwa")</f>
        <v>il-qalba ta 'barra u l-qalba ta' ġewwa</v>
      </c>
    </row>
    <row r="5823" ht="15.75" customHeight="1">
      <c r="A5823" s="2" t="s">
        <v>5823</v>
      </c>
      <c r="B5823" s="2" t="str">
        <f>IFERROR(__xludf.DUMMYFUNCTION("GOOGLETRANSLATE(A5823, ""en"", ""mt"")"),"F'każijiet b'medju maqsum kif jitwassal")</f>
        <v>F'każijiet b'medju maqsum kif jitwassal</v>
      </c>
    </row>
    <row r="5824" ht="15.75" customHeight="1">
      <c r="A5824" s="2" t="s">
        <v>5824</v>
      </c>
      <c r="B5824" s="2" t="str">
        <f>IFERROR(__xludf.DUMMYFUNCTION("GOOGLETRANSLATE(A5824, ""en"", ""mt"")"),"It-terminu imperjalizmu qatt ma ġie applikat għall-pajjiżi tal-Punent, u liema kontea tal-Lvant?")</f>
        <v>It-terminu imperjalizmu qatt ma ġie applikat għall-pajjiżi tal-Punent, u liema kontea tal-Lvant?</v>
      </c>
    </row>
    <row r="5825" ht="15.75" customHeight="1">
      <c r="A5825" s="2" t="s">
        <v>5825</v>
      </c>
      <c r="B5825" s="2" t="str">
        <f>IFERROR(__xludf.DUMMYFUNCTION("GOOGLETRANSLATE(A5825, ""en"", ""mt"")"),"Min sostna li żewġ abitanti biss għal kull kilometru kwadru jistgħu jiġu sostnuti fil-foresta tropikali?")</f>
        <v>Min sostna li żewġ abitanti biss għal kull kilometru kwadru jistgħu jiġu sostnuti fil-foresta tropikali?</v>
      </c>
    </row>
    <row r="5826" ht="15.75" customHeight="1">
      <c r="A5826" s="2" t="s">
        <v>5826</v>
      </c>
      <c r="B5826" s="2" t="str">
        <f>IFERROR(__xludf.DUMMYFUNCTION("GOOGLETRANSLATE(A5826, ""en"", ""mt"")"),"Qabel il-wasla ta 'Rollo, il-popolazzjonijiet tagħha ma kinux differenti minn Picardy jew mill-île-de-France, li kienu meqjusa ""Frankish"". Il-kolonizzaturi preċedenti tal-Viking kienu bdew jaslu fis-snin 880, iżda kienu maqsuma bejn kolonji fil-lvant (R"&amp;"oumois u Pays de Caux) madwar il-wied baxx ta 'Seine u fil-punent fil-peniżola ta' Cotentin, u kienu separati mill-pagii tradizzjonali, fejn il-popolazzjoni baqgħet madwar l-istess ma 'kważi l-ebda kolonizzaturi barranin. Il-kontinġenti ta 'Rollo li attak"&amp;"kaw u fl-aħħar stabbilixxew in-Normandija u partijiet tal-kosta tal-Atlantiku kienu jinkludu d-Daniżi, in-Norveġiżi, il-Gaels Norveġiżi, il-Vikingi ta' Orkney, possibbilment l-Iżvediżi, u l-Anglo-Danes mid-Danelaw Ingliż taħt il-kontroll tan-Norveġja.")</f>
        <v>Qabel il-wasla ta 'Rollo, il-popolazzjonijiet tagħha ma kinux differenti minn Picardy jew mill-île-de-France, li kienu meqjusa "Frankish". Il-kolonizzaturi preċedenti tal-Viking kienu bdew jaslu fis-snin 880, iżda kienu maqsuma bejn kolonji fil-lvant (Roumois u Pays de Caux) madwar il-wied baxx ta 'Seine u fil-punent fil-peniżola ta' Cotentin, u kienu separati mill-pagii tradizzjonali, fejn il-popolazzjoni baqgħet madwar l-istess ma 'kważi l-ebda kolonizzaturi barranin. Il-kontinġenti ta 'Rollo li attakkaw u fl-aħħar stabbilixxew in-Normandija u partijiet tal-kosta tal-Atlantiku kienu jinkludu d-Daniżi, in-Norveġiżi, il-Gaels Norveġiżi, il-Vikingi ta' Orkney, possibbilment l-Iżvediżi, u l-Anglo-Danes mid-Danelaw Ingliż taħt il-kontroll tan-Norveġja.</v>
      </c>
    </row>
    <row r="5827" ht="15.75" customHeight="1">
      <c r="A5827" s="2" t="s">
        <v>5827</v>
      </c>
      <c r="B5827" s="2" t="str">
        <f>IFERROR(__xludf.DUMMYFUNCTION("GOOGLETRANSLATE(A5827, ""en"", ""mt"")"),"X'inhi r-raġuni ewlenija li l-ispiżjara li jikkonsultaw qed jaħdmu dejjem aktar direttament mal-pazjenti?")</f>
        <v>X'inhi r-raġuni ewlenija li l-ispiżjara li jikkonsultaw qed jaħdmu dejjem aktar direttament mal-pazjenti?</v>
      </c>
    </row>
    <row r="5828" ht="15.75" customHeight="1">
      <c r="A5828" s="2" t="s">
        <v>5828</v>
      </c>
      <c r="B5828" s="2" t="str">
        <f>IFERROR(__xludf.DUMMYFUNCTION("GOOGLETRANSLATE(A5828, ""en"", ""mt"")"),"12 sa 15-il miljun")</f>
        <v>12 sa 15-il miljun</v>
      </c>
    </row>
    <row r="5829" ht="15.75" customHeight="1">
      <c r="A5829" s="2" t="s">
        <v>5829</v>
      </c>
      <c r="B5829" s="2" t="str">
        <f>IFERROR(__xludf.DUMMYFUNCTION("GOOGLETRANSLATE(A5829, ""en"", ""mt"")"),"Li tkun taf id-direzzjoni tal-forzi")</f>
        <v>Li tkun taf id-direzzjoni tal-forzi</v>
      </c>
    </row>
    <row r="5830" ht="15.75" customHeight="1">
      <c r="A5830" s="2" t="s">
        <v>5830</v>
      </c>
      <c r="B5830" s="2" t="str">
        <f>IFERROR(__xludf.DUMMYFUNCTION("GOOGLETRANSLATE(A5830, ""en"", ""mt"")"),"żoni li qed jiġu deformati b'mod attiv")</f>
        <v>żoni li qed jiġu deformati b'mod attiv</v>
      </c>
    </row>
    <row r="5831" ht="15.75" customHeight="1">
      <c r="A5831" s="2" t="s">
        <v>5831</v>
      </c>
      <c r="B5831" s="2" t="str">
        <f>IFERROR(__xludf.DUMMYFUNCTION("GOOGLETRANSLATE(A5831, ""en"", ""mt"")"),"X'ħin żviluppat sistema tax-xmajjar fin-naħa ta 'fuq tar-Rhine Graben?")</f>
        <v>X'ħin żviluppat sistema tax-xmajjar fin-naħa ta 'fuq tar-Rhine Graben?</v>
      </c>
    </row>
    <row r="5832" ht="15.75" customHeight="1">
      <c r="A5832" s="2" t="s">
        <v>5832</v>
      </c>
      <c r="B5832" s="2" t="str">
        <f>IFERROR(__xludf.DUMMYFUNCTION("GOOGLETRANSLATE(A5832, ""en"", ""mt"")"),"medja ta ’182 miljun")</f>
        <v>medja ta ’182 miljun</v>
      </c>
    </row>
    <row r="5833" ht="15.75" customHeight="1">
      <c r="A5833" s="2" t="s">
        <v>5833</v>
      </c>
      <c r="B5833" s="2" t="str">
        <f>IFERROR(__xludf.DUMMYFUNCTION("GOOGLETRANSLATE(A5833, ""en"", ""mt"")"),"Jekk P = NP ma jkunx solvut, u t-tnaqqis huwa applikat għal problema magħrufa NP-kompluta vis a vis π2 sa π1, liema konklużjoni tista 'tinġibed għal π1?")</f>
        <v>Jekk P = NP ma jkunx solvut, u t-tnaqqis huwa applikat għal problema magħrufa NP-kompluta vis a vis π2 sa π1, liema konklużjoni tista 'tinġibed għal π1?</v>
      </c>
    </row>
    <row r="5834" ht="15.75" customHeight="1">
      <c r="A5834" s="2" t="s">
        <v>5834</v>
      </c>
      <c r="B5834" s="2" t="str">
        <f>IFERROR(__xludf.DUMMYFUNCTION("GOOGLETRANSLATE(A5834, ""en"", ""mt"")"),"L-oriġini ta 'dak li ma jiġix spjegat għal kollox sal-1964?")</f>
        <v>L-oriġini ta 'dak li ma jiġix spjegat għal kollox sal-1964?</v>
      </c>
    </row>
    <row r="5835" ht="15.75" customHeight="1">
      <c r="A5835" s="2" t="s">
        <v>5835</v>
      </c>
      <c r="B5835" s="2" t="str">
        <f>IFERROR(__xludf.DUMMYFUNCTION("GOOGLETRANSLATE(A5835, ""en"", ""mt"")"),"Iċ-Ċiniżi Han, Khitans, Jurchens, Mongols, u Buddisti Tibetani")</f>
        <v>Iċ-Ċiniżi Han, Khitans, Jurchens, Mongols, u Buddisti Tibetani</v>
      </c>
    </row>
    <row r="5836" ht="15.75" customHeight="1">
      <c r="A5836" s="2" t="s">
        <v>5836</v>
      </c>
      <c r="B5836" s="2" t="str">
        <f>IFERROR(__xludf.DUMMYFUNCTION("GOOGLETRANSLATE(A5836, ""en"", ""mt"")"),"Min kienet il-mara ta 'Ogedei?")</f>
        <v>Min kienet il-mara ta 'Ogedei?</v>
      </c>
    </row>
    <row r="5837" ht="15.75" customHeight="1">
      <c r="A5837" s="2" t="s">
        <v>5837</v>
      </c>
      <c r="B5837" s="2" t="str">
        <f>IFERROR(__xludf.DUMMYFUNCTION("GOOGLETRANSLATE(A5837, ""en"", ""mt"")"),"CEPR")</f>
        <v>CEPR</v>
      </c>
    </row>
    <row r="5838" ht="15.75" customHeight="1">
      <c r="A5838" s="2" t="s">
        <v>5838</v>
      </c>
      <c r="B5838" s="2" t="str">
        <f>IFERROR(__xludf.DUMMYFUNCTION("GOOGLETRANSLATE(A5838, ""en"", ""mt"")"),"Min hu eliġibbli biex jitfa 'isimhom fil-kappell biex ikun l-ewwel ministru?")</f>
        <v>Min hu eliġibbli biex jitfa 'isimhom fil-kappell biex ikun l-ewwel ministru?</v>
      </c>
    </row>
    <row r="5839" ht="15.75" customHeight="1">
      <c r="A5839" s="2" t="s">
        <v>5839</v>
      </c>
      <c r="B5839" s="2" t="str">
        <f>IFERROR(__xludf.DUMMYFUNCTION("GOOGLETRANSLATE(A5839, ""en"", ""mt"")"),"mhux ugwali")</f>
        <v>mhux ugwali</v>
      </c>
    </row>
    <row r="5840" ht="15.75" customHeight="1">
      <c r="A5840" s="2" t="s">
        <v>5840</v>
      </c>
      <c r="B5840" s="2" t="str">
        <f>IFERROR(__xludf.DUMMYFUNCTION("GOOGLETRANSLATE(A5840, ""en"", ""mt"")"),"X'inhuma tliet tipi ta 'fagoċiti?")</f>
        <v>X'inhuma tliet tipi ta 'fagoċiti?</v>
      </c>
    </row>
    <row r="5841" ht="15.75" customHeight="1">
      <c r="A5841" s="2" t="s">
        <v>5841</v>
      </c>
      <c r="B5841" s="2" t="str">
        <f>IFERROR(__xludf.DUMMYFUNCTION("GOOGLETRANSLATE(A5841, ""en"", ""mt"")"),"Kemm kien suċċess l-isforzi riveduti bl-Ingliż?")</f>
        <v>Kemm kien suċċess l-isforzi riveduti bl-Ingliż?</v>
      </c>
    </row>
    <row r="5842" ht="15.75" customHeight="1">
      <c r="A5842" s="2" t="s">
        <v>5842</v>
      </c>
      <c r="B5842" s="2" t="str">
        <f>IFERROR(__xludf.DUMMYFUNCTION("GOOGLETRANSLATE(A5842, ""en"", ""mt"")"),"Zaltbommel")</f>
        <v>Zaltbommel</v>
      </c>
    </row>
    <row r="5843" ht="15.75" customHeight="1">
      <c r="A5843" s="2" t="s">
        <v>5843</v>
      </c>
      <c r="B5843" s="2" t="str">
        <f>IFERROR(__xludf.DUMMYFUNCTION("GOOGLETRANSLATE(A5843, ""en"", ""mt"")"),"Min kien maħsub li ħa l-ħadid li għandu ħafna?")</f>
        <v>Min kien maħsub li ħa l-ħadid li għandu ħafna?</v>
      </c>
    </row>
    <row r="5844" ht="15.75" customHeight="1">
      <c r="A5844" s="2" t="s">
        <v>5844</v>
      </c>
      <c r="B5844" s="2" t="str">
        <f>IFERROR(__xludf.DUMMYFUNCTION("GOOGLETRANSLATE(A5844, ""en"", ""mt"")"),"prezzijiet")</f>
        <v>prezzijiet</v>
      </c>
    </row>
    <row r="5845" ht="15.75" customHeight="1">
      <c r="A5845" s="2" t="s">
        <v>5845</v>
      </c>
      <c r="B5845" s="2" t="str">
        <f>IFERROR(__xludf.DUMMYFUNCTION("GOOGLETRANSLATE(A5845, ""en"", ""mt"")"),"Ipproduċi kemm bajd kif ukoll sperma fl-istess ħin")</f>
        <v>Ipproduċi kemm bajd kif ukoll sperma fl-istess ħin</v>
      </c>
    </row>
    <row r="5846" ht="15.75" customHeight="1">
      <c r="A5846" s="2" t="s">
        <v>5846</v>
      </c>
      <c r="B5846" s="2" t="str">
        <f>IFERROR(__xludf.DUMMYFUNCTION("GOOGLETRANSLATE(A5846, ""en"", ""mt"")"),"Kif tissejjaħ iż-żona fejn pjanċa waħda tissottometti taħt ieħor?")</f>
        <v>Kif tissejjaħ iż-żona fejn pjanċa waħda tissottometti taħt ieħor?</v>
      </c>
    </row>
    <row r="5847" ht="15.75" customHeight="1">
      <c r="A5847" s="2" t="s">
        <v>5847</v>
      </c>
      <c r="B5847" s="2" t="str">
        <f>IFERROR(__xludf.DUMMYFUNCTION("GOOGLETRANSLATE(A5847, ""en"", ""mt"")"),"fl-antikità tard")</f>
        <v>fl-antikità tard</v>
      </c>
    </row>
    <row r="5848" ht="15.75" customHeight="1">
      <c r="A5848" s="2" t="s">
        <v>5848</v>
      </c>
      <c r="B5848" s="2" t="str">
        <f>IFERROR(__xludf.DUMMYFUNCTION("GOOGLETRANSLATE(A5848, ""en"", ""mt"")"),"X'kienet ir-relazzjoni tal-Iran ma 'l-Istati Uniti f'dan il-ħin?")</f>
        <v>X'kienet ir-relazzjoni tal-Iran ma 'l-Istati Uniti f'dan il-ħin?</v>
      </c>
    </row>
    <row r="5849" ht="15.75" customHeight="1">
      <c r="A5849" s="2" t="s">
        <v>5849</v>
      </c>
      <c r="B5849" s="2" t="str">
        <f>IFERROR(__xludf.DUMMYFUNCTION("GOOGLETRANSLATE(A5849, ""en"", ""mt"")"),"(HDTV)")</f>
        <v>(HDTV)</v>
      </c>
    </row>
    <row r="5850" ht="15.75" customHeight="1">
      <c r="A5850" s="2" t="s">
        <v>5850</v>
      </c>
      <c r="B5850" s="2" t="str">
        <f>IFERROR(__xludf.DUMMYFUNCTION("GOOGLETRANSLATE(A5850, ""en"", ""mt"")"),"Liema distinzjoni għandha t-torri tal-Bank of America?")</f>
        <v>Liema distinzjoni għandha t-torri tal-Bank of America?</v>
      </c>
    </row>
    <row r="5851" ht="15.75" customHeight="1">
      <c r="A5851" s="2" t="s">
        <v>5851</v>
      </c>
      <c r="B5851" s="2" t="str">
        <f>IFERROR(__xludf.DUMMYFUNCTION("GOOGLETRANSLATE(A5851, ""en"", ""mt"")"),"Il-pesta rritornat ripetutament fl-Ewropa tal-Haunt u l-Mediterran matul is-sekli 14 sa 17. Skond Biraben, il-pesta kienet preżenti x'imkien fl-Ewropa kull sena bejn l-1346 u l-1671. It-tieni pandemija kienet partikolarment mifruxa fis-snin ta 'wara: 1360"&amp;"-63; 1374; 1400; 1438–39; 1456–57; 1464–66; 1481–85; 1500–03; 1518–31; 1544–48; 1563–66; 1573–88; 1596–99; 1602–11; 1623–40; 1644–54; u 1664–67. Tfaqqigħ sussegwenti, għalkemm sever, immarka l-irtir mill-biċċa l-kbira tal-Ewropa (seklu 18) u l-Afrika ta ’"&amp;"Fuq (seklu 19). Skond Geoffrey Parker, ""Franza waħedha tilfet kważi miljun persuna fil-pesta fl-epidemija tal-1628-31.""")</f>
        <v>Il-pesta rritornat ripetutament fl-Ewropa tal-Haunt u l-Mediterran matul is-sekli 14 sa 17. Skond Biraben, il-pesta kienet preżenti x'imkien fl-Ewropa kull sena bejn l-1346 u l-1671. It-tieni pandemija kienet partikolarment mifruxa fis-snin ta 'wara: 1360-63; 1374; 1400; 1438–39; 1456–57; 1464–66; 1481–85; 1500–03; 1518–31; 1544–48; 1563–66; 1573–88; 1596–99; 1602–11; 1623–40; 1644–54; u 1664–67. Tfaqqigħ sussegwenti, għalkemm sever, immarka l-irtir mill-biċċa l-kbira tal-Ewropa (seklu 18) u l-Afrika ta ’Fuq (seklu 19). Skond Geoffrey Parker, "Franza waħedha tilfet kważi miljun persuna fil-pesta fl-epidemija tal-1628-31."</v>
      </c>
    </row>
    <row r="5852" ht="15.75" customHeight="1">
      <c r="A5852" s="2" t="s">
        <v>5852</v>
      </c>
      <c r="B5852" s="2" t="str">
        <f>IFERROR(__xludf.DUMMYFUNCTION("GOOGLETRANSLATE(A5852, ""en"", ""mt"")"),"Matul liema perjodu spiċċat l-orogenija alpina?")</f>
        <v>Matul liema perjodu spiċċat l-orogenija alpina?</v>
      </c>
    </row>
    <row r="5853" ht="15.75" customHeight="1">
      <c r="A5853" s="2" t="s">
        <v>5853</v>
      </c>
      <c r="B5853" s="2" t="str">
        <f>IFERROR(__xludf.DUMMYFUNCTION("GOOGLETRANSLATE(A5853, ""en"", ""mt"")"),"Fejn kienu kkonċentrati l-iktar servizzi muniċipali?")</f>
        <v>Fejn kienu kkonċentrati l-iktar servizzi muniċipali?</v>
      </c>
    </row>
    <row r="5854" ht="15.75" customHeight="1">
      <c r="A5854" s="2" t="s">
        <v>5854</v>
      </c>
      <c r="B5854" s="2" t="str">
        <f>IFERROR(__xludf.DUMMYFUNCTION("GOOGLETRANSLATE(A5854, ""en"", ""mt"")"),"Matul in-Nofs Ekene, huwa maħsub li l-baċin tad-drenaġġ tal-Amażonja kien maqsum tul in-nofs tal-kontinent mill-arkata Purus.")</f>
        <v>Matul in-Nofs Ekene, huwa maħsub li l-baċin tad-drenaġġ tal-Amażonja kien maqsum tul in-nofs tal-kontinent mill-arkata Purus.</v>
      </c>
    </row>
    <row r="5855" ht="15.75" customHeight="1">
      <c r="A5855" s="2" t="s">
        <v>5855</v>
      </c>
      <c r="B5855" s="2" t="str">
        <f>IFERROR(__xludf.DUMMYFUNCTION("GOOGLETRANSLATE(A5855, ""en"", ""mt"")"),"ikomplu l-protesta tagħhom")</f>
        <v>ikomplu l-protesta tagħhom</v>
      </c>
    </row>
    <row r="5856" ht="15.75" customHeight="1">
      <c r="A5856" s="2" t="s">
        <v>5856</v>
      </c>
      <c r="B5856" s="2" t="str">
        <f>IFERROR(__xludf.DUMMYFUNCTION("GOOGLETRANSLATE(A5856, ""en"", ""mt"")"),"X'inhu l-obbligu ta 'spiżerija li timla riċetta?")</f>
        <v>X'inhu l-obbligu ta 'spiżerija li timla riċetta?</v>
      </c>
    </row>
    <row r="5857" ht="15.75" customHeight="1">
      <c r="A5857" s="2" t="s">
        <v>5857</v>
      </c>
      <c r="B5857" s="2" t="str">
        <f>IFERROR(__xludf.DUMMYFUNCTION("GOOGLETRANSLATE(A5857, ""en"", ""mt"")"),"Xitwa tal-1973–74")</f>
        <v>Xitwa tal-1973–74</v>
      </c>
    </row>
    <row r="5858" ht="15.75" customHeight="1">
      <c r="A5858" s="2" t="s">
        <v>5858</v>
      </c>
      <c r="B5858" s="2" t="str">
        <f>IFERROR(__xludf.DUMMYFUNCTION("GOOGLETRANSLATE(A5858, ""en"", ""mt"")"),"X'inhi t-temperatura approssimattiva tal-kondensatur fl-istainless steel?")</f>
        <v>X'inhi t-temperatura approssimattiva tal-kondensatur fl-istainless steel?</v>
      </c>
    </row>
    <row r="5859" ht="15.75" customHeight="1">
      <c r="A5859" s="2" t="s">
        <v>5859</v>
      </c>
      <c r="B5859" s="2" t="str">
        <f>IFERROR(__xludf.DUMMYFUNCTION("GOOGLETRANSLATE(A5859, ""en"", ""mt"")"),"Meta hija pożittiva l-korrelazzjoni kultant?")</f>
        <v>Meta hija pożittiva l-korrelazzjoni kultant?</v>
      </c>
    </row>
    <row r="5860" ht="15.75" customHeight="1">
      <c r="A5860" s="2" t="s">
        <v>5860</v>
      </c>
      <c r="B5860" s="2" t="str">
        <f>IFERROR(__xludf.DUMMYFUNCTION("GOOGLETRANSLATE(A5860, ""en"", ""mt"")"),"Jekk problema x hija f'c u iebsa għal C, allura X jingħad li huwa komplut għal C. Dan ifisser li X hija l-iktar problema diffiċli f'C. (Peress li ħafna problemi jistgħu jkunu daqstant diffiċli, wieħed jista 'jgħid li X huwa wieħed L-agħar problemi f'C) Għ"&amp;"alhekk il-klassi ta 'problemi kompluti NP fiha l-aktar problemi diffiċli f'NP, fis-sens li huma dawk li x'aktarx ma jkunux f'P. Minħabba li l-problema P = NP mhix solvuta, li tkun Kapaċi tnaqqas problema magħrufa ta 'NP-kompluta, π2, għal problema oħra, π"&amp;"1, tindika li m'hemm l-ebda soluzzjoni magħrufa ta' ħin polinomju għal π1. Dan minħabba li soluzzjoni ta 'ħin polinomjali għal π1 tagħti soluzzjoni ta' ħin polinomjali għal π2. Bl-istess mod, minħabba li l-problemi kollha tal-NP jistgħu jitnaqqsu għas-set"&amp;"t, is-sejba ta 'problema kompluta NP li tista' tissolva fi żmien polinomjali tkun tfisser li P = NP.")</f>
        <v>Jekk problema x hija f'c u iebsa għal C, allura X jingħad li huwa komplut għal C. Dan ifisser li X hija l-iktar problema diffiċli f'C. (Peress li ħafna problemi jistgħu jkunu daqstant diffiċli, wieħed jista 'jgħid li X huwa wieħed L-agħar problemi f'C) Għalhekk il-klassi ta 'problemi kompluti NP fiha l-aktar problemi diffiċli f'NP, fis-sens li huma dawk li x'aktarx ma jkunux f'P. Minħabba li l-problema P = NP mhix solvuta, li tkun Kapaċi tnaqqas problema magħrufa ta 'NP-kompluta, π2, għal problema oħra, π1, tindika li m'hemm l-ebda soluzzjoni magħrufa ta' ħin polinomju għal π1. Dan minħabba li soluzzjoni ta 'ħin polinomjali għal π1 tagħti soluzzjoni ta' ħin polinomjali għal π2. Bl-istess mod, minħabba li l-problemi kollha tal-NP jistgħu jitnaqqsu għas-sett, is-sejba ta 'problema kompluta NP li tista' tissolva fi żmien polinomjali tkun tfisser li P = NP.</v>
      </c>
    </row>
    <row r="5861" ht="15.75" customHeight="1">
      <c r="A5861" s="2" t="s">
        <v>5861</v>
      </c>
      <c r="B5861" s="2" t="str">
        <f>IFERROR(__xludf.DUMMYFUNCTION("GOOGLETRANSLATE(A5861, ""en"", ""mt"")"),"Kemm perċentwali ta 'l-art ta' Victoria hija meħuda minn uċuħ konsumibbli?")</f>
        <v>Kemm perċentwali ta 'l-art ta' Victoria hija meħuda minn uċuħ konsumibbli?</v>
      </c>
    </row>
    <row r="5862" ht="15.75" customHeight="1">
      <c r="A5862" s="2" t="s">
        <v>5862</v>
      </c>
      <c r="B5862" s="2" t="str">
        <f>IFERROR(__xludf.DUMMYFUNCTION("GOOGLETRANSLATE(A5862, ""en"", ""mt"")"),"L-Imperu Ottoman kien stat imperjali li dam mill-1299 sal-1923. Matul is-sekli 16 u 17, b'mod partikolari fl-eqqel tal-poter tiegħu taħt ir-renju ta 'Suleiman l-magnífico, l-imperu Ottoman kien multinazzjonali qawwi, imperu multilingwi li jikkontrolla ħaf"&amp;"na L-Ewropa tax-Xlokk, l-Asja tal-Punent, il-Kawkasu, l-Afrika ta ’Fuq, u l-Qarn tal-Afrika. Fil-bidu tas-seklu 17 l-imperu kien fih 32 provinċja u bosta stati vassali. Xi wħud minn dawn aktar tard ġew assorbiti fl-imperu, filwaqt li oħrajn ingħataw diver"&amp;"si tipi ta ’awtonomija matul il-kors tas-sekli.")</f>
        <v>L-Imperu Ottoman kien stat imperjali li dam mill-1299 sal-1923. Matul is-sekli 16 u 17, b'mod partikolari fl-eqqel tal-poter tiegħu taħt ir-renju ta 'Suleiman l-magnífico, l-imperu Ottoman kien multinazzjonali qawwi, imperu multilingwi li jikkontrolla ħafna L-Ewropa tax-Xlokk, l-Asja tal-Punent, il-Kawkasu, l-Afrika ta ’Fuq, u l-Qarn tal-Afrika. Fil-bidu tas-seklu 17 l-imperu kien fih 32 provinċja u bosta stati vassali. Xi wħud minn dawn aktar tard ġew assorbiti fl-imperu, filwaqt li oħrajn ingħataw diversi tipi ta ’awtonomija matul il-kors tas-sekli.</v>
      </c>
    </row>
    <row r="5863" ht="15.75" customHeight="1">
      <c r="A5863" s="2" t="s">
        <v>5863</v>
      </c>
      <c r="B5863" s="2" t="str">
        <f>IFERROR(__xludf.DUMMYFUNCTION("GOOGLETRANSLATE(A5863, ""en"", ""mt"")"),"X'inhu t-terminu għall-għeluq tax-xmajjar li m'għadhomx konnessi?")</f>
        <v>X'inhu t-terminu għall-għeluq tax-xmajjar li m'għadhomx konnessi?</v>
      </c>
    </row>
    <row r="5864" ht="15.75" customHeight="1">
      <c r="A5864" s="2" t="s">
        <v>5864</v>
      </c>
      <c r="B5864" s="2" t="str">
        <f>IFERROR(__xludf.DUMMYFUNCTION("GOOGLETRANSLATE(A5864, ""en"", ""mt"")"),"President tal-IPCC")</f>
        <v>President tal-IPCC</v>
      </c>
    </row>
    <row r="5865" ht="15.75" customHeight="1">
      <c r="A5865" s="2" t="s">
        <v>5865</v>
      </c>
      <c r="B5865" s="2" t="str">
        <f>IFERROR(__xludf.DUMMYFUNCTION("GOOGLETRANSLATE(A5865, ""en"", ""mt"")"),"Varsavja kienet okkupata mill-Ġermanja mill-4 ta ’Awwissu 1915 sa Novembru 1918. It-termini tal-Armistizju Alleati meħtieġa fl-Artikolu 12 li l-Ġermanja tirtira minn żoni kkontrollati mir-Russja fl-1914, li kienet tinkludi Varsavja. Il-Ġermanja għamlet he"&amp;"kk, u l-mexxej taħt l-art Piłsudski rritorna lejn Varsavja fil-11 ta 'Novembru u waqqaf dak li sar it-tieni repubblika Pollakka, bil-kapitali Varsavja. Matul il-Gwerra Pollakka-Bolxevika tal-1920, il-battalja enormi ta 'Varsavja ġiet miġġielda fil-perifer"&amp;"ija tal-Lvant tal-belt li fiha l-kapitali ġiet iddefendita b'suċċess u l-Armata l-Ħamra telfa. Il-Polonja waqfet minnha nnifisha l-piż sħiħ tal-Armata l-Ħamra u għelbet idea ta '""l-esportazzjoni tar-rivoluzzjoni"".")</f>
        <v>Varsavja kienet okkupata mill-Ġermanja mill-4 ta ’Awwissu 1915 sa Novembru 1918. It-termini tal-Armistizju Alleati meħtieġa fl-Artikolu 12 li l-Ġermanja tirtira minn żoni kkontrollati mir-Russja fl-1914, li kienet tinkludi Varsavja. Il-Ġermanja għamlet hekk, u l-mexxej taħt l-art Piłsudski rritorna lejn Varsavja fil-11 ta 'Novembru u waqqaf dak li sar it-tieni repubblika Pollakka, bil-kapitali Varsavja. Matul il-Gwerra Pollakka-Bolxevika tal-1920, il-battalja enormi ta 'Varsavja ġiet miġġielda fil-periferija tal-Lvant tal-belt li fiha l-kapitali ġiet iddefendita b'suċċess u l-Armata l-Ħamra telfa. Il-Polonja waqfet minnha nnifisha l-piż sħiħ tal-Armata l-Ħamra u għelbet idea ta '"l-esportazzjoni tar-rivoluzzjoni".</v>
      </c>
    </row>
    <row r="5866" ht="15.75" customHeight="1">
      <c r="A5866" s="2" t="s">
        <v>5866</v>
      </c>
      <c r="B5866" s="2" t="str">
        <f>IFERROR(__xludf.DUMMYFUNCTION("GOOGLETRANSLATE(A5866, ""en"", ""mt"")"),"Fil-fiżika tal-partikuli moderni, il-forzi u l-aċċellerazzjoni tal-partiċelli huma spjegati bħala prodott sekondarju matematiku tal-iskambju ta 'bosons tal-gauge li jġorru l-momentum. Bl-iżvilupp tat-teorija tal-kamp kwantum u r-relatività ġenerali, ġie r"&amp;"ealizzat li l-forza hija kunċett żejjed li jirriżulta mill-konservazzjoni tal-momentum (4-momentum fir-relatività u l-momentum ta 'partiċelli virtwali fl-elettrodinamiċità kwantistika). Il-konservazzjoni tal-momentum tista 'tiġi derivata direttament mill-"&amp;"omoġenjità jew is-simetrija ta' l-ispazju u għalhekk ġeneralment titqies aktar fundamentali mill-kunċett ta 'forza. Għalhekk il-forzi fundamentali magħrufa bħalissa huma kkunsidrati b'mod aktar preċiż bħala ""interazzjonijiet fundamentali"".: 199–128 meta"&amp;" l-partikula A jarmi (joħloq) jew tassorbi (annihilate) partiċella v virtwali B, konservazzjoni tal-momentum tirriżulta fl-irkupru ta 'partiċelli A li tagħmel impressjoni ta' repulsjoni jew attrazzjoni bejn il-partiċelli A 'skambjar minn B. Din id-deskriz"&amp;"zjoni tapplika għall-forzi kollha li jirriżultaw minn interazzjonijiet fundamentali. Filwaqt li d-deskrizzjonijiet matematiċi sofistikati huma meħtieġa biex ibassru, fid-dettall kollu, ir-riżultat preċiż ta 'dawn l-interazzjonijiet, hemm mod kunċettwalmen"&amp;"t sempliċi biex tiddeskrivi dawn l-interazzjonijiet permezz tal-użu tad-dijagrammi Feynman. F'dijagramma ta 'Feynman, kull partiċella tal-materja hija rrappreżentata bħala linja dritta (ara l-linja tad-dinja) li tivvjaġġa maż-żmien, li normalment tiżdied "&amp;"jew fuq il-lemin fid-dijagramma. Il-materja u l-partiċelli kontra l-materja huma identiċi ħlief għad-direzzjoni tal-propagazzjoni tagħhom permezz tad-dijagramma Feynman. Linji dinjija ta 'partiċelli jaqsmu f'vertices ta' interazzjoni, u d-dijagramma Feynm"&amp;"an tirrappreżenta kwalunkwe forza li tirriżulta minn interazzjoni kif isseħħ fil-vertiċi b'bidla istantanja assoċjata fid-direzzjoni tal-linji tad-dinja tal-partikuli. Il-bosons tal-gauge jiġu emessi 'l bogħod mill-vertiċi bħala linji immewġin u, fil-każ "&amp;"ta' skambju ta 'partiċelli virtwali, huma assorbiti fi vertiċi li jmissu magħhom.")</f>
        <v>Fil-fiżika tal-partikuli moderni, il-forzi u l-aċċellerazzjoni tal-partiċelli huma spjegati bħala prodott sekondarju matematiku tal-iskambju ta 'bosons tal-gauge li jġorru l-momentum. Bl-iżvilupp tat-teorija tal-kamp kwantum u r-relatività ġenerali, ġie realizzat li l-forza hija kunċett żejjed li jirriżulta mill-konservazzjoni tal-momentum (4-momentum fir-relatività u l-momentum ta 'partiċelli virtwali fl-elettrodinamiċità kwantistika). Il-konservazzjoni tal-momentum tista 'tiġi derivata direttament mill-omoġenjità jew is-simetrija ta' l-ispazju u għalhekk ġeneralment titqies aktar fundamentali mill-kunċett ta 'forza. Għalhekk il-forzi fundamentali magħrufa bħalissa huma kkunsidrati b'mod aktar preċiż bħala "interazzjonijiet fundamentali".: 199–128 meta l-partikula A jarmi (joħloq) jew tassorbi (annihilate) partiċella v virtwali B, konservazzjoni tal-momentum tirriżulta fl-irkupru ta 'partiċelli A li tagħmel impressjoni ta' repulsjoni jew attrazzjoni bejn il-partiċelli A 'skambjar minn B. Din id-deskrizzjoni tapplika għall-forzi kollha li jirriżultaw minn interazzjonijiet fundamentali. Filwaqt li d-deskrizzjonijiet matematiċi sofistikati huma meħtieġa biex ibassru, fid-dettall kollu, ir-riżultat preċiż ta 'dawn l-interazzjonijiet, hemm mod kunċettwalment sempliċi biex tiddeskrivi dawn l-interazzjonijiet permezz tal-użu tad-dijagrammi Feynman. F'dijagramma ta 'Feynman, kull partiċella tal-materja hija rrappreżentata bħala linja dritta (ara l-linja tad-dinja) li tivvjaġġa maż-żmien, li normalment tiżdied jew fuq il-lemin fid-dijagramma. Il-materja u l-partiċelli kontra l-materja huma identiċi ħlief għad-direzzjoni tal-propagazzjoni tagħhom permezz tad-dijagramma Feynman. Linji dinjija ta 'partiċelli jaqsmu f'vertices ta' interazzjoni, u d-dijagramma Feynman tirrappreżenta kwalunkwe forza li tirriżulta minn interazzjoni kif isseħħ fil-vertiċi b'bidla istantanja assoċjata fid-direzzjoni tal-linji tad-dinja tal-partikuli. Il-bosons tal-gauge jiġu emessi 'l bogħod mill-vertiċi bħala linji immewġin u, fil-każ ta' skambju ta 'partiċelli virtwali, huma assorbiti fi vertiċi li jmissu magħhom.</v>
      </c>
    </row>
    <row r="5867" ht="15.75" customHeight="1">
      <c r="A5867" s="2" t="s">
        <v>5867</v>
      </c>
      <c r="B5867" s="2" t="str">
        <f>IFERROR(__xludf.DUMMYFUNCTION("GOOGLETRANSLATE(A5867, ""en"", ""mt"")"),"Min żviluppa t-teorija tar-relatività?")</f>
        <v>Min żviluppa t-teorija tar-relatività?</v>
      </c>
    </row>
    <row r="5868" ht="15.75" customHeight="1">
      <c r="A5868" s="2" t="s">
        <v>5868</v>
      </c>
      <c r="B5868" s="2" t="str">
        <f>IFERROR(__xludf.DUMMYFUNCTION("GOOGLETRANSLATE(A5868, ""en"", ""mt"")"),"X'jiġri għax blat iżgħar huwa aktar fil-fond?")</f>
        <v>X'jiġri għax blat iżgħar huwa aktar fil-fond?</v>
      </c>
    </row>
    <row r="5869" ht="15.75" customHeight="1">
      <c r="A5869" s="2" t="s">
        <v>5869</v>
      </c>
      <c r="B5869" s="2" t="str">
        <f>IFERROR(__xludf.DUMMYFUNCTION("GOOGLETRANSLATE(A5869, ""en"", ""mt"")"),"F'liema avveniment ir-rivalità ta 'Oxford-Cambridge tikkonkludi?")</f>
        <v>F'liema avveniment ir-rivalità ta 'Oxford-Cambridge tikkonkludi?</v>
      </c>
    </row>
    <row r="5870" ht="15.75" customHeight="1">
      <c r="A5870" s="2" t="s">
        <v>5870</v>
      </c>
      <c r="B5870" s="2" t="str">
        <f>IFERROR(__xludf.DUMMYFUNCTION("GOOGLETRANSLATE(A5870, ""en"", ""mt"")"),"relazzjoni ta 'ċittadin mal-istat u l-liġijiet tiegħu")</f>
        <v>relazzjoni ta 'ċittadin mal-istat u l-liġijiet tiegħu</v>
      </c>
    </row>
    <row r="5871" ht="15.75" customHeight="1">
      <c r="A5871" s="2" t="s">
        <v>5871</v>
      </c>
      <c r="B5871" s="2" t="str">
        <f>IFERROR(__xludf.DUMMYFUNCTION("GOOGLETRANSLATE(A5871, ""en"", ""mt"")"),"Kemm idum il-proċess tal-manifattura?")</f>
        <v>Kemm idum il-proċess tal-manifattura?</v>
      </c>
    </row>
    <row r="5872" ht="15.75" customHeight="1">
      <c r="A5872" s="2" t="s">
        <v>5872</v>
      </c>
      <c r="B5872" s="2" t="str">
        <f>IFERROR(__xludf.DUMMYFUNCTION("GOOGLETRANSLATE(A5872, ""en"", ""mt"")"),"""Jacksonvillians""")</f>
        <v>"Jacksonvillians"</v>
      </c>
    </row>
    <row r="5873" ht="15.75" customHeight="1">
      <c r="A5873" s="2" t="s">
        <v>5873</v>
      </c>
      <c r="B5873" s="2" t="str">
        <f>IFERROR(__xludf.DUMMYFUNCTION("GOOGLETRANSLATE(A5873, ""en"", ""mt"")"),"Blazer")</f>
        <v>Blazer</v>
      </c>
    </row>
    <row r="5874" ht="15.75" customHeight="1">
      <c r="A5874" s="2" t="s">
        <v>5874</v>
      </c>
      <c r="B5874" s="2" t="str">
        <f>IFERROR(__xludf.DUMMYFUNCTION("GOOGLETRANSLATE(A5874, ""en"", ""mt"")"),"strett, konservattiv")</f>
        <v>strett, konservattiv</v>
      </c>
    </row>
    <row r="5875" ht="15.75" customHeight="1">
      <c r="A5875" s="2" t="s">
        <v>5875</v>
      </c>
      <c r="B5875" s="2" t="str">
        <f>IFERROR(__xludf.DUMMYFUNCTION("GOOGLETRANSLATE(A5875, ""en"", ""mt"")"),"mases")</f>
        <v>mases</v>
      </c>
    </row>
    <row r="5876" ht="15.75" customHeight="1">
      <c r="A5876" s="2" t="s">
        <v>5876</v>
      </c>
      <c r="B5876" s="2" t="str">
        <f>IFERROR(__xludf.DUMMYFUNCTION("GOOGLETRANSLATE(A5876, ""en"", ""mt"")"),"L-Amerika t'Isfel Amerikana")</f>
        <v>L-Amerika t'Isfel Amerikana</v>
      </c>
    </row>
    <row r="5877" ht="15.75" customHeight="1">
      <c r="A5877" s="2" t="s">
        <v>5877</v>
      </c>
      <c r="B5877" s="2" t="str">
        <f>IFERROR(__xludf.DUMMYFUNCTION("GOOGLETRANSLATE(A5877, ""en"", ""mt"")"),"Sistema ta 'taxxa progressiva")</f>
        <v>Sistema ta 'taxxa progressiva</v>
      </c>
    </row>
    <row r="5878" ht="15.75" customHeight="1">
      <c r="A5878" s="2" t="s">
        <v>5878</v>
      </c>
      <c r="B5878" s="2" t="str">
        <f>IFERROR(__xludf.DUMMYFUNCTION("GOOGLETRANSLATE(A5878, ""en"", ""mt"")"),"X'tip ta 'eżerċizzju juri r-riċerka tirċievi spinta fil-prestazzjoni mill-ossiġnu?")</f>
        <v>X'tip ta 'eżerċizzju juri r-riċerka tirċievi spinta fil-prestazzjoni mill-ossiġnu?</v>
      </c>
    </row>
    <row r="5879" ht="15.75" customHeight="1">
      <c r="A5879" s="2" t="s">
        <v>5879</v>
      </c>
      <c r="B5879" s="2" t="str">
        <f>IFERROR(__xludf.DUMMYFUNCTION("GOOGLETRANSLATE(A5879, ""en"", ""mt"")"),"Għalkemm m'hemm l-ebda definizzjoni uffiċjali għall-konfini tat-tramuntana tan-Nofsinhar ta 'California, tali diviżjoni teżisti minn meta l-Messiku ddeċieda California, u t-tilwim politiku qalbu bejn il-Californios ta' Monterey fil-parti ta 'fuq u f'Los A"&amp;"ngeles fil-parti ta' isfel ta 'Alta California Jonqos Wara l-akkwist ta 'California mill-Istati Uniti, id-diviżjoni kompliet bħala parti mill-attentat minn diversi politiċi favur l-iskjavitù biex jirranġaw id-diviżjoni ta' Alta California f'36 grad, 30 mi"&amp;"nuta, il-linja tal-kompromess ta 'Missouri. Minflok, il-mogħdija tal-kompromess tal-1850 ippermettiet lil California biex tiġi ammessa fl-unjoni bħala stat ħieles, li ma tħallix li n-Nofsinhar tal-Kalifornja ssir l-istat tal-iskjavi separat tagħha stess.")</f>
        <v>Għalkemm m'hemm l-ebda definizzjoni uffiċjali għall-konfini tat-tramuntana tan-Nofsinhar ta 'California, tali diviżjoni teżisti minn meta l-Messiku ddeċieda California, u t-tilwim politiku qalbu bejn il-Californios ta' Monterey fil-parti ta 'fuq u f'Los Angeles fil-parti ta' isfel ta 'Alta California Jonqos Wara l-akkwist ta 'California mill-Istati Uniti, id-diviżjoni kompliet bħala parti mill-attentat minn diversi politiċi favur l-iskjavitù biex jirranġaw id-diviżjoni ta' Alta California f'36 grad, 30 minuta, il-linja tal-kompromess ta 'Missouri. Minflok, il-mogħdija tal-kompromess tal-1850 ippermettiet lil California biex tiġi ammessa fl-unjoni bħala stat ħieles, li ma tħallix li n-Nofsinhar tal-Kalifornja ssir l-istat tal-iskjavi separat tagħha stess.</v>
      </c>
    </row>
    <row r="5880" ht="15.75" customHeight="1">
      <c r="A5880" s="2" t="s">
        <v>5880</v>
      </c>
      <c r="B5880" s="2" t="str">
        <f>IFERROR(__xludf.DUMMYFUNCTION("GOOGLETRANSLATE(A5880, ""en"", ""mt"")"),"Għaliex it-teorija tal-evoluzzjoni hija daqshekk kumplessa?")</f>
        <v>Għaliex it-teorija tal-evoluzzjoni hija daqshekk kumplessa?</v>
      </c>
    </row>
    <row r="5881" ht="15.75" customHeight="1">
      <c r="A5881" s="2" t="s">
        <v>5881</v>
      </c>
      <c r="B5881" s="2" t="str">
        <f>IFERROR(__xludf.DUMMYFUNCTION("GOOGLETRANSLATE(A5881, ""en"", ""mt"")"),"Kull membru tal-Gvern Skoċċiż")</f>
        <v>Kull membru tal-Gvern Skoċċiż</v>
      </c>
    </row>
    <row r="5882" ht="15.75" customHeight="1">
      <c r="A5882" s="2" t="s">
        <v>5882</v>
      </c>
      <c r="B5882" s="2" t="str">
        <f>IFERROR(__xludf.DUMMYFUNCTION("GOOGLETRANSLATE(A5882, ""en"", ""mt"")"),"Huma tilfu l-flus")</f>
        <v>Huma tilfu l-flus</v>
      </c>
    </row>
    <row r="5883" ht="15.75" customHeight="1">
      <c r="A5883" s="2" t="s">
        <v>5883</v>
      </c>
      <c r="B5883" s="2" t="str">
        <f>IFERROR(__xludf.DUMMYFUNCTION("GOOGLETRANSLATE(A5883, ""en"", ""mt"")"),"Min ikklassifika Varsavja bħala t-22 belt l-iktar ħajjin fid-dinja?")</f>
        <v>Min ikklassifika Varsavja bħala t-22 belt l-iktar ħajjin fid-dinja?</v>
      </c>
    </row>
    <row r="5884" ht="15.75" customHeight="1">
      <c r="A5884" s="2" t="s">
        <v>5884</v>
      </c>
      <c r="B5884" s="2" t="str">
        <f>IFERROR(__xludf.DUMMYFUNCTION("GOOGLETRANSLATE(A5884, ""en"", ""mt"")"),"5")</f>
        <v>5</v>
      </c>
    </row>
    <row r="5885" ht="15.75" customHeight="1">
      <c r="A5885" s="2" t="s">
        <v>5885</v>
      </c>
      <c r="B5885" s="2" t="str">
        <f>IFERROR(__xludf.DUMMYFUNCTION("GOOGLETRANSLATE(A5885, ""en"", ""mt"")"),"Min hu attur u wkoll ospitanti tas-serje?")</f>
        <v>Min hu attur u wkoll ospitanti tas-serje?</v>
      </c>
    </row>
    <row r="5886" ht="15.75" customHeight="1">
      <c r="A5886" s="2" t="s">
        <v>5886</v>
      </c>
      <c r="B5886" s="2" t="str">
        <f>IFERROR(__xludf.DUMMYFUNCTION("GOOGLETRANSLATE(A5886, ""en"", ""mt"")"),"Minbarra Firebox, x'inhu isem ieħor għall-ispazju li fih materjal kombustibbli jinħaraq fil-magna?")</f>
        <v>Minbarra Firebox, x'inhu isem ieħor għall-ispazju li fih materjal kombustibbli jinħaraq fil-magna?</v>
      </c>
    </row>
    <row r="5887" ht="15.75" customHeight="1">
      <c r="A5887" s="2" t="s">
        <v>5887</v>
      </c>
      <c r="B5887" s="2" t="str">
        <f>IFERROR(__xludf.DUMMYFUNCTION("GOOGLETRANSLATE(A5887, ""en"", ""mt"")"),"Evakwa ċ-ċilindru")</f>
        <v>Evakwa ċ-ċilindru</v>
      </c>
    </row>
    <row r="5888" ht="15.75" customHeight="1">
      <c r="A5888" s="2" t="s">
        <v>5888</v>
      </c>
      <c r="B5888" s="2" t="str">
        <f>IFERROR(__xludf.DUMMYFUNCTION("GOOGLETRANSLATE(A5888, ""en"", ""mt"")"),"Min kien ziju Kaidu?")</f>
        <v>Min kien ziju Kaidu?</v>
      </c>
    </row>
    <row r="5889" ht="15.75" customHeight="1">
      <c r="A5889" s="2" t="s">
        <v>5889</v>
      </c>
      <c r="B5889" s="2" t="str">
        <f>IFERROR(__xludf.DUMMYFUNCTION("GOOGLETRANSLATE(A5889, ""en"", ""mt"")"),"Meta kien il-Moviment tal-Edukazzjoni tal-Iskola Sekondarja tal-Massa?")</f>
        <v>Meta kien il-Moviment tal-Edukazzjoni tal-Iskola Sekondarja tal-Massa?</v>
      </c>
    </row>
    <row r="5890" ht="15.75" customHeight="1">
      <c r="A5890" s="2" t="s">
        <v>5890</v>
      </c>
      <c r="B5890" s="2" t="str">
        <f>IFERROR(__xludf.DUMMYFUNCTION("GOOGLETRANSLATE(A5890, ""en"", ""mt"")"),"X'tip ta 'professjonist huwa meqjus bħala tekniku tal-ispiżerija?")</f>
        <v>X'tip ta 'professjonist huwa meqjus bħala tekniku tal-ispiżerija?</v>
      </c>
    </row>
    <row r="5891" ht="15.75" customHeight="1">
      <c r="A5891" s="2" t="s">
        <v>5891</v>
      </c>
      <c r="B5891" s="2" t="str">
        <f>IFERROR(__xludf.DUMMYFUNCTION("GOOGLETRANSLATE(A5891, ""en"", ""mt"")"),"Mudell tal-Università Ingliża")</f>
        <v>Mudell tal-Università Ingliża</v>
      </c>
    </row>
    <row r="5892" ht="15.75" customHeight="1">
      <c r="A5892" s="2" t="s">
        <v>5892</v>
      </c>
      <c r="B5892" s="2" t="str">
        <f>IFERROR(__xludf.DUMMYFUNCTION("GOOGLETRANSLATE(A5892, ""en"", ""mt"")"),"F'liema seklu ntemm il-Grand Canal D'Alsace?")</f>
        <v>F'liema seklu ntemm il-Grand Canal D'Alsace?</v>
      </c>
    </row>
    <row r="5893" ht="15.75" customHeight="1">
      <c r="A5893" s="2" t="s">
        <v>5893</v>
      </c>
      <c r="B5893" s="2" t="str">
        <f>IFERROR(__xludf.DUMMYFUNCTION("GOOGLETRANSLATE(A5893, ""en"", ""mt"")"),"Xi jħoss Rajan ħoloq linji ta 'difetti finanzjarji profondi?")</f>
        <v>Xi jħoss Rajan ħoloq linji ta 'difetti finanzjarji profondi?</v>
      </c>
    </row>
    <row r="5894" ht="15.75" customHeight="1">
      <c r="A5894" s="2" t="s">
        <v>5894</v>
      </c>
      <c r="B5894" s="2" t="str">
        <f>IFERROR(__xludf.DUMMYFUNCTION("GOOGLETRANSLATE(A5894, ""en"", ""mt"")"),"l-osservazzjoni tiegħu ta 'qxur ta' annimali fossili")</f>
        <v>l-osservazzjoni tiegħu ta 'qxur ta' annimali fossili</v>
      </c>
    </row>
    <row r="5895" ht="15.75" customHeight="1">
      <c r="A5895" s="2" t="s">
        <v>5895</v>
      </c>
      <c r="B5895" s="2" t="str">
        <f>IFERROR(__xludf.DUMMYFUNCTION("GOOGLETRANSLATE(A5895, ""en"", ""mt"")"),"X'inhu l-isem ta 'tip wieħed ta' metodu ta 'komputazzjoni li jintuża biex issib numri ewlenin?")</f>
        <v>X'inhu l-isem ta 'tip wieħed ta' metodu ta 'komputazzjoni li jintuża biex issib numri ewlenin?</v>
      </c>
    </row>
    <row r="5896" ht="15.75" customHeight="1">
      <c r="A5896" s="2" t="s">
        <v>5896</v>
      </c>
      <c r="B5896" s="2" t="str">
        <f>IFERROR(__xludf.DUMMYFUNCTION("GOOGLETRANSLATE(A5896, ""en"", ""mt"")"),"ħoss każwali")</f>
        <v>ħoss każwali</v>
      </c>
    </row>
    <row r="5897" ht="15.75" customHeight="1">
      <c r="A5897" s="2" t="s">
        <v>5897</v>
      </c>
      <c r="B5897" s="2" t="str">
        <f>IFERROR(__xludf.DUMMYFUNCTION("GOOGLETRANSLATE(A5897, ""en"", ""mt"")"),"X'inhu definit bħala l-vot tal-maġġoranza?")</f>
        <v>X'inhu definit bħala l-vot tal-maġġoranza?</v>
      </c>
    </row>
    <row r="5898" ht="15.75" customHeight="1">
      <c r="A5898" s="2" t="s">
        <v>5898</v>
      </c>
      <c r="B5898" s="2" t="str">
        <f>IFERROR(__xludf.DUMMYFUNCTION("GOOGLETRANSLATE(A5898, ""en"", ""mt"")"),"Il-mekkaniżmi użati biex jevadu s-sistema immuni adatta huma aktar ikkumplikati. L-aktar approċċ sempliċi huwa li jinbidlu malajr epitopi mhux essenzjali (aċidi amminiċi u / jew zokkor) fuq il-wiċċ tal-patoġen, filwaqt li jżommu l-epitopi essenzjali moħbi"&amp;"ja. Din tissejjaħ varjazzjoni antiġenika. Eżempju huwa l-HIV, li jmut malajr, u għalhekk il-proteini fuq il-pakkett virali tiegħu li huma essenzjali għad-dħul fiċ-ċellula mmirata ospitanti tagħha qed jinbidlu kontinwament. Dawn il-bidliet frekwenti fl-ant"&amp;"iġeni jistgħu jispjegaw il-fallimenti ta 'vaċċini diretti lejn dan il-virus. Il-parassita Trypanosoma brucei tuża strateġija simili, li kontinwament taqleb tip ta 'proteina tal-wiċċ għal oħra, li tippermettilha tibqa' pass 'il quddiem mir-rispons għall-an"&amp;"tikorpi. L-antiġeni li jgħaqqdu ma 'molekuli ospitanti hija strateġija oħra komuni biex tevita d-detezzjoni mis-sistema immunitarja. Fl-HIV, l-envelop li jkopri l-virion huwa ffurmat mill-membrana l-iktar imbiegħda taċ-ċellula ospitanti; Viruses ""awto-mi"&amp;"ksija"" jagħmluha diffiċli għas-sistema immuni biex tidentifikahom bħala strutturi ""mhux self"".")</f>
        <v>Il-mekkaniżmi użati biex jevadu s-sistema immuni adatta huma aktar ikkumplikati. L-aktar approċċ sempliċi huwa li jinbidlu malajr epitopi mhux essenzjali (aċidi amminiċi u / jew zokkor) fuq il-wiċċ tal-patoġen, filwaqt li jżommu l-epitopi essenzjali moħbija. Din tissejjaħ varjazzjoni antiġenika. Eżempju huwa l-HIV, li jmut malajr, u għalhekk il-proteini fuq il-pakkett virali tiegħu li huma essenzjali għad-dħul fiċ-ċellula mmirata ospitanti tagħha qed jinbidlu kontinwament. Dawn il-bidliet frekwenti fl-antiġeni jistgħu jispjegaw il-fallimenti ta 'vaċċini diretti lejn dan il-virus. Il-parassita Trypanosoma brucei tuża strateġija simili, li kontinwament taqleb tip ta 'proteina tal-wiċċ għal oħra, li tippermettilha tibqa' pass 'il quddiem mir-rispons għall-antikorpi. L-antiġeni li jgħaqqdu ma 'molekuli ospitanti hija strateġija oħra komuni biex tevita d-detezzjoni mis-sistema immunitarja. Fl-HIV, l-envelop li jkopri l-virion huwa ffurmat mill-membrana l-iktar imbiegħda taċ-ċellula ospitanti; Viruses "awto-miksija" jagħmluha diffiċli għas-sistema immuni biex tidentifikahom bħala strutturi "mhux self".</v>
      </c>
    </row>
    <row r="5899" ht="15.75" customHeight="1">
      <c r="A5899" s="2" t="s">
        <v>5899</v>
      </c>
      <c r="B5899" s="2" t="str">
        <f>IFERROR(__xludf.DUMMYFUNCTION("GOOGLETRANSLATE(A5899, ""en"", ""mt"")"),"X’jaċċettaw l-anarkisti dwar ir-rwol tal-gvern?")</f>
        <v>X’jaċċettaw l-anarkisti dwar ir-rwol tal-gvern?</v>
      </c>
    </row>
    <row r="5900" ht="15.75" customHeight="1">
      <c r="A5900" s="2" t="s">
        <v>5900</v>
      </c>
      <c r="B5900" s="2" t="str">
        <f>IFERROR(__xludf.DUMMYFUNCTION("GOOGLETRANSLATE(A5900, ""en"", ""mt"")"),"F'liema temperatura se jikkondensa l-ossiġnu?")</f>
        <v>F'liema temperatura se jikkondensa l-ossiġnu?</v>
      </c>
    </row>
    <row r="5901" ht="15.75" customHeight="1">
      <c r="A5901" s="2" t="s">
        <v>5901</v>
      </c>
      <c r="B5901" s="2" t="str">
        <f>IFERROR(__xludf.DUMMYFUNCTION("GOOGLETRANSLATE(A5901, ""en"", ""mt"")"),"X'għandha naqset iċ-ċittadinanza tal-UE?")</f>
        <v>X'għandha naqset iċ-ċittadinanza tal-UE?</v>
      </c>
    </row>
    <row r="5902" ht="15.75" customHeight="1">
      <c r="A5902" s="2" t="s">
        <v>5902</v>
      </c>
      <c r="B5902" s="2" t="str">
        <f>IFERROR(__xludf.DUMMYFUNCTION("GOOGLETRANSLATE(A5902, ""en"", ""mt"")"),"L-esploratur Franċiż Huguenot Jean Ribault ikklassifika x-Xmara San Ġwann fl-1562 billi sejħilha x-xmara ta 'Mejju għax skopraha f'Mejju. Ribault tella ’kolonna tal-ġebel qrib Jacksonville preżenti fejn sostniet l-art li għadha kemm ġiet skoperta għal Fra"&amp;"nza. Fl-1564, René Goulaine de Laudonnière stabbilixxiet l-ewwel ftehim Ewropew, Fort Caroline, fuq il-San Ġwann ħdejn il-villaġġ ewlieni tas-Saturawa. Filippu II ta ’Spanja ordna lil Pedro Menéndez de Avilés biex jipproteġi l-interess ta’ Spanja billi ja"&amp;"ttakka l-preżenza Franċiża fil-Fort Caroline. Fl-20 ta 'Settembru, 1565, forza Spanjola mill-issetiljar Spanjol fil-viċin ta' Santu Wistin attakkat lil Fort Caroline, u qatlet kważi s-suldati Franċiżi kollha li jiddefenduha. L-Ispanjol semmieh il-Fort San"&amp;" Mateo, u wara l-effett tal-Franċiż, il-pożizzjoni ta ’Santu Wistin bħala l-iktar ftehim importanti fi Florida ġie ssolidifikat. Il-post ta 'Fort Caroline huwa soġġett għal dibattitu iżda ġiet stabbilita rikostruzzjoni tal-forti fuq ix-Xmara San Ġwann fl-"&amp;"1964.")</f>
        <v>L-esploratur Franċiż Huguenot Jean Ribault ikklassifika x-Xmara San Ġwann fl-1562 billi sejħilha x-xmara ta 'Mejju għax skopraha f'Mejju. Ribault tella ’kolonna tal-ġebel qrib Jacksonville preżenti fejn sostniet l-art li għadha kemm ġiet skoperta għal Franza. Fl-1564, René Goulaine de Laudonnière stabbilixxiet l-ewwel ftehim Ewropew, Fort Caroline, fuq il-San Ġwann ħdejn il-villaġġ ewlieni tas-Saturawa. Filippu II ta ’Spanja ordna lil Pedro Menéndez de Avilés biex jipproteġi l-interess ta’ Spanja billi jattakka l-preżenza Franċiża fil-Fort Caroline. Fl-20 ta 'Settembru, 1565, forza Spanjola mill-issetiljar Spanjol fil-viċin ta' Santu Wistin attakkat lil Fort Caroline, u qatlet kważi s-suldati Franċiżi kollha li jiddefenduha. L-Ispanjol semmieh il-Fort San Mateo, u wara l-effett tal-Franċiż, il-pożizzjoni ta ’Santu Wistin bħala l-iktar ftehim importanti fi Florida ġie ssolidifikat. Il-post ta 'Fort Caroline huwa soġġett għal dibattitu iżda ġiet stabbilita rikostruzzjoni tal-forti fuq ix-Xmara San Ġwann fl-1964.</v>
      </c>
    </row>
    <row r="5903" ht="15.75" customHeight="1">
      <c r="A5903" s="2" t="s">
        <v>5903</v>
      </c>
      <c r="B5903" s="2" t="str">
        <f>IFERROR(__xludf.DUMMYFUNCTION("GOOGLETRANSLATE(A5903, ""en"", ""mt"")"),"dejjem aktar jissostitwixxi tagħmir kapitali għall-inputs tax-xogħol")</f>
        <v>dejjem aktar jissostitwixxi tagħmir kapitali għall-inputs tax-xogħol</v>
      </c>
    </row>
    <row r="5904" ht="15.75" customHeight="1">
      <c r="A5904" s="2" t="s">
        <v>5904</v>
      </c>
      <c r="B5904" s="2" t="str">
        <f>IFERROR(__xludf.DUMMYFUNCTION("GOOGLETRANSLATE(A5904, ""en"", ""mt"")"),"Liema parti tar-Rhine flussi lejn il-punent f'Katwijk?")</f>
        <v>Liema parti tar-Rhine flussi lejn il-punent f'Katwijk?</v>
      </c>
    </row>
    <row r="5905" ht="15.75" customHeight="1">
      <c r="A5905" s="2" t="s">
        <v>5905</v>
      </c>
      <c r="B5905" s="2" t="str">
        <f>IFERROR(__xludf.DUMMYFUNCTION("GOOGLETRANSLATE(A5905, ""en"", ""mt"")"),"Kemm hemm lagi f'Czerniakow?")</f>
        <v>Kemm hemm lagi f'Czerniakow?</v>
      </c>
    </row>
    <row r="5906" ht="15.75" customHeight="1">
      <c r="A5906" s="2" t="s">
        <v>5906</v>
      </c>
      <c r="B5906" s="2" t="str">
        <f>IFERROR(__xludf.DUMMYFUNCTION("GOOGLETRANSLATE(A5906, ""en"", ""mt"")"),"taljoli ideali")</f>
        <v>taljoli ideali</v>
      </c>
    </row>
    <row r="5907" ht="15.75" customHeight="1">
      <c r="A5907" s="2" t="s">
        <v>5907</v>
      </c>
      <c r="B5907" s="2" t="str">
        <f>IFERROR(__xludf.DUMMYFUNCTION("GOOGLETRANSLATE(A5907, ""en"", ""mt"")"),"Il-membri parlamentari li jirrappreżentaw kostitwenzi Ingliżi jistgħu biss jivverifikaw il-liġijiet li jaffettwaw liema pajjiż?")</f>
        <v>Il-membri parlamentari li jirrappreżentaw kostitwenzi Ingliżi jistgħu biss jivverifikaw il-liġijiet li jaffettwaw liema pajjiż?</v>
      </c>
    </row>
    <row r="5908" ht="15.75" customHeight="1">
      <c r="A5908" s="2" t="s">
        <v>5908</v>
      </c>
      <c r="B5908" s="2" t="str">
        <f>IFERROR(__xludf.DUMMYFUNCTION("GOOGLETRANSLATE(A5908, ""en"", ""mt"")"),"Gan")</f>
        <v>Gan</v>
      </c>
    </row>
    <row r="5909" ht="15.75" customHeight="1">
      <c r="A5909" s="2" t="s">
        <v>5909</v>
      </c>
      <c r="B5909" s="2" t="str">
        <f>IFERROR(__xludf.DUMMYFUNCTION("GOOGLETRANSLATE(A5909, ""en"", ""mt"")"),"sitwazzjoni finanzjarja diżastruża.")</f>
        <v>sitwazzjoni finanzjarja diżastruża.</v>
      </c>
    </row>
    <row r="5910" ht="15.75" customHeight="1">
      <c r="A5910" s="2" t="s">
        <v>5910</v>
      </c>
      <c r="B5910" s="2" t="str">
        <f>IFERROR(__xludf.DUMMYFUNCTION("GOOGLETRANSLATE(A5910, ""en"", ""mt"")"),"Meta Franza u l-Olandiżi ġlieda fis-seklu 17?")</f>
        <v>Meta Franza u l-Olandiżi ġlieda fis-seklu 17?</v>
      </c>
    </row>
    <row r="5911" ht="15.75" customHeight="1">
      <c r="A5911" s="2" t="s">
        <v>5911</v>
      </c>
      <c r="B5911" s="2" t="str">
        <f>IFERROR(__xludf.DUMMYFUNCTION("GOOGLETRANSLATE(A5911, ""en"", ""mt"")"),"Ħin Parlamentari")</f>
        <v>Ħin Parlamentari</v>
      </c>
    </row>
    <row r="5912" ht="15.75" customHeight="1">
      <c r="A5912" s="2" t="s">
        <v>5912</v>
      </c>
      <c r="B5912" s="2" t="str">
        <f>IFERROR(__xludf.DUMMYFUNCTION("GOOGLETRANSLATE(A5912, ""en"", ""mt"")"),"Kif huwa pprovdut id-dawra billi tirkeb fuq il-port tas-suq wieqaf?")</f>
        <v>Kif huwa pprovdut id-dawra billi tirkeb fuq il-port tas-suq wieqaf?</v>
      </c>
    </row>
    <row r="5913" ht="15.75" customHeight="1">
      <c r="A5913" s="2" t="s">
        <v>5913</v>
      </c>
      <c r="B5913" s="2" t="str">
        <f>IFERROR(__xludf.DUMMYFUNCTION("GOOGLETRANSLATE(A5913, ""en"", ""mt"")"),"Għal xiex hu suġġett il-finanzjament tal-kontenut tal-kors?")</f>
        <v>Għal xiex hu suġġett il-finanzjament tal-kontenut tal-kors?</v>
      </c>
    </row>
    <row r="5914" ht="15.75" customHeight="1">
      <c r="A5914" s="2" t="s">
        <v>5914</v>
      </c>
      <c r="B5914" s="2" t="str">
        <f>IFERROR(__xludf.DUMMYFUNCTION("GOOGLETRANSLATE(A5914, ""en"", ""mt"")"),"Meta twieled Zia-ul-Haq?")</f>
        <v>Meta twieled Zia-ul-Haq?</v>
      </c>
    </row>
    <row r="5915" ht="15.75" customHeight="1">
      <c r="A5915" s="2" t="s">
        <v>5915</v>
      </c>
      <c r="B5915" s="2" t="str">
        <f>IFERROR(__xludf.DUMMYFUNCTION("GOOGLETRANSLATE(A5915, ""en"", ""mt"")"),"Mudell tal-magna magħżul")</f>
        <v>Mudell tal-magna magħżul</v>
      </c>
    </row>
    <row r="5916" ht="15.75" customHeight="1">
      <c r="A5916" s="2" t="s">
        <v>5916</v>
      </c>
      <c r="B5916" s="2" t="str">
        <f>IFERROR(__xludf.DUMMYFUNCTION("GOOGLETRANSLATE(A5916, ""en"", ""mt"")"),"FMCG Manifattura")</f>
        <v>FMCG Manifattura</v>
      </c>
    </row>
    <row r="5917" ht="15.75" customHeight="1">
      <c r="A5917" s="2" t="s">
        <v>5917</v>
      </c>
      <c r="B5917" s="2" t="str">
        <f>IFERROR(__xludf.DUMMYFUNCTION("GOOGLETRANSLATE(A5917, ""en"", ""mt"")"),"Meta ġew megħluba l-Mongoli mit-Tran?")</f>
        <v>Meta ġew megħluba l-Mongoli mit-Tran?</v>
      </c>
    </row>
    <row r="5918" ht="15.75" customHeight="1">
      <c r="A5918" s="2" t="s">
        <v>5918</v>
      </c>
      <c r="B5918" s="2" t="str">
        <f>IFERROR(__xludf.DUMMYFUNCTION("GOOGLETRANSLATE(A5918, ""en"", ""mt"")"),"fungi")</f>
        <v>fungi</v>
      </c>
    </row>
    <row r="5919" ht="15.75" customHeight="1">
      <c r="A5919" s="2" t="s">
        <v>5919</v>
      </c>
      <c r="B5919" s="2" t="str">
        <f>IFERROR(__xludf.DUMMYFUNCTION("GOOGLETRANSLATE(A5919, ""en"", ""mt"")"),"X inaqqas għal y")</f>
        <v>X inaqqas għal y</v>
      </c>
    </row>
    <row r="5920" ht="15.75" customHeight="1">
      <c r="A5920" s="2" t="s">
        <v>5920</v>
      </c>
      <c r="B5920" s="2" t="str">
        <f>IFERROR(__xludf.DUMMYFUNCTION("GOOGLETRANSLATE(A5920, ""en"", ""mt"")")," Liema rewwixta ntemmet fl-1351?")</f>
        <v> Liema rewwixta ntemmet fl-1351?</v>
      </c>
    </row>
    <row r="5921" ht="15.75" customHeight="1">
      <c r="A5921" s="2" t="s">
        <v>5921</v>
      </c>
      <c r="B5921" s="2" t="str">
        <f>IFERROR(__xludf.DUMMYFUNCTION("GOOGLETRANSLATE(A5921, ""en"", ""mt"")"),"L-Interpretazzjoni tal-Għarabja")</f>
        <v>L-Interpretazzjoni tal-Għarabja</v>
      </c>
    </row>
    <row r="5922" ht="15.75" customHeight="1">
      <c r="A5922" s="2" t="s">
        <v>5922</v>
      </c>
      <c r="B5922" s="2" t="str">
        <f>IFERROR(__xludf.DUMMYFUNCTION("GOOGLETRANSLATE(A5922, ""en"", ""mt"")"),"Ir-Rabat fih ħafna żoni topografikament, ġeoloġikament u klimatikament differenti, li jvarjaw mill-klima mxarrba u moderata tal-Gippsland fix-Xlokk saż-żoni Alpini Vittorjani miksija bil-borra li jogħlew għal kważi 2,000 m (6,600 ft), bil-Muntanja Bogong "&amp;"l-ogħla quċċata fi 1,986 m (6,516 ft). Hemm pjanuri estensivi semi-aridi lejn il-punent u l-majjistral. Hemm serje estensiva ta 'sistemi tax-xmajjar fir-Rabat. L-iktar notevoli hija s-sistema tax-Xmara Murray. Xmajjar oħra jinkludu: Xmara tal-Fran, Xmara "&amp;"Goulburn, River Patterson, River King, River Campaspe, River Loddon, River Wimmera, Elgin River, Barwon River, Thomson River, Snowy River, Latrobe River, Yarra River, Mabrarnong, River Mitta, Mitta River, Hopkins Xmara, Xmara Merri u Xmara Kiewa. Is-simbo"&amp;"li tal-istat jinkludu s-Saħħa Roża (Fjura tal-Istat), il-Possum ta 'Leadbeater (State Animal) u l-Honeyeater Elmuted (State Bird).")</f>
        <v>Ir-Rabat fih ħafna żoni topografikament, ġeoloġikament u klimatikament differenti, li jvarjaw mill-klima mxarrba u moderata tal-Gippsland fix-Xlokk saż-żoni Alpini Vittorjani miksija bil-borra li jogħlew għal kważi 2,000 m (6,600 ft), bil-Muntanja Bogong l-ogħla quċċata fi 1,986 m (6,516 ft). Hemm pjanuri estensivi semi-aridi lejn il-punent u l-majjistral. Hemm serje estensiva ta 'sistemi tax-xmajjar fir-Rabat. L-iktar notevoli hija s-sistema tax-Xmara Murray. Xmajjar oħra jinkludu: Xmara tal-Fran, Xmara Goulburn, River Patterson, River King, River Campaspe, River Loddon, River Wimmera, Elgin River, Barwon River, Thomson River, Snowy River, Latrobe River, Yarra River, Mabrarnong, River Mitta, Mitta River, Hopkins Xmara, Xmara Merri u Xmara Kiewa. Is-simboli tal-istat jinkludu s-Saħħa Roża (Fjura tal-Istat), il-Possum ta 'Leadbeater (State Animal) u l-Honeyeater Elmuted (State Bird).</v>
      </c>
    </row>
    <row r="5923" ht="15.75" customHeight="1">
      <c r="A5923" s="2" t="s">
        <v>5923</v>
      </c>
      <c r="B5923" s="2" t="str">
        <f>IFERROR(__xludf.DUMMYFUNCTION("GOOGLETRANSLATE(A5923, ""en"", ""mt"")"),"X'jista 'jiġi interpretat minn individwi biex jiddeterminaw jekk il-finanzjament għall-kontenut tal-kors huwiex projbit?")</f>
        <v>X'jista 'jiġi interpretat minn individwi biex jiddeterminaw jekk il-finanzjament għall-kontenut tal-kors huwiex projbit?</v>
      </c>
    </row>
    <row r="5924" ht="15.75" customHeight="1">
      <c r="A5924" s="2" t="s">
        <v>5924</v>
      </c>
      <c r="B5924" s="2" t="str">
        <f>IFERROR(__xludf.DUMMYFUNCTION("GOOGLETRANSLATE(A5924, ""en"", ""mt"")"),"Ir-regola kolonjali, jew l-okkupazzjoni fiżika ta 'territorju mhix eżempju ta' x'tip ta 'imperjalizmu?")</f>
        <v>Ir-regola kolonjali, jew l-okkupazzjoni fiżika ta 'territorju mhix eżempju ta' x'tip ta 'imperjalizmu?</v>
      </c>
    </row>
    <row r="5925" ht="15.75" customHeight="1">
      <c r="A5925" s="2" t="s">
        <v>5925</v>
      </c>
      <c r="B5925" s="2" t="str">
        <f>IFERROR(__xludf.DUMMYFUNCTION("GOOGLETRANSLATE(A5925, ""en"", ""mt"")"),"X'inhuma żewġ oqsma tax-xjenza teoretika tal-kompjuter li jirriflettu mill-qrib it-teorija tas-sempliċità tal-komputazzjoni?")</f>
        <v>X'inhuma żewġ oqsma tax-xjenza teoretika tal-kompjuter li jirriflettu mill-qrib it-teorija tas-sempliċità tal-komputazzjoni?</v>
      </c>
    </row>
    <row r="5926" ht="15.75" customHeight="1">
      <c r="A5926" s="2" t="s">
        <v>5926</v>
      </c>
      <c r="B5926" s="2" t="str">
        <f>IFERROR(__xludf.DUMMYFUNCTION("GOOGLETRANSLATE(A5926, ""en"", ""mt"")"),"Min jaħdmu l-ispiżjara kliniċi ma 'ħafna mill-ħin?")</f>
        <v>Min jaħdmu l-ispiżjara kliniċi ma 'ħafna mill-ħin?</v>
      </c>
    </row>
    <row r="5927" ht="15.75" customHeight="1">
      <c r="A5927" s="2" t="s">
        <v>5927</v>
      </c>
      <c r="B5927" s="2" t="str">
        <f>IFERROR(__xludf.DUMMYFUNCTION("GOOGLETRANSLATE(A5927, ""en"", ""mt"")"),"X'kienet il-popolazzjoni Franċiża fl-Amerika ta 'Fuq?")</f>
        <v>X'kienet il-popolazzjoni Franċiża fl-Amerika ta 'Fuq?</v>
      </c>
    </row>
    <row r="5928" ht="15.75" customHeight="1">
      <c r="A5928" s="2" t="s">
        <v>5928</v>
      </c>
      <c r="B5928" s="2" t="str">
        <f>IFERROR(__xludf.DUMMYFUNCTION("GOOGLETRANSLATE(A5928, ""en"", ""mt"")"),"naqqas b'mod sinifikanti l-metaboliżmu tal-annimal")</f>
        <v>naqqas b'mod sinifikanti l-metaboliżmu tal-annimal</v>
      </c>
    </row>
    <row r="5929" ht="15.75" customHeight="1">
      <c r="A5929" s="2" t="s">
        <v>5929</v>
      </c>
      <c r="B5929" s="2" t="str">
        <f>IFERROR(__xludf.DUMMYFUNCTION("GOOGLETRANSLATE(A5929, ""en"", ""mt"")"),"15,244")</f>
        <v>15,244</v>
      </c>
    </row>
    <row r="5930" ht="15.75" customHeight="1">
      <c r="A5930" s="2" t="s">
        <v>5930</v>
      </c>
      <c r="B5930" s="2" t="str">
        <f>IFERROR(__xludf.DUMMYFUNCTION("GOOGLETRANSLATE(A5930, ""en"", ""mt"")"),"Kemm kien okkupat Varsavja mill-Ġermanja?")</f>
        <v>Kemm kien okkupat Varsavja mill-Ġermanja?</v>
      </c>
    </row>
    <row r="5931" ht="15.75" customHeight="1">
      <c r="A5931" s="2" t="s">
        <v>5931</v>
      </c>
      <c r="B5931" s="2" t="str">
        <f>IFERROR(__xludf.DUMMYFUNCTION("GOOGLETRANSLATE(A5931, ""en"", ""mt"")"),"L-iżvilupp ta 'teoriji fundamentali għall-forzi pproċeda skond il-linji ta' unifikazzjoni ta 'ideat differenti. Pereżempju, Isaac Newton unifika l-forza responsabbli għal oġġetti li jaqgħu fil-wiċċ tad-dinja bil-forza responsabbli għall-orbiti tal-mekkani"&amp;"ka ċelesti fit-teorija universali tiegħu tal-gravitazzjoni. Michael Faraday u James Clerk Maxwell urew li l-forzi elettriċi u manjetiċi ġew unifikati permezz ta ’teorija waħda konsistenti tal-elettromanjetiżmu. Fis-seklu 20, l-iżvilupp tal-mekkanika kwant"&amp;"istika wassal għal fehim modern li l-ewwel tliet forzi fundamentali (kollha ħlief il-gravità) huma manifestazzjonijiet tal-materja (fermions) li jinteraġixxu billi jiskambjaw partiċelli virtwali msejħa bosons tal-gauge. Dan il-mudell standard tal-fiżika t"&amp;"al-partikuli jippreżenta xebh bejn il-forzi u x-xjenzati LED biex ibassru l-unifikazzjoni tal-forzi dgħajfa u elettromanjetiċi fit-teorija tal-elettroweak sussegwentement ikkonfermata mill-osservazzjoni. Il-formulazzjoni sħiħa tal-mudell standard tbassar "&amp;"mekkaniżmu HIGGS li għadu mhux osservat, iżda osservazzjonijiet bħal oxxillazzjonijiet tan-newtrino jindikaw li l-mudell standard mhuwiex komplut. Teorija unifikata kbira li tippermetti l-kombinazzjoni ta 'l-interazzjoni Electroweak mal-forza b'saħħitha h"&amp;"ija miżmuma bħala possibbiltà ma' teoriji kandidati bħas-supersimetrija proposta biex takkomoda wħud mill-problemi mhux solvuti pendenti fil-fiżika. Il-fiżiċi għadhom qed jippruvaw jiżviluppaw mudelli ta 'unifikazzjoni awto-konsistenti li jgħaqqdu l-erba'"&amp;" interazzjonijiet fundamentali kollha fit-teorija ta 'kollox. Einstein ipprova u falla f'dan l-isforz, iżda bħalissa l-aktar approċċ popolari biex twieġeb din il-mistoqsija hija t-teorija tal-kordi.: 212–219")</f>
        <v>L-iżvilupp ta 'teoriji fundamentali għall-forzi pproċeda skond il-linji ta' unifikazzjoni ta 'ideat differenti. Pereżempju, Isaac Newton unifika l-forza responsabbli għal oġġetti li jaqgħu fil-wiċċ tad-dinja bil-forza responsabbli għall-orbiti tal-mekkanika ċelesti fit-teorija universali tiegħu tal-gravitazzjoni. Michael Faraday u James Clerk Maxwell urew li l-forzi elettriċi u manjetiċi ġew unifikati permezz ta ’teorija waħda konsistenti tal-elettromanjetiżmu. Fis-seklu 20, l-iżvilupp tal-mekkanika kwantistika wassal għal fehim modern li l-ewwel tliet forzi fundamentali (kollha ħlief il-gravità) huma manifestazzjonijiet tal-materja (fermions) li jinteraġixxu billi jiskambjaw partiċelli virtwali msejħa bosons tal-gauge. Dan il-mudell standard tal-fiżika tal-partikuli jippreżenta xebh bejn il-forzi u x-xjenzati LED biex ibassru l-unifikazzjoni tal-forzi dgħajfa u elettromanjetiċi fit-teorija tal-elettroweak sussegwentement ikkonfermata mill-osservazzjoni. Il-formulazzjoni sħiħa tal-mudell standard tbassar mekkaniżmu HIGGS li għadu mhux osservat, iżda osservazzjonijiet bħal oxxillazzjonijiet tan-newtrino jindikaw li l-mudell standard mhuwiex komplut. Teorija unifikata kbira li tippermetti l-kombinazzjoni ta 'l-interazzjoni Electroweak mal-forza b'saħħitha hija miżmuma bħala possibbiltà ma' teoriji kandidati bħas-supersimetrija proposta biex takkomoda wħud mill-problemi mhux solvuti pendenti fil-fiżika. Il-fiżiċi għadhom qed jippruvaw jiżviluppaw mudelli ta 'unifikazzjoni awto-konsistenti li jgħaqqdu l-erba' interazzjonijiet fundamentali kollha fit-teorija ta 'kollox. Einstein ipprova u falla f'dan l-isforz, iżda bħalissa l-aktar approċċ popolari biex twieġeb din il-mistoqsija hija t-teorija tal-kordi.: 212–219</v>
      </c>
    </row>
    <row r="5932" ht="15.75" customHeight="1">
      <c r="A5932" s="2" t="s">
        <v>5932</v>
      </c>
      <c r="B5932" s="2" t="str">
        <f>IFERROR(__xludf.DUMMYFUNCTION("GOOGLETRANSLATE(A5932, ""en"", ""mt"")"),"5,000 sa 30,000")</f>
        <v>5,000 sa 30,000</v>
      </c>
    </row>
    <row r="5933" ht="15.75" customHeight="1">
      <c r="A5933" s="2" t="s">
        <v>5933</v>
      </c>
      <c r="B5933" s="2" t="str">
        <f>IFERROR(__xludf.DUMMYFUNCTION("GOOGLETRANSLATE(A5933, ""en"", ""mt"")"),"Ir-ribelljoni hija ħafna iktar distruttiva")</f>
        <v>Ir-ribelljoni hija ħafna iktar distruttiva</v>
      </c>
    </row>
    <row r="5934" ht="15.75" customHeight="1">
      <c r="A5934" s="2" t="s">
        <v>5934</v>
      </c>
      <c r="B5934" s="2" t="str">
        <f>IFERROR(__xludf.DUMMYFUNCTION("GOOGLETRANSLATE(A5934, ""en"", ""mt"")"),"Kemm il-klijenti Sema UK limitati għandhom bħala xandar tat-TV bi ħlas mill-2015?")</f>
        <v>Kemm il-klijenti Sema UK limitati għandhom bħala xandar tat-TV bi ħlas mill-2015?</v>
      </c>
    </row>
    <row r="5935" ht="15.75" customHeight="1">
      <c r="A5935" s="2" t="s">
        <v>5935</v>
      </c>
      <c r="B5935" s="2" t="str">
        <f>IFERROR(__xludf.DUMMYFUNCTION("GOOGLETRANSLATE(A5935, ""en"", ""mt"")"),"Seklu 19")</f>
        <v>Seklu 19</v>
      </c>
    </row>
    <row r="5936" ht="15.75" customHeight="1">
      <c r="A5936" s="2" t="s">
        <v>5936</v>
      </c>
      <c r="B5936" s="2" t="str">
        <f>IFERROR(__xludf.DUMMYFUNCTION("GOOGLETRANSLATE(A5936, ""en"", ""mt"")"),"1941")</f>
        <v>1941</v>
      </c>
    </row>
    <row r="5937" ht="15.75" customHeight="1">
      <c r="A5937" s="2" t="s">
        <v>5937</v>
      </c>
      <c r="B5937" s="2" t="str">
        <f>IFERROR(__xludf.DUMMYFUNCTION("GOOGLETRANSLATE(A5937, ""en"", ""mt"")"),"Forzi Franċiżi addizzjonali")</f>
        <v>Forzi Franċiżi addizzjonali</v>
      </c>
    </row>
    <row r="5938" ht="15.75" customHeight="1">
      <c r="A5938" s="2" t="s">
        <v>5938</v>
      </c>
      <c r="B5938" s="2" t="str">
        <f>IFERROR(__xludf.DUMMYFUNCTION("GOOGLETRANSLATE(A5938, ""en"", ""mt"")"),"X'inhu mhux ipprojbit bejn l-Istati Membri?")</f>
        <v>X'inhu mhux ipprojbit bejn l-Istati Membri?</v>
      </c>
    </row>
    <row r="5939" ht="15.75" customHeight="1">
      <c r="A5939" s="2" t="s">
        <v>5939</v>
      </c>
      <c r="B5939" s="2" t="str">
        <f>IFERROR(__xludf.DUMMYFUNCTION("GOOGLETRANSLATE(A5939, ""en"", ""mt"")"),"Forom oħra ta 'pesta ġew implikati minn xjenzati moderni. Il-pesta bubonika moderna għandha rata ta 'mortalità ta' 30-75% u sintomi li jinkludu deni ta '38-41 ° C (100-106 ° F), uġigħ ta' ras, ġonot ta 'uġigħ ta' uġigħ, nawżea u rimettar, u sensazzjoni ġe"&amp;"nerali ta 'telqa. Tħalla mhux trattata, minn dawk li jikkuntrattaw il-pesta bubonika, 80 fil-mija jmutu fi żmien tmint ijiem. Il-pesta pnewmonika għandha rata ta 'mortalità ta '90 sa 95 fil-mija. Is-sintomi jinkludu deni, sogħla, u sputum miżbugħ fid-demm"&amp;". Hekk kif il-marda timxi 'l quddiem, l-isputum isir ħieles li jiċċirkola u aħmar jgħajjat. Il-pesta settiċemika hija l-inqas komuni mit-tliet forom, b'rata ta 'mortalità qrib 100%. Is-sintomi huma deni għoljin u rqajja vjola tal-ġilda (purpura minħabba k"&amp;"oagulazzjoni intravaskulari mxerrda). F'każijiet ta 'pesta pnewmonika u partikolarment settiċemika, il-progress tal-marda huwa daqshekk mgħaġġel li ħafna drabi ma jkun hemm l-ebda ħin għall-iżvilupp tal-għoqiedi linfatiċi mkabbra li ġew innotati bħala bub"&amp;"o.")</f>
        <v>Forom oħra ta 'pesta ġew implikati minn xjenzati moderni. Il-pesta bubonika moderna għandha rata ta 'mortalità ta' 30-75% u sintomi li jinkludu deni ta '38-41 ° C (100-106 ° F), uġigħ ta' ras, ġonot ta 'uġigħ ta' uġigħ, nawżea u rimettar, u sensazzjoni ġenerali ta 'telqa. Tħalla mhux trattata, minn dawk li jikkuntrattaw il-pesta bubonika, 80 fil-mija jmutu fi żmien tmint ijiem. Il-pesta pnewmonika għandha rata ta 'mortalità ta '90 sa 95 fil-mija. Is-sintomi jinkludu deni, sogħla, u sputum miżbugħ fid-demm. Hekk kif il-marda timxi 'l quddiem, l-isputum isir ħieles li jiċċirkola u aħmar jgħajjat. Il-pesta settiċemika hija l-inqas komuni mit-tliet forom, b'rata ta 'mortalità qrib 100%. Is-sintomi huma deni għoljin u rqajja vjola tal-ġilda (purpura minħabba koagulazzjoni intravaskulari mxerrda). F'każijiet ta 'pesta pnewmonika u partikolarment settiċemika, il-progress tal-marda huwa daqshekk mgħaġġel li ħafna drabi ma jkun hemm l-ebda ħin għall-iżvilupp tal-għoqiedi linfatiċi mkabbra li ġew innotati bħala bubo.</v>
      </c>
    </row>
    <row r="5940" ht="15.75" customHeight="1">
      <c r="A5940" s="2" t="s">
        <v>5940</v>
      </c>
      <c r="B5940" s="2" t="str">
        <f>IFERROR(__xludf.DUMMYFUNCTION("GOOGLETRANSLATE(A5940, ""en"", ""mt"")"),"Kemm-il ġurnata l-kunsill ikollu jwarrab il-veto tas-sindku?")</f>
        <v>Kemm-il ġurnata l-kunsill ikollu jwarrab il-veto tas-sindku?</v>
      </c>
    </row>
    <row r="5941" ht="15.75" customHeight="1">
      <c r="A5941" s="2" t="s">
        <v>5941</v>
      </c>
      <c r="B5941" s="2" t="str">
        <f>IFERROR(__xludf.DUMMYFUNCTION("GOOGLETRANSLATE(A5941, ""en"", ""mt"")"),"X'għandu jkun l-għan ewlieni li ma tużax kastig f'sistema ġusta?")</f>
        <v>X'għandu jkun l-għan ewlieni li ma tużax kastig f'sistema ġusta?</v>
      </c>
    </row>
    <row r="5942" ht="15.75" customHeight="1">
      <c r="A5942" s="2" t="s">
        <v>5942</v>
      </c>
      <c r="B5942" s="2" t="str">
        <f>IFERROR(__xludf.DUMMYFUNCTION("GOOGLETRANSLATE(A5942, ""en"", ""mt"")"),"pressjoni għolja")</f>
        <v>pressjoni għolja</v>
      </c>
    </row>
    <row r="5943" ht="15.75" customHeight="1">
      <c r="A5943" s="2" t="s">
        <v>5943</v>
      </c>
      <c r="B5943" s="2" t="str">
        <f>IFERROR(__xludf.DUMMYFUNCTION("GOOGLETRANSLATE(A5943, ""en"", ""mt"")"),"Inugwaljanza bejn is-sessi fl-edukazzjoni")</f>
        <v>Inugwaljanza bejn is-sessi fl-edukazzjoni</v>
      </c>
    </row>
    <row r="5944" ht="15.75" customHeight="1">
      <c r="A5944" s="2" t="s">
        <v>5944</v>
      </c>
      <c r="B5944" s="2" t="str">
        <f>IFERROR(__xludf.DUMMYFUNCTION("GOOGLETRANSLATE(A5944, ""en"", ""mt"")"),"Uħud mill-prodotti tal-esportazzjoni li ntużaw għax-xiri taż-żejt għenu biex jinħolqu tensjonijiet fejn?")</f>
        <v>Uħud mill-prodotti tal-esportazzjoni li ntużaw għax-xiri taż-żejt għenu biex jinħolqu tensjonijiet fejn?</v>
      </c>
    </row>
    <row r="5945" ht="15.75" customHeight="1">
      <c r="A5945" s="2" t="s">
        <v>5945</v>
      </c>
      <c r="B5945" s="2" t="str">
        <f>IFERROR(__xludf.DUMMYFUNCTION("GOOGLETRANSLATE(A5945, ""en"", ""mt"")"),"Pariġi")</f>
        <v>Pariġi</v>
      </c>
    </row>
    <row r="5946" ht="15.75" customHeight="1">
      <c r="A5946" s="2" t="s">
        <v>5946</v>
      </c>
      <c r="B5946" s="2" t="str">
        <f>IFERROR(__xludf.DUMMYFUNCTION("GOOGLETRANSLATE(A5946, ""en"", ""mt"")"),"Ħsad fqir")</f>
        <v>Ħsad fqir</v>
      </c>
    </row>
    <row r="5947" ht="15.75" customHeight="1">
      <c r="A5947" s="2" t="s">
        <v>5947</v>
      </c>
      <c r="B5947" s="2" t="str">
        <f>IFERROR(__xludf.DUMMYFUNCTION("GOOGLETRANSLATE(A5947, ""en"", ""mt"")"),"Waħda mill-applikazzjonijiet l-aktar notevoli tat-teknoloġija tal-istampar kienet il-Chao, il-flus tal-karta tal-wan. Chao kienu magħmula mill-qoxra tas-siġar taċ-ċawsli. Il-gvern tal-wan uża injam tal-injam biex jistampa l-flus tal-karti, iżda qalbu għal"&amp;" pjanċi tal-bronż fl-1275. Il-Mongoli esperimentaw bl-istabbiliment tas-sistema monetarja tal-karti fl-istil Ċiniż fit-territorji kkontrollati mill-Mongolja barra miċ-Ċina. Il-Ministru tal-Yuan Bolad intbagħat lill-Iran, fejn spjega l-flus tal-karti tal-Y"&amp;"uan lill-Qorti tal-IL-Khanate ta 'Gaykhatu. Il-gvern IL-Khanate ħareġ flus fuq il-karta fl-1294, iżda l-fiduċja pubblika tal-munita ġdida eżotika ddestinat l-esperiment.")</f>
        <v>Waħda mill-applikazzjonijiet l-aktar notevoli tat-teknoloġija tal-istampar kienet il-Chao, il-flus tal-karta tal-wan. Chao kienu magħmula mill-qoxra tas-siġar taċ-ċawsli. Il-gvern tal-wan uża injam tal-injam biex jistampa l-flus tal-karti, iżda qalbu għal pjanċi tal-bronż fl-1275. Il-Mongoli esperimentaw bl-istabbiliment tas-sistema monetarja tal-karti fl-istil Ċiniż fit-territorji kkontrollati mill-Mongolja barra miċ-Ċina. Il-Ministru tal-Yuan Bolad intbagħat lill-Iran, fejn spjega l-flus tal-karti tal-Yuan lill-Qorti tal-IL-Khanate ta 'Gaykhatu. Il-gvern IL-Khanate ħareġ flus fuq il-karta fl-1294, iżda l-fiduċja pubblika tal-munita ġdida eżotika ddestinat l-esperiment.</v>
      </c>
    </row>
    <row r="5948" ht="15.75" customHeight="1">
      <c r="A5948" s="2" t="s">
        <v>5948</v>
      </c>
      <c r="B5948" s="2" t="str">
        <f>IFERROR(__xludf.DUMMYFUNCTION("GOOGLETRANSLATE(A5948, ""en"", ""mt"")"),"1015 Kelvins")</f>
        <v>1015 Kelvins</v>
      </c>
    </row>
    <row r="5949" ht="15.75" customHeight="1">
      <c r="A5949" s="2" t="s">
        <v>5949</v>
      </c>
      <c r="B5949" s="2" t="str">
        <f>IFERROR(__xludf.DUMMYFUNCTION("GOOGLETRANSLATE(A5949, ""en"", ""mt"")"),"X'negonija n-NATO?")</f>
        <v>X'negonija n-NATO?</v>
      </c>
    </row>
    <row r="5950" ht="15.75" customHeight="1">
      <c r="A5950" s="2" t="s">
        <v>5950</v>
      </c>
      <c r="B5950" s="2" t="str">
        <f>IFERROR(__xludf.DUMMYFUNCTION("GOOGLETRANSLATE(A5950, ""en"", ""mt"")"),"X'valur jiddependi s-separazzjoni fi ferzzjonijiet u bosons?")</f>
        <v>X'valur jiddependi s-separazzjoni fi ferzzjonijiet u bosons?</v>
      </c>
    </row>
    <row r="5951" ht="15.75" customHeight="1">
      <c r="A5951" s="2" t="s">
        <v>5951</v>
      </c>
      <c r="B5951" s="2" t="str">
        <f>IFERROR(__xludf.DUMMYFUNCTION("GOOGLETRANSLATE(A5951, ""en"", ""mt"")"),"Baillie-PSW")</f>
        <v>Baillie-PSW</v>
      </c>
    </row>
    <row r="5952" ht="15.75" customHeight="1">
      <c r="A5952" s="2" t="s">
        <v>5952</v>
      </c>
      <c r="B5952" s="2" t="str">
        <f>IFERROR(__xludf.DUMMYFUNCTION("GOOGLETRANSLATE(A5952, ""en"", ""mt"")"),"X'inhuma l-korpi leġiżlattivi ewlenin tal-Unjoni Ewropea?")</f>
        <v>X'inhuma l-korpi leġiżlattivi ewlenin tal-Unjoni Ewropea?</v>
      </c>
    </row>
    <row r="5953" ht="15.75" customHeight="1">
      <c r="A5953" s="2" t="s">
        <v>5953</v>
      </c>
      <c r="B5953" s="2" t="str">
        <f>IFERROR(__xludf.DUMMYFUNCTION("GOOGLETRANSLATE(A5953, ""en"", ""mt"")"),"Liema apparat jintuża biex jirriċikla l-ilma tal-bojler fil-biċċa l-kbira tal-magni tal-fwar?")</f>
        <v>Liema apparat jintuża biex jirriċikla l-ilma tal-bojler fil-biċċa l-kbira tal-magni tal-fwar?</v>
      </c>
    </row>
    <row r="5954" ht="15.75" customHeight="1">
      <c r="A5954" s="2" t="s">
        <v>5954</v>
      </c>
      <c r="B5954" s="2" t="str">
        <f>IFERROR(__xludf.DUMMYFUNCTION("GOOGLETRANSLATE(A5954, ""en"", ""mt"")"),"Liema entitajiet mhumiex inklużi fis-sistema federali tal-kura tas-saħħa?")</f>
        <v>Liema entitajiet mhumiex inklużi fis-sistema federali tal-kura tas-saħħa?</v>
      </c>
    </row>
    <row r="5955" ht="15.75" customHeight="1">
      <c r="A5955" s="2" t="s">
        <v>5955</v>
      </c>
      <c r="B5955" s="2" t="str">
        <f>IFERROR(__xludf.DUMMYFUNCTION("GOOGLETRANSLATE(A5955, ""en"", ""mt"")"),"L-università kienet forza fundatriċi wara liema konferenza?")</f>
        <v>L-università kienet forza fundatriċi wara liema konferenza?</v>
      </c>
    </row>
    <row r="5956" ht="15.75" customHeight="1">
      <c r="A5956" s="2" t="s">
        <v>5956</v>
      </c>
      <c r="B5956" s="2" t="str">
        <f>IFERROR(__xludf.DUMMYFUNCTION("GOOGLETRANSLATE(A5956, ""en"", ""mt"")"),"Fl-1529, Varsavja għall-ewwel darba saret is-sede tal-Ġeneral SEJM, permanenti mill-1569. Fl-1573 il-belt tat isimha lill-Konfederazzjoni ta 'Varsavja, li tistabbilixxi formalment il-libertà reliġjuża fil-Commonwealth Pollakka-Litwana. Minħabba l-lok ċent"&amp;"rali tiegħu bejn il-kapitali tal-Commonwealth ta 'Kraków u Vilnius, Varsavja saret il-kapitali tal-Commonwealth u l-kuruna tar-renju tal-Polonja meta r-Re Sigismund III Vasa ressaq il-qorti tiegħu minn Kraków għal Varsavja fl-1596. Fis-snin li ġejjin il-b"&amp;"elt estiż lejn is-subborgi. Diversi distretti indipendenti privati ​​ġew stabbiliti, il-propjetà ta 'aristokratiċi u l-gentry, li kienu maħkuma mil-liġijiet tagħhom stess. Tliet darbiet bejn l-1655-1658 il-belt kienet taħt l-assedju u tliet darbiet ittieħ"&amp;"det u mħabbra mill-forzi Żvediżi, Brandenburgian u Transilvanja.")</f>
        <v>Fl-1529, Varsavja għall-ewwel darba saret is-sede tal-Ġeneral SEJM, permanenti mill-1569. Fl-1573 il-belt tat isimha lill-Konfederazzjoni ta 'Varsavja, li tistabbilixxi formalment il-libertà reliġjuża fil-Commonwealth Pollakka-Litwana. Minħabba l-lok ċentrali tiegħu bejn il-kapitali tal-Commonwealth ta 'Kraków u Vilnius, Varsavja saret il-kapitali tal-Commonwealth u l-kuruna tar-renju tal-Polonja meta r-Re Sigismund III Vasa ressaq il-qorti tiegħu minn Kraków għal Varsavja fl-1596. Fis-snin li ġejjin il-belt estiż lejn is-subborgi. Diversi distretti indipendenti privati ​​ġew stabbiliti, il-propjetà ta 'aristokratiċi u l-gentry, li kienu maħkuma mil-liġijiet tagħhom stess. Tliet darbiet bejn l-1655-1658 il-belt kienet taħt l-assedju u tliet darbiet ittieħdet u mħabbra mill-forzi Żvediżi, Brandenburgian u Transilvanja.</v>
      </c>
    </row>
    <row r="5957" ht="15.75" customHeight="1">
      <c r="A5957" s="2" t="s">
        <v>5957</v>
      </c>
      <c r="B5957" s="2" t="str">
        <f>IFERROR(__xludf.DUMMYFUNCTION("GOOGLETRANSLATE(A5957, ""en"", ""mt"")"),"31 ta ’Lulju 2013")</f>
        <v>31 ta ’Lulju 2013</v>
      </c>
    </row>
    <row r="5958" ht="15.75" customHeight="1">
      <c r="A5958" s="2" t="s">
        <v>5958</v>
      </c>
      <c r="B5958" s="2" t="str">
        <f>IFERROR(__xludf.DUMMYFUNCTION("GOOGLETRANSLATE(A5958, ""en"", ""mt"")"),"Jidher li jidher li t-tibdil fil-klima huwa iktar serju billi jeverti l-impatt")</f>
        <v>Jidher li jidher li t-tibdil fil-klima huwa iktar serju billi jeverti l-impatt</v>
      </c>
    </row>
    <row r="5959" ht="15.75" customHeight="1">
      <c r="A5959" s="2" t="s">
        <v>5959</v>
      </c>
      <c r="B5959" s="2" t="str">
        <f>IFERROR(__xludf.DUMMYFUNCTION("GOOGLETRANSLATE(A5959, ""en"", ""mt"")"),"fid-direzzjoni li fiha l-ħalq qed jipponta,")</f>
        <v>fid-direzzjoni li fiha l-ħalq qed jipponta,</v>
      </c>
    </row>
    <row r="5960" ht="15.75" customHeight="1">
      <c r="A5960" s="2" t="s">
        <v>5960</v>
      </c>
      <c r="B5960" s="2" t="str">
        <f>IFERROR(__xludf.DUMMYFUNCTION("GOOGLETRANSLATE(A5960, ""en"", ""mt"")"),"Reyners vs il-Belġju")</f>
        <v>Reyners vs il-Belġju</v>
      </c>
    </row>
    <row r="5961" ht="15.75" customHeight="1">
      <c r="A5961" s="2" t="s">
        <v>5961</v>
      </c>
      <c r="B5961" s="2" t="str">
        <f>IFERROR(__xludf.DUMMYFUNCTION("GOOGLETRANSLATE(A5961, ""en"", ""mt"")"),"Aboriġini")</f>
        <v>Aboriġini</v>
      </c>
    </row>
    <row r="5962" ht="15.75" customHeight="1">
      <c r="A5962" s="2" t="s">
        <v>5962</v>
      </c>
      <c r="B5962" s="2" t="str">
        <f>IFERROR(__xludf.DUMMYFUNCTION("GOOGLETRANSLATE(A5962, ""en"", ""mt"")"),"Ali Shariati")</f>
        <v>Ali Shariati</v>
      </c>
    </row>
    <row r="5963" ht="15.75" customHeight="1">
      <c r="A5963" s="2" t="s">
        <v>5963</v>
      </c>
      <c r="B5963" s="2" t="str">
        <f>IFERROR(__xludf.DUMMYFUNCTION("GOOGLETRANSLATE(A5963, ""en"", ""mt"")"),"Ħażna tas-sħab")</f>
        <v>Ħażna tas-sħab</v>
      </c>
    </row>
    <row r="5964" ht="15.75" customHeight="1">
      <c r="A5964" s="2" t="s">
        <v>5964</v>
      </c>
      <c r="B5964" s="2" t="str">
        <f>IFERROR(__xludf.DUMMYFUNCTION("GOOGLETRANSLATE(A5964, ""en"", ""mt"")"),"L-Orjentaliżmu jirreferi għal kif il-Punent żviluppa xiex mill-Lvant?")</f>
        <v>L-Orjentaliżmu jirreferi għal kif il-Punent żviluppa xiex mill-Lvant?</v>
      </c>
    </row>
    <row r="5965" ht="15.75" customHeight="1">
      <c r="A5965" s="2" t="s">
        <v>5965</v>
      </c>
      <c r="B5965" s="2" t="str">
        <f>IFERROR(__xludf.DUMMYFUNCTION("GOOGLETRANSLATE(A5965, ""en"", ""mt"")"),"il-forom inġusti ta 'awtorità")</f>
        <v>il-forom inġusti ta 'awtorità</v>
      </c>
    </row>
    <row r="5966" ht="15.75" customHeight="1">
      <c r="A5966" s="2" t="s">
        <v>5966</v>
      </c>
      <c r="B5966" s="2" t="str">
        <f>IFERROR(__xludf.DUMMYFUNCTION("GOOGLETRANSLATE(A5966, ""en"", ""mt"")"),"X'jiskonnettja l-kaxxi differenti tas-sema Q li jippermettilhom jagħmlu?")</f>
        <v>X'jiskonnettja l-kaxxi differenti tas-sema Q li jippermettilhom jagħmlu?</v>
      </c>
    </row>
    <row r="5967" ht="15.75" customHeight="1">
      <c r="A5967" s="2" t="s">
        <v>5967</v>
      </c>
      <c r="B5967" s="2" t="str">
        <f>IFERROR(__xludf.DUMMYFUNCTION("GOOGLETRANSLATE(A5967, ""en"", ""mt"")"),"X’għamel l-emigrazzjoni lejn dawn il-kolonji attraenti?")</f>
        <v>X’għamel l-emigrazzjoni lejn dawn il-kolonji attraenti?</v>
      </c>
    </row>
    <row r="5968" ht="15.75" customHeight="1">
      <c r="A5968" s="2" t="s">
        <v>5968</v>
      </c>
      <c r="B5968" s="2" t="str">
        <f>IFERROR(__xludf.DUMMYFUNCTION("GOOGLETRANSLATE(A5968, ""en"", ""mt"")"),"Klijenti 2.4m")</f>
        <v>Klijenti 2.4m</v>
      </c>
    </row>
    <row r="5969" ht="15.75" customHeight="1">
      <c r="A5969" s="2" t="s">
        <v>5969</v>
      </c>
      <c r="B5969" s="2" t="str">
        <f>IFERROR(__xludf.DUMMYFUNCTION("GOOGLETRANSLATE(A5969, ""en"", ""mt"")"),"Għal liema skop jintuża l-ossiġnu mill-ħajja tal-annimali?")</f>
        <v>Għal liema skop jintuża l-ossiġnu mill-ħajja tal-annimali?</v>
      </c>
    </row>
    <row r="5970" ht="15.75" customHeight="1">
      <c r="A5970" s="2" t="s">
        <v>5970</v>
      </c>
      <c r="B5970" s="2" t="str">
        <f>IFERROR(__xludf.DUMMYFUNCTION("GOOGLETRANSLATE(A5970, ""en"", ""mt"")"),"Is-servizz tas-satellita dirett għad-dar tal-BSKYB sar disponibbli f'10 miljun djar fl-2010, l-ewwel pjattaforma tat-TV bi ħlas tal-Ewropa biex tinkiseb dak il-pass importanti. Meta kkonferma li kienet laħqet il-mira tagħha, ix-xandar qal li l-firxa tagħh"&amp;"a f'36% tad-djar fir-Renju Unit kienet tirrappreżenta udjenza ta 'aktar minn 25m persuna. Il-mira ġiet imħabbra għall-ewwel darba f'Awwissu 2004, minn dakinhar, klijenti addizzjonali ta '2.4M kienu ssottoskrivu għas-servizz dirett għad-dar ta' BSKYB. Il-k"&amp;"ummentaturi tal-midja kienu ddiskutew jekk iċ-ċifra tistax tintlaħaq hekk kif it-tkabbir fin-numri tal-abbonati x'imkien ieħor fl-Ewropa ċċattjat.")</f>
        <v>Is-servizz tas-satellita dirett għad-dar tal-BSKYB sar disponibbli f'10 miljun djar fl-2010, l-ewwel pjattaforma tat-TV bi ħlas tal-Ewropa biex tinkiseb dak il-pass importanti. Meta kkonferma li kienet laħqet il-mira tagħha, ix-xandar qal li l-firxa tagħha f'36% tad-djar fir-Renju Unit kienet tirrappreżenta udjenza ta 'aktar minn 25m persuna. Il-mira ġiet imħabbra għall-ewwel darba f'Awwissu 2004, minn dakinhar, klijenti addizzjonali ta '2.4M kienu ssottoskrivu għas-servizz dirett għad-dar ta' BSKYB. Il-kummentaturi tal-midja kienu ddiskutew jekk iċ-ċifra tistax tintlaħaq hekk kif it-tkabbir fin-numri tal-abbonati x'imkien ieħor fl-Ewropa ċċattjat.</v>
      </c>
    </row>
    <row r="5971" ht="15.75" customHeight="1">
      <c r="A5971" s="2" t="s">
        <v>5971</v>
      </c>
      <c r="B5971" s="2" t="str">
        <f>IFERROR(__xludf.DUMMYFUNCTION("GOOGLETRANSLATE(A5971, ""en"", ""mt"")"),"$ 414 miljun")</f>
        <v>$ 414 miljun</v>
      </c>
    </row>
    <row r="5972" ht="15.75" customHeight="1">
      <c r="A5972" s="2" t="s">
        <v>5972</v>
      </c>
      <c r="B5972" s="2" t="str">
        <f>IFERROR(__xludf.DUMMYFUNCTION("GOOGLETRANSLATE(A5972, ""en"", ""mt"")"),"nies mhux ivvilizzati")</f>
        <v>nies mhux ivvilizzati</v>
      </c>
    </row>
    <row r="5973" ht="15.75" customHeight="1">
      <c r="A5973" s="2" t="s">
        <v>5973</v>
      </c>
      <c r="B5973" s="2" t="str">
        <f>IFERROR(__xludf.DUMMYFUNCTION("GOOGLETRANSLATE(A5973, ""en"", ""mt"")"),"Min jismu Thorne Ave?")</f>
        <v>Min jismu Thorne Ave?</v>
      </c>
    </row>
    <row r="5974" ht="15.75" customHeight="1">
      <c r="A5974" s="2" t="s">
        <v>5974</v>
      </c>
      <c r="B5974" s="2" t="str">
        <f>IFERROR(__xludf.DUMMYFUNCTION("GOOGLETRANSLATE(A5974, ""en"", ""mt"")"),"Kemm mużewijiet jinkludu l-Mużew Busch-Reisinger?")</f>
        <v>Kemm mużewijiet jinkludu l-Mużew Busch-Reisinger?</v>
      </c>
    </row>
    <row r="5975" ht="15.75" customHeight="1">
      <c r="A5975" s="2" t="s">
        <v>5975</v>
      </c>
      <c r="B5975" s="2" t="str">
        <f>IFERROR(__xludf.DUMMYFUNCTION("GOOGLETRANSLATE(A5975, ""en"", ""mt"")"),"Wara l-liberazzjoni")</f>
        <v>Wara l-liberazzjoni</v>
      </c>
    </row>
    <row r="5976" ht="15.75" customHeight="1">
      <c r="A5976" s="2" t="s">
        <v>5976</v>
      </c>
      <c r="B5976" s="2" t="str">
        <f>IFERROR(__xludf.DUMMYFUNCTION("GOOGLETRANSLATE(A5976, ""en"", ""mt"")"),"X’ġiegħel il-kriżi taż-żejt agħar fl-Istati Uniti?")</f>
        <v>X’ġiegħel il-kriżi taż-żejt agħar fl-Istati Uniti?</v>
      </c>
    </row>
    <row r="5977" ht="15.75" customHeight="1">
      <c r="A5977" s="2" t="s">
        <v>5977</v>
      </c>
      <c r="B5977" s="2" t="str">
        <f>IFERROR(__xludf.DUMMYFUNCTION("GOOGLETRANSLATE(A5977, ""en"", ""mt"")"),"Ġew introdotti trakkijiet kompatti, bħalma huma t-Toyota Hilux u t-trakk Datsun, segwit mit-trakk Mazda (mibjugħ bħala l-Ford Courier), u l-Chevrolet Luv tal-Isuzu mibni. Mitsubishi rebranded il-forte tiegħu bħala d-Dodge D-50 ftit snin wara l-kriżi taż-ż"&amp;"ejt. Mazda, Mitsushi u Isuzu kellhom sħubijiet konġunti ma 'Ford, Chrysler, u GM, rispettivament. Aktar tard il-produtturi Amerikani introduċew is-sostituzzjonijiet domestiċi tagħhom (Ford Ranger, Dodge Dakota u l-Chevrolet S10 / GMC S-15), u temmew il-po"&amp;"litika ta 'importazzjoni magħżula tagħhom.")</f>
        <v>Ġew introdotti trakkijiet kompatti, bħalma huma t-Toyota Hilux u t-trakk Datsun, segwit mit-trakk Mazda (mibjugħ bħala l-Ford Courier), u l-Chevrolet Luv tal-Isuzu mibni. Mitsubishi rebranded il-forte tiegħu bħala d-Dodge D-50 ftit snin wara l-kriżi taż-żejt. Mazda, Mitsushi u Isuzu kellhom sħubijiet konġunti ma 'Ford, Chrysler, u GM, rispettivament. Aktar tard il-produtturi Amerikani introduċew is-sostituzzjonijiet domestiċi tagħhom (Ford Ranger, Dodge Dakota u l-Chevrolet S10 / GMC S-15), u temmew il-politika ta 'importazzjoni magħżula tagħhom.</v>
      </c>
    </row>
    <row r="5978" ht="15.75" customHeight="1">
      <c r="A5978" s="2" t="s">
        <v>5978</v>
      </c>
      <c r="B5978" s="2" t="str">
        <f>IFERROR(__xludf.DUMMYFUNCTION("GOOGLETRANSLATE(A5978, ""en"", ""mt"")"),"It-tielet liġi ta 'Newton tafferma l-proporzjonalità diretta ta' aċċellerazzjoni għal xiex?")</f>
        <v>It-tielet liġi ta 'Newton tafferma l-proporzjonalità diretta ta' aċċellerazzjoni għal xiex?</v>
      </c>
    </row>
    <row r="5979" ht="15.75" customHeight="1">
      <c r="A5979" s="2" t="s">
        <v>5979</v>
      </c>
      <c r="B5979" s="2" t="str">
        <f>IFERROR(__xludf.DUMMYFUNCTION("GOOGLETRANSLATE(A5979, ""en"", ""mt"")"),"Liema pajjiż kellu karigi ta 'kummerċ fl-Indja qabel il-Gran Brittanja?")</f>
        <v>Liema pajjiż kellu karigi ta 'kummerċ fl-Indja qabel il-Gran Brittanja?</v>
      </c>
    </row>
    <row r="5980" ht="15.75" customHeight="1">
      <c r="A5980" s="2" t="s">
        <v>5980</v>
      </c>
      <c r="B5980" s="2" t="str">
        <f>IFERROR(__xludf.DUMMYFUNCTION("GOOGLETRANSLATE(A5980, ""en"", ""mt"")"),"Decnet oriġinarjament ħareġ fl-1982 għal liema raġuni?")</f>
        <v>Decnet oriġinarjament ħareġ fl-1982 għal liema raġuni?</v>
      </c>
    </row>
    <row r="5981" ht="15.75" customHeight="1">
      <c r="A5981" s="2" t="s">
        <v>5981</v>
      </c>
      <c r="B5981" s="2" t="str">
        <f>IFERROR(__xludf.DUMMYFUNCTION("GOOGLETRANSLATE(A5981, ""en"", ""mt"")"),"75% tas-siġġijiet totali")</f>
        <v>75% tas-siġġijiet totali</v>
      </c>
    </row>
    <row r="5982" ht="15.75" customHeight="1">
      <c r="A5982" s="2" t="s">
        <v>5982</v>
      </c>
      <c r="B5982" s="2" t="str">
        <f>IFERROR(__xludf.DUMMYFUNCTION("GOOGLETRANSLATE(A5982, ""en"", ""mt"")"),"Ta 'liema forma jieħdu n-numri Fermat?")</f>
        <v>Ta 'liema forma jieħdu n-numri Fermat?</v>
      </c>
    </row>
    <row r="5983" ht="15.75" customHeight="1">
      <c r="A5983" s="2" t="s">
        <v>5983</v>
      </c>
      <c r="B5983" s="2" t="str">
        <f>IFERROR(__xludf.DUMMYFUNCTION("GOOGLETRANSLATE(A5983, ""en"", ""mt"")"),"Xi forom ta 'diżubbidjenza ċivili, bħal bojkotts illegali, ċaħdiet li jħallsu t-taxxi, abbozzi ta' dodging, attakki ta 'ċaħda ta' servizz imqassma, u sit-ins, jagħmluha aktar diffiċli għal sistema li tiffunzjona. B'dan il-mod, dawn jistgħu jiġu kkunsidrat"&amp;"i kostruttivi. Brownlee jinnota li ""għalkemm id-diżubbidjenti ċivili huma limitati fl-użu tagħhom ta 'sfurzar mill-għan kuxjenzjuż tagħhom li jidħlu fid-djalogu morali, madankollu jistgħu jsibuha neċessarja li jimpjegaw sfurzar limitat sabiex jiksbu l-ħr"&amp;"uġ tagħhom fuq il-mejda."" L-organizzazzjoni Plowshares għalqet temporanjament il-GCSB Waihopai billi tittajjar il-gradi u tuża Sickles biex tiddefla waħda mill-koppji l-kbar li jkopru żewġ platti bis-satellita.")</f>
        <v>Xi forom ta 'diżubbidjenza ċivili, bħal bojkotts illegali, ċaħdiet li jħallsu t-taxxi, abbozzi ta' dodging, attakki ta 'ċaħda ta' servizz imqassma, u sit-ins, jagħmluha aktar diffiċli għal sistema li tiffunzjona. B'dan il-mod, dawn jistgħu jiġu kkunsidrati kostruttivi. Brownlee jinnota li "għalkemm id-diżubbidjenti ċivili huma limitati fl-użu tagħhom ta 'sfurzar mill-għan kuxjenzjuż tagħhom li jidħlu fid-djalogu morali, madankollu jistgħu jsibuha neċessarja li jimpjegaw sfurzar limitat sabiex jiksbu l-ħruġ tagħhom fuq il-mejda." L-organizzazzjoni Plowshares għalqet temporanjament il-GCSB Waihopai billi tittajjar il-gradi u tuża Sickles biex tiddefla waħda mill-koppji l-kbar li jkopru żewġ platti bis-satellita.</v>
      </c>
    </row>
    <row r="5984" ht="15.75" customHeight="1">
      <c r="A5984" s="2" t="s">
        <v>5984</v>
      </c>
      <c r="B5984" s="2" t="str">
        <f>IFERROR(__xludf.DUMMYFUNCTION("GOOGLETRANSLATE(A5984, ""en"", ""mt"")"),"X'inhi l-professjoni ta 'Thomas B. Edsall?")</f>
        <v>X'inhi l-professjoni ta 'Thomas B. Edsall?</v>
      </c>
    </row>
    <row r="5985" ht="15.75" customHeight="1">
      <c r="A5985" s="2" t="s">
        <v>5985</v>
      </c>
      <c r="B5985" s="2" t="str">
        <f>IFERROR(__xludf.DUMMYFUNCTION("GOOGLETRANSLATE(A5985, ""en"", ""mt"")"),"Boston")</f>
        <v>Boston</v>
      </c>
    </row>
    <row r="5986" ht="15.75" customHeight="1">
      <c r="A5986" s="2" t="s">
        <v>5986</v>
      </c>
      <c r="B5986" s="2" t="str">
        <f>IFERROR(__xludf.DUMMYFUNCTION("GOOGLETRANSLATE(A5986, ""en"", ""mt"")"),"Liema provinċja tat-tramuntana fi Franza għandha popolazzjoni Protestanta kbira?")</f>
        <v>Liema provinċja tat-tramuntana fi Franza għandha popolazzjoni Protestanta kbira?</v>
      </c>
    </row>
    <row r="5987" ht="15.75" customHeight="1">
      <c r="A5987" s="2" t="s">
        <v>5987</v>
      </c>
      <c r="B5987" s="2" t="str">
        <f>IFERROR(__xludf.DUMMYFUNCTION("GOOGLETRANSLATE(A5987, ""en"", ""mt"")"),"Liema repulsjoni ssegwi meta s-sħab atomiċi jikkoinċidu?")</f>
        <v>Liema repulsjoni ssegwi meta s-sħab atomiċi jikkoinċidu?</v>
      </c>
    </row>
    <row r="5988" ht="15.75" customHeight="1">
      <c r="A5988" s="2" t="s">
        <v>5988</v>
      </c>
      <c r="B5988" s="2" t="str">
        <f>IFERROR(__xludf.DUMMYFUNCTION("GOOGLETRANSLATE(A5988, ""en"", ""mt"")"),"X'inhuma l-bokkli li jħarsu 'l isfel fi ħsarat?")</f>
        <v>X'inhuma l-bokkli li jħarsu 'l isfel fi ħsarat?</v>
      </c>
    </row>
    <row r="5989" ht="15.75" customHeight="1">
      <c r="A5989" s="2" t="s">
        <v>5989</v>
      </c>
      <c r="B5989" s="2" t="str">
        <f>IFERROR(__xludf.DUMMYFUNCTION("GOOGLETRANSLATE(A5989, ""en"", ""mt"")"),"Kif Turing Machine M Jingħad li ma Jħaddmux?")</f>
        <v>Kif Turing Machine M Jingħad li ma Jħaddmux?</v>
      </c>
    </row>
    <row r="5990" ht="15.75" customHeight="1">
      <c r="A5990" s="2" t="s">
        <v>5990</v>
      </c>
      <c r="B5990" s="2" t="str">
        <f>IFERROR(__xludf.DUMMYFUNCTION("GOOGLETRANSLATE(A5990, ""en"", ""mt"")"),"X'tip ta 'arkitettura hija rappreżentata fil-knejjes maestużi?")</f>
        <v>X'tip ta 'arkitettura hija rappreżentata fil-knejjes maestużi?</v>
      </c>
    </row>
    <row r="5991" ht="15.75" customHeight="1">
      <c r="A5991" s="2" t="s">
        <v>5991</v>
      </c>
      <c r="B5991" s="2" t="str">
        <f>IFERROR(__xludf.DUMMYFUNCTION("GOOGLETRANSLATE(A5991, ""en"", ""mt"")"),"22n + 1")</f>
        <v>22n + 1</v>
      </c>
    </row>
    <row r="5992" ht="15.75" customHeight="1">
      <c r="A5992" s="2" t="s">
        <v>5992</v>
      </c>
      <c r="B5992" s="2" t="str">
        <f>IFERROR(__xludf.DUMMYFUNCTION("GOOGLETRANSLATE(A5992, ""en"", ""mt"")"),"Flimkien ma 'imtieħen u minjieri, f'liema postijiet industrijali ssuq il-kultivazzjoni?")</f>
        <v>Flimkien ma 'imtieħen u minjieri, f'liema postijiet industrijali ssuq il-kultivazzjoni?</v>
      </c>
    </row>
    <row r="5993" ht="15.75" customHeight="1">
      <c r="A5993" s="2" t="s">
        <v>5993</v>
      </c>
      <c r="B5993" s="2" t="str">
        <f>IFERROR(__xludf.DUMMYFUNCTION("GOOGLETRANSLATE(A5993, ""en"", ""mt"")"),"intransigenza notorja")</f>
        <v>intransigenza notorja</v>
      </c>
    </row>
    <row r="5994" ht="15.75" customHeight="1">
      <c r="A5994" s="2" t="s">
        <v>5994</v>
      </c>
      <c r="B5994" s="2" t="str">
        <f>IFERROR(__xludf.DUMMYFUNCTION("GOOGLETRANSLATE(A5994, ""en"", ""mt"")"),"X'inhu l-isem ta 'tip ieħor ta' test tal-primalità moderna?")</f>
        <v>X'inhu l-isem ta 'tip ieħor ta' test tal-primalità moderna?</v>
      </c>
    </row>
    <row r="5995" ht="15.75" customHeight="1">
      <c r="A5995" s="2" t="s">
        <v>5995</v>
      </c>
      <c r="B5995" s="2" t="str">
        <f>IFERROR(__xludf.DUMMYFUNCTION("GOOGLETRANSLATE(A5995, ""en"", ""mt"")"),"X'inhu ġeneralment meħud bħala l-aħjar kumplessità tal-każ, sakemm ma jkunx speċifikat mod ieħor?")</f>
        <v>X'inhu ġeneralment meħud bħala l-aħjar kumplessità tal-każ, sakemm ma jkunx speċifikat mod ieħor?</v>
      </c>
    </row>
    <row r="5996" ht="15.75" customHeight="1">
      <c r="A5996" s="2" t="s">
        <v>5996</v>
      </c>
      <c r="B5996" s="2" t="str">
        <f>IFERROR(__xludf.DUMMYFUNCTION("GOOGLETRANSLATE(A5996, ""en"", ""mt"")"),"X’kien organizzat mill-familji lokali qabel ma l-każ tal-Qorti Suprema mar il-qorti?")</f>
        <v>X’kien organizzat mill-familji lokali qabel ma l-każ tal-Qorti Suprema mar il-qorti?</v>
      </c>
    </row>
    <row r="5997" ht="15.75" customHeight="1">
      <c r="A5997" s="2" t="s">
        <v>5997</v>
      </c>
      <c r="B5997" s="2" t="str">
        <f>IFERROR(__xludf.DUMMYFUNCTION("GOOGLETRANSLATE(A5997, ""en"", ""mt"")"),"Kif jissejħu wkoll skejjel tal-gvern fl-Indja?")</f>
        <v>Kif jissejħu wkoll skejjel tal-gvern fl-Indja?</v>
      </c>
    </row>
    <row r="5998" ht="15.75" customHeight="1">
      <c r="A5998" s="2" t="s">
        <v>5998</v>
      </c>
      <c r="B5998" s="2" t="str">
        <f>IFERROR(__xludf.DUMMYFUNCTION("GOOGLETRANSLATE(A5998, ""en"", ""mt"")"),"ir-relazzjoni tan-numru mal-valur korrispondenti tagħha tal-funzjoni totjenti ta 'Euler")</f>
        <v>ir-relazzjoni tan-numru mal-valur korrispondenti tagħha tal-funzjoni totjenti ta 'Euler</v>
      </c>
    </row>
    <row r="5999" ht="15.75" customHeight="1">
      <c r="A5999" s="2" t="s">
        <v>5999</v>
      </c>
      <c r="B5999" s="2" t="str">
        <f>IFERROR(__xludf.DUMMYFUNCTION("GOOGLETRANSLATE(A5999, ""en"", ""mt"")"),"l-istess metodoloġija tar-rotta tal-messaġġi kif żviluppata minn baran")</f>
        <v>l-istess metodoloġija tar-rotta tal-messaġġi kif żviluppata minn baran</v>
      </c>
    </row>
    <row r="6000" ht="15.75" customHeight="1">
      <c r="A6000" s="2" t="s">
        <v>6000</v>
      </c>
      <c r="B6000" s="2" t="str">
        <f>IFERROR(__xludf.DUMMYFUNCTION("GOOGLETRANSLATE(A6000, ""en"", ""mt"")"),"kilometri")</f>
        <v>kilometri</v>
      </c>
    </row>
    <row r="6001" ht="15.75" customHeight="1">
      <c r="A6001" s="2" t="s">
        <v>6001</v>
      </c>
      <c r="B6001" s="2" t="str">
        <f>IFERROR(__xludf.DUMMYFUNCTION("GOOGLETRANSLATE(A6001, ""en"", ""mt"")"),"Kif intużaw il-fieri ta 'Fresno?")</f>
        <v>Kif intużaw il-fieri ta 'Fresno?</v>
      </c>
    </row>
    <row r="6002" ht="15.75" customHeight="1">
      <c r="A6002" s="2" t="s">
        <v>6002</v>
      </c>
      <c r="B6002" s="2" t="str">
        <f>IFERROR(__xludf.DUMMYFUNCTION("GOOGLETRANSLATE(A6002, ""en"", ""mt"")"),"Investigazzjoni ġdida dwar ir-rwol ta 'Yersinia pestis fil-mewt l-Iswed")</f>
        <v>Investigazzjoni ġdida dwar ir-rwol ta 'Yersinia pestis fil-mewt l-Iswed</v>
      </c>
    </row>
    <row r="6003" ht="15.75" customHeight="1">
      <c r="A6003" s="2" t="s">
        <v>6003</v>
      </c>
      <c r="B6003" s="2" t="str">
        <f>IFERROR(__xludf.DUMMYFUNCTION("GOOGLETRANSLATE(A6003, ""en"", ""mt"")"),"Kif tista 'ssib l-età assoluta ta' unitajiet tal-blat sedimentarji li ma fihomx iżotopi radjuattivi?")</f>
        <v>Kif tista 'ssib l-età assoluta ta' unitajiet tal-blat sedimentarji li ma fihomx iżotopi radjuattivi?</v>
      </c>
    </row>
    <row r="6004" ht="15.75" customHeight="1">
      <c r="A6004" s="2" t="s">
        <v>6004</v>
      </c>
      <c r="B6004" s="2" t="str">
        <f>IFERROR(__xludf.DUMMYFUNCTION("GOOGLETRANSLATE(A6004, ""en"", ""mt"")"),"X'inhu t-terminu għan-nuqqas ta 'quarks ħielsa li josservaw?")</f>
        <v>X'inhu t-terminu għan-nuqqas ta 'quarks ħielsa li josservaw?</v>
      </c>
    </row>
    <row r="6005" ht="15.75" customHeight="1">
      <c r="A6005" s="2" t="s">
        <v>6005</v>
      </c>
      <c r="B6005" s="2" t="str">
        <f>IFERROR(__xludf.DUMMYFUNCTION("GOOGLETRANSLATE(A6005, ""en"", ""mt"")"),"Ġermanja")</f>
        <v>Ġermanja</v>
      </c>
    </row>
    <row r="6006" ht="15.75" customHeight="1">
      <c r="A6006" s="2" t="s">
        <v>6006</v>
      </c>
      <c r="B6006" s="2" t="str">
        <f>IFERROR(__xludf.DUMMYFUNCTION("GOOGLETRANSLATE(A6006, ""en"", ""mt"")"),"L-ebda indikazzjoni")</f>
        <v>L-ebda indikazzjoni</v>
      </c>
    </row>
    <row r="6007" ht="15.75" customHeight="1">
      <c r="A6007" s="2" t="s">
        <v>6007</v>
      </c>
      <c r="B6007" s="2" t="str">
        <f>IFERROR(__xludf.DUMMYFUNCTION("GOOGLETRANSLATE(A6007, ""en"", ""mt"")"),"X'inhu attirat mill-arbli ta 'kalamita qawwija?")</f>
        <v>X'inhu attirat mill-arbli ta 'kalamita qawwija?</v>
      </c>
    </row>
    <row r="6008" ht="15.75" customHeight="1">
      <c r="A6008" s="2" t="s">
        <v>6008</v>
      </c>
      <c r="B6008" s="2" t="str">
        <f>IFERROR(__xludf.DUMMYFUNCTION("GOOGLETRANSLATE(A6008, ""en"", ""mt"")"),"bankini wiesgħa")</f>
        <v>bankini wiesgħa</v>
      </c>
    </row>
    <row r="6009" ht="15.75" customHeight="1">
      <c r="A6009" s="2" t="s">
        <v>6009</v>
      </c>
      <c r="B6009" s="2" t="str">
        <f>IFERROR(__xludf.DUMMYFUNCTION("GOOGLETRANSLATE(A6009, ""en"", ""mt"")"),"elite")</f>
        <v>elite</v>
      </c>
    </row>
    <row r="6010" ht="15.75" customHeight="1">
      <c r="A6010" s="2" t="s">
        <v>6010</v>
      </c>
      <c r="B6010" s="2" t="str">
        <f>IFERROR(__xludf.DUMMYFUNCTION("GOOGLETRANSLATE(A6010, ""en"", ""mt"")"),"il-prinċipji taċ-ċertezza legali u l-fidi tajba")</f>
        <v>il-prinċipji taċ-ċertezza legali u l-fidi tajba</v>
      </c>
    </row>
    <row r="6011" ht="15.75" customHeight="1">
      <c r="A6011" s="2" t="s">
        <v>6011</v>
      </c>
      <c r="B6011" s="2" t="str">
        <f>IFERROR(__xludf.DUMMYFUNCTION("GOOGLETRANSLATE(A6011, ""en"", ""mt"")"),"Fejn hemm l-inqas Protestanti fi Franza?")</f>
        <v>Fejn hemm l-inqas Protestanti fi Franza?</v>
      </c>
    </row>
    <row r="6012" ht="15.75" customHeight="1">
      <c r="A6012" s="2" t="s">
        <v>6012</v>
      </c>
      <c r="B6012" s="2" t="str">
        <f>IFERROR(__xludf.DUMMYFUNCTION("GOOGLETRANSLATE(A6012, ""en"", ""mt"")"),"lejn il-punent")</f>
        <v>lejn il-punent</v>
      </c>
    </row>
    <row r="6013" ht="15.75" customHeight="1">
      <c r="A6013" s="2" t="s">
        <v>6013</v>
      </c>
      <c r="B6013" s="2" t="str">
        <f>IFERROR(__xludf.DUMMYFUNCTION("GOOGLETRANSLATE(A6013, ""en"", ""mt"")"),"Meta l-ewwel Brittanja kellha politika imperjalista?")</f>
        <v>Meta l-ewwel Brittanja kellha politika imperjalista?</v>
      </c>
    </row>
    <row r="6014" ht="15.75" customHeight="1">
      <c r="A6014" s="2" t="s">
        <v>6014</v>
      </c>
      <c r="B6014" s="2" t="str">
        <f>IFERROR(__xludf.DUMMYFUNCTION("GOOGLETRANSLATE(A6014, ""en"", ""mt"")"),"Differenzi fil-valur miżjud minn klassifikazzjonijiet differenti tal-ħaddiema")</f>
        <v>Differenzi fil-valur miżjud minn klassifikazzjonijiet differenti tal-ħaddiema</v>
      </c>
    </row>
    <row r="6015" ht="15.75" customHeight="1">
      <c r="A6015" s="2" t="s">
        <v>6015</v>
      </c>
      <c r="B6015" s="2" t="str">
        <f>IFERROR(__xludf.DUMMYFUNCTION("GOOGLETRANSLATE(A6015, ""en"", ""mt"")"),"L-era pre-Kolumbjana")</f>
        <v>L-era pre-Kolumbjana</v>
      </c>
    </row>
    <row r="6016" ht="15.75" customHeight="1">
      <c r="A6016" s="2" t="s">
        <v>6016</v>
      </c>
      <c r="B6016" s="2" t="str">
        <f>IFERROR(__xludf.DUMMYFUNCTION("GOOGLETRANSLATE(A6016, ""en"", ""mt"")"),"Fit-22 ta 'Mejju 2006")</f>
        <v>Fit-22 ta 'Mejju 2006</v>
      </c>
    </row>
    <row r="6017" ht="15.75" customHeight="1">
      <c r="A6017" s="2" t="s">
        <v>6017</v>
      </c>
      <c r="B6017" s="2" t="str">
        <f>IFERROR(__xludf.DUMMYFUNCTION("GOOGLETRANSLATE(A6017, ""en"", ""mt"")"),"Numeriku")</f>
        <v>Numeriku</v>
      </c>
    </row>
    <row r="6018" ht="15.75" customHeight="1">
      <c r="A6018" s="2" t="s">
        <v>6018</v>
      </c>
      <c r="B6018" s="2" t="str">
        <f>IFERROR(__xludf.DUMMYFUNCTION("GOOGLETRANSLATE(A6018, ""en"", ""mt"")"),"Wirja ta 'Londra")</f>
        <v>Wirja ta 'Londra</v>
      </c>
    </row>
    <row r="6019" ht="15.75" customHeight="1">
      <c r="A6019" s="2" t="s">
        <v>6019</v>
      </c>
      <c r="B6019" s="2" t="str">
        <f>IFERROR(__xludf.DUMMYFUNCTION("GOOGLETRANSLATE(A6019, ""en"", ""mt"")"),"Fuq liema bażi l-organizzazzjonijiet radikali mhux Iżlamiċi jmexxu l-attakki tagħhom?")</f>
        <v>Fuq liema bażi l-organizzazzjonijiet radikali mhux Iżlamiċi jmexxu l-attakki tagħhom?</v>
      </c>
    </row>
    <row r="6020" ht="15.75" customHeight="1">
      <c r="A6020" s="2" t="s">
        <v>6020</v>
      </c>
      <c r="B6020" s="2" t="str">
        <f>IFERROR(__xludf.DUMMYFUNCTION("GOOGLETRANSLATE(A6020, ""en"", ""mt"")"),"X'jikkawża li l-organiżmu jattakka aktar bil-mod u b'mod dgħajjef kull darba li jkun hemm patoġen?")</f>
        <v>X'jikkawża li l-organiżmu jattakka aktar bil-mod u b'mod dgħajjef kull darba li jkun hemm patoġen?</v>
      </c>
    </row>
    <row r="6021" ht="15.75" customHeight="1">
      <c r="A6021" s="2" t="s">
        <v>6021</v>
      </c>
      <c r="B6021" s="2" t="str">
        <f>IFERROR(__xludf.DUMMYFUNCTION("GOOGLETRANSLATE(A6021, ""en"", ""mt"")"),"Harvard ġie ffurmat fl-1636 bil-vot tal-Qorti l-Kbira u Ġenerali tal-Kolonja tal-Bajja ta 'Massachusetts. Fil-bidu kien imsejjaħ ""New College"" jew ""The College fi New Towne"". Fl-1638, il-kulleġġ sar id-dar għall-ewwel stampa tal-istampar magħrufa tal-"&amp;"Amerika ta ’Fuq, imwettqa mill-vapur John of London. Fl-1639, il-kulleġġ ġie msejjaħ Harvard College wara l-kleru mejjet John Harvard, li kien student tal-Università ta ’Cambridge. Huwa kien ħalla l-iskola £ 779 u l-librerija tiegħu ta 'madwar 400 kotba. "&amp;"Il-charter li joħloq il-Korporazzjoni ta ’Harvard ingħata fl-1650.")</f>
        <v>Harvard ġie ffurmat fl-1636 bil-vot tal-Qorti l-Kbira u Ġenerali tal-Kolonja tal-Bajja ta 'Massachusetts. Fil-bidu kien imsejjaħ "New College" jew "The College fi New Towne". Fl-1638, il-kulleġġ sar id-dar għall-ewwel stampa tal-istampar magħrufa tal-Amerika ta ’Fuq, imwettqa mill-vapur John of London. Fl-1639, il-kulleġġ ġie msejjaħ Harvard College wara l-kleru mejjet John Harvard, li kien student tal-Università ta ’Cambridge. Huwa kien ħalla l-iskola £ 779 u l-librerija tiegħu ta 'madwar 400 kotba. Il-charter li joħloq il-Korporazzjoni ta ’Harvard ingħata fl-1650.</v>
      </c>
    </row>
    <row r="6022" ht="15.75" customHeight="1">
      <c r="A6022" s="2" t="s">
        <v>6022</v>
      </c>
      <c r="B6022" s="2" t="str">
        <f>IFERROR(__xludf.DUMMYFUNCTION("GOOGLETRANSLATE(A6022, ""en"", ""mt"")"),"L-istudju tal-blat")</f>
        <v>L-istudju tal-blat</v>
      </c>
    </row>
    <row r="6023" ht="15.75" customHeight="1">
      <c r="A6023" s="2" t="s">
        <v>6023</v>
      </c>
      <c r="B6023" s="2" t="str">
        <f>IFERROR(__xludf.DUMMYFUNCTION("GOOGLETRANSLATE(A6023, ""en"", ""mt"")"),"Liema cidippid jintuża bħala deskrizzjoni fuq ctenophores fil-biċċa l-kbira tal-kotba?")</f>
        <v>Liema cidippid jintuża bħala deskrizzjoni fuq ctenophores fil-biċċa l-kbira tal-kotba?</v>
      </c>
    </row>
    <row r="6024" ht="15.75" customHeight="1">
      <c r="A6024" s="2" t="s">
        <v>6024</v>
      </c>
      <c r="B6024" s="2" t="str">
        <f>IFERROR(__xludf.DUMMYFUNCTION("GOOGLETRANSLATE(A6024, ""en"", ""mt"")")," Min kien it-tielet mill-konsulenti Ċiniżi ta 'Kublai?")</f>
        <v> Min kien it-tielet mill-konsulenti Ċiniżi ta 'Kublai?</v>
      </c>
    </row>
    <row r="6025" ht="15.75" customHeight="1">
      <c r="A6025" s="2" t="s">
        <v>6025</v>
      </c>
      <c r="B6025" s="2" t="str">
        <f>IFERROR(__xludf.DUMMYFUNCTION("GOOGLETRANSLATE(A6025, ""en"", ""mt"")"),"Il-kapitolu soċjali huwa kapitolu ta 'liema trattat?")</f>
        <v>Il-kapitolu soċjali huwa kapitolu ta 'liema trattat?</v>
      </c>
    </row>
    <row r="6026" ht="15.75" customHeight="1">
      <c r="A6026" s="2" t="s">
        <v>6026</v>
      </c>
      <c r="B6026" s="2" t="str">
        <f>IFERROR(__xludf.DUMMYFUNCTION("GOOGLETRANSLATE(A6026, ""en"", ""mt"")"),"Wara battalja legali twila mal-Kummissjoni Ewropea, li qieset l-esklussività tad-drittijiet biex tkun kontra l-interessi tal-kompetizzjoni u l-konsumatur, il-monopolju tal-BSKYB wasal fi tmiemu mill-istaġun 2007-208. F’Mejju 2006, ix-xandar Irlandiż Setan"&amp;"ta Sports ingħata tnejn mis-sitt pakketti tal-Premier League li l-FA Ingliża offriet lix-xandara. Sky qabad l-erbgħa li fadal għal £ 1.3bn. Fi Frar 2015, Sky Bid £ 4.2bn għal pakkett ta '120 logħob tal-Premier League fit-tliet staġuni mill-2016. Dan kien "&amp;"jirrappreżenta żieda ta' 70% fuq il-kuntratt preċedenti u intqal li kien £ 1 biljun aktar milli l-kumpanija kienet mistennija tħallas - Il-mossa ġiet segwita minn tnaqqis fil-persunal, żieda fil-prezzijiet tal-abbonament (inklużi 9% fil-pakkett tal-familj"&amp;"a ta 'Sky) u t-twaqqigħ tal-kanal 3D.")</f>
        <v>Wara battalja legali twila mal-Kummissjoni Ewropea, li qieset l-esklussività tad-drittijiet biex tkun kontra l-interessi tal-kompetizzjoni u l-konsumatur, il-monopolju tal-BSKYB wasal fi tmiemu mill-istaġun 2007-208. F’Mejju 2006, ix-xandar Irlandiż Setanta Sports ingħata tnejn mis-sitt pakketti tal-Premier League li l-FA Ingliża offriet lix-xandara. Sky qabad l-erbgħa li fadal għal £ 1.3bn. Fi Frar 2015, Sky Bid £ 4.2bn għal pakkett ta '120 logħob tal-Premier League fit-tliet staġuni mill-2016. Dan kien jirrappreżenta żieda ta' 70% fuq il-kuntratt preċedenti u intqal li kien £ 1 biljun aktar milli l-kumpanija kienet mistennija tħallas - Il-mossa ġiet segwita minn tnaqqis fil-persunal, żieda fil-prezzijiet tal-abbonament (inklużi 9% fil-pakkett tal-familja ta 'Sky) u t-twaqqigħ tal-kanal 3D.</v>
      </c>
    </row>
    <row r="6027" ht="15.75" customHeight="1">
      <c r="A6027" s="2" t="s">
        <v>6027</v>
      </c>
      <c r="B6027" s="2" t="str">
        <f>IFERROR(__xludf.DUMMYFUNCTION("GOOGLETRANSLATE(A6027, ""en"", ""mt"")"),"aerospazjali")</f>
        <v>aerospazjali</v>
      </c>
    </row>
    <row r="6028" ht="15.75" customHeight="1">
      <c r="A6028" s="2" t="s">
        <v>6028</v>
      </c>
      <c r="B6028" s="2" t="str">
        <f>IFERROR(__xludf.DUMMYFUNCTION("GOOGLETRANSLATE(A6028, ""en"", ""mt"")"),"Kif jissejħu l-abitanti indiġeni tal-Awstralja?")</f>
        <v>Kif jissejħu l-abitanti indiġeni tal-Awstralja?</v>
      </c>
    </row>
    <row r="6029" ht="15.75" customHeight="1">
      <c r="A6029" s="2" t="s">
        <v>6029</v>
      </c>
      <c r="B6029" s="2" t="str">
        <f>IFERROR(__xludf.DUMMYFUNCTION("GOOGLETRANSLATE(A6029, ""en"", ""mt"")"),"X'inhi destinazzjoni ta 'strolling popolari għall-faġani?")</f>
        <v>X'inhi destinazzjoni ta 'strolling popolari għall-faġani?</v>
      </c>
    </row>
    <row r="6030" ht="15.75" customHeight="1">
      <c r="A6030" s="2" t="s">
        <v>6030</v>
      </c>
      <c r="B6030" s="2" t="str">
        <f>IFERROR(__xludf.DUMMYFUNCTION("GOOGLETRANSLATE(A6030, ""en"", ""mt"")"),"X'inhu n-numru attwali ta 'eletturi bħalissa f'kostitwenza tal-Parlament Skoċċiż?")</f>
        <v>X'inhu n-numru attwali ta 'eletturi bħalissa f'kostitwenza tal-Parlament Skoċċiż?</v>
      </c>
    </row>
    <row r="6031" ht="15.75" customHeight="1">
      <c r="A6031" s="2" t="s">
        <v>6031</v>
      </c>
      <c r="B6031" s="2" t="str">
        <f>IFERROR(__xludf.DUMMYFUNCTION("GOOGLETRANSLATE(A6031, ""en"", ""mt"")"),"ħin lineari")</f>
        <v>ħin lineari</v>
      </c>
    </row>
    <row r="6032" ht="15.75" customHeight="1">
      <c r="A6032" s="2" t="s">
        <v>6032</v>
      </c>
      <c r="B6032" s="2" t="str">
        <f>IFERROR(__xludf.DUMMYFUNCTION("GOOGLETRANSLATE(A6032, ""en"", ""mt"")"),"Xi jfisser il-leġislazzjoni tal-ispiżerija?")</f>
        <v>Xi jfisser il-leġislazzjoni tal-ispiżerija?</v>
      </c>
    </row>
    <row r="6033" ht="15.75" customHeight="1">
      <c r="A6033" s="2" t="s">
        <v>6033</v>
      </c>
      <c r="B6033" s="2" t="str">
        <f>IFERROR(__xludf.DUMMYFUNCTION("GOOGLETRANSLATE(A6033, ""en"", ""mt"")"),"X'wassal għal standards ta 'għajxien ta' materjal ogħla għal ħafna mill-istorja tal-bniedem?")</f>
        <v>X'wassal għal standards ta 'għajxien ta' materjal ogħla għal ħafna mill-istorja tal-bniedem?</v>
      </c>
    </row>
    <row r="6034" ht="15.75" customHeight="1">
      <c r="A6034" s="2" t="s">
        <v>6034</v>
      </c>
      <c r="B6034" s="2" t="str">
        <f>IFERROR(__xludf.DUMMYFUNCTION("GOOGLETRANSLATE(A6034, ""en"", ""mt"")"),"X'kienet veduta simili dwar il-kontinent Asjatiku li ma tissejjaħx?")</f>
        <v>X'kienet veduta simili dwar il-kontinent Asjatiku li ma tissejjaħx?</v>
      </c>
    </row>
    <row r="6035" ht="15.75" customHeight="1">
      <c r="A6035" s="2" t="s">
        <v>6035</v>
      </c>
      <c r="B6035" s="2" t="str">
        <f>IFERROR(__xludf.DUMMYFUNCTION("GOOGLETRANSLATE(A6035, ""en"", ""mt"")"),"Matul il-kampanja għal Indja ħielsa")</f>
        <v>Matul il-kampanja għal Indja ħielsa</v>
      </c>
    </row>
    <row r="6036" ht="15.75" customHeight="1">
      <c r="A6036" s="2" t="s">
        <v>6036</v>
      </c>
      <c r="B6036" s="2" t="str">
        <f>IFERROR(__xludf.DUMMYFUNCTION("GOOGLETRANSLATE(A6036, ""en"", ""mt"")"),"għexieren")</f>
        <v>għexieren</v>
      </c>
    </row>
    <row r="6037" ht="15.75" customHeight="1">
      <c r="A6037" s="2" t="s">
        <v>6037</v>
      </c>
      <c r="B6037" s="2" t="str">
        <f>IFERROR(__xludf.DUMMYFUNCTION("GOOGLETRANSLATE(A6037, ""en"", ""mt"")"),"sakemm waqa 'l-imperu")</f>
        <v>sakemm waqa 'l-imperu</v>
      </c>
    </row>
    <row r="6038" ht="15.75" customHeight="1">
      <c r="A6038" s="2" t="s">
        <v>6038</v>
      </c>
      <c r="B6038" s="2" t="str">
        <f>IFERROR(__xludf.DUMMYFUNCTION("GOOGLETRANSLATE(A6038, ""en"", ""mt"")"),"Għalkemm il-magna tal-fwar reċiprokanti m'għadhiex f'użu kummerċjali mifrux, diversi kumpaniji qed jesploraw jew jisfruttaw il-potenzjal tal-magna bħala alternattiva għal magni ta 'kombustjoni interna. Il-kumpanija EnerGiprojekt AB fl-Iżvezja għamlet prog"&amp;"ress fl-użu ta 'materjali moderni għall-użu tal-qawwa tal-fwar. L-effiċjenza tal-magna tal-fwar ta 'Energiprojekt tilħaq madwar 27-30% fuq magni bi pressjoni għolja. Hija magna ta '5-ċilindru ta' pass wieħed (mingħajr kompost) bi fwar imsaħħan u tikkonsma"&amp;" madwar. 4 kg (8.8 lb) ta 'fwar għal kull kWh [mhux fiċ-ċitazzjoni mogħtija]")</f>
        <v>Għalkemm il-magna tal-fwar reċiprokanti m'għadhiex f'użu kummerċjali mifrux, diversi kumpaniji qed jesploraw jew jisfruttaw il-potenzjal tal-magna bħala alternattiva għal magni ta 'kombustjoni interna. Il-kumpanija EnerGiprojekt AB fl-Iżvezja għamlet progress fl-użu ta 'materjali moderni għall-użu tal-qawwa tal-fwar. L-effiċjenza tal-magna tal-fwar ta 'Energiprojekt tilħaq madwar 27-30% fuq magni bi pressjoni għolja. Hija magna ta '5-ċilindru ta' pass wieħed (mingħajr kompost) bi fwar imsaħħan u tikkonsma madwar. 4 kg (8.8 lb) ta 'fwar għal kull kWh [mhux fiċ-ċitazzjoni mogħtija]</v>
      </c>
    </row>
    <row r="6039" ht="15.75" customHeight="1">
      <c r="A6039" s="2" t="s">
        <v>6039</v>
      </c>
      <c r="B6039" s="2" t="str">
        <f>IFERROR(__xludf.DUMMYFUNCTION("GOOGLETRANSLATE(A6039, ""en"", ""mt"")"),"X'kien żviluppat mill-kejl ta 'Watt fuq magna tal-fwar tal-mudell?")</f>
        <v>X'kien żviluppat mill-kejl ta 'Watt fuq magna tal-fwar tal-mudell?</v>
      </c>
    </row>
    <row r="6040" ht="15.75" customHeight="1">
      <c r="A6040" s="2" t="s">
        <v>6040</v>
      </c>
      <c r="B6040" s="2" t="str">
        <f>IFERROR(__xludf.DUMMYFUNCTION("GOOGLETRANSLATE(A6040, ""en"", ""mt"")")," Meta l-poplu Yuan sofra serje ta 'diżastri mhux naturali?")</f>
        <v> Meta l-poplu Yuan sofra serje ta 'diżastri mhux naturali?</v>
      </c>
    </row>
    <row r="6041" ht="15.75" customHeight="1">
      <c r="A6041" s="2" t="s">
        <v>6041</v>
      </c>
      <c r="B6041" s="2" t="str">
        <f>IFERROR(__xludf.DUMMYFUNCTION("GOOGLETRANSLATE(A6041, ""en"", ""mt"")"),"butir tal-kawkaw")</f>
        <v>butir tal-kawkaw</v>
      </c>
    </row>
    <row r="6042" ht="15.75" customHeight="1">
      <c r="A6042" s="2" t="s">
        <v>6042</v>
      </c>
      <c r="B6042" s="2" t="str">
        <f>IFERROR(__xludf.DUMMYFUNCTION("GOOGLETRANSLATE(A6042, ""en"", ""mt"")"),"X'irrifjuta lil Franco Fratini, il-Ġustizzja, il-Libertà u s-Sigurtà, u Dimas?")</f>
        <v>X'irrifjuta lil Franco Fratini, il-Ġustizzja, il-Libertà u s-Sigurtà, u Dimas?</v>
      </c>
    </row>
    <row r="6043" ht="15.75" customHeight="1">
      <c r="A6043" s="2" t="s">
        <v>6043</v>
      </c>
      <c r="B6043" s="2" t="str">
        <f>IFERROR(__xludf.DUMMYFUNCTION("GOOGLETRANSLATE(A6043, ""en"", ""mt"")"),"Struttura Amministrattiva Lokali ta 'Dynasties Ċiniżi tal-passat")</f>
        <v>Struttura Amministrattiva Lokali ta 'Dynasties Ċiniżi tal-passat</v>
      </c>
    </row>
    <row r="6044" ht="15.75" customHeight="1">
      <c r="A6044" s="2" t="s">
        <v>6044</v>
      </c>
      <c r="B6044" s="2" t="str">
        <f>IFERROR(__xludf.DUMMYFUNCTION("GOOGLETRANSLATE(A6044, ""en"", ""mt"")"),"Meta ma kinitx il-gwerra tar-Re Ġorġ?")</f>
        <v>Meta ma kinitx il-gwerra tar-Re Ġorġ?</v>
      </c>
    </row>
    <row r="6045" ht="15.75" customHeight="1">
      <c r="A6045" s="2" t="s">
        <v>6045</v>
      </c>
      <c r="B6045" s="2" t="str">
        <f>IFERROR(__xludf.DUMMYFUNCTION("GOOGLETRANSLATE(A6045, ""en"", ""mt"")"),"X'tip ta 'grupp huwa l-istat mhux Iżlamiku?")</f>
        <v>X'tip ta 'grupp huwa l-istat mhux Iżlamiku?</v>
      </c>
    </row>
    <row r="6046" ht="15.75" customHeight="1">
      <c r="A6046" s="2" t="s">
        <v>6046</v>
      </c>
      <c r="B6046" s="2" t="str">
        <f>IFERROR(__xludf.DUMMYFUNCTION("GOOGLETRANSLATE(A6046, ""en"", ""mt"")"),"Meta Varsavja saret iċ-ċentru tal-Kungress tal-Polonja?")</f>
        <v>Meta Varsavja saret iċ-ċentru tal-Kungress tal-Polonja?</v>
      </c>
    </row>
    <row r="6047" ht="15.75" customHeight="1">
      <c r="A6047" s="2" t="s">
        <v>6047</v>
      </c>
      <c r="B6047" s="2" t="str">
        <f>IFERROR(__xludf.DUMMYFUNCTION("GOOGLETRANSLATE(A6047, ""en"", ""mt"")"),"ambigwità")</f>
        <v>ambigwità</v>
      </c>
    </row>
    <row r="6048" ht="15.75" customHeight="1">
      <c r="A6048" s="2" t="s">
        <v>6048</v>
      </c>
      <c r="B6048" s="2" t="str">
        <f>IFERROR(__xludf.DUMMYFUNCTION("GOOGLETRANSLATE(A6048, ""en"", ""mt"")"),"Elettrokuzzjoni, Inċidenti tat-Trasport, u Trench Cave-Ins")</f>
        <v>Elettrokuzzjoni, Inċidenti tat-Trasport, u Trench Cave-Ins</v>
      </c>
    </row>
    <row r="6049" ht="15.75" customHeight="1">
      <c r="A6049" s="2" t="s">
        <v>6049</v>
      </c>
      <c r="B6049" s="2" t="str">
        <f>IFERROR(__xludf.DUMMYFUNCTION("GOOGLETRANSLATE(A6049, ""en"", ""mt"")"),"Kemm voti b'kollox għandu l-kunsill?")</f>
        <v>Kemm voti b'kollox għandu l-kunsill?</v>
      </c>
    </row>
    <row r="6050" ht="15.75" customHeight="1">
      <c r="A6050" s="2" t="s">
        <v>6050</v>
      </c>
      <c r="B6050" s="2" t="str">
        <f>IFERROR(__xludf.DUMMYFUNCTION("GOOGLETRANSLATE(A6050, ""en"", ""mt"")"),"Il-Grupp Chalcogen")</f>
        <v>Il-Grupp Chalcogen</v>
      </c>
    </row>
    <row r="6051" ht="15.75" customHeight="1">
      <c r="A6051" s="2" t="s">
        <v>6051</v>
      </c>
      <c r="B6051" s="2" t="str">
        <f>IFERROR(__xludf.DUMMYFUNCTION("GOOGLETRANSLATE(A6051, ""en"", ""mt"")"),"F'liema sena l-Norman invada fil-Bajja ta 'Bannow?")</f>
        <v>F'liema sena l-Norman invada fil-Bajja ta 'Bannow?</v>
      </c>
    </row>
    <row r="6052" ht="15.75" customHeight="1">
      <c r="A6052" s="2" t="s">
        <v>6052</v>
      </c>
      <c r="B6052" s="2" t="str">
        <f>IFERROR(__xludf.DUMMYFUNCTION("GOOGLETRANSLATE(A6052, ""en"", ""mt"")"),"CD4")</f>
        <v>CD4</v>
      </c>
    </row>
    <row r="6053" ht="15.75" customHeight="1">
      <c r="A6053" s="2" t="s">
        <v>6053</v>
      </c>
      <c r="B6053" s="2" t="str">
        <f>IFERROR(__xludf.DUMMYFUNCTION("GOOGLETRANSLATE(A6053, ""en"", ""mt"")"),"Betty Meggers")</f>
        <v>Betty Meggers</v>
      </c>
    </row>
    <row r="6054" ht="15.75" customHeight="1">
      <c r="A6054" s="2" t="s">
        <v>6054</v>
      </c>
      <c r="B6054" s="2" t="str">
        <f>IFERROR(__xludf.DUMMYFUNCTION("GOOGLETRANSLATE(A6054, ""en"", ""mt"")"),"kanali bażiċi")</f>
        <v>kanali bażiċi</v>
      </c>
    </row>
    <row r="6055" ht="15.75" customHeight="1">
      <c r="A6055" s="2" t="s">
        <v>6055</v>
      </c>
      <c r="B6055" s="2" t="str">
        <f>IFERROR(__xludf.DUMMYFUNCTION("GOOGLETRANSLATE(A6055, ""en"", ""mt"")"),"slug")</f>
        <v>slug</v>
      </c>
    </row>
    <row r="6056" ht="15.75" customHeight="1">
      <c r="A6056" s="2" t="s">
        <v>6056</v>
      </c>
      <c r="B6056" s="2" t="str">
        <f>IFERROR(__xludf.DUMMYFUNCTION("GOOGLETRANSLATE(A6056, ""en"", ""mt"")"),"Minn hawn, is-sitwazzjoni ssir iktar ikkumplikata, billi l-isem Olandiż Rijn m'għadux jikkoinċidi mal-fluss ewlieni ta 'l-ilma. Żewġ terzi tal-volum tal-fluss tal-ilma tar-Rhine jiċċirkola 'l bogħod lejn il-punent, minn ġol-Waal u mbagħad, permezz tal-Mer"&amp;"Wede u Nieuwe MerWede (de Biesbosch), li jingħaqdu mal-Meuse, permezz tal-Hollands Diep u l-Estwarji Haringvliet, fil-Baħar tat-Tramuntana. Il-Beneden Merwede fergħat, ħdejn Hardinxveld-Giessendam u tkompli bħala n-Noord, biex tissieħeb fil-Lek, ħdejn il-"&amp;"villaġġ ta 'Kinderdijk, biex tifforma n-Nieuwe Maas; Imbagħad tgħaddi minn Rotterdam u tkompli permezz ta 'Het Scheur u n-Nieuwe Waterweg, lejn il-Baħar tat-Tramuntana. L-Oude Maas fergħat barra, ħdejn Dordrecht, aktar 'l isfel mill-ġdid mill-ġdid in-Nieu"&amp;"we Maas biex jiffurmaw het scheur.")</f>
        <v>Minn hawn, is-sitwazzjoni ssir iktar ikkumplikata, billi l-isem Olandiż Rijn m'għadux jikkoinċidi mal-fluss ewlieni ta 'l-ilma. Żewġ terzi tal-volum tal-fluss tal-ilma tar-Rhine jiċċirkola 'l bogħod lejn il-punent, minn ġol-Waal u mbagħad, permezz tal-MerWede u Nieuwe MerWede (de Biesbosch), li jingħaqdu mal-Meuse, permezz tal-Hollands Diep u l-Estwarji Haringvliet, fil-Baħar tat-Tramuntana. Il-Beneden Merwede fergħat, ħdejn Hardinxveld-Giessendam u tkompli bħala n-Noord, biex tissieħeb fil-Lek, ħdejn il-villaġġ ta 'Kinderdijk, biex tifforma n-Nieuwe Maas; Imbagħad tgħaddi minn Rotterdam u tkompli permezz ta 'Het Scheur u n-Nieuwe Waterweg, lejn il-Baħar tat-Tramuntana. L-Oude Maas fergħat barra, ħdejn Dordrecht, aktar 'l isfel mill-ġdid mill-ġdid in-Nieuwe Maas biex jiffurmaw het scheur.</v>
      </c>
    </row>
    <row r="6057" ht="15.75" customHeight="1">
      <c r="A6057" s="2" t="s">
        <v>6057</v>
      </c>
      <c r="B6057" s="2" t="str">
        <f>IFERROR(__xludf.DUMMYFUNCTION("GOOGLETRANSLATE(A6057, ""en"", ""mt"")"),"X'tip ta 'persuna tkun involuta f'każ ta' test fil-qorti federali?")</f>
        <v>X'tip ta 'persuna tkun involuta f'każ ta' test fil-qorti federali?</v>
      </c>
    </row>
    <row r="6058" ht="15.75" customHeight="1">
      <c r="A6058" s="2" t="s">
        <v>6058</v>
      </c>
      <c r="B6058" s="2" t="str">
        <f>IFERROR(__xludf.DUMMYFUNCTION("GOOGLETRANSLATE(A6058, ""en"", ""mt"")"),"Meta kienet id-deportazzjoni tal-Akkadjani?")</f>
        <v>Meta kienet id-deportazzjoni tal-Akkadjani?</v>
      </c>
    </row>
    <row r="6059" ht="15.75" customHeight="1">
      <c r="A6059" s="2" t="s">
        <v>6059</v>
      </c>
      <c r="B6059" s="2" t="str">
        <f>IFERROR(__xludf.DUMMYFUNCTION("GOOGLETRANSLATE(A6059, ""en"", ""mt"")"),"X'għandu jkun speċifikat sabiex jiġu kkunsidrati l-effetti tagħhom fuq il-moviment tar-ras?")</f>
        <v>X'għandu jkun speċifikat sabiex jiġu kkunsidrati l-effetti tagħhom fuq il-moviment tar-ras?</v>
      </c>
    </row>
    <row r="6060" ht="15.75" customHeight="1">
      <c r="A6060" s="2" t="s">
        <v>6060</v>
      </c>
      <c r="B6060" s="2" t="str">
        <f>IFERROR(__xludf.DUMMYFUNCTION("GOOGLETRANSLATE(A6060, ""en"", ""mt"")"),"X’kawżaw bidliet fil-veġetazzjoni tal-Amazon Rainforest?")</f>
        <v>X’kawżaw bidliet fil-veġetazzjoni tal-Amazon Rainforest?</v>
      </c>
    </row>
    <row r="6061" ht="15.75" customHeight="1">
      <c r="A6061" s="2" t="s">
        <v>6061</v>
      </c>
      <c r="B6061" s="2" t="str">
        <f>IFERROR(__xludf.DUMMYFUNCTION("GOOGLETRANSLATE(A6061, ""en"", ""mt"")"),"F'liema sena Robert Harper sar l-ewwel president tal-università?")</f>
        <v>F'liema sena Robert Harper sar l-ewwel president tal-università?</v>
      </c>
    </row>
    <row r="6062" ht="15.75" customHeight="1">
      <c r="A6062" s="2" t="s">
        <v>6062</v>
      </c>
      <c r="B6062" s="2" t="str">
        <f>IFERROR(__xludf.DUMMYFUNCTION("GOOGLETRANSLATE(A6062, ""en"", ""mt"")"),"Wilderness tad-distrett ta 'Maine u' l isfel fix-xmara Chaudière")</f>
        <v>Wilderness tad-distrett ta 'Maine u' l isfel fix-xmara Chaudière</v>
      </c>
    </row>
    <row r="6063" ht="15.75" customHeight="1">
      <c r="A6063" s="2" t="s">
        <v>6063</v>
      </c>
      <c r="B6063" s="2" t="str">
        <f>IFERROR(__xludf.DUMMYFUNCTION("GOOGLETRANSLATE(A6063, ""en"", ""mt"")"),"Il-muntanji jvarjaw id-denb f'liema tip ta 'formazzjoni ġeografika?")</f>
        <v>Il-muntanji jvarjaw id-denb f'liema tip ta 'formazzjoni ġeografika?</v>
      </c>
    </row>
    <row r="6064" ht="15.75" customHeight="1">
      <c r="A6064" s="2" t="s">
        <v>6064</v>
      </c>
      <c r="B6064" s="2" t="str">
        <f>IFERROR(__xludf.DUMMYFUNCTION("GOOGLETRANSLATE(A6064, ""en"", ""mt"")"),"Rhine Gutter")</f>
        <v>Rhine Gutter</v>
      </c>
    </row>
    <row r="6065" ht="15.75" customHeight="1">
      <c r="A6065" s="2" t="s">
        <v>6065</v>
      </c>
      <c r="B6065" s="2" t="str">
        <f>IFERROR(__xludf.DUMMYFUNCTION("GOOGLETRANSLATE(A6065, ""en"", ""mt"")"),"Meta nħarġet din il-proklama?")</f>
        <v>Meta nħarġet din il-proklama?</v>
      </c>
    </row>
    <row r="6066" ht="15.75" customHeight="1">
      <c r="A6066" s="2" t="s">
        <v>6066</v>
      </c>
      <c r="B6066" s="2" t="str">
        <f>IFERROR(__xludf.DUMMYFUNCTION("GOOGLETRANSLATE(A6066, ""en"", ""mt"")"),"(P - 1)! + 1")</f>
        <v>(P - 1)! + 1</v>
      </c>
    </row>
    <row r="6067" ht="15.75" customHeight="1">
      <c r="A6067" s="2" t="s">
        <v>6067</v>
      </c>
      <c r="B6067" s="2" t="str">
        <f>IFERROR(__xludf.DUMMYFUNCTION("GOOGLETRANSLATE(A6067, ""en"", ""mt"")"),"Dak li jissimbolizza li qed isseħħ laqgħa parzjali tal-Parlament?")</f>
        <v>Dak li jissimbolizza li qed isseħħ laqgħa parzjali tal-Parlament?</v>
      </c>
    </row>
    <row r="6068" ht="15.75" customHeight="1">
      <c r="A6068" s="2" t="s">
        <v>6068</v>
      </c>
      <c r="B6068" s="2" t="str">
        <f>IFERROR(__xludf.DUMMYFUNCTION("GOOGLETRANSLATE(A6068, ""en"", ""mt"")"),"sedimentarju")</f>
        <v>sedimentarju</v>
      </c>
    </row>
    <row r="6069" ht="15.75" customHeight="1">
      <c r="A6069" s="2" t="s">
        <v>6069</v>
      </c>
      <c r="B6069" s="2" t="str">
        <f>IFERROR(__xludf.DUMMYFUNCTION("GOOGLETRANSLATE(A6069, ""en"", ""mt"")"),"Liema kkawża li r-riforma tidħol fis-seħħ?")</f>
        <v>Liema kkawża li r-riforma tidħol fis-seħħ?</v>
      </c>
    </row>
    <row r="6070" ht="15.75" customHeight="1">
      <c r="A6070" s="2" t="s">
        <v>6070</v>
      </c>
      <c r="B6070" s="2" t="str">
        <f>IFERROR(__xludf.DUMMYFUNCTION("GOOGLETRANSLATE(A6070, ""en"", ""mt"")"),"Kemm irġiel bagħtu Duquesne biex joqtlu lil Saint-Pierre?")</f>
        <v>Kemm irġiel bagħtu Duquesne biex joqtlu lil Saint-Pierre?</v>
      </c>
    </row>
    <row r="6071" ht="15.75" customHeight="1">
      <c r="A6071" s="2" t="s">
        <v>6071</v>
      </c>
      <c r="B6071" s="2" t="str">
        <f>IFERROR(__xludf.DUMMYFUNCTION("GOOGLETRANSLATE(A6071, ""en"", ""mt"")"),"Liema snin kien ħaj l-ispiżjar John Boyle?")</f>
        <v>Liema snin kien ħaj l-ispiżjar John Boyle?</v>
      </c>
    </row>
    <row r="6072" ht="15.75" customHeight="1">
      <c r="A6072" s="2" t="s">
        <v>6072</v>
      </c>
      <c r="B6072" s="2" t="str">
        <f>IFERROR(__xludf.DUMMYFUNCTION("GOOGLETRANSLATE(A6072, ""en"", ""mt"")"),"Madwar 515 miljun sena")</f>
        <v>Madwar 515 miljun sena</v>
      </c>
    </row>
    <row r="6073" ht="15.75" customHeight="1">
      <c r="A6073" s="2" t="s">
        <v>6073</v>
      </c>
      <c r="B6073" s="2" t="str">
        <f>IFERROR(__xludf.DUMMYFUNCTION("GOOGLETRANSLATE(A6073, ""en"", ""mt"")"),"Digi")</f>
        <v>Digi</v>
      </c>
    </row>
    <row r="6074" ht="15.75" customHeight="1">
      <c r="A6074" s="2" t="s">
        <v>6074</v>
      </c>
      <c r="B6074" s="2" t="str">
        <f>IFERROR(__xludf.DUMMYFUNCTION("GOOGLETRANSLATE(A6074, ""en"", ""mt"")"),"Nitroaereus")</f>
        <v>Nitroaereus</v>
      </c>
    </row>
    <row r="6075" ht="15.75" customHeight="1">
      <c r="A6075" s="2" t="s">
        <v>6075</v>
      </c>
      <c r="B6075" s="2" t="str">
        <f>IFERROR(__xludf.DUMMYFUNCTION("GOOGLETRANSLATE(A6075, ""en"", ""mt"")"),"Minħabba li ċ-Ċina tan-Nofsinhar irreżistiet u ġġieldet għall-aħħar qabel ma ħarġet")</f>
        <v>Minħabba li ċ-Ċina tan-Nofsinhar irreżistiet u ġġieldet għall-aħħar qabel ma ħarġet</v>
      </c>
    </row>
    <row r="6076" ht="15.75" customHeight="1">
      <c r="A6076" s="2" t="s">
        <v>6076</v>
      </c>
      <c r="B6076" s="2" t="str">
        <f>IFERROR(__xludf.DUMMYFUNCTION("GOOGLETRANSLATE(A6076, ""en"", ""mt"")"),"Meta r-Rhineland kienet soġġetta għat-Trattat ta 'Versailles?")</f>
        <v>Meta r-Rhineland kienet soġġetta għat-Trattat ta 'Versailles?</v>
      </c>
    </row>
    <row r="6077" ht="15.75" customHeight="1">
      <c r="A6077" s="2" t="s">
        <v>6077</v>
      </c>
      <c r="B6077" s="2" t="str">
        <f>IFERROR(__xludf.DUMMYFUNCTION("GOOGLETRANSLATE(A6077, ""en"", ""mt"")"),"Kostruzzjoni fuq skala kbira teħtieġ kollaborazzjoni f'dixxiplini multipli. Perit normalment jimmaniġġja l-impjieg, u maniġer tal-kostruzzjoni, inġinier tad-disinn, inġinier tal-kostruzzjoni jew maniġer tal-proġett jissorveljah. Għall-eżekuzzjoni b'suċċes"&amp;"s ta 'proġett, l-ippjanar effettiv huwa essenzjali. Dawk involuti fid-disinn u l-eżekuzzjoni tal-infrastruttura in kwistjoni għandhom jikkunsidraw ir-rekwiżiti taż-żoni, l-impatt ambjentali tax-xogħol, l-iskedar b'suċċess, l-ibbaġitjar, is-sigurtà tas-sit"&amp;" tal-kostruzzjoni, id-disponibbiltà u t-trasport ta 'materjali tal-bini, loġistika, inkonvenjenza għall-pubbliku kkawżat minn Dewmien fil-kostruzzjoni u offerti, eċċ. L-akbar proġetti ta 'kostruzzjoni huma msejħa megaprojects.")</f>
        <v>Kostruzzjoni fuq skala kbira teħtieġ kollaborazzjoni f'dixxiplini multipli. Perit normalment jimmaniġġja l-impjieg, u maniġer tal-kostruzzjoni, inġinier tad-disinn, inġinier tal-kostruzzjoni jew maniġer tal-proġett jissorveljah. Għall-eżekuzzjoni b'suċċess ta 'proġett, l-ippjanar effettiv huwa essenzjali. Dawk involuti fid-disinn u l-eżekuzzjoni tal-infrastruttura in kwistjoni għandhom jikkunsidraw ir-rekwiżiti taż-żoni, l-impatt ambjentali tax-xogħol, l-iskedar b'suċċess, l-ibbaġitjar, is-sigurtà tas-sit tal-kostruzzjoni, id-disponibbiltà u t-trasport ta 'materjali tal-bini, loġistika, inkonvenjenza għall-pubbliku kkawżat minn Dewmien fil-kostruzzjoni u offerti, eċċ. L-akbar proġetti ta 'kostruzzjoni huma msejħa megaprojects.</v>
      </c>
    </row>
    <row r="6078" ht="15.75" customHeight="1">
      <c r="A6078" s="2" t="s">
        <v>6078</v>
      </c>
      <c r="B6078" s="2" t="str">
        <f>IFERROR(__xludf.DUMMYFUNCTION("GOOGLETRANSLATE(A6078, ""en"", ""mt"")"),"Meta saret l-iktar skoperta importanti dwar il-konfini termali?")</f>
        <v>Meta saret l-iktar skoperta importanti dwar il-konfini termali?</v>
      </c>
    </row>
    <row r="6079" ht="15.75" customHeight="1">
      <c r="A6079" s="2" t="s">
        <v>6079</v>
      </c>
      <c r="B6079" s="2" t="str">
        <f>IFERROR(__xludf.DUMMYFUNCTION("GOOGLETRANSLATE(A6079, ""en"", ""mt"")"),"X'tip ta 'ideali jiġġeneralizzaw elementi ewlenin?")</f>
        <v>X'tip ta 'ideali jiġġeneralizzaw elementi ewlenin?</v>
      </c>
    </row>
    <row r="6080" ht="15.75" customHeight="1">
      <c r="A6080" s="2" t="s">
        <v>6080</v>
      </c>
      <c r="B6080" s="2" t="str">
        <f>IFERROR(__xludf.DUMMYFUNCTION("GOOGLETRANSLATE(A6080, ""en"", ""mt"")"),"Liema teorema tiddefinixxi r-rwol ewlieni tal-primes fit-teorija tan-numri?")</f>
        <v>Liema teorema tiddefinixxi r-rwol ewlieni tal-primes fit-teorija tan-numri?</v>
      </c>
    </row>
    <row r="6081" ht="15.75" customHeight="1">
      <c r="A6081" s="2" t="s">
        <v>6081</v>
      </c>
      <c r="B6081" s="2" t="str">
        <f>IFERROR(__xludf.DUMMYFUNCTION("GOOGLETRANSLATE(A6081, ""en"", ""mt"")"),"Sitt kwadrangles")</f>
        <v>Sitt kwadrangles</v>
      </c>
    </row>
    <row r="6082" ht="15.75" customHeight="1">
      <c r="A6082" s="2" t="s">
        <v>6082</v>
      </c>
      <c r="B6082" s="2" t="str">
        <f>IFERROR(__xludf.DUMMYFUNCTION("GOOGLETRANSLATE(A6082, ""en"", ""mt"")"),"Il-bdil tal-pakketti juża x'tip ta 'netwerk?")</f>
        <v>Il-bdil tal-pakketti juża x'tip ta 'netwerk?</v>
      </c>
    </row>
    <row r="6083" ht="15.75" customHeight="1">
      <c r="A6083" s="2" t="s">
        <v>6083</v>
      </c>
      <c r="B6083" s="2" t="str">
        <f>IFERROR(__xludf.DUMMYFUNCTION("GOOGLETRANSLATE(A6083, ""en"", ""mt"")"),"Sa Lulju tal-1944, l-Armata l-Ħamra kienet fil-fond fit-territorju Pollakk u ssegwi l-Ġermaniżi lejn Varsavja. Meta tkun taf li Stalin kien ostili għall-idea ta 'Polonja indipendenti, il-gvern Pollakk fl-eżilju f'Londra ta ordnijiet lill-Armata tad-Dar ta"&amp;"ħt l-art (AK) biex tipprova taħtaf il-kontroll ta' Varsavja mill-Ġermaniżi qabel ma waslet l-Armata l-Ħamra. Għalhekk, fl-1 ta ’Awwissu 1944, hekk kif l-Armata l-Ħamra kienet waslet il-belt, bdiet ir-rewwixta ta’ Varsavja. It-taqbida armata, ippjanata li "&amp;"ddum 48 siegħa, kienet parzjalment ta ’suċċess, madankollu kompliet għal 63 jum. Eventwalment il-ġellieda tal-armata tad-dar u ċ-ċivili li jgħinuhom kienu mġiegħla jikkapitulaw. Huma ġew ittrasportati lejn kampijiet POW fil-Ġermanja, filwaqt li l-popolazz"&amp;"joni ċivili kollha ġiet imkeċċija. L-imwiet ċivili Pollakki huma stmati għal bejn 150,000 u 200,000.")</f>
        <v>Sa Lulju tal-1944, l-Armata l-Ħamra kienet fil-fond fit-territorju Pollakk u ssegwi l-Ġermaniżi lejn Varsavja. Meta tkun taf li Stalin kien ostili għall-idea ta 'Polonja indipendenti, il-gvern Pollakk fl-eżilju f'Londra ta ordnijiet lill-Armata tad-Dar taħt l-art (AK) biex tipprova taħtaf il-kontroll ta' Varsavja mill-Ġermaniżi qabel ma waslet l-Armata l-Ħamra. Għalhekk, fl-1 ta ’Awwissu 1944, hekk kif l-Armata l-Ħamra kienet waslet il-belt, bdiet ir-rewwixta ta’ Varsavja. It-taqbida armata, ippjanata li ddum 48 siegħa, kienet parzjalment ta ’suċċess, madankollu kompliet għal 63 jum. Eventwalment il-ġellieda tal-armata tad-dar u ċ-ċivili li jgħinuhom kienu mġiegħla jikkapitulaw. Huma ġew ittrasportati lejn kampijiet POW fil-Ġermanja, filwaqt li l-popolazzjoni ċivili kollha ġiet imkeċċija. L-imwiet ċivili Pollakki huma stmati għal bejn 150,000 u 200,000.</v>
      </c>
    </row>
    <row r="6084" ht="15.75" customHeight="1">
      <c r="A6084" s="2" t="s">
        <v>6084</v>
      </c>
      <c r="B6084" s="2" t="str">
        <f>IFERROR(__xludf.DUMMYFUNCTION("GOOGLETRANSLATE(A6084, ""en"", ""mt"")"),"Liema studjuż ta 'Shakespeare bħalissa jinsab fil-fakultà tal-università?")</f>
        <v>Liema studjuż ta 'Shakespeare bħalissa jinsab fil-fakultà tal-università?</v>
      </c>
    </row>
    <row r="6085" ht="15.75" customHeight="1">
      <c r="A6085" s="2" t="s">
        <v>6085</v>
      </c>
      <c r="B6085" s="2" t="str">
        <f>IFERROR(__xludf.DUMMYFUNCTION("GOOGLETRANSLATE(A6085, ""en"", ""mt"")"),"Meta l-unitajiet tal-blat jitpoġġew taħt kompressjoni orizzontali, dawn iqassru u jsiru eħxen. Minħabba li l-unitajiet tal-blat, minbarra t-tajn, ma jinbidlux b'mod sinifikanti fil-volum, dan jitwettaq f'żewġ modi primarji: permezz ta 'difetti u tiwi. Fil"&amp;"-qoxra baxxa, fejn tista 'sseħħ deformazzjoni fraġli, jiffurmaw ħsarat ta' l-ispinta, li jikkawżaw blat aktar fil-fond li jimxi fuq il-parti ta 'fuq tal-blat baxx. Minħabba li l-blat aktar profond huwa ta 'spiss ixjeħ, kif innotat mill-prinċipju tas-super"&amp;"pożizzjoni, dan jista' jirriżulta fi blat anzjani li jiċċaqalqu fuq dawk iżgħar. Il-moviment tul il-ħsarat jista 'jirriżulta fit-tiwi, jew minħabba li l-ħsarat mhumiex ċatti jew minħabba li s-saffi tal-blat huma mkaxkra, u jiffurmaw il-folds tal-ġibda hek"&amp;"k kif iseħħ żlieq matul il-ħsara. Aktar fil-fond fl-art, il-blat iġibu ruħhom plastikament, u jintewa minflok ma jfixklu. Dawn il-folds jistgħu jkunu jew dawk fejn il-materjal fiċ-ċentru tal-bokkli tat-tinja 'l fuq, joħloq ""antiformi"", jew fejn jegħleb'"&amp;" l isfel, u joħloq ""sinformi"". Jekk l-uċuħ tal-unitajiet tal-blat fil-jingħalaq jibqgħu jippuntaw 'il fuq, huma msejħa anticlines u sinklini, rispettivament. Jekk uħud mill-unitajiet fil-tinja qed jiffaċċjaw 'l isfel, l-istruttura tissejjaħ antiklinja j"&amp;"ew sinkronizzazzjoni maqluba, u jekk l-unitajiet kollha tal-blat jinqaleb jew jekk id-direzzjoni korretta mhix magħrufa, huma sempliċement imsejħa bl-iktar termini ġenerali, Antiformi u Sinformi.")</f>
        <v>Meta l-unitajiet tal-blat jitpoġġew taħt kompressjoni orizzontali, dawn iqassru u jsiru eħxen. Minħabba li l-unitajiet tal-blat, minbarra t-tajn, ma jinbidlux b'mod sinifikanti fil-volum, dan jitwettaq f'żewġ modi primarji: permezz ta 'difetti u tiwi. Fil-qoxra baxxa, fejn tista 'sseħħ deformazzjoni fraġli, jiffurmaw ħsarat ta' l-ispinta, li jikkawżaw blat aktar fil-fond li jimxi fuq il-parti ta 'fuq tal-blat baxx. Minħabba li l-blat aktar profond huwa ta 'spiss ixjeħ, kif innotat mill-prinċipju tas-superpożizzjoni, dan jista' jirriżulta fi blat anzjani li jiċċaqalqu fuq dawk iżgħar. Il-moviment tul il-ħsarat jista 'jirriżulta fit-tiwi, jew minħabba li l-ħsarat mhumiex ċatti jew minħabba li s-saffi tal-blat huma mkaxkra, u jiffurmaw il-folds tal-ġibda hekk kif iseħħ żlieq matul il-ħsara. Aktar fil-fond fl-art, il-blat iġibu ruħhom plastikament, u jintewa minflok ma jfixklu. Dawn il-folds jistgħu jkunu jew dawk fejn il-materjal fiċ-ċentru tal-bokkli tat-tinja 'l fuq, joħloq "antiformi", jew fejn jegħleb' l isfel, u joħloq "sinformi". Jekk l-uċuħ tal-unitajiet tal-blat fil-jingħalaq jibqgħu jippuntaw 'il fuq, huma msejħa anticlines u sinklini, rispettivament. Jekk uħud mill-unitajiet fil-tinja qed jiffaċċjaw 'l isfel, l-istruttura tissejjaħ antiklinja jew sinkronizzazzjoni maqluba, u jekk l-unitajiet kollha tal-blat jinqaleb jew jekk id-direzzjoni korretta mhix magħrufa, huma sempliċement imsejħa bl-iktar termini ġenerali, Antiformi u Sinformi.</v>
      </c>
    </row>
    <row r="6086" ht="15.75" customHeight="1">
      <c r="A6086" s="2" t="s">
        <v>6086</v>
      </c>
      <c r="B6086" s="2" t="str">
        <f>IFERROR(__xludf.DUMMYFUNCTION("GOOGLETRANSLATE(A6086, ""en"", ""mt"")"),"State Mughal")</f>
        <v>State Mughal</v>
      </c>
    </row>
    <row r="6087" ht="15.75" customHeight="1">
      <c r="A6087" s="2" t="s">
        <v>6087</v>
      </c>
      <c r="B6087" s="2" t="str">
        <f>IFERROR(__xludf.DUMMYFUNCTION("GOOGLETRANSLATE(A6087, ""en"", ""mt"")"),"l-estinzjoni tad-dinosawri u l-klima aktar mxarrba")</f>
        <v>l-estinzjoni tad-dinosawri u l-klima aktar mxarrba</v>
      </c>
    </row>
    <row r="6088" ht="15.75" customHeight="1">
      <c r="A6088" s="2" t="s">
        <v>6088</v>
      </c>
      <c r="B6088" s="2" t="str">
        <f>IFERROR(__xludf.DUMMYFUNCTION("GOOGLETRANSLATE(A6088, ""en"", ""mt"")"),"Stephen Eilmann jistaqsi għaliex turi diżubbidjenza ċivili pubblika minflok x'inhi idea aħjar?")</f>
        <v>Stephen Eilmann jistaqsi għaliex turi diżubbidjenza ċivili pubblika minflok x'inhi idea aħjar?</v>
      </c>
    </row>
    <row r="6089" ht="15.75" customHeight="1">
      <c r="A6089" s="2" t="s">
        <v>6089</v>
      </c>
      <c r="B6089" s="2" t="str">
        <f>IFERROR(__xludf.DUMMYFUNCTION("GOOGLETRANSLATE(A6089, ""en"", ""mt"")"),"mibgħuta sitt reġimenti lil Franza Ġdida taħt il-kmand ta 'Baruni Dieskau fl-1755")</f>
        <v>mibgħuta sitt reġimenti lil Franza Ġdida taħt il-kmand ta 'Baruni Dieskau fl-1755</v>
      </c>
    </row>
    <row r="6090" ht="15.75" customHeight="1">
      <c r="A6090" s="2" t="s">
        <v>6090</v>
      </c>
      <c r="B6090" s="2" t="str">
        <f>IFERROR(__xludf.DUMMYFUNCTION("GOOGLETRANSLATE(A6090, ""en"", ""mt"")"),"Kull meta ltaqa 'ma' negozjanti Ingliżi jew negozji tal-pil, Céloron għarrafhom bit-talbiet Franċiżi fit-territorju u qalilhom biex jitilqu")</f>
        <v>Kull meta ltaqa 'ma' negozjanti Ingliżi jew negozji tal-pil, Céloron għarrafhom bit-talbiet Franċiżi fit-territorju u qalilhom biex jitilqu</v>
      </c>
    </row>
    <row r="6091" ht="15.75" customHeight="1">
      <c r="A6091" s="2" t="s">
        <v>6091</v>
      </c>
      <c r="B6091" s="2" t="str">
        <f>IFERROR(__xludf.DUMMYFUNCTION("GOOGLETRANSLATE(A6091, ""en"", ""mt"")"),"Ma 'min għamlu l-attakki mill-inqas?")</f>
        <v>Ma 'min għamlu l-attakki mill-inqas?</v>
      </c>
    </row>
    <row r="6092" ht="15.75" customHeight="1">
      <c r="A6092" s="2" t="s">
        <v>6092</v>
      </c>
      <c r="B6092" s="2" t="str">
        <f>IFERROR(__xludf.DUMMYFUNCTION("GOOGLETRANSLATE(A6092, ""en"", ""mt"")"),"L-azzjoni tat-tlaħliħ ta 'dak li jkeċċi l-patoġeni mill-għajnejn?")</f>
        <v>L-azzjoni tat-tlaħliħ ta 'dak li jkeċċi l-patoġeni mill-għajnejn?</v>
      </c>
    </row>
    <row r="6093" ht="15.75" customHeight="1">
      <c r="A6093" s="2" t="s">
        <v>6093</v>
      </c>
      <c r="B6093" s="2" t="str">
        <f>IFERROR(__xludf.DUMMYFUNCTION("GOOGLETRANSLATE(A6093, ""en"", ""mt"")"),"Mohammad Iqbal kien x'tip ta 'missier għall-istat tal-Pakistan?")</f>
        <v>Mohammad Iqbal kien x'tip ta 'missier għall-istat tal-Pakistan?</v>
      </c>
    </row>
    <row r="6094" ht="15.75" customHeight="1">
      <c r="A6094" s="2" t="s">
        <v>6094</v>
      </c>
      <c r="B6094" s="2" t="str">
        <f>IFERROR(__xludf.DUMMYFUNCTION("GOOGLETRANSLATE(A6094, ""en"", ""mt"")")," Liema pajjiż il-Ġappun ma ġiegħelx f'alleanza?")</f>
        <v> Liema pajjiż il-Ġappun ma ġiegħelx f'alleanza?</v>
      </c>
    </row>
    <row r="6095" ht="15.75" customHeight="1">
      <c r="A6095" s="2" t="s">
        <v>6095</v>
      </c>
      <c r="B6095" s="2" t="str">
        <f>IFERROR(__xludf.DUMMYFUNCTION("GOOGLETRANSLATE(A6095, ""en"", ""mt"")"),"Netwerk ta 'Qlib tal-Pakketti Cyclades")</f>
        <v>Netwerk ta 'Qlib tal-Pakketti Cyclades</v>
      </c>
    </row>
    <row r="6096" ht="15.75" customHeight="1">
      <c r="A6096" s="2" t="s">
        <v>6096</v>
      </c>
      <c r="B6096" s="2" t="str">
        <f>IFERROR(__xludf.DUMMYFUNCTION("GOOGLETRANSLATE(A6096, ""en"", ""mt"")"),"Kif is-soċjalisti jaħsbu li l-mezzi ta 'produzzjoni għandhom ikunu proprjetà?")</f>
        <v>Kif is-soċjalisti jaħsbu li l-mezzi ta 'produzzjoni għandhom ikunu proprjetà?</v>
      </c>
    </row>
    <row r="6097" ht="15.75" customHeight="1">
      <c r="A6097" s="2" t="s">
        <v>6097</v>
      </c>
      <c r="B6097" s="2" t="str">
        <f>IFERROR(__xludf.DUMMYFUNCTION("GOOGLETRANSLATE(A6097, ""en"", ""mt"")"),"Ir-rwol tal-mapep tas-seklu dsatax")</f>
        <v>Ir-rwol tal-mapep tas-seklu dsatax</v>
      </c>
    </row>
    <row r="6098" ht="15.75" customHeight="1">
      <c r="A6098" s="2" t="s">
        <v>6098</v>
      </c>
      <c r="B6098" s="2" t="str">
        <f>IFERROR(__xludf.DUMMYFUNCTION("GOOGLETRANSLATE(A6098, ""en"", ""mt"")"),"bjankerija")</f>
        <v>bjankerija</v>
      </c>
    </row>
    <row r="6099" ht="15.75" customHeight="1">
      <c r="A6099" s="2" t="s">
        <v>6099</v>
      </c>
      <c r="B6099" s="2" t="str">
        <f>IFERROR(__xludf.DUMMYFUNCTION("GOOGLETRANSLATE(A6099, ""en"", ""mt"")"),"kunċett ta 'swiċċjar ta' blokka ta 'messaġġi adattivi distribwiti")</f>
        <v>kunċett ta 'swiċċjar ta' blokka ta 'messaġġi adattivi distribwiti</v>
      </c>
    </row>
    <row r="6100" ht="15.75" customHeight="1">
      <c r="A6100" s="2" t="s">
        <v>6100</v>
      </c>
      <c r="B6100" s="2" t="str">
        <f>IFERROR(__xludf.DUMMYFUNCTION("GOOGLETRANSLATE(A6100, ""en"", ""mt"")"),"Minħabba t-twemmin tagħhom fil-validità tal-kuntratt soċjali")</f>
        <v>Minħabba t-twemmin tagħhom fil-validità tal-kuntratt soċjali</v>
      </c>
    </row>
    <row r="6101" ht="15.75" customHeight="1">
      <c r="A6101" s="2" t="s">
        <v>6101</v>
      </c>
      <c r="B6101" s="2" t="str">
        <f>IFERROR(__xludf.DUMMYFUNCTION("GOOGLETRANSLATE(A6101, ""en"", ""mt"")"),"Iċ-ċiklu ta 'Rankine huwa l-bażi fundamentali termodinamika tal-magna tal-fwar. Iċ-ċiklu huwa arranġament ta 'komponenti kif tipikament jintuża għal produzzjoni ta' enerġija sempliċi, u juża l-bidla fil-fażi ta 'l-ilma (ilma jagħli li jipproduċi fwar, jik"&amp;"kondensa l-fwar tal-egżost, li jipproduċi ilma likwidu)) biex jipprovdi sistema prattika ta' konverżjoni tas-sħana / enerġija. Is-sħana hija fornuta esternament għal linja magħluqa b'xi ftit mis-sħana miżjuda tiġi kkonvertita għax-xogħol u s-sħana tal-isk"&amp;"art titneħħa f'kondensatur. Iċ-ċiklu Rankine jintuża fi kważi l-applikazzjonijiet kollha tal-produzzjoni tal-enerġija bil-fwar. Fid-disgħinijiet, iċ-ċikli tal-fwar ta 'Rankine ġġeneraw madwar 90% tal-enerġija elettrika kollha użata madwar id-dinja, inkluż"&amp;"i kważi l-impjanti tal-enerġija solari, tal-bijomassa, tal-faħam u nukleari. Huwa msemmi wara William John Macquorn Rankine, Polymath Skoċċiż.")</f>
        <v>Iċ-ċiklu ta 'Rankine huwa l-bażi fundamentali termodinamika tal-magna tal-fwar. Iċ-ċiklu huwa arranġament ta 'komponenti kif tipikament jintuża għal produzzjoni ta' enerġija sempliċi, u juża l-bidla fil-fażi ta 'l-ilma (ilma jagħli li jipproduċi fwar, jikkondensa l-fwar tal-egżost, li jipproduċi ilma likwidu)) biex jipprovdi sistema prattika ta' konverżjoni tas-sħana / enerġija. Is-sħana hija fornuta esternament għal linja magħluqa b'xi ftit mis-sħana miżjuda tiġi kkonvertita għax-xogħol u s-sħana tal-iskart titneħħa f'kondensatur. Iċ-ċiklu Rankine jintuża fi kważi l-applikazzjonijiet kollha tal-produzzjoni tal-enerġija bil-fwar. Fid-disgħinijiet, iċ-ċikli tal-fwar ta 'Rankine ġġeneraw madwar 90% tal-enerġija elettrika kollha użata madwar id-dinja, inklużi kważi l-impjanti tal-enerġija solari, tal-bijomassa, tal-faħam u nukleari. Huwa msemmi wara William John Macquorn Rankine, Polymath Skoċċiż.</v>
      </c>
    </row>
    <row r="6102" ht="15.75" customHeight="1">
      <c r="A6102" s="2" t="s">
        <v>6102</v>
      </c>
      <c r="B6102" s="2" t="str">
        <f>IFERROR(__xludf.DUMMYFUNCTION("GOOGLETRANSLATE(A6102, ""en"", ""mt"")"),"Magna tat-Turing mhux deterministika għandha l-abbiltà li taqbad liema aspett ta 'analiżi utli?")</f>
        <v>Magna tat-Turing mhux deterministika għandha l-abbiltà li taqbad liema aspett ta 'analiżi utli?</v>
      </c>
    </row>
    <row r="6103" ht="15.75" customHeight="1">
      <c r="A6103" s="2" t="s">
        <v>6103</v>
      </c>
      <c r="B6103" s="2" t="str">
        <f>IFERROR(__xludf.DUMMYFUNCTION("GOOGLETRANSLATE(A6103, ""en"", ""mt"")"),"Interleukins")</f>
        <v>Interleukins</v>
      </c>
    </row>
    <row r="6104" ht="15.75" customHeight="1">
      <c r="A6104" s="2" t="s">
        <v>6104</v>
      </c>
      <c r="B6104" s="2" t="str">
        <f>IFERROR(__xludf.DUMMYFUNCTION("GOOGLETRANSLATE(A6104, ""en"", ""mt"")"),"Liema mekkaniżmu jiċċaqlaq il-faħam minn firebox għal bunker?")</f>
        <v>Liema mekkaniżmu jiċċaqlaq il-faħam minn firebox għal bunker?</v>
      </c>
    </row>
    <row r="6105" ht="15.75" customHeight="1">
      <c r="A6105" s="2" t="s">
        <v>6105</v>
      </c>
      <c r="B6105" s="2" t="str">
        <f>IFERROR(__xludf.DUMMYFUNCTION("GOOGLETRANSLATE(A6105, ""en"", ""mt"")"),"L-ekonomista Korean Hoesung Lee huwa l-president tal-IPCC mit-8 ta 'Ottubru, 2015, wara l-elezzjoni tal-Uffiċċju l-ġdid tal-IPCC. Qabel din l-elezzjoni, l-IPCC kien immexxi mill-viċi-president tiegħu Ismail El Gizouli, li ġie nominat li jaġixxi president "&amp;"wara r-riżenja ta 'Rajendra K. Pachauri fi Frar 2015. Is-siġġijiet preċedenti kienu Rajendra K. Pachauri, eletti f'Mejju 2002; Robert Watson fl-1997; u Bert Bolin fl-1988. Is-siġġu huwa megħjun minn Bureau Elett inkluż il-Viċi-Chairs, il-Ko-Presidenti tal"&amp;"-Grupp ta ’Ħidma, u Segretarjat.")</f>
        <v>L-ekonomista Korean Hoesung Lee huwa l-president tal-IPCC mit-8 ta 'Ottubru, 2015, wara l-elezzjoni tal-Uffiċċju l-ġdid tal-IPCC. Qabel din l-elezzjoni, l-IPCC kien immexxi mill-viċi-president tiegħu Ismail El Gizouli, li ġie nominat li jaġixxi president wara r-riżenja ta 'Rajendra K. Pachauri fi Frar 2015. Is-siġġijiet preċedenti kienu Rajendra K. Pachauri, eletti f'Mejju 2002; Robert Watson fl-1997; u Bert Bolin fl-1988. Is-siġġu huwa megħjun minn Bureau Elett inkluż il-Viċi-Chairs, il-Ko-Presidenti tal-Grupp ta ’Ħidma, u Segretarjat.</v>
      </c>
    </row>
    <row r="6106" ht="15.75" customHeight="1">
      <c r="A6106" s="2" t="s">
        <v>6106</v>
      </c>
      <c r="B6106" s="2" t="str">
        <f>IFERROR(__xludf.DUMMYFUNCTION("GOOGLETRANSLATE(A6106, ""en"", ""mt"")"),"il-kolonji tal-Amerika Ingliża u Franza l-ġdida")</f>
        <v>il-kolonji tal-Amerika Ingliża u Franza l-ġdida</v>
      </c>
    </row>
    <row r="6107" ht="15.75" customHeight="1">
      <c r="A6107" s="2" t="s">
        <v>6107</v>
      </c>
      <c r="B6107" s="2" t="str">
        <f>IFERROR(__xludf.DUMMYFUNCTION("GOOGLETRANSLATE(A6107, ""en"", ""mt"")"),"Min kien President ta 'Radcliffe mill-1869-1909?")</f>
        <v>Min kien President ta 'Radcliffe mill-1869-1909?</v>
      </c>
    </row>
    <row r="6108" ht="15.75" customHeight="1">
      <c r="A6108" s="2" t="s">
        <v>6108</v>
      </c>
      <c r="B6108" s="2" t="str">
        <f>IFERROR(__xludf.DUMMYFUNCTION("GOOGLETRANSLATE(A6108, ""en"", ""mt"")"),"Skoċċiż")</f>
        <v>Skoċċiż</v>
      </c>
    </row>
    <row r="6109" ht="15.75" customHeight="1">
      <c r="A6109" s="2" t="s">
        <v>6109</v>
      </c>
      <c r="B6109" s="2" t="str">
        <f>IFERROR(__xludf.DUMMYFUNCTION("GOOGLETRANSLATE(A6109, ""en"", ""mt"")"),"Domanda bijokimika ta 'ossiġnu")</f>
        <v>Domanda bijokimika ta 'ossiġnu</v>
      </c>
    </row>
    <row r="6110" ht="15.75" customHeight="1">
      <c r="A6110" s="2" t="s">
        <v>6110</v>
      </c>
      <c r="B6110" s="2" t="str">
        <f>IFERROR(__xludf.DUMMYFUNCTION("GOOGLETRANSLATE(A6110, ""en"", ""mt"")"),"X'inhuma l-antikorpi li qatt ma ġġeneraw biex jiġġieldu?")</f>
        <v>X'inhuma l-antikorpi li qatt ma ġġeneraw biex jiġġieldu?</v>
      </c>
    </row>
    <row r="6111" ht="15.75" customHeight="1">
      <c r="A6111" s="2" t="s">
        <v>6111</v>
      </c>
      <c r="B6111" s="2" t="str">
        <f>IFERROR(__xludf.DUMMYFUNCTION("GOOGLETRANSLATE(A6111, ""en"", ""mt"")"),"O2")</f>
        <v>O2</v>
      </c>
    </row>
    <row r="6112" ht="15.75" customHeight="1">
      <c r="A6112" s="2" t="s">
        <v>6112</v>
      </c>
      <c r="B6112" s="2" t="str">
        <f>IFERROR(__xludf.DUMMYFUNCTION("GOOGLETRANSLATE(A6112, ""en"", ""mt"")"),"CYP27B1")</f>
        <v>CYP27B1</v>
      </c>
    </row>
    <row r="6113" ht="15.75" customHeight="1">
      <c r="A6113" s="2" t="s">
        <v>6113</v>
      </c>
      <c r="B6113" s="2" t="str">
        <f>IFERROR(__xludf.DUMMYFUNCTION("GOOGLETRANSLATE(A6113, ""en"", ""mt"")"),"17,786,419")</f>
        <v>17,786,419</v>
      </c>
    </row>
    <row r="6114" ht="15.75" customHeight="1">
      <c r="A6114" s="2" t="s">
        <v>6114</v>
      </c>
      <c r="B6114" s="2" t="str">
        <f>IFERROR(__xludf.DUMMYFUNCTION("GOOGLETRANSLATE(A6114, ""en"", ""mt"")"),"Ctenophores huma inqas kumplessi minn liema grupp ieħor?")</f>
        <v>Ctenophores huma inqas kumplessi minn liema grupp ieħor?</v>
      </c>
    </row>
    <row r="6115" ht="15.75" customHeight="1">
      <c r="A6115" s="2" t="s">
        <v>6115</v>
      </c>
      <c r="B6115" s="2" t="str">
        <f>IFERROR(__xludf.DUMMYFUNCTION("GOOGLETRANSLATE(A6115, ""en"", ""mt"")"),"nofs mil")</f>
        <v>nofs mil</v>
      </c>
    </row>
    <row r="6116" ht="15.75" customHeight="1">
      <c r="A6116" s="2" t="s">
        <v>6116</v>
      </c>
      <c r="B6116" s="2" t="str">
        <f>IFERROR(__xludf.DUMMYFUNCTION("GOOGLETRANSLATE(A6116, ""en"", ""mt"")"),"Is-Soċjologu Jake Rosenfield ta 'l-Università ta' Washington jafferma li t-tnaqqis tax-xogħol organizzat fl-Istati Uniti kellu rwol aktar sinifikanti fl-espansjoni tad-distakk fid-dħul minn bidliet teknoloġiċi u globalizzazzjoni, li kienu wkoll esperjenza"&amp;"ti minn nazzjonijiet industrijalizzati oħra li ma esperjenzawx wieqfa żidiet fl-inugwaljanza. Huwa jirrimarka li n-nazzjonijiet b'rati għoljin ta 'unjonizzazzjoni, partikolarment fl-Iskandinavja, għandhom livelli baxxi ħafna ta' inugwaljanza, u jikkonklud"&amp;"i ""l-mudell storiku huwa ċar; ix-xejra transnazzjonali hija ċara: l-inugwaljanza għolja tmur id f'id ma 'xogħol dgħajjef movimenti u viċi versa. """)</f>
        <v>Is-Soċjologu Jake Rosenfield ta 'l-Università ta' Washington jafferma li t-tnaqqis tax-xogħol organizzat fl-Istati Uniti kellu rwol aktar sinifikanti fl-espansjoni tad-distakk fid-dħul minn bidliet teknoloġiċi u globalizzazzjoni, li kienu wkoll esperjenzati minn nazzjonijiet industrijalizzati oħra li ma esperjenzawx wieqfa żidiet fl-inugwaljanza. Huwa jirrimarka li n-nazzjonijiet b'rati għoljin ta 'unjonizzazzjoni, partikolarment fl-Iskandinavja, għandhom livelli baxxi ħafna ta' inugwaljanza, u jikkonkludi "l-mudell storiku huwa ċar; ix-xejra transnazzjonali hija ċara: l-inugwaljanza għolja tmur id f'id ma 'xogħol dgħajjef movimenti u viċi versa. "</v>
      </c>
    </row>
    <row r="6117" ht="15.75" customHeight="1">
      <c r="A6117" s="2" t="s">
        <v>6117</v>
      </c>
      <c r="B6117" s="2" t="str">
        <f>IFERROR(__xludf.DUMMYFUNCTION("GOOGLETRANSLATE(A6117, ""en"", ""mt"")"),"1903")</f>
        <v>1903</v>
      </c>
    </row>
    <row r="6118" ht="15.75" customHeight="1">
      <c r="A6118" s="2" t="s">
        <v>6118</v>
      </c>
      <c r="B6118" s="2" t="str">
        <f>IFERROR(__xludf.DUMMYFUNCTION("GOOGLETRANSLATE(A6118, ""en"", ""mt"")"),"Taoism")</f>
        <v>Taoism</v>
      </c>
    </row>
    <row r="6119" ht="15.75" customHeight="1">
      <c r="A6119" s="2" t="s">
        <v>6119</v>
      </c>
      <c r="B6119" s="2" t="str">
        <f>IFERROR(__xludf.DUMMYFUNCTION("GOOGLETRANSLATE(A6119, ""en"", ""mt"")"),"konspirazzjoni")</f>
        <v>konspirazzjoni</v>
      </c>
    </row>
    <row r="6120" ht="15.75" customHeight="1">
      <c r="A6120" s="2" t="s">
        <v>6120</v>
      </c>
      <c r="B6120" s="2" t="str">
        <f>IFERROR(__xludf.DUMMYFUNCTION("GOOGLETRANSLATE(A6120, ""en"", ""mt"")"),"Kemm applikanti l-Iskola Groton għandha kull sena?")</f>
        <v>Kemm applikanti l-Iskola Groton għandha kull sena?</v>
      </c>
    </row>
    <row r="6121" ht="15.75" customHeight="1">
      <c r="A6121" s="2" t="s">
        <v>6121</v>
      </c>
      <c r="B6121" s="2" t="str">
        <f>IFERROR(__xludf.DUMMYFUNCTION("GOOGLETRANSLATE(A6121, ""en"", ""mt"")")," X'inhi t-traduzzjoni Franċiża ta 'Tawhid?")</f>
        <v> X'inhi t-traduzzjoni Franċiża ta 'Tawhid?</v>
      </c>
    </row>
    <row r="6122" ht="15.75" customHeight="1">
      <c r="A6122" s="2" t="s">
        <v>6122</v>
      </c>
      <c r="B6122" s="2" t="str">
        <f>IFERROR(__xludf.DUMMYFUNCTION("GOOGLETRANSLATE(A6122, ""en"", ""mt"")"),"Il-President Wilson ikkommetta lill-gvern tiegħu għal xiex fl-1974?")</f>
        <v>Il-President Wilson ikkommetta lill-gvern tiegħu għal xiex fl-1974?</v>
      </c>
    </row>
    <row r="6123" ht="15.75" customHeight="1">
      <c r="A6123" s="2" t="s">
        <v>6123</v>
      </c>
      <c r="B6123" s="2" t="str">
        <f>IFERROR(__xludf.DUMMYFUNCTION("GOOGLETRANSLATE(A6123, ""en"", ""mt"")"),"Liema pajjiż ħakem California darba?")</f>
        <v>Liema pajjiż ħakem California darba?</v>
      </c>
    </row>
    <row r="6124" ht="15.75" customHeight="1">
      <c r="A6124" s="2" t="s">
        <v>6124</v>
      </c>
      <c r="B6124" s="2" t="str">
        <f>IFERROR(__xludf.DUMMYFUNCTION("GOOGLETRANSLATE(A6124, ""en"", ""mt"")"),"Ewropew kontinentali")</f>
        <v>Ewropew kontinentali</v>
      </c>
    </row>
    <row r="6125" ht="15.75" customHeight="1">
      <c r="A6125" s="2" t="s">
        <v>6125</v>
      </c>
      <c r="B6125" s="2" t="str">
        <f>IFERROR(__xludf.DUMMYFUNCTION("GOOGLETRANSLATE(A6125, ""en"", ""mt"")"),"Xi tipprotesta kontra d-diżubbidjenza ċivili?")</f>
        <v>Xi tipprotesta kontra d-diżubbidjenza ċivili?</v>
      </c>
    </row>
    <row r="6126" ht="15.75" customHeight="1">
      <c r="A6126" s="2" t="s">
        <v>6126</v>
      </c>
      <c r="B6126" s="2" t="str">
        <f>IFERROR(__xludf.DUMMYFUNCTION("GOOGLETRANSLATE(A6126, ""en"", ""mt"")"),"Meta twieled John Gallagher?")</f>
        <v>Meta twieled John Gallagher?</v>
      </c>
    </row>
    <row r="6127" ht="15.75" customHeight="1">
      <c r="A6127" s="2" t="s">
        <v>6127</v>
      </c>
      <c r="B6127" s="2" t="str">
        <f>IFERROR(__xludf.DUMMYFUNCTION("GOOGLETRANSLATE(A6127, ""en"", ""mt"")"),"Liema għodda kejjel l-ammont ta 'trab li jivvjaġġa mis-Saħara għall-Amażonja?")</f>
        <v>Liema għodda kejjel l-ammont ta 'trab li jivvjaġġa mis-Saħara għall-Amażonja?</v>
      </c>
    </row>
    <row r="6128" ht="15.75" customHeight="1">
      <c r="A6128" s="2" t="s">
        <v>6128</v>
      </c>
      <c r="B6128" s="2" t="str">
        <f>IFERROR(__xludf.DUMMYFUNCTION("GOOGLETRANSLATE(A6128, ""en"", ""mt"")"),"Fejn għadu veru x-xejra ta 'ħajja ta' dħul ogħla?")</f>
        <v>Fejn għadu veru x-xejra ta 'ħajja ta' dħul ogħla?</v>
      </c>
    </row>
    <row r="6129" ht="15.75" customHeight="1">
      <c r="A6129" s="2" t="s">
        <v>6129</v>
      </c>
      <c r="B6129" s="2" t="str">
        <f>IFERROR(__xludf.DUMMYFUNCTION("GOOGLETRANSLATE(A6129, ""en"", ""mt"")"),"F'liema qasam kienu komuni sostituzzjonijiet ta 'espansjoni doppja u tripla?")</f>
        <v>F'liema qasam kienu komuni sostituzzjonijiet ta 'espansjoni doppja u tripla?</v>
      </c>
    </row>
    <row r="6130" ht="15.75" customHeight="1">
      <c r="A6130" s="2" t="s">
        <v>6130</v>
      </c>
      <c r="B6130" s="2" t="str">
        <f>IFERROR(__xludf.DUMMYFUNCTION("GOOGLETRANSLATE(A6130, ""en"", ""mt"")"),"plott u għaqqad")</f>
        <v>plott u għaqqad</v>
      </c>
    </row>
    <row r="6131" ht="15.75" customHeight="1">
      <c r="A6131" s="2" t="s">
        <v>6131</v>
      </c>
      <c r="B6131" s="2" t="str">
        <f>IFERROR(__xludf.DUMMYFUNCTION("GOOGLETRANSLATE(A6131, ""en"", ""mt"")"),"Liema kunflitti naqset il-mitigazzjoni tal-ożonu?")</f>
        <v>Liema kunflitti naqset il-mitigazzjoni tal-ożonu?</v>
      </c>
    </row>
    <row r="6132" ht="15.75" customHeight="1">
      <c r="A6132" s="2" t="s">
        <v>6132</v>
      </c>
      <c r="B6132" s="2" t="str">
        <f>IFERROR(__xludf.DUMMYFUNCTION("GOOGLETRANSLATE(A6132, ""en"", ""mt"")"),"X'tip ta 'distribuzzjoni żero hija kkaratterizzata dwar x / log x ta' numri inqas minn x?")</f>
        <v>X'tip ta 'distribuzzjoni żero hija kkaratterizzata dwar x / log x ta' numri inqas minn x?</v>
      </c>
    </row>
    <row r="6133" ht="15.75" customHeight="1">
      <c r="A6133" s="2" t="s">
        <v>6133</v>
      </c>
      <c r="B6133" s="2" t="str">
        <f>IFERROR(__xludf.DUMMYFUNCTION("GOOGLETRANSLATE(A6133, ""en"", ""mt"")"),"xejn")</f>
        <v>xejn</v>
      </c>
    </row>
    <row r="6134" ht="15.75" customHeight="1">
      <c r="A6134" s="2" t="s">
        <v>6134</v>
      </c>
      <c r="B6134" s="2" t="str">
        <f>IFERROR(__xludf.DUMMYFUNCTION("GOOGLETRANSLATE(A6134, ""en"", ""mt"")"),"Kemm Amerikani huma aktar sinjuri minn aktar minn nofs iċ-ċittadini kollha?")</f>
        <v>Kemm Amerikani huma aktar sinjuri minn aktar minn nofs iċ-ċittadini kollha?</v>
      </c>
    </row>
    <row r="6135" ht="15.75" customHeight="1">
      <c r="A6135" s="2" t="s">
        <v>6135</v>
      </c>
      <c r="B6135" s="2" t="str">
        <f>IFERROR(__xludf.DUMMYFUNCTION("GOOGLETRANSLATE(A6135, ""en"", ""mt"")"),"L’Eglise Française à la Nouvelle-Amsterdam (il-Knisja Franċiża fi New Amsterdam)")</f>
        <v>L’Eglise Française à la Nouvelle-Amsterdam (il-Knisja Franċiża fi New Amsterdam)</v>
      </c>
    </row>
    <row r="6136" ht="15.75" customHeight="1">
      <c r="A6136" s="2" t="s">
        <v>6136</v>
      </c>
      <c r="B6136" s="2" t="str">
        <f>IFERROR(__xludf.DUMMYFUNCTION("GOOGLETRANSLATE(A6136, ""en"", ""mt"")"),"X'inhu spiss użat mill-algoritmi biex jitkejlu l-limiti ta 'l-ispazju u l-kejl tal-atmosfera?")</f>
        <v>X'inhu spiss użat mill-algoritmi biex jitkejlu l-limiti ta 'l-ispazju u l-kejl tal-atmosfera?</v>
      </c>
    </row>
    <row r="6137" ht="15.75" customHeight="1">
      <c r="A6137" s="2" t="s">
        <v>6137</v>
      </c>
      <c r="B6137" s="2" t="str">
        <f>IFERROR(__xludf.DUMMYFUNCTION("GOOGLETRANSLATE(A6137, ""en"", ""mt"")"),"Minn liema kienu materjali li ħallew ftit residwu maħsub?")</f>
        <v>Minn liema kienu materjali li ħallew ftit residwu maħsub?</v>
      </c>
    </row>
    <row r="6138" ht="15.75" customHeight="1">
      <c r="A6138" s="2" t="s">
        <v>6138</v>
      </c>
      <c r="B6138" s="2" t="str">
        <f>IFERROR(__xludf.DUMMYFUNCTION("GOOGLETRANSLATE(A6138, ""en"", ""mt"")"),"L-abbozz huwa sottomess lil min qabel ma jiġi mgħoddi?")</f>
        <v>L-abbozz huwa sottomess lil min qabel ma jiġi mgħoddi?</v>
      </c>
    </row>
    <row r="6139" ht="15.75" customHeight="1">
      <c r="A6139" s="2" t="s">
        <v>6139</v>
      </c>
      <c r="B6139" s="2" t="str">
        <f>IFERROR(__xludf.DUMMYFUNCTION("GOOGLETRANSLATE(A6139, ""en"", ""mt"")"),"Liema żona kienet tgħix il-Mocama fl-2500 QK?")</f>
        <v>Liema żona kienet tgħix il-Mocama fl-2500 QK?</v>
      </c>
    </row>
    <row r="6140" ht="15.75" customHeight="1">
      <c r="A6140" s="2" t="s">
        <v>6140</v>
      </c>
      <c r="B6140" s="2" t="str">
        <f>IFERROR(__xludf.DUMMYFUNCTION("GOOGLETRANSLATE(A6140, ""en"", ""mt"")"),"X'inhu eżempju komuni ta 'miżura ta' kumplessità kritika?")</f>
        <v>X'inhu eżempju komuni ta 'miżura ta' kumplessità kritika?</v>
      </c>
    </row>
    <row r="6141" ht="15.75" customHeight="1">
      <c r="A6141" s="2" t="s">
        <v>6141</v>
      </c>
      <c r="B6141" s="2" t="str">
        <f>IFERROR(__xludf.DUMMYFUNCTION("GOOGLETRANSLATE(A6141, ""en"", ""mt"")"),"It-temp ta 'l-Ewropa tan-Nofsinhar huwa sopravivenza għall-briegħed?")</f>
        <v>It-temp ta 'l-Ewropa tan-Nofsinhar huwa sopravivenza għall-briegħed?</v>
      </c>
    </row>
    <row r="6142" ht="15.75" customHeight="1">
      <c r="A6142" s="2" t="s">
        <v>6142</v>
      </c>
      <c r="B6142" s="2" t="str">
        <f>IFERROR(__xludf.DUMMYFUNCTION("GOOGLETRANSLATE(A6142, ""en"", ""mt"")"),"Perit")</f>
        <v>Perit</v>
      </c>
    </row>
    <row r="6143" ht="15.75" customHeight="1">
      <c r="A6143" s="2" t="s">
        <v>6143</v>
      </c>
      <c r="B6143" s="2" t="str">
        <f>IFERROR(__xludf.DUMMYFUNCTION("GOOGLETRANSLATE(A6143, ""en"", ""mt"")"),"X’ma kienx l-iskop tat-truppi ta ’Loudoun fil-Fort Henry?")</f>
        <v>X’ma kienx l-iskop tat-truppi ta ’Loudoun fil-Fort Henry?</v>
      </c>
    </row>
    <row r="6144" ht="15.75" customHeight="1">
      <c r="A6144" s="2" t="s">
        <v>6144</v>
      </c>
      <c r="B6144" s="2" t="str">
        <f>IFERROR(__xludf.DUMMYFUNCTION("GOOGLETRANSLATE(A6144, ""en"", ""mt"")"),"X'inhuma l-istatturi marbuta magħhom?")</f>
        <v>X'inhuma l-istatturi marbuta magħhom?</v>
      </c>
    </row>
    <row r="6145" ht="15.75" customHeight="1">
      <c r="A6145" s="2" t="s">
        <v>6145</v>
      </c>
      <c r="B6145" s="2" t="str">
        <f>IFERROR(__xludf.DUMMYFUNCTION("GOOGLETRANSLATE(A6145, ""en"", ""mt"")"),"Liema organizzazzjoni ingħaqad ma 'Iqbal f'Londra?")</f>
        <v>Liema organizzazzjoni ingħaqad ma 'Iqbal f'Londra?</v>
      </c>
    </row>
    <row r="6146" ht="15.75" customHeight="1">
      <c r="A6146" s="2" t="s">
        <v>6146</v>
      </c>
      <c r="B6146" s="2" t="str">
        <f>IFERROR(__xludf.DUMMYFUNCTION("GOOGLETRANSLATE(A6146, ""en"", ""mt"")"),"X'jista 'jagħmel il-fwar tal-egżost meta l-avveniment tal-egżost ma jkunx twil biżżejjed?")</f>
        <v>X'jista 'jagħmel il-fwar tal-egżost meta l-avveniment tal-egżost ma jkunx twil biżżejjed?</v>
      </c>
    </row>
    <row r="6147" ht="15.75" customHeight="1">
      <c r="A6147" s="2" t="s">
        <v>6147</v>
      </c>
      <c r="B6147" s="2" t="str">
        <f>IFERROR(__xludf.DUMMYFUNCTION("GOOGLETRANSLATE(A6147, ""en"", ""mt"")"),"X'tipi ta 'preparazzjoni ma jeħtiġux l-ispiżjara?")</f>
        <v>X'tipi ta 'preparazzjoni ma jeħtiġux l-ispiżjara?</v>
      </c>
    </row>
    <row r="6148" ht="15.75" customHeight="1">
      <c r="A6148" s="2" t="s">
        <v>6148</v>
      </c>
      <c r="B6148" s="2" t="str">
        <f>IFERROR(__xludf.DUMMYFUNCTION("GOOGLETRANSLATE(A6148, ""en"", ""mt"")"),"X'jagħmel il-Wells Fargo Centre jispikka?")</f>
        <v>X'jagħmel il-Wells Fargo Centre jispikka?</v>
      </c>
    </row>
    <row r="6149" ht="15.75" customHeight="1">
      <c r="A6149" s="2" t="s">
        <v>6149</v>
      </c>
      <c r="B6149" s="2" t="str">
        <f>IFERROR(__xludf.DUMMYFUNCTION("GOOGLETRANSLATE(A6149, ""en"", ""mt"")"),"X'inhuma l-ispiżjara projbiti li jagħmlu?")</f>
        <v>X'inhuma l-ispiżjara projbiti li jagħmlu?</v>
      </c>
    </row>
    <row r="6150" ht="15.75" customHeight="1">
      <c r="A6150" s="2" t="s">
        <v>6150</v>
      </c>
      <c r="B6150" s="2" t="str">
        <f>IFERROR(__xludf.DUMMYFUNCTION("GOOGLETRANSLATE(A6150, ""en"", ""mt"")"),"Edinburgh Pentlands")</f>
        <v>Edinburgh Pentlands</v>
      </c>
    </row>
    <row r="6151" ht="15.75" customHeight="1">
      <c r="A6151" s="2" t="s">
        <v>6151</v>
      </c>
      <c r="B6151" s="2" t="str">
        <f>IFERROR(__xludf.DUMMYFUNCTION("GOOGLETRANSLATE(A6151, ""en"", ""mt"")"),"X'tip ta 'fokus kellu l-programm ta' raġunament etiku mill-2007?")</f>
        <v>X'tip ta 'fokus kellu l-programm ta' raġunament etiku mill-2007?</v>
      </c>
    </row>
    <row r="6152" ht="15.75" customHeight="1">
      <c r="A6152" s="2" t="s">
        <v>6152</v>
      </c>
      <c r="B6152" s="2" t="str">
        <f>IFERROR(__xludf.DUMMYFUNCTION("GOOGLETRANSLATE(A6152, ""en"", ""mt"")"),"Liema reġjuni għandhom klimi moderati?")</f>
        <v>Liema reġjuni għandhom klimi moderati?</v>
      </c>
    </row>
    <row r="6153" ht="15.75" customHeight="1">
      <c r="A6153" s="2" t="s">
        <v>6153</v>
      </c>
      <c r="B6153" s="2" t="str">
        <f>IFERROR(__xludf.DUMMYFUNCTION("GOOGLETRANSLATE(A6153, ""en"", ""mt"")"),"F'liema data seħħ l-ewwel vjaġġ bil-ferrovija fl-Ingilterra?")</f>
        <v>F'liema data seħħ l-ewwel vjaġġ bil-ferrovija fl-Ingilterra?</v>
      </c>
    </row>
    <row r="6154" ht="15.75" customHeight="1">
      <c r="A6154" s="2" t="s">
        <v>6154</v>
      </c>
      <c r="B6154" s="2" t="str">
        <f>IFERROR(__xludf.DUMMYFUNCTION("GOOGLETRANSLATE(A6154, ""en"", ""mt"")"),"Ċittadin jew kumpanija jistgħu jinvokaw direttiva, mhux biss f’tilwima ma ’awtorità pubblika, iżda f’tilwima ma’ ċittadin jew kumpanija oħra")</f>
        <v>Ċittadin jew kumpanija jistgħu jinvokaw direttiva, mhux biss f’tilwima ma ’awtorità pubblika, iżda f’tilwima ma’ ċittadin jew kumpanija oħra</v>
      </c>
    </row>
    <row r="6155" ht="15.75" customHeight="1">
      <c r="A6155" s="2" t="s">
        <v>6155</v>
      </c>
      <c r="B6155" s="2" t="str">
        <f>IFERROR(__xludf.DUMMYFUNCTION("GOOGLETRANSLATE(A6155, ""en"", ""mt"")"),"aktar minn nofs")</f>
        <v>aktar minn nofs</v>
      </c>
    </row>
    <row r="6156" ht="15.75" customHeight="1">
      <c r="A6156" s="2" t="s">
        <v>6156</v>
      </c>
      <c r="B6156" s="2" t="str">
        <f>IFERROR(__xludf.DUMMYFUNCTION("GOOGLETRANSLATE(A6156, ""en"", ""mt"")"),"X'inhu l-għan ewlieni li wieħed iqis mhux ħati meta jiġi arrestat għal diżubbidjenza ċivili?")</f>
        <v>X'inhu l-għan ewlieni li wieħed iqis mhux ħati meta jiġi arrestat għal diżubbidjenza ċivili?</v>
      </c>
    </row>
    <row r="6157" ht="15.75" customHeight="1">
      <c r="A6157" s="2" t="s">
        <v>6157</v>
      </c>
      <c r="B6157" s="2" t="str">
        <f>IFERROR(__xludf.DUMMYFUNCTION("GOOGLETRANSLATE(A6157, ""en"", ""mt"")"),"It-telfa tat-truppi Għarab fil-gwerra ta ’sebat ijiem kienet tikkostitwixxi x’inhi għad-dinja Musulmana Għarbija?")</f>
        <v>It-telfa tat-truppi Għarab fil-gwerra ta ’sebat ijiem kienet tikkostitwixxi x’inhi għad-dinja Musulmana Għarbija?</v>
      </c>
    </row>
    <row r="6158" ht="15.75" customHeight="1">
      <c r="A6158" s="2" t="s">
        <v>6158</v>
      </c>
      <c r="B6158" s="2" t="str">
        <f>IFERROR(__xludf.DUMMYFUNCTION("GOOGLETRANSLATE(A6158, ""en"", ""mt"")"),"Tnejn mill-ispedizzjonijiet kellhom suċċess, ma 'Fort Duquesne u Louisbourg")</f>
        <v>Tnejn mill-ispedizzjonijiet kellhom suċċess, ma 'Fort Duquesne u Louisbourg</v>
      </c>
    </row>
    <row r="6159" ht="15.75" customHeight="1">
      <c r="A6159" s="2" t="s">
        <v>6159</v>
      </c>
      <c r="B6159" s="2" t="str">
        <f>IFERROR(__xludf.DUMMYFUNCTION("GOOGLETRANSLATE(A6159, ""en"", ""mt"")"),"Minbarra l-kombustjoni, għal liema azzjoni oħra Mayow wera lil Nitroaereus responsabbli?")</f>
        <v>Minbarra l-kombustjoni, għal liema azzjoni oħra Mayow wera lil Nitroaereus responsabbli?</v>
      </c>
    </row>
    <row r="6160" ht="15.75" customHeight="1">
      <c r="A6160" s="2" t="s">
        <v>6160</v>
      </c>
      <c r="B6160" s="2" t="str">
        <f>IFERROR(__xludf.DUMMYFUNCTION("GOOGLETRANSLATE(A6160, ""en"", ""mt"")"),"16 Akkademji Nazzjonali tax-Xjenza")</f>
        <v>16 Akkademji Nazzjonali tax-Xjenza</v>
      </c>
    </row>
    <row r="6161" ht="15.75" customHeight="1">
      <c r="A6161" s="2" t="s">
        <v>6161</v>
      </c>
      <c r="B6161" s="2" t="str">
        <f>IFERROR(__xludf.DUMMYFUNCTION("GOOGLETRANSLATE(A6161, ""en"", ""mt"")"),"Fejn waslu Huguenots u wallons fl-Ingilterra?")</f>
        <v>Fejn waslu Huguenots u wallons fl-Ingilterra?</v>
      </c>
    </row>
    <row r="6162" ht="15.75" customHeight="1">
      <c r="A6162" s="2" t="s">
        <v>6162</v>
      </c>
      <c r="B6162" s="2" t="str">
        <f>IFERROR(__xludf.DUMMYFUNCTION("GOOGLETRANSLATE(A6162, ""en"", ""mt"")"),"X'inhu s-sors tas-sħana tas-soltu għall-ilma jagħli fil-magna tal-fwar?")</f>
        <v>X'inhu s-sors tas-sħana tas-soltu għall-ilma jagħli fil-magna tal-fwar?</v>
      </c>
    </row>
    <row r="6163" ht="15.75" customHeight="1">
      <c r="A6163" s="2" t="s">
        <v>6163</v>
      </c>
      <c r="B6163" s="2" t="str">
        <f>IFERROR(__xludf.DUMMYFUNCTION("GOOGLETRANSLATE(A6163, ""en"", ""mt"")"),"Minn fejn ġej is-saff tal-ġelatina f'annimali kumplessi?")</f>
        <v>Minn fejn ġej is-saff tal-ġelatina f'annimali kumplessi?</v>
      </c>
    </row>
    <row r="6164" ht="15.75" customHeight="1">
      <c r="A6164" s="2" t="s">
        <v>6164</v>
      </c>
      <c r="B6164" s="2" t="str">
        <f>IFERROR(__xludf.DUMMYFUNCTION("GOOGLETRANSLATE(A6164, ""en"", ""mt"")"),"1338–39")</f>
        <v>1338–39</v>
      </c>
    </row>
    <row r="6165" ht="15.75" customHeight="1">
      <c r="A6165" s="2" t="s">
        <v>6165</v>
      </c>
      <c r="B6165" s="2" t="str">
        <f>IFERROR(__xludf.DUMMYFUNCTION("GOOGLETRANSLATE(A6165, ""en"", ""mt"")"),"konnessi permezz ta 'konnessjonijiet dial-up jew konnessjonijiet async dedikati")</f>
        <v>konnessi permezz ta 'konnessjonijiet dial-up jew konnessjonijiet async dedikati</v>
      </c>
    </row>
    <row r="6166" ht="15.75" customHeight="1">
      <c r="A6166" s="2" t="s">
        <v>6166</v>
      </c>
      <c r="B6166" s="2" t="str">
        <f>IFERROR(__xludf.DUMMYFUNCTION("GOOGLETRANSLATE(A6166, ""en"", ""mt"")"),"problema")</f>
        <v>problema</v>
      </c>
    </row>
    <row r="6167" ht="15.75" customHeight="1">
      <c r="A6167" s="2" t="s">
        <v>6167</v>
      </c>
      <c r="B6167" s="2" t="str">
        <f>IFERROR(__xludf.DUMMYFUNCTION("GOOGLETRANSLATE(A6167, ""en"", ""mt"")"),"Battalja ta 'Jumonville Glen")</f>
        <v>Battalja ta 'Jumonville Glen</v>
      </c>
    </row>
    <row r="6168" ht="15.75" customHeight="1">
      <c r="A6168" s="2" t="s">
        <v>6168</v>
      </c>
      <c r="B6168" s="2" t="str">
        <f>IFERROR(__xludf.DUMMYFUNCTION("GOOGLETRANSLATE(A6168, ""en"", ""mt"")"),"Min ikkritika l-ordni minn spiżeriji onlajn li ma jeħtiġux preskrizzjonijiet?")</f>
        <v>Min ikkritika l-ordni minn spiżeriji onlajn li ma jeħtiġux preskrizzjonijiet?</v>
      </c>
    </row>
    <row r="6169" ht="15.75" customHeight="1">
      <c r="A6169" s="2" t="s">
        <v>6169</v>
      </c>
      <c r="B6169" s="2" t="str">
        <f>IFERROR(__xludf.DUMMYFUNCTION("GOOGLETRANSLATE(A6169, ""en"", ""mt"")"),"Probabilistiku (jew ""Monte Carlo"")")</f>
        <v>Probabilistiku (jew "Monte Carlo")</v>
      </c>
    </row>
    <row r="6170" ht="15.75" customHeight="1">
      <c r="A6170" s="2" t="s">
        <v>6170</v>
      </c>
      <c r="B6170" s="2" t="str">
        <f>IFERROR(__xludf.DUMMYFUNCTION("GOOGLETRANSLATE(A6170, ""en"", ""mt"")"),"X'inhu miżmum ġewwa s-sistema formali ta 'reġistrazzjoni ta' sjieda legali f'ħafna pajjiżi li qed jiżviluppaw?")</f>
        <v>X'inhu miżmum ġewwa s-sistema formali ta 'reġistrazzjoni ta' sjieda legali f'ħafna pajjiżi li qed jiżviluppaw?</v>
      </c>
    </row>
    <row r="6171" ht="15.75" customHeight="1">
      <c r="A6171" s="2" t="s">
        <v>6171</v>
      </c>
      <c r="B6171" s="2" t="str">
        <f>IFERROR(__xludf.DUMMYFUNCTION("GOOGLETRANSLATE(A6171, ""en"", ""mt"")")," X’wassal lill-pubbliku Amerikan biex jappoġġja l-okkupazzjoni tal-Filippini?")</f>
        <v> X’wassal lill-pubbliku Amerikan biex jappoġġja l-okkupazzjoni tal-Filippini?</v>
      </c>
    </row>
    <row r="6172" ht="15.75" customHeight="1">
      <c r="A6172" s="2" t="s">
        <v>6172</v>
      </c>
      <c r="B6172" s="2" t="str">
        <f>IFERROR(__xludf.DUMMYFUNCTION("GOOGLETRANSLATE(A6172, ""en"", ""mt"")"),"Louis XIV kiseb it-tron fl-1643 u aġixxa dejjem aktar aggressiv biex iġiegħel lill-Huguenots jikkonvertu. Għall-ewwel huwa bagħat missjunarji, appoġġjat minn fond biex jippremja finanzjarjament konvertiti għall-Kattoliċiżmu. Imbagħad impona pieni, għalaq "&amp;"l-iskejjel Huguenot u eskludahom minn professjonijiet favoriti. Teskala, huwa waqqaf Dragonnades, li kien jinkludi l-okkupazzjoni u l-sakkeġġi ta 'djar Huguenot minn truppi militari, fi sforz biex jikkonvertihom bil-forza. Fl-1685, huwa ħareġ l-editt ta '"&amp;"Fontainebleau, irrevoka l-editt ta' Nantes u ddikjara l-Protestantiżmu illegali. [Ċitazzjoni meħtieġa]")</f>
        <v>Louis XIV kiseb it-tron fl-1643 u aġixxa dejjem aktar aggressiv biex iġiegħel lill-Huguenots jikkonvertu. Għall-ewwel huwa bagħat missjunarji, appoġġjat minn fond biex jippremja finanzjarjament konvertiti għall-Kattoliċiżmu. Imbagħad impona pieni, għalaq l-iskejjel Huguenot u eskludahom minn professjonijiet favoriti. Teskala, huwa waqqaf Dragonnades, li kien jinkludi l-okkupazzjoni u l-sakkeġġi ta 'djar Huguenot minn truppi militari, fi sforz biex jikkonvertihom bil-forza. Fl-1685, huwa ħareġ l-editt ta 'Fontainebleau, irrevoka l-editt ta' Nantes u ddikjara l-Protestantiżmu illegali. [Ċitazzjoni meħtieġa]</v>
      </c>
    </row>
    <row r="6173" ht="15.75" customHeight="1">
      <c r="A6173" s="2" t="s">
        <v>6173</v>
      </c>
      <c r="B6173" s="2" t="str">
        <f>IFERROR(__xludf.DUMMYFUNCTION("GOOGLETRANSLATE(A6173, ""en"", ""mt"")"),"L-Iżlamisti ġew biex jiddominaw kompletament l-għaqdiet ta ’studenti universitarji")</f>
        <v>L-Iżlamisti ġew biex jiddominaw kompletament l-għaqdiet ta ’studenti universitarji</v>
      </c>
    </row>
    <row r="6174" ht="15.75" customHeight="1">
      <c r="A6174" s="2" t="s">
        <v>6174</v>
      </c>
      <c r="B6174" s="2" t="str">
        <f>IFERROR(__xludf.DUMMYFUNCTION("GOOGLETRANSLATE(A6174, ""en"", ""mt"")"),"Fejn ma kinux issettjati l-Amerikani tat-Tramuntana Franċiżi?")</f>
        <v>Fejn ma kinux issettjati l-Amerikani tat-Tramuntana Franċiżi?</v>
      </c>
    </row>
    <row r="6175" ht="15.75" customHeight="1">
      <c r="A6175" s="2" t="s">
        <v>6175</v>
      </c>
      <c r="B6175" s="2" t="str">
        <f>IFERROR(__xludf.DUMMYFUNCTION("GOOGLETRANSLATE(A6175, ""en"", ""mt"")"),"Għal xiex issuġġeriet Lawrence Roberts li tintuża s-sistema?")</f>
        <v>Għal xiex issuġġeriet Lawrence Roberts li tintuża s-sistema?</v>
      </c>
    </row>
    <row r="6176" ht="15.75" customHeight="1">
      <c r="A6176" s="2" t="s">
        <v>6176</v>
      </c>
      <c r="B6176" s="2" t="str">
        <f>IFERROR(__xludf.DUMMYFUNCTION("GOOGLETRANSLATE(A6176, ""en"", ""mt"")"),"Intergovernall_panel_on_climate_change")</f>
        <v>Intergovernall_panel_on_climate_change</v>
      </c>
    </row>
    <row r="6177" ht="15.75" customHeight="1">
      <c r="A6177" s="2" t="s">
        <v>6177</v>
      </c>
      <c r="B6177" s="2" t="str">
        <f>IFERROR(__xludf.DUMMYFUNCTION("GOOGLETRANSLATE(A6177, ""en"", ""mt"")"),"Kemm trattati oriġinali jistabbilixxu d-drittijiet fundamentali protetti mill-UE?")</f>
        <v>Kemm trattati oriġinali jistabbilixxu d-drittijiet fundamentali protetti mill-UE?</v>
      </c>
    </row>
    <row r="6178" ht="15.75" customHeight="1">
      <c r="A6178" s="2" t="s">
        <v>6178</v>
      </c>
      <c r="B6178" s="2" t="str">
        <f>IFERROR(__xludf.DUMMYFUNCTION("GOOGLETRANSLATE(A6178, ""en"", ""mt"")"),"X'jistgħu xjentisti japplikaw sezzjonijiet relattivi tal-blat biex isibu iżotopi?")</f>
        <v>X'jistgħu xjentisti japplikaw sezzjonijiet relattivi tal-blat biex isibu iżotopi?</v>
      </c>
    </row>
    <row r="6179" ht="15.75" customHeight="1">
      <c r="A6179" s="2" t="s">
        <v>6179</v>
      </c>
      <c r="B6179" s="2" t="str">
        <f>IFERROR(__xludf.DUMMYFUNCTION("GOOGLETRANSLATE(A6179, ""en"", ""mt"")"),"Liema belt moderna saret Khanbaliq?")</f>
        <v>Liema belt moderna saret Khanbaliq?</v>
      </c>
    </row>
    <row r="6180" ht="15.75" customHeight="1">
      <c r="A6180" s="2" t="s">
        <v>6180</v>
      </c>
      <c r="B6180" s="2" t="str">
        <f>IFERROR(__xludf.DUMMYFUNCTION("GOOGLETRANSLATE(A6180, ""en"", ""mt"")"),"X'kien l-isem tal-ewwel karta ta 'kreditu ta' suċċess?")</f>
        <v>X'kien l-isem tal-ewwel karta ta 'kreditu ta' suċċess?</v>
      </c>
    </row>
    <row r="6181" ht="15.75" customHeight="1">
      <c r="A6181" s="2" t="s">
        <v>6181</v>
      </c>
      <c r="B6181" s="2" t="str">
        <f>IFERROR(__xludf.DUMMYFUNCTION("GOOGLETRANSLATE(A6181, ""en"", ""mt"")"),"Kanzunetta")</f>
        <v>Kanzunetta</v>
      </c>
    </row>
    <row r="6182" ht="15.75" customHeight="1">
      <c r="A6182" s="2" t="s">
        <v>6182</v>
      </c>
      <c r="B6182" s="2" t="str">
        <f>IFERROR(__xludf.DUMMYFUNCTION("GOOGLETRANSLATE(A6182, ""en"", ""mt"")"),"Kemm mill-ispedizzjonijiet ippjanati ta 'Pitt ma rnexxewx?")</f>
        <v>Kemm mill-ispedizzjonijiet ippjanati ta 'Pitt ma rnexxewx?</v>
      </c>
    </row>
    <row r="6183" ht="15.75" customHeight="1">
      <c r="A6183" s="2" t="s">
        <v>6183</v>
      </c>
      <c r="B6183" s="2" t="str">
        <f>IFERROR(__xludf.DUMMYFUNCTION("GOOGLETRANSLATE(A6183, ""en"", ""mt"")"),"X’għamel l-Arabja Sawdita biex tirrapressa biex tikkumpensa għat-telf ta ’statura tagħha?")</f>
        <v>X’għamel l-Arabja Sawdita biex tirrapressa biex tikkumpensa għat-telf ta ’statura tagħha?</v>
      </c>
    </row>
    <row r="6184" ht="15.75" customHeight="1">
      <c r="A6184" s="2" t="s">
        <v>6184</v>
      </c>
      <c r="B6184" s="2" t="str">
        <f>IFERROR(__xludf.DUMMYFUNCTION("GOOGLETRANSLATE(A6184, ""en"", ""mt"")"),"Hemm tmien ringieli ta 'pettnijiet li jimxu minn ħdejn il-ħalq sat-tarf oppost, u huma spazjati b'mod uniformi mal-ġisem. Il- ""Combs"" jegħlbu f'ritmu metakronali pjuttost bħal dak ta 'mewġa Messikana. Minn kull balancer fl-istatocyst, kanal ciliary jisp"&amp;"iċċa taħt il-koppla u mbagħad jinqasam biex jgħaqqad ma 'żewġ ringieli tal-moxt li jmissu magħhom, u f'xi speċi jimxu fit-triq kollha tul ir-ringieli tal-moxt. Dan jifforma sistema mekkanika għat-trasmissjoni tar-ritmu ta 'taħbit mill-pettnijiet lill-bila"&amp;"nċjaturi, permezz ta' disturbi fl-ilma maħluqa miċ-ċili.")</f>
        <v>Hemm tmien ringieli ta 'pettnijiet li jimxu minn ħdejn il-ħalq sat-tarf oppost, u huma spazjati b'mod uniformi mal-ġisem. Il- "Combs" jegħlbu f'ritmu metakronali pjuttost bħal dak ta 'mewġa Messikana. Minn kull balancer fl-istatocyst, kanal ciliary jispiċċa taħt il-koppla u mbagħad jinqasam biex jgħaqqad ma 'żewġ ringieli tal-moxt li jmissu magħhom, u f'xi speċi jimxu fit-triq kollha tul ir-ringieli tal-moxt. Dan jifforma sistema mekkanika għat-trasmissjoni tar-ritmu ta 'taħbit mill-pettnijiet lill-bilanċjaturi, permezz ta' disturbi fl-ilma maħluqa miċ-ċili.</v>
      </c>
    </row>
    <row r="6185" ht="15.75" customHeight="1">
      <c r="A6185" s="2" t="s">
        <v>6185</v>
      </c>
      <c r="B6185" s="2" t="str">
        <f>IFERROR(__xludf.DUMMYFUNCTION("GOOGLETRANSLATE(A6185, ""en"", ""mt"")"),"X'qed tpoġġi struttura ġerarkika fis-seħħ?")</f>
        <v>X'qed tpoġġi struttura ġerarkika fis-seħħ?</v>
      </c>
    </row>
    <row r="6186" ht="15.75" customHeight="1">
      <c r="A6186" s="2" t="s">
        <v>6186</v>
      </c>
      <c r="B6186" s="2" t="str">
        <f>IFERROR(__xludf.DUMMYFUNCTION("GOOGLETRANSLATE(A6186, ""en"", ""mt"")"),"il-ħalq u l-farinġi;")</f>
        <v>il-ħalq u l-farinġi;</v>
      </c>
    </row>
    <row r="6187" ht="15.75" customHeight="1">
      <c r="A6187" s="2" t="s">
        <v>6187</v>
      </c>
      <c r="B6187" s="2" t="str">
        <f>IFERROR(__xludf.DUMMYFUNCTION("GOOGLETRANSLATE(A6187, ""en"", ""mt"")"),"Il-kurva Kuznets tgħid bl-iżvilupp ekonomiku, l-inugwaljanza se tiżdied wara xiex?")</f>
        <v>Il-kurva Kuznets tgħid bl-iżvilupp ekonomiku, l-inugwaljanza se tiżdied wara xiex?</v>
      </c>
    </row>
    <row r="6188" ht="15.75" customHeight="1">
      <c r="A6188" s="2" t="s">
        <v>6188</v>
      </c>
      <c r="B6188" s="2" t="str">
        <f>IFERROR(__xludf.DUMMYFUNCTION("GOOGLETRANSLATE(A6188, ""en"", ""mt"")"),"Min mexxa rinforzi ġodda ta 'Franza fl-1756?")</f>
        <v>Min mexxa rinforzi ġodda ta 'Franza fl-1756?</v>
      </c>
    </row>
    <row r="6189" ht="15.75" customHeight="1">
      <c r="A6189" s="2" t="s">
        <v>6189</v>
      </c>
      <c r="B6189" s="2" t="str">
        <f>IFERROR(__xludf.DUMMYFUNCTION("GOOGLETRANSLATE(A6189, ""en"", ""mt"")"),"Osservazzjonijiet dwar il-Ġeoloġija ta 'l-Istati Uniti")</f>
        <v>Osservazzjonijiet dwar il-Ġeoloġija ta 'l-Istati Uniti</v>
      </c>
    </row>
    <row r="6190" ht="15.75" customHeight="1">
      <c r="A6190" s="2" t="s">
        <v>6190</v>
      </c>
      <c r="B6190" s="2" t="str">
        <f>IFERROR(__xludf.DUMMYFUNCTION("GOOGLETRANSLATE(A6190, ""en"", ""mt"")"),"Alexandre Yersin")</f>
        <v>Alexandre Yersin</v>
      </c>
    </row>
    <row r="6191" ht="15.75" customHeight="1">
      <c r="A6191" s="2" t="s">
        <v>6191</v>
      </c>
      <c r="B6191" s="2" t="str">
        <f>IFERROR(__xludf.DUMMYFUNCTION("GOOGLETRANSLATE(A6191, ""en"", ""mt"")"),"Liema oġġetti fl-organiżmi jassorbu l-ossiġnu singlet biex jipprevjenu l-ħsara?")</f>
        <v>Liema oġġetti fl-organiżmi jassorbu l-ossiġnu singlet biex jipprevjenu l-ħsara?</v>
      </c>
    </row>
    <row r="6192" ht="15.75" customHeight="1">
      <c r="A6192" s="2" t="s">
        <v>6192</v>
      </c>
      <c r="B6192" s="2" t="str">
        <f>IFERROR(__xludf.DUMMYFUNCTION("GOOGLETRANSLATE(A6192, ""en"", ""mt"")"),"1.7 miljun")</f>
        <v>1.7 miljun</v>
      </c>
    </row>
    <row r="6193" ht="15.75" customHeight="1">
      <c r="A6193" s="2" t="s">
        <v>6193</v>
      </c>
      <c r="B6193" s="2" t="str">
        <f>IFERROR(__xludf.DUMMYFUNCTION("GOOGLETRANSLATE(A6193, ""en"", ""mt"")"),"Xi jħossu xi nies diżubbidjenti ċivili li jirrikonoxxu.")</f>
        <v>Xi jħossu xi nies diżubbidjenti ċivili li jirrikonoxxu.</v>
      </c>
    </row>
    <row r="6194" ht="15.75" customHeight="1">
      <c r="A6194" s="2" t="s">
        <v>6194</v>
      </c>
      <c r="B6194" s="2" t="str">
        <f>IFERROR(__xludf.DUMMYFUNCTION("GOOGLETRANSLATE(A6194, ""en"", ""mt"")"),"Nepaliż")</f>
        <v>Nepaliż</v>
      </c>
    </row>
    <row r="6195" ht="15.75" customHeight="1">
      <c r="A6195" s="2" t="s">
        <v>6195</v>
      </c>
      <c r="B6195" s="2" t="str">
        <f>IFERROR(__xludf.DUMMYFUNCTION("GOOGLETRANSLATE(A6195, ""en"", ""mt"")"),"Minn xiex jevolvu l-oxoacids?")</f>
        <v>Minn xiex jevolvu l-oxoacids?</v>
      </c>
    </row>
    <row r="6196" ht="15.75" customHeight="1">
      <c r="A6196" s="2" t="s">
        <v>6196</v>
      </c>
      <c r="B6196" s="2" t="str">
        <f>IFERROR(__xludf.DUMMYFUNCTION("GOOGLETRANSLATE(A6196, ""en"", ""mt"")"),"Teorema ta 'l-aritmetika")</f>
        <v>Teorema ta 'l-aritmetika</v>
      </c>
    </row>
    <row r="6197" ht="15.75" customHeight="1">
      <c r="A6197" s="2" t="s">
        <v>6197</v>
      </c>
      <c r="B6197" s="2" t="str">
        <f>IFERROR(__xludf.DUMMYFUNCTION("GOOGLETRANSLATE(A6197, ""en"", ""mt"")"),"Min hu responsabbli biex jiżgura li l-Parlament jaħdem sewwa?")</f>
        <v>Min hu responsabbli biex jiżgura li l-Parlament jaħdem sewwa?</v>
      </c>
    </row>
    <row r="6198" ht="15.75" customHeight="1">
      <c r="A6198" s="2" t="s">
        <v>6198</v>
      </c>
      <c r="B6198" s="2" t="str">
        <f>IFERROR(__xludf.DUMMYFUNCTION("GOOGLETRANSLATE(A6198, ""en"", ""mt"")"),"Fejn tissepara l-Lek?")</f>
        <v>Fejn tissepara l-Lek?</v>
      </c>
    </row>
    <row r="6199" ht="15.75" customHeight="1">
      <c r="A6199" s="2" t="s">
        <v>6199</v>
      </c>
      <c r="B6199" s="2" t="str">
        <f>IFERROR(__xludf.DUMMYFUNCTION("GOOGLETRANSLATE(A6199, ""en"", ""mt"")"),"Xi tfisser Mas?")</f>
        <v>Xi tfisser Mas?</v>
      </c>
    </row>
    <row r="6200" ht="15.75" customHeight="1">
      <c r="A6200" s="2" t="s">
        <v>6200</v>
      </c>
      <c r="B6200" s="2" t="str">
        <f>IFERROR(__xludf.DUMMYFUNCTION("GOOGLETRANSLATE(A6200, ""en"", ""mt"")"),"jispjegaw l-azzjonijiet tagħhom")</f>
        <v>jispjegaw l-azzjonijiet tagħhom</v>
      </c>
    </row>
    <row r="6201" ht="15.75" customHeight="1">
      <c r="A6201" s="2" t="s">
        <v>6201</v>
      </c>
      <c r="B6201" s="2" t="str">
        <f>IFERROR(__xludf.DUMMYFUNCTION("GOOGLETRANSLATE(A6201, ""en"", ""mt"")"),"P - 1")</f>
        <v>P - 1</v>
      </c>
    </row>
    <row r="6202" ht="15.75" customHeight="1">
      <c r="A6202" s="2" t="s">
        <v>6202</v>
      </c>
      <c r="B6202" s="2" t="str">
        <f>IFERROR(__xludf.DUMMYFUNCTION("GOOGLETRANSLATE(A6202, ""en"", ""mt"")"),"Ir-Repubblika Iżlamika")</f>
        <v>Ir-Repubblika Iżlamika</v>
      </c>
    </row>
    <row r="6203" ht="15.75" customHeight="1">
      <c r="A6203" s="2" t="s">
        <v>6203</v>
      </c>
      <c r="B6203" s="2" t="str">
        <f>IFERROR(__xludf.DUMMYFUNCTION("GOOGLETRANSLATE(A6203, ""en"", ""mt"")"),"diski statiċi)")</f>
        <v>diski statiċi)</v>
      </c>
    </row>
    <row r="6204" ht="15.75" customHeight="1">
      <c r="A6204" s="2" t="s">
        <v>6204</v>
      </c>
      <c r="B6204" s="2" t="str">
        <f>IFERROR(__xludf.DUMMYFUNCTION("GOOGLETRANSLATE(A6204, ""en"", ""mt"")"),"Liema produttur taż-żejt huwa alleat mill-qrib tal-Istati Uniti?")</f>
        <v>Liema produttur taż-żejt huwa alleat mill-qrib tal-Istati Uniti?</v>
      </c>
    </row>
    <row r="6205" ht="15.75" customHeight="1">
      <c r="A6205" s="2" t="s">
        <v>6205</v>
      </c>
      <c r="B6205" s="2" t="str">
        <f>IFERROR(__xludf.DUMMYFUNCTION("GOOGLETRANSLATE(A6205, ""en"", ""mt"")"),"it-tmiem innifsu")</f>
        <v>it-tmiem innifsu</v>
      </c>
    </row>
    <row r="6206" ht="15.75" customHeight="1">
      <c r="A6206" s="2" t="s">
        <v>6206</v>
      </c>
      <c r="B6206" s="2" t="str">
        <f>IFERROR(__xludf.DUMMYFUNCTION("GOOGLETRANSLATE(A6206, ""en"", ""mt"")"),"Alpi Vittorjani")</f>
        <v>Alpi Vittorjani</v>
      </c>
    </row>
    <row r="6207" ht="15.75" customHeight="1">
      <c r="A6207" s="2" t="s">
        <v>6207</v>
      </c>
      <c r="B6207" s="2" t="str">
        <f>IFERROR(__xludf.DUMMYFUNCTION("GOOGLETRANSLATE(A6207, ""en"", ""mt"")"),"orjentat lejn it-teknoloġija")</f>
        <v>orjentat lejn it-teknoloġija</v>
      </c>
    </row>
    <row r="6208" ht="15.75" customHeight="1">
      <c r="A6208" s="2" t="s">
        <v>6208</v>
      </c>
      <c r="B6208" s="2" t="str">
        <f>IFERROR(__xludf.DUMMYFUNCTION("GOOGLETRANSLATE(A6208, ""en"", ""mt"")"),"Kemm-il darba l-pesta żżur is-soċjetà Ottomana qabel it-tieni kwart tas-seklu 19?")</f>
        <v>Kemm-il darba l-pesta żżur is-soċjetà Ottomana qabel it-tieni kwart tas-seklu 19?</v>
      </c>
    </row>
    <row r="6209" ht="15.75" customHeight="1">
      <c r="A6209" s="2" t="s">
        <v>6209</v>
      </c>
      <c r="B6209" s="2" t="str">
        <f>IFERROR(__xludf.DUMMYFUNCTION("GOOGLETRANSLATE(A6209, ""en"", ""mt"")"),"Biex tevita t-talbiet ta 'dota li jiswew ħafna flus")</f>
        <v>Biex tevita t-talbiet ta 'dota li jiswew ħafna flus</v>
      </c>
    </row>
    <row r="6210" ht="15.75" customHeight="1">
      <c r="A6210" s="2" t="s">
        <v>6210</v>
      </c>
      <c r="B6210" s="2" t="str">
        <f>IFERROR(__xludf.DUMMYFUNCTION("GOOGLETRANSLATE(A6210, ""en"", ""mt"")"),"Liema influwenza Al Banna xtaqet telimina mid-dinja Musulmana?")</f>
        <v>Liema influwenza Al Banna xtaqet telimina mid-dinja Musulmana?</v>
      </c>
    </row>
    <row r="6211" ht="15.75" customHeight="1">
      <c r="A6211" s="2" t="s">
        <v>6211</v>
      </c>
      <c r="B6211" s="2" t="str">
        <f>IFERROR(__xludf.DUMMYFUNCTION("GOOGLETRANSLATE(A6211, ""en"", ""mt"")"),"Fejn twieldet l-artist famuż Tamara de Lempicka?")</f>
        <v>Fejn twieldet l-artist famuż Tamara de Lempicka?</v>
      </c>
    </row>
    <row r="6212" ht="15.75" customHeight="1">
      <c r="A6212" s="2" t="s">
        <v>6212</v>
      </c>
      <c r="B6212" s="2" t="str">
        <f>IFERROR(__xludf.DUMMYFUNCTION("GOOGLETRANSLATE(A6212, ""en"", ""mt"")"),"Minkejja li huwa tradizzjoni deskritta bħala ""tmien kontej"", kemm hemm kontej dan ir-reġjun fil-fatt?")</f>
        <v>Minkejja li huwa tradizzjoni deskritta bħala "tmien kontej", kemm hemm kontej dan ir-reġjun fil-fatt?</v>
      </c>
    </row>
    <row r="6213" ht="15.75" customHeight="1">
      <c r="A6213" s="2" t="s">
        <v>6213</v>
      </c>
      <c r="B6213" s="2" t="str">
        <f>IFERROR(__xludf.DUMMYFUNCTION("GOOGLETRANSLATE(A6213, ""en"", ""mt"")"),"Tagħmir ta 'sigurtà xieraq")</f>
        <v>Tagħmir ta 'sigurtà xieraq</v>
      </c>
    </row>
    <row r="6214" ht="15.75" customHeight="1">
      <c r="A6214" s="2" t="s">
        <v>6214</v>
      </c>
      <c r="B6214" s="2" t="str">
        <f>IFERROR(__xludf.DUMMYFUNCTION("GOOGLETRANSLATE(A6214, ""en"", ""mt"")"),"Min awtur il-Liber Servitoris?")</f>
        <v>Min awtur il-Liber Servitoris?</v>
      </c>
    </row>
    <row r="6215" ht="15.75" customHeight="1">
      <c r="A6215" s="2" t="s">
        <v>6215</v>
      </c>
      <c r="B6215" s="2" t="str">
        <f>IFERROR(__xludf.DUMMYFUNCTION("GOOGLETRANSLATE(A6215, ""en"", ""mt"")"),"assi finanzjarji")</f>
        <v>assi finanzjarji</v>
      </c>
    </row>
    <row r="6216" ht="15.75" customHeight="1">
      <c r="A6216" s="2" t="s">
        <v>6216</v>
      </c>
      <c r="B6216" s="2" t="str">
        <f>IFERROR(__xludf.DUMMYFUNCTION("GOOGLETRANSLATE(A6216, ""en"", ""mt"")"),"X'inhi l-ogħla qorti fl-Unjoni Ewropea?")</f>
        <v>X'inhi l-ogħla qorti fl-Unjoni Ewropea?</v>
      </c>
    </row>
    <row r="6217" ht="15.75" customHeight="1">
      <c r="A6217" s="2" t="s">
        <v>6217</v>
      </c>
      <c r="B6217" s="2" t="str">
        <f>IFERROR(__xludf.DUMMYFUNCTION("GOOGLETRANSLATE(A6217, ""en"", ""mt"")"),"Afganistan")</f>
        <v>Afganistan</v>
      </c>
    </row>
    <row r="6218" ht="15.75" customHeight="1">
      <c r="A6218" s="2" t="s">
        <v>6218</v>
      </c>
      <c r="B6218" s="2" t="str">
        <f>IFERROR(__xludf.DUMMYFUNCTION("GOOGLETRANSLATE(A6218, ""en"", ""mt"")"),"X'inhu l-proċess li żżid l-istruttura ma 'proprjetà immobbli jew kostruzzjoni ta' bini?")</f>
        <v>X'inhu l-proċess li żżid l-istruttura ma 'proprjetà immobbli jew kostruzzjoni ta' bini?</v>
      </c>
    </row>
    <row r="6219" ht="15.75" customHeight="1">
      <c r="A6219" s="2" t="s">
        <v>6219</v>
      </c>
      <c r="B6219" s="2" t="str">
        <f>IFERROR(__xludf.DUMMYFUNCTION("GOOGLETRANSLATE(A6219, ""en"", ""mt"")"),"Ir-residenti tal-belt ħarbu lejn it-tramuntana")</f>
        <v>Ir-residenti tal-belt ħarbu lejn it-tramuntana</v>
      </c>
    </row>
    <row r="6220" ht="15.75" customHeight="1">
      <c r="A6220" s="2" t="s">
        <v>6220</v>
      </c>
      <c r="B6220" s="2" t="str">
        <f>IFERROR(__xludf.DUMMYFUNCTION("GOOGLETRANSLATE(A6220, ""en"", ""mt"")"),"X'inhu użat biex tikkalkula l-erja tas-sezzjoni trasversali fil-volum ta 'oġġett?")</f>
        <v>X'inhu użat biex tikkalkula l-erja tas-sezzjoni trasversali fil-volum ta 'oġġett?</v>
      </c>
    </row>
    <row r="6221" ht="15.75" customHeight="1">
      <c r="A6221" s="2" t="s">
        <v>6221</v>
      </c>
      <c r="B6221" s="2" t="str">
        <f>IFERROR(__xludf.DUMMYFUNCTION("GOOGLETRANSLATE(A6221, ""en"", ""mt"")"),"Robert Maynard Hutchins De-enfasizza l-Atletika Varsity")</f>
        <v>Robert Maynard Hutchins De-enfasizza l-Atletika Varsity</v>
      </c>
    </row>
    <row r="6222" ht="15.75" customHeight="1">
      <c r="A6222" s="2" t="s">
        <v>6222</v>
      </c>
      <c r="B6222" s="2" t="str">
        <f>IFERROR(__xludf.DUMMYFUNCTION("GOOGLETRANSLATE(A6222, ""en"", ""mt"")"),"imperi")</f>
        <v>imperi</v>
      </c>
    </row>
    <row r="6223" ht="15.75" customHeight="1">
      <c r="A6223" s="2" t="s">
        <v>6223</v>
      </c>
      <c r="B6223" s="2" t="str">
        <f>IFERROR(__xludf.DUMMYFUNCTION("GOOGLETRANSLATE(A6223, ""en"", ""mt"")"),"F'liema direzzjoni marret l-ewwel darba l-marda?")</f>
        <v>F'liema direzzjoni marret l-ewwel darba l-marda?</v>
      </c>
    </row>
    <row r="6224" ht="15.75" customHeight="1">
      <c r="A6224" s="2" t="s">
        <v>6224</v>
      </c>
      <c r="B6224" s="2" t="str">
        <f>IFERROR(__xludf.DUMMYFUNCTION("GOOGLETRANSLATE(A6224, ""en"", ""mt"")"),"Wara l-elezzjoni tal-Partit Laburista tar-Renju Unit għall-gvern fl-1997, ir-Renju Unit issottoskrivi formalment għall-ftehim dwar il-politika soċjali, li ppermetta li jkun inkluż ma 'emendi minuri bħala l-kapitolu soċjali tat-Trattat ta' Amsterdam tal-19"&amp;"97. Ir-Renju Unit sussegwentement adotta l-leġiżlazzjoni ewlenija miftiehma qabel skont il-Ftehim dwar il-Politika Soċjali, id-Direttiva tal-Kunsill tax-Xogħlijiet tal-1994, li kienet teħtieġ konsultazzjoni tal-ħaddiema fin-negozji, u d-Direttiva tal-Leav"&amp;"e tal-Ġenituri tal-1996. Fl-għaxar snin ta 'wara t-Trattat ta' Amsterdam tal-1997 u l-adozzjoni tal-Kapitolu Soċjali li l-Unjoni Ewropea wettqet inizjattivi ta 'politika f'diversi oqsma ta' politika soċjali, inklużi relazzjonijiet tax-xogħol u tal-industr"&amp;"ija, opportunità ugwali, saħħa u sigurtà, saħħa pubblika, protezzjoni tat-tfal, il-PROTEZZJONI. B'diżabilità u anzjani, faqar, ħaddiema migranti, edukazzjoni, taħriġ u żgħażagħ.")</f>
        <v>Wara l-elezzjoni tal-Partit Laburista tar-Renju Unit għall-gvern fl-1997, ir-Renju Unit issottoskrivi formalment għall-ftehim dwar il-politika soċjali, li ppermetta li jkun inkluż ma 'emendi minuri bħala l-kapitolu soċjali tat-Trattat ta' Amsterdam tal-1997. Ir-Renju Unit sussegwentement adotta l-leġiżlazzjoni ewlenija miftiehma qabel skont il-Ftehim dwar il-Politika Soċjali, id-Direttiva tal-Kunsill tax-Xogħlijiet tal-1994, li kienet teħtieġ konsultazzjoni tal-ħaddiema fin-negozji, u d-Direttiva tal-Leave tal-Ġenituri tal-1996. Fl-għaxar snin ta 'wara t-Trattat ta' Amsterdam tal-1997 u l-adozzjoni tal-Kapitolu Soċjali li l-Unjoni Ewropea wettqet inizjattivi ta 'politika f'diversi oqsma ta' politika soċjali, inklużi relazzjonijiet tax-xogħol u tal-industrija, opportunità ugwali, saħħa u sigurtà, saħħa pubblika, protezzjoni tat-tfal, il-PROTEZZJONI. B'diżabilità u anzjani, faqar, ħaddiema migranti, edukazzjoni, taħriġ u żgħażagħ.</v>
      </c>
    </row>
    <row r="6225" ht="15.75" customHeight="1">
      <c r="A6225" s="2" t="s">
        <v>6225</v>
      </c>
      <c r="B6225" s="2" t="str">
        <f>IFERROR(__xludf.DUMMYFUNCTION("GOOGLETRANSLATE(A6225, ""en"", ""mt"")"),"Liema attività żżomm gradjenti topografiċi?")</f>
        <v>Liema attività żżomm gradjenti topografiċi?</v>
      </c>
    </row>
    <row r="6226" ht="15.75" customHeight="1">
      <c r="A6226" s="2" t="s">
        <v>6226</v>
      </c>
      <c r="B6226" s="2" t="str">
        <f>IFERROR(__xludf.DUMMYFUNCTION("GOOGLETRANSLATE(A6226, ""en"", ""mt"")"),"Liema parti ffurmat fl-2014?")</f>
        <v>Liema parti ffurmat fl-2014?</v>
      </c>
    </row>
    <row r="6227" ht="15.75" customHeight="1">
      <c r="A6227" s="2" t="s">
        <v>6227</v>
      </c>
      <c r="B6227" s="2" t="str">
        <f>IFERROR(__xludf.DUMMYFUNCTION("GOOGLETRANSLATE(A6227, ""en"", ""mt"")"),"Il-granari ġew ordnati mibnija madwar l-imperu")</f>
        <v>Il-granari ġew ordnati mibnija madwar l-imperu</v>
      </c>
    </row>
    <row r="6228" ht="15.75" customHeight="1">
      <c r="A6228" s="2" t="s">
        <v>6228</v>
      </c>
      <c r="B6228" s="2" t="str">
        <f>IFERROR(__xludf.DUMMYFUNCTION("GOOGLETRANSLATE(A6228, ""en"", ""mt"")"),"X'tip ta 'jihad HT jippreferi jidħol?")</f>
        <v>X'tip ta 'jihad HT jippreferi jidħol?</v>
      </c>
    </row>
    <row r="6229" ht="15.75" customHeight="1">
      <c r="A6229" s="2" t="s">
        <v>6229</v>
      </c>
      <c r="B6229" s="2" t="str">
        <f>IFERROR(__xludf.DUMMYFUNCTION("GOOGLETRANSLATE(A6229, ""en"", ""mt"")"),"B'liema rata l-Kontea ta 'Orange qed tiżviluppa ċ-ċentri tan-negozju tagħha?")</f>
        <v>B'liema rata l-Kontea ta 'Orange qed tiżviluppa ċ-ċentri tan-negozju tagħha?</v>
      </c>
    </row>
    <row r="6230" ht="15.75" customHeight="1">
      <c r="A6230" s="2" t="s">
        <v>6230</v>
      </c>
      <c r="B6230" s="2" t="str">
        <f>IFERROR(__xludf.DUMMYFUNCTION("GOOGLETRANSLATE(A6230, ""en"", ""mt"")"),"Kissinger's")</f>
        <v>Kissinger's</v>
      </c>
    </row>
    <row r="6231" ht="15.75" customHeight="1">
      <c r="A6231" s="2" t="s">
        <v>6231</v>
      </c>
      <c r="B6231" s="2" t="str">
        <f>IFERROR(__xludf.DUMMYFUNCTION("GOOGLETRANSLATE(A6231, ""en"", ""mt"")"),"X'inhuma l-komponenti indipendenti ta 'somma ta' vettur li ġiet iddeterminata miż-żieda skalari ta 'vettori individwali?")</f>
        <v>X'inhuma l-komponenti indipendenti ta 'somma ta' vettur li ġiet iddeterminata miż-żieda skalari ta 'vettori individwali?</v>
      </c>
    </row>
    <row r="6232" ht="15.75" customHeight="1">
      <c r="A6232" s="2" t="s">
        <v>6232</v>
      </c>
      <c r="B6232" s="2" t="str">
        <f>IFERROR(__xludf.DUMMYFUNCTION("GOOGLETRANSLATE(A6232, ""en"", ""mt"")"),"X'kien likwifikat fi stat stabbli għall-ewwel darba fit-22 ta 'Marzu, 1883?")</f>
        <v>X'kien likwifikat fi stat stabbli għall-ewwel darba fit-22 ta 'Marzu, 1883?</v>
      </c>
    </row>
    <row r="6233" ht="15.75" customHeight="1">
      <c r="A6233" s="2" t="s">
        <v>6233</v>
      </c>
      <c r="B6233" s="2" t="str">
        <f>IFERROR(__xludf.DUMMYFUNCTION("GOOGLETRANSLATE(A6233, ""en"", ""mt"")"),"milli tagħti lil ħuha Polynices dfin xieraq")</f>
        <v>milli tagħti lil ħuha Polynices dfin xieraq</v>
      </c>
    </row>
    <row r="6234" ht="15.75" customHeight="1">
      <c r="A6234" s="2" t="s">
        <v>6234</v>
      </c>
      <c r="B6234" s="2" t="str">
        <f>IFERROR(__xludf.DUMMYFUNCTION("GOOGLETRANSLATE(A6234, ""en"", ""mt"")"),"Rappreżentanti maħtura minn gvernijiet u organizzazzjonijiet")</f>
        <v>Rappreżentanti maħtura minn gvernijiet u organizzazzjonijiet</v>
      </c>
    </row>
    <row r="6235" ht="15.75" customHeight="1">
      <c r="A6235" s="2" t="s">
        <v>6235</v>
      </c>
      <c r="B6235" s="2" t="str">
        <f>IFERROR(__xludf.DUMMYFUNCTION("GOOGLETRANSLATE(A6235, ""en"", ""mt"")"),"100")</f>
        <v>100</v>
      </c>
    </row>
    <row r="6236" ht="15.75" customHeight="1">
      <c r="A6236" s="2" t="s">
        <v>6236</v>
      </c>
      <c r="B6236" s="2" t="str">
        <f>IFERROR(__xludf.DUMMYFUNCTION("GOOGLETRANSLATE(A6236, ""en"", ""mt"")"),"Min l-ewwel wera li t-teorija tal-gravità ta 'Newton ma kinitx korretta daqs teorija oħra?")</f>
        <v>Min l-ewwel wera li t-teorija tal-gravità ta 'Newton ma kinitx korretta daqs teorija oħra?</v>
      </c>
    </row>
    <row r="6237" ht="15.75" customHeight="1">
      <c r="A6237" s="2" t="s">
        <v>6237</v>
      </c>
      <c r="B6237" s="2" t="str">
        <f>IFERROR(__xludf.DUMMYFUNCTION("GOOGLETRANSLATE(A6237, ""en"", ""mt"")"),"Ilkhanate")</f>
        <v>Ilkhanate</v>
      </c>
    </row>
    <row r="6238" ht="15.75" customHeight="1">
      <c r="A6238" s="2" t="s">
        <v>6238</v>
      </c>
      <c r="B6238" s="2" t="str">
        <f>IFERROR(__xludf.DUMMYFUNCTION("GOOGLETRANSLATE(A6238, ""en"", ""mt"")"),"Iż-żieda attwali fit-temperatura kienet qrib it-tarf ta 'fuq tal-firxa mogħtija")</f>
        <v>Iż-żieda attwali fit-temperatura kienet qrib it-tarf ta 'fuq tal-firxa mogħtija</v>
      </c>
    </row>
    <row r="6239" ht="15.75" customHeight="1">
      <c r="A6239" s="2" t="s">
        <v>6239</v>
      </c>
      <c r="B6239" s="2" t="str">
        <f>IFERROR(__xludf.DUMMYFUNCTION("GOOGLETRANSLATE(A6239, ""en"", ""mt"")"),"X'inhu aktar baxx fl-iskejjel pubbliċi aktar milli dawk privati?")</f>
        <v>X'inhu aktar baxx fl-iskejjel pubbliċi aktar milli dawk privati?</v>
      </c>
    </row>
    <row r="6240" ht="15.75" customHeight="1">
      <c r="A6240" s="2" t="s">
        <v>6240</v>
      </c>
      <c r="B6240" s="2" t="str">
        <f>IFERROR(__xludf.DUMMYFUNCTION("GOOGLETRANSLATE(A6240, ""en"", ""mt"")"),"Liema armi kienu qed jużaw iż-Żulus matul il-Gwerra Anglo-Żulu tal-1879?")</f>
        <v>Liema armi kienu qed jużaw iż-Żulus matul il-Gwerra Anglo-Żulu tal-1879?</v>
      </c>
    </row>
    <row r="6241" ht="15.75" customHeight="1">
      <c r="A6241" s="2" t="s">
        <v>6241</v>
      </c>
      <c r="B6241" s="2" t="str">
        <f>IFERROR(__xludf.DUMMYFUNCTION("GOOGLETRANSLATE(A6241, ""en"", ""mt"")"),"Liema organizzazzjoni hija ddedikata għall-jihad kontra l-Iżrael?")</f>
        <v>Liema organizzazzjoni hija ddedikata għall-jihad kontra l-Iżrael?</v>
      </c>
    </row>
    <row r="6242" ht="15.75" customHeight="1">
      <c r="A6242" s="2" t="s">
        <v>6242</v>
      </c>
      <c r="B6242" s="2" t="str">
        <f>IFERROR(__xludf.DUMMYFUNCTION("GOOGLETRANSLATE(A6242, ""en"", ""mt"")"),"0.52 / sq mi")</f>
        <v>0.52 / sq mi</v>
      </c>
    </row>
    <row r="6243" ht="15.75" customHeight="1">
      <c r="A6243" s="2" t="s">
        <v>6243</v>
      </c>
      <c r="B6243" s="2" t="str">
        <f>IFERROR(__xludf.DUMMYFUNCTION("GOOGLETRANSLATE(A6243, ""en"", ""mt"")"),"X'azzjoni ttieħdet biex jiġu indirizzati l-kontrolli tal-prezzijiet?")</f>
        <v>X'azzjoni ttieħdet biex jiġu indirizzati l-kontrolli tal-prezzijiet?</v>
      </c>
    </row>
    <row r="6244" ht="15.75" customHeight="1">
      <c r="A6244" s="2" t="s">
        <v>6244</v>
      </c>
      <c r="B6244" s="2" t="str">
        <f>IFERROR(__xludf.DUMMYFUNCTION("GOOGLETRANSLATE(A6244, ""en"", ""mt"")"),"Quasiturbine")</f>
        <v>Quasiturbine</v>
      </c>
    </row>
    <row r="6245" ht="15.75" customHeight="1">
      <c r="A6245" s="2" t="s">
        <v>6245</v>
      </c>
      <c r="B6245" s="2" t="str">
        <f>IFERROR(__xludf.DUMMYFUNCTION("GOOGLETRANSLATE(A6245, ""en"", ""mt"")"),"turbini tal-gass")</f>
        <v>turbini tal-gass</v>
      </c>
    </row>
    <row r="6246" ht="15.75" customHeight="1">
      <c r="A6246" s="2" t="s">
        <v>6246</v>
      </c>
      <c r="B6246" s="2" t="str">
        <f>IFERROR(__xludf.DUMMYFUNCTION("GOOGLETRANSLATE(A6246, ""en"", ""mt"")"),"X’kienet il-gvern ried li Thoreau jagħmel?")</f>
        <v>X’kienet il-gvern ried li Thoreau jagħmel?</v>
      </c>
    </row>
    <row r="6247" ht="15.75" customHeight="1">
      <c r="A6247" s="2" t="s">
        <v>6247</v>
      </c>
      <c r="B6247" s="2" t="str">
        <f>IFERROR(__xludf.DUMMYFUNCTION("GOOGLETRANSLATE(A6247, ""en"", ""mt"")"),"Liema attentat biex tirrimedja d-diffikultajiet li jirriżultaw mill-prestazzjoni tal-gradjent?")</f>
        <v>Liema attentat biex tirrimedja d-diffikultajiet li jirriżultaw mill-prestazzjoni tal-gradjent?</v>
      </c>
    </row>
    <row r="6248" ht="15.75" customHeight="1">
      <c r="A6248" s="2" t="s">
        <v>6248</v>
      </c>
      <c r="B6248" s="2" t="str">
        <f>IFERROR(__xludf.DUMMYFUNCTION("GOOGLETRANSLATE(A6248, ""en"", ""mt"")"),"Fejn huma leġislati kwistjonijiet bħall-abort u l-politika tad-droga?")</f>
        <v>Fejn huma leġislati kwistjonijiet bħall-abort u l-politika tad-droga?</v>
      </c>
    </row>
    <row r="6249" ht="15.75" customHeight="1">
      <c r="A6249" s="2" t="s">
        <v>6249</v>
      </c>
      <c r="B6249" s="2" t="str">
        <f>IFERROR(__xludf.DUMMYFUNCTION("GOOGLETRANSLATE(A6249, ""en"", ""mt"")")," Fejn ma bdietx il-Grand Canal?")</f>
        <v> Fejn ma bdietx il-Grand Canal?</v>
      </c>
    </row>
    <row r="6250" ht="15.75" customHeight="1">
      <c r="A6250" s="2" t="s">
        <v>6250</v>
      </c>
      <c r="B6250" s="2" t="str">
        <f>IFERROR(__xludf.DUMMYFUNCTION("GOOGLETRANSLATE(A6250, ""en"", ""mt"")"),"Dak li kien użat biex tikklassifika l-popolazzjoni tal-Amażonja f'erba 'kategoriji")</f>
        <v>Dak li kien użat biex tikklassifika l-popolazzjoni tal-Amażonja f'erba 'kategoriji</v>
      </c>
    </row>
    <row r="6251" ht="15.75" customHeight="1">
      <c r="A6251" s="2" t="s">
        <v>6251</v>
      </c>
      <c r="B6251" s="2" t="str">
        <f>IFERROR(__xludf.DUMMYFUNCTION("GOOGLETRANSLATE(A6251, ""en"", ""mt"")"),"Min ma kienx eżentat mit-taxxi tal-Istat Membru?")</f>
        <v>Min ma kienx eżentat mit-taxxi tal-Istat Membru?</v>
      </c>
    </row>
    <row r="6252" ht="15.75" customHeight="1">
      <c r="A6252" s="2" t="s">
        <v>6252</v>
      </c>
      <c r="B6252" s="2" t="str">
        <f>IFERROR(__xludf.DUMMYFUNCTION("GOOGLETRANSLATE(A6252, ""en"", ""mt"")"),"Liema soċjetà Kattolika f'Wanganui hija affiljata mal-Grupp tal-Kulleġġi Akkademiċi?")</f>
        <v>Liema soċjetà Kattolika f'Wanganui hija affiljata mal-Grupp tal-Kulleġġi Akkademiċi?</v>
      </c>
    </row>
    <row r="6253" ht="15.75" customHeight="1">
      <c r="A6253" s="2" t="s">
        <v>6253</v>
      </c>
      <c r="B6253" s="2" t="str">
        <f>IFERROR(__xludf.DUMMYFUNCTION("GOOGLETRANSLATE(A6253, ""en"", ""mt"")"),"Liema annimali jinkludu l-ekosistema tax-Xmara Vistula?")</f>
        <v>Liema annimali jinkludu l-ekosistema tax-Xmara Vistula?</v>
      </c>
    </row>
    <row r="6254" ht="15.75" customHeight="1">
      <c r="A6254" s="2" t="s">
        <v>6254</v>
      </c>
      <c r="B6254" s="2" t="str">
        <f>IFERROR(__xludf.DUMMYFUNCTION("GOOGLETRANSLATE(A6254, ""en"", ""mt"")"),"Forza tal-frizzjoni kinetika")</f>
        <v>Forza tal-frizzjoni kinetika</v>
      </c>
    </row>
    <row r="6255" ht="15.75" customHeight="1">
      <c r="A6255" s="2" t="s">
        <v>6255</v>
      </c>
      <c r="B6255" s="2" t="str">
        <f>IFERROR(__xludf.DUMMYFUNCTION("GOOGLETRANSLATE(A6255, ""en"", ""mt"")"),"""racket""")</f>
        <v>"racket"</v>
      </c>
    </row>
    <row r="6256" ht="15.75" customHeight="1">
      <c r="A6256" s="2" t="s">
        <v>6256</v>
      </c>
      <c r="B6256" s="2" t="str">
        <f>IFERROR(__xludf.DUMMYFUNCTION("GOOGLETRANSLATE(A6256, ""en"", ""mt"")"),"X'inhu t-terminu tal-uffiċċju għal kull membru tad-dar?")</f>
        <v>X'inhu t-terminu tal-uffiċċju għal kull membru tad-dar?</v>
      </c>
    </row>
    <row r="6257" ht="15.75" customHeight="1">
      <c r="A6257" s="2" t="s">
        <v>6257</v>
      </c>
      <c r="B6257" s="2" t="str">
        <f>IFERROR(__xludf.DUMMYFUNCTION("GOOGLETRANSLATE(A6257, ""en"", ""mt"")"),"Kemm unitajiet akkademiċi jiffurmaw l-iskola?")</f>
        <v>Kemm unitajiet akkademiċi jiffurmaw l-iskola?</v>
      </c>
    </row>
    <row r="6258" ht="15.75" customHeight="1">
      <c r="A6258" s="2" t="s">
        <v>6258</v>
      </c>
      <c r="B6258" s="2" t="str">
        <f>IFERROR(__xludf.DUMMYFUNCTION("GOOGLETRANSLATE(A6258, ""en"", ""mt"")"),"farinġi")</f>
        <v>farinġi</v>
      </c>
    </row>
    <row r="6259" ht="15.75" customHeight="1">
      <c r="A6259" s="2" t="s">
        <v>6259</v>
      </c>
      <c r="B6259" s="2" t="str">
        <f>IFERROR(__xludf.DUMMYFUNCTION("GOOGLETRANSLATE(A6259, ""en"", ""mt"")"),"lobi")</f>
        <v>lobi</v>
      </c>
    </row>
    <row r="6260" ht="15.75" customHeight="1">
      <c r="A6260" s="2" t="s">
        <v>6260</v>
      </c>
      <c r="B6260" s="2" t="str">
        <f>IFERROR(__xludf.DUMMYFUNCTION("GOOGLETRANSLATE(A6260, ""en"", ""mt"")")," X'tip ta 'prospetti għandhom uħud min-non-Musulmani f'Londra għandhom?")</f>
        <v> X'tip ta 'prospetti għandhom uħud min-non-Musulmani f'Londra għandhom?</v>
      </c>
    </row>
    <row r="6261" ht="15.75" customHeight="1">
      <c r="A6261" s="2" t="s">
        <v>6261</v>
      </c>
      <c r="B6261" s="2" t="str">
        <f>IFERROR(__xludf.DUMMYFUNCTION("GOOGLETRANSLATE(A6261, ""en"", ""mt"")"),"1870 sa 1939")</f>
        <v>1870 sa 1939</v>
      </c>
    </row>
    <row r="6262" ht="15.75" customHeight="1">
      <c r="A6262" s="2" t="s">
        <v>6262</v>
      </c>
      <c r="B6262" s="2" t="str">
        <f>IFERROR(__xludf.DUMMYFUNCTION("GOOGLETRANSLATE(A6262, ""en"", ""mt"")"),"Lil fejn ħarbu Ethelred?")</f>
        <v>Lil fejn ħarbu Ethelred?</v>
      </c>
    </row>
    <row r="6263" ht="15.75" customHeight="1">
      <c r="A6263" s="2" t="s">
        <v>6263</v>
      </c>
      <c r="B6263" s="2" t="str">
        <f>IFERROR(__xludf.DUMMYFUNCTION("GOOGLETRANSLATE(A6263, ""en"", ""mt"")"),"X'jiġri meta pjanċa waħda tmiss ieħor?")</f>
        <v>X'jiġri meta pjanċa waħda tmiss ieħor?</v>
      </c>
    </row>
    <row r="6264" ht="15.75" customHeight="1">
      <c r="A6264" s="2" t="s">
        <v>6264</v>
      </c>
      <c r="B6264" s="2" t="str">
        <f>IFERROR(__xludf.DUMMYFUNCTION("GOOGLETRANSLATE(A6264, ""en"", ""mt"")"),"Choctaw u l-qala")</f>
        <v>Choctaw u l-qala</v>
      </c>
    </row>
    <row r="6265" ht="15.75" customHeight="1">
      <c r="A6265" s="2" t="s">
        <v>6265</v>
      </c>
      <c r="B6265" s="2" t="str">
        <f>IFERROR(__xludf.DUMMYFUNCTION("GOOGLETRANSLATE(A6265, ""en"", ""mt"")"),"X'forma ż-żona metropolitana El Centro u l-forma taż-żona metropolitana ta 'San Diego-Carslbad-San Marcos?")</f>
        <v>X'forma ż-żona metropolitana El Centro u l-forma taż-żona metropolitana ta 'San Diego-Carslbad-San Marcos?</v>
      </c>
    </row>
    <row r="6266" ht="15.75" customHeight="1">
      <c r="A6266" s="2" t="s">
        <v>6266</v>
      </c>
      <c r="B6266" s="2" t="str">
        <f>IFERROR(__xludf.DUMMYFUNCTION("GOOGLETRANSLATE(A6266, ""en"", ""mt"")"),"X’kien jidher xi kultant fl-ispeċi tal-ġeneru Ocryopsis?")</f>
        <v>X’kien jidher xi kultant fl-ispeċi tal-ġeneru Ocryopsis?</v>
      </c>
    </row>
    <row r="6267" ht="15.75" customHeight="1">
      <c r="A6267" s="2" t="s">
        <v>6267</v>
      </c>
      <c r="B6267" s="2" t="str">
        <f>IFERROR(__xludf.DUMMYFUNCTION("GOOGLETRANSLATE(A6267, ""en"", ""mt"")"),"Kif tissejjaħ l-ewwel liwja ewlenija fir-Renu?")</f>
        <v>Kif tissejjaħ l-ewwel liwja ewlenija fir-Renu?</v>
      </c>
    </row>
    <row r="6268" ht="15.75" customHeight="1">
      <c r="A6268" s="2" t="s">
        <v>6268</v>
      </c>
      <c r="B6268" s="2" t="str">
        <f>IFERROR(__xludf.DUMMYFUNCTION("GOOGLETRANSLATE(A6268, ""en"", ""mt"")"),"jimpjegaw spiżjara konsulenti")</f>
        <v>jimpjegaw spiżjara konsulenti</v>
      </c>
    </row>
    <row r="6269" ht="15.75" customHeight="1">
      <c r="A6269" s="2" t="s">
        <v>6269</v>
      </c>
      <c r="B6269" s="2" t="str">
        <f>IFERROR(__xludf.DUMMYFUNCTION("GOOGLETRANSLATE(A6269, ""en"", ""mt"")"),"fidda")</f>
        <v>fidda</v>
      </c>
    </row>
    <row r="6270" ht="15.75" customHeight="1">
      <c r="A6270" s="2" t="s">
        <v>6270</v>
      </c>
      <c r="B6270" s="2" t="str">
        <f>IFERROR(__xludf.DUMMYFUNCTION("GOOGLETRANSLATE(A6270, ""en"", ""mt"")"),"Iċ-ċomb idub")</f>
        <v>Iċ-ċomb idub</v>
      </c>
    </row>
    <row r="6271" ht="15.75" customHeight="1">
      <c r="A6271" s="2" t="s">
        <v>6271</v>
      </c>
      <c r="B6271" s="2" t="str">
        <f>IFERROR(__xludf.DUMMYFUNCTION("GOOGLETRANSLATE(A6271, ""en"", ""mt"")"),"Nota waħda kif tikklassifika l-ħin tal-komputazzjoni (jew riżorsi simili)?")</f>
        <v>Nota waħda kif tikklassifika l-ħin tal-komputazzjoni (jew riżorsi simili)?</v>
      </c>
    </row>
    <row r="6272" ht="15.75" customHeight="1">
      <c r="A6272" s="2" t="s">
        <v>6272</v>
      </c>
      <c r="B6272" s="2" t="str">
        <f>IFERROR(__xludf.DUMMYFUNCTION("GOOGLETRANSLATE(A6272, ""en"", ""mt"")"),"l-uffiċjal li jippresiedi")</f>
        <v>l-uffiċjal li jippresiedi</v>
      </c>
    </row>
    <row r="6273" ht="15.75" customHeight="1">
      <c r="A6273" s="2" t="s">
        <v>6273</v>
      </c>
      <c r="B6273" s="2" t="str">
        <f>IFERROR(__xludf.DUMMYFUNCTION("GOOGLETRANSLATE(A6273, ""en"", ""mt"")"),"fi pressjonijiet parzjali elevati")</f>
        <v>fi pressjonijiet parzjali elevati</v>
      </c>
    </row>
    <row r="6274" ht="15.75" customHeight="1">
      <c r="A6274" s="2" t="s">
        <v>6274</v>
      </c>
      <c r="B6274" s="2" t="str">
        <f>IFERROR(__xludf.DUMMYFUNCTION("GOOGLETRANSLATE(A6274, ""en"", ""mt"")"),"X'kienet l-iktar pubblikazzjoni notevoli tal-Akkademja ta 'Tugh?")</f>
        <v>X'kienet l-iktar pubblikazzjoni notevoli tal-Akkademja ta 'Tugh?</v>
      </c>
    </row>
    <row r="6275" ht="15.75" customHeight="1">
      <c r="A6275" s="2" t="s">
        <v>6275</v>
      </c>
      <c r="B6275" s="2" t="str">
        <f>IFERROR(__xludf.DUMMYFUNCTION("GOOGLETRANSLATE(A6275, ""en"", ""mt"")"),"Jevalwa l-livelli ta 'tagħlim fl-Indja rurali")</f>
        <v>Jevalwa l-livelli ta 'tagħlim fl-Indja rurali</v>
      </c>
    </row>
    <row r="6276" ht="15.75" customHeight="1">
      <c r="A6276" s="2" t="s">
        <v>6276</v>
      </c>
      <c r="B6276" s="2" t="str">
        <f>IFERROR(__xludf.DUMMYFUNCTION("GOOGLETRANSLATE(A6276, ""en"", ""mt"")"),"Kif hija miktuba l-kumplessità tal-ħin tal-agħar każ bħala espressjoni?")</f>
        <v>Kif hija miktuba l-kumplessità tal-ħin tal-agħar każ bħala espressjoni?</v>
      </c>
    </row>
    <row r="6277" ht="15.75" customHeight="1">
      <c r="A6277" s="2" t="s">
        <v>6277</v>
      </c>
      <c r="B6277" s="2" t="str">
        <f>IFERROR(__xludf.DUMMYFUNCTION("GOOGLETRANSLATE(A6277, ""en"", ""mt"")"),"Minbarra San Bernardino, liema oħra żviluppaw belt tan-Nofsinhar tal-Kalifornja mhix viċin il-kosta?")</f>
        <v>Minbarra San Bernardino, liema oħra żviluppaw belt tan-Nofsinhar tal-Kalifornja mhix viċin il-kosta?</v>
      </c>
    </row>
    <row r="6278" ht="15.75" customHeight="1">
      <c r="A6278" s="2" t="s">
        <v>6278</v>
      </c>
      <c r="B6278" s="2" t="str">
        <f>IFERROR(__xludf.DUMMYFUNCTION("GOOGLETRANSLATE(A6278, ""en"", ""mt"")"),"Is-sistema illimitat il-prezz ta '""żejt qadim""")</f>
        <v>Is-sistema illimitat il-prezz ta '"żejt qadim"</v>
      </c>
    </row>
    <row r="6279" ht="15.75" customHeight="1">
      <c r="A6279" s="2" t="s">
        <v>6279</v>
      </c>
      <c r="B6279" s="2" t="str">
        <f>IFERROR(__xludf.DUMMYFUNCTION("GOOGLETRANSLATE(A6279, ""en"", ""mt"")"),"3.7%")</f>
        <v>3.7%</v>
      </c>
    </row>
    <row r="6280" ht="15.75" customHeight="1">
      <c r="A6280" s="2" t="s">
        <v>6280</v>
      </c>
      <c r="B6280" s="2" t="str">
        <f>IFERROR(__xludf.DUMMYFUNCTION("GOOGLETRANSLATE(A6280, ""en"", ""mt"")"),"Għal xiex jużaw Platyctenida?")</f>
        <v>Għal xiex jużaw Platyctenida?</v>
      </c>
    </row>
    <row r="6281" ht="15.75" customHeight="1">
      <c r="A6281" s="2" t="s">
        <v>6281</v>
      </c>
      <c r="B6281" s="2" t="str">
        <f>IFERROR(__xludf.DUMMYFUNCTION("GOOGLETRANSLATE(A6281, ""en"", ""mt"")"),"X'inhuma l-eċċezzjonijiet fil-Kostituzzjoni li jeħtieġu kunsiderazzjonijiet speċjali biex jiġu emendati?")</f>
        <v>X'inhuma l-eċċezzjonijiet fil-Kostituzzjoni li jeħtieġu kunsiderazzjonijiet speċjali biex jiġu emendati?</v>
      </c>
    </row>
    <row r="6282" ht="15.75" customHeight="1">
      <c r="A6282" s="2" t="s">
        <v>6282</v>
      </c>
      <c r="B6282" s="2" t="str">
        <f>IFERROR(__xludf.DUMMYFUNCTION("GOOGLETRANSLATE(A6282, ""en"", ""mt"")"),"Fejn jiġru esperjenzi reliġjużi oħra fir-Rabat barra minn Melbourne?")</f>
        <v>Fejn jiġru esperjenzi reliġjużi oħra fir-Rabat barra minn Melbourne?</v>
      </c>
    </row>
    <row r="6283" ht="15.75" customHeight="1">
      <c r="A6283" s="2" t="s">
        <v>6283</v>
      </c>
      <c r="B6283" s="2" t="str">
        <f>IFERROR(__xludf.DUMMYFUNCTION("GOOGLETRANSLATE(A6283, ""en"", ""mt"")"),"X'tip ta 'akkomodazzjoni nbniet f'Varsavja bħala parti mill-proċess tal-briks għall-Varsavja?")</f>
        <v>X'tip ta 'akkomodazzjoni nbniet f'Varsavja bħala parti mill-proċess tal-briks għall-Varsavja?</v>
      </c>
    </row>
    <row r="6284" ht="15.75" customHeight="1">
      <c r="A6284" s="2" t="s">
        <v>6284</v>
      </c>
      <c r="B6284" s="2" t="str">
        <f>IFERROR(__xludf.DUMMYFUNCTION("GOOGLETRANSLATE(A6284, ""en"", ""mt"")"),"Id-difiża u l-ġustifikazzjoni tal-bini tal-imperu huma bbażati fuq raġunijiet apparentement razzjonali")</f>
        <v>Id-difiża u l-ġustifikazzjoni tal-bini tal-imperu huma bbażati fuq raġunijiet apparentement razzjonali</v>
      </c>
    </row>
    <row r="6285" ht="15.75" customHeight="1">
      <c r="A6285" s="2" t="s">
        <v>6285</v>
      </c>
      <c r="B6285" s="2" t="str">
        <f>IFERROR(__xludf.DUMMYFUNCTION("GOOGLETRANSLATE(A6285, ""en"", ""mt"")"),"Meta ż-żejt beda jiġi pprezzat fit-termini tad-deheb?")</f>
        <v>Meta ż-żejt beda jiġi pprezzat fit-termini tad-deheb?</v>
      </c>
    </row>
    <row r="6286" ht="15.75" customHeight="1">
      <c r="A6286" s="2" t="s">
        <v>6286</v>
      </c>
      <c r="B6286" s="2" t="str">
        <f>IFERROR(__xludf.DUMMYFUNCTION("GOOGLETRANSLATE(A6286, ""en"", ""mt"")"),"Liema sena ġiet rikostruwita Fort San Mateo?")</f>
        <v>Liema sena ġiet rikostruwita Fort San Mateo?</v>
      </c>
    </row>
    <row r="6287" ht="15.75" customHeight="1">
      <c r="A6287" s="2" t="s">
        <v>6287</v>
      </c>
      <c r="B6287" s="2" t="str">
        <f>IFERROR(__xludf.DUMMYFUNCTION("GOOGLETRANSLATE(A6287, ""en"", ""mt"")"),"L-istadju 1 huwa l-ewwel, jew l-istadju introduttorju tal-abbozz, fejn il-ministru jew membru inkarigat mill-abbozz se jintroduċuh formalment lill-parlament flimkien mad-dokumenti li jakkumpanjawha - noti ta 'spjegazzjoni, memorandum ta' politika li jista"&amp;"bbilixxi l-politika li hija sottostanti l-abbozz ta 'liġi, u Memorandum finanzjarju li jistabbilixxi l-ispejjeż u l-iffrankar assoċjati miegħu. Dikjarazzjonijiet mill-uffiċjal li jippresiedi u l-membru inkarigat mill-abbozz huma wkoll ippreżentati li jind"&amp;"ikaw jekk l-abbozz huwiex fil-kompetenza leġiżlattiva tal-Parlament. L-istadju 1 ġeneralment iseħħ, inizjalment, fil-kumitat jew kumitati rilevanti u mbagħad jiġi sottomess lill-Parlament kollu għal dibattitu sħiħ fil-kamra dwar il-prinċipji ġenerali tal-"&amp;"abbozz. Jekk il-Parlament kollu jaqbel f'vot lill-prinċipji ġenerali tal-abbozz, imbagħad jipproċedi għall-istadju 2.")</f>
        <v>L-istadju 1 huwa l-ewwel, jew l-istadju introduttorju tal-abbozz, fejn il-ministru jew membru inkarigat mill-abbozz se jintroduċuh formalment lill-parlament flimkien mad-dokumenti li jakkumpanjawha - noti ta 'spjegazzjoni, memorandum ta' politika li jistabbilixxi l-politika li hija sottostanti l-abbozz ta 'liġi, u Memorandum finanzjarju li jistabbilixxi l-ispejjeż u l-iffrankar assoċjati miegħu. Dikjarazzjonijiet mill-uffiċjal li jippresiedi u l-membru inkarigat mill-abbozz huma wkoll ippreżentati li jindikaw jekk l-abbozz huwiex fil-kompetenza leġiżlattiva tal-Parlament. L-istadju 1 ġeneralment iseħħ, inizjalment, fil-kumitat jew kumitati rilevanti u mbagħad jiġi sottomess lill-Parlament kollu għal dibattitu sħiħ fil-kamra dwar il-prinċipji ġenerali tal-abbozz. Jekk il-Parlament kollu jaqbel f'vot lill-prinċipji ġenerali tal-abbozz, imbagħad jipproċedi għall-istadju 2.</v>
      </c>
    </row>
    <row r="6288" ht="15.75" customHeight="1">
      <c r="A6288" s="2" t="s">
        <v>6288</v>
      </c>
      <c r="B6288" s="2" t="str">
        <f>IFERROR(__xludf.DUMMYFUNCTION("GOOGLETRANSLATE(A6288, ""en"", ""mt"")"),"Meta l-Ingliżi telfa ġodda Franza?")</f>
        <v>Meta l-Ingliżi telfa ġodda Franza?</v>
      </c>
    </row>
    <row r="6289" ht="15.75" customHeight="1">
      <c r="A6289" s="2" t="s">
        <v>6289</v>
      </c>
      <c r="B6289" s="2" t="str">
        <f>IFERROR(__xludf.DUMMYFUNCTION("GOOGLETRANSLATE(A6289, ""en"", ""mt"")"),"kompost")</f>
        <v>kompost</v>
      </c>
    </row>
    <row r="6290" ht="15.75" customHeight="1">
      <c r="A6290" s="2" t="s">
        <v>6290</v>
      </c>
      <c r="B6290" s="2" t="str">
        <f>IFERROR(__xludf.DUMMYFUNCTION("GOOGLETRANSLATE(A6290, ""en"", ""mt"")"),"Celeron kif kien imexxi laqgħa ma 'Brittaniku l-Qadim?")</f>
        <v>Celeron kif kien imexxi laqgħa ma 'Brittaniku l-Qadim?</v>
      </c>
    </row>
    <row r="6291" ht="15.75" customHeight="1">
      <c r="A6291" s="2" t="s">
        <v>6291</v>
      </c>
      <c r="B6291" s="2" t="str">
        <f>IFERROR(__xludf.DUMMYFUNCTION("GOOGLETRANSLATE(A6291, ""en"", ""mt"")"),"Liema dijagrammi jintużaw biex jissimplifikaw l-interazzjonijiet tal-partikuli fuq livell fundamentali?")</f>
        <v>Liema dijagrammi jintużaw biex jissimplifikaw l-interazzjonijiet tal-partikuli fuq livell fundamentali?</v>
      </c>
    </row>
    <row r="6292" ht="15.75" customHeight="1">
      <c r="A6292" s="2" t="s">
        <v>6292</v>
      </c>
      <c r="B6292" s="2" t="str">
        <f>IFERROR(__xludf.DUMMYFUNCTION("GOOGLETRANSLATE(A6292, ""en"", ""mt"")"),"In-Normanni wara dan adottaw id-duttrini feudali dejjem jikbru tal-bqija ta 'Franza, u ħadmuhom f'sistema ġerarkika funzjonali kemm fin-Normandija kif ukoll fl-Ingilterra. Il-kbarat Norman il-ġodda kienu kulturalment u etnikament distinti mill-aristokrazi"&amp;"ja Franċiża l-qadima, li ħafna minnhom traċċaw in-nisel tagħhom għal franki tad-dinastija Karolingjana. Il-biċċa l-kbira tal-kavallieri Norman baqgħu fqar u bil-ġuħ tal-art, u sal-1066 in-Normandija kienet qed tesporta ġlieda kontra l-ġlied għal aktar min"&amp;"n ġenerazzjoni. Ħafna Normanni tal-Italja, Franza u l-Ingilterra eventwalment servew bħala kruċjati akkaniti taħt il-Prinċep Italo-Norman Bohemund I u r-Re Anglo-Norman Richard Richard il-Qalb tal-Iljun.")</f>
        <v>In-Normanni wara dan adottaw id-duttrini feudali dejjem jikbru tal-bqija ta 'Franza, u ħadmuhom f'sistema ġerarkika funzjonali kemm fin-Normandija kif ukoll fl-Ingilterra. Il-kbarat Norman il-ġodda kienu kulturalment u etnikament distinti mill-aristokrazija Franċiża l-qadima, li ħafna minnhom traċċaw in-nisel tagħhom għal franki tad-dinastija Karolingjana. Il-biċċa l-kbira tal-kavallieri Norman baqgħu fqar u bil-ġuħ tal-art, u sal-1066 in-Normandija kienet qed tesporta ġlieda kontra l-ġlied għal aktar minn ġenerazzjoni. Ħafna Normanni tal-Italja, Franza u l-Ingilterra eventwalment servew bħala kruċjati akkaniti taħt il-Prinċep Italo-Norman Bohemund I u r-Re Anglo-Norman Richard Richard il-Qalb tal-Iljun.</v>
      </c>
    </row>
    <row r="6293" ht="15.75" customHeight="1">
      <c r="A6293" s="2" t="s">
        <v>6293</v>
      </c>
      <c r="B6293" s="2" t="str">
        <f>IFERROR(__xludf.DUMMYFUNCTION("GOOGLETRANSLATE(A6293, ""en"", ""mt"")"),"L-iskejjel privati ​​fl-Awstralja jistgħu jiġu ffavoriti għal ħafna raġunijiet: prestiġju u l-istatus soċjali ta 'l-'intabta ta' l-iskola antika '; Infrastruttura fiżika ta 'kwalità aħjar u aktar faċilitajiet (e.ż. kampijiet ta' logħob, pixxini, eċċ.), Għ"&amp;"alliema ta 'ħlas ogħla; u / jew it-twemmin li l-iskejjel privati ​​joffru kwalità ogħla ta 'edukazzjoni. Xi skejjel joffru t-tneħħija tad-distrazzjonijiet allegati ta 'ko-edukazzjoni; il-preżenza ta 'faċilitajiet ta' imbark; jew dixxiplina aktar stretta b"&amp;"bażata fuq il-poter ta 'tkeċċija tagħhom, għodda mhux disponibbli għall-iskejjel tal-gvern. L-uniformijiet tal-istudenti għall-iskejjel privati ​​Awstraljani huma ġeneralment aktar stretti u aktar formali milli fl-iskejjel tal-gvern - pereżempju, blazer o"&amp;"bbligatorju. L-iskejjel privati ​​fl-Awstralja huma dejjem aktar għoljin mill-kontropartijiet pubbliċi tagħhom. [Ċitazzjoni meħtieġa]")</f>
        <v>L-iskejjel privati ​​fl-Awstralja jistgħu jiġu ffavoriti għal ħafna raġunijiet: prestiġju u l-istatus soċjali ta 'l-'intabta ta' l-iskola antika '; Infrastruttura fiżika ta 'kwalità aħjar u aktar faċilitajiet (e.ż. kampijiet ta' logħob, pixxini, eċċ.), Għalliema ta 'ħlas ogħla; u / jew it-twemmin li l-iskejjel privati ​​joffru kwalità ogħla ta 'edukazzjoni. Xi skejjel joffru t-tneħħija tad-distrazzjonijiet allegati ta 'ko-edukazzjoni; il-preżenza ta 'faċilitajiet ta' imbark; jew dixxiplina aktar stretta bbażata fuq il-poter ta 'tkeċċija tagħhom, għodda mhux disponibbli għall-iskejjel tal-gvern. L-uniformijiet tal-istudenti għall-iskejjel privati ​​Awstraljani huma ġeneralment aktar stretti u aktar formali milli fl-iskejjel tal-gvern - pereżempju, blazer obbligatorju. L-iskejjel privati ​​fl-Awstralja huma dejjem aktar għoljin mill-kontropartijiet pubbliċi tagħhom. [Ċitazzjoni meħtieġa]</v>
      </c>
    </row>
    <row r="6294" ht="15.75" customHeight="1">
      <c r="A6294" s="2" t="s">
        <v>6294</v>
      </c>
      <c r="B6294" s="2" t="str">
        <f>IFERROR(__xludf.DUMMYFUNCTION("GOOGLETRANSLATE(A6294, ""en"", ""mt"")"),"X’waqqaf il-Borża ta ’Varsavja?")</f>
        <v>X’waqqaf il-Borża ta ’Varsavja?</v>
      </c>
    </row>
    <row r="6295" ht="15.75" customHeight="1">
      <c r="A6295" s="2" t="s">
        <v>6295</v>
      </c>
      <c r="B6295" s="2" t="str">
        <f>IFERROR(__xludf.DUMMYFUNCTION("GOOGLETRANSLATE(A6295, ""en"", ""mt"")"),"X'inhi l-unità tal-forza użata rarament daqs elf newtons?")</f>
        <v>X'inhi l-unità tal-forza użata rarament daqs elf newtons?</v>
      </c>
    </row>
    <row r="6296" ht="15.75" customHeight="1">
      <c r="A6296" s="2" t="s">
        <v>6296</v>
      </c>
      <c r="B6296" s="2" t="str">
        <f>IFERROR(__xludf.DUMMYFUNCTION("GOOGLETRANSLATE(A6296, ""en"", ""mt"")"),"Liema sistemi jikklassifikaw il-kuntratturi tal-kummerċ?")</f>
        <v>Liema sistemi jikklassifikaw il-kuntratturi tal-kummerċ?</v>
      </c>
    </row>
    <row r="6297" ht="15.75" customHeight="1">
      <c r="A6297" s="2" t="s">
        <v>6297</v>
      </c>
      <c r="B6297" s="2" t="str">
        <f>IFERROR(__xludf.DUMMYFUNCTION("GOOGLETRANSLATE(A6297, ""en"", ""mt"")"),"Teorija tar-Relatività Ġenerali (GR)")</f>
        <v>Teorija tar-Relatività Ġenerali (GR)</v>
      </c>
    </row>
    <row r="6298" ht="15.75" customHeight="1">
      <c r="A6298" s="2" t="s">
        <v>6298</v>
      </c>
      <c r="B6298" s="2" t="str">
        <f>IFERROR(__xludf.DUMMYFUNCTION("GOOGLETRANSLATE(A6298, ""en"", ""mt"")"),"Qxur tal-annimali fossili")</f>
        <v>Qxur tal-annimali fossili</v>
      </c>
    </row>
    <row r="6299" ht="15.75" customHeight="1">
      <c r="A6299" s="2" t="s">
        <v>6299</v>
      </c>
      <c r="B6299" s="2" t="str">
        <f>IFERROR(__xludf.DUMMYFUNCTION("GOOGLETRANSLATE(A6299, ""en"", ""mt"")"),"mozzjoni naturali")</f>
        <v>mozzjoni naturali</v>
      </c>
    </row>
    <row r="6300" ht="15.75" customHeight="1">
      <c r="A6300" s="2" t="s">
        <v>6300</v>
      </c>
      <c r="B6300" s="2" t="str">
        <f>IFERROR(__xludf.DUMMYFUNCTION("GOOGLETRANSLATE(A6300, ""en"", ""mt"")"),"Amazoneregenwoud")</f>
        <v>Amazoneregenwoud</v>
      </c>
    </row>
    <row r="6301" ht="15.75" customHeight="1">
      <c r="A6301" s="2" t="s">
        <v>6301</v>
      </c>
      <c r="B6301" s="2" t="str">
        <f>IFERROR(__xludf.DUMMYFUNCTION("GOOGLETRANSLATE(A6301, ""en"", ""mt"")")," Meta Tugh Temur qered l-akkademja tiegħu?")</f>
        <v> Meta Tugh Temur qered l-akkademja tiegħu?</v>
      </c>
    </row>
    <row r="6302" ht="15.75" customHeight="1">
      <c r="A6302" s="2" t="s">
        <v>6302</v>
      </c>
      <c r="B6302" s="2" t="str">
        <f>IFERROR(__xludf.DUMMYFUNCTION("GOOGLETRANSLATE(A6302, ""en"", ""mt"")"),"Meta Herodotus skopra r-Renu?")</f>
        <v>Meta Herodotus skopra r-Renu?</v>
      </c>
    </row>
    <row r="6303" ht="15.75" customHeight="1">
      <c r="A6303" s="2" t="s">
        <v>6303</v>
      </c>
      <c r="B6303" s="2" t="str">
        <f>IFERROR(__xludf.DUMMYFUNCTION("GOOGLETRANSLATE(A6303, ""en"", ""mt"")"),"Meta seħħew dawn ir-ribelljonijiet?")</f>
        <v>Meta seħħew dawn ir-ribelljonijiet?</v>
      </c>
    </row>
    <row r="6304" ht="15.75" customHeight="1">
      <c r="A6304" s="2" t="s">
        <v>6304</v>
      </c>
      <c r="B6304" s="2" t="str">
        <f>IFERROR(__xludf.DUMMYFUNCTION("GOOGLETRANSLATE(A6304, ""en"", ""mt"")"),"Liema grupp qatel eluf ta 'Huguenots?")</f>
        <v>Liema grupp qatel eluf ta 'Huguenots?</v>
      </c>
    </row>
    <row r="6305" ht="15.75" customHeight="1">
      <c r="A6305" s="2" t="s">
        <v>6305</v>
      </c>
      <c r="B6305" s="2" t="str">
        <f>IFERROR(__xludf.DUMMYFUNCTION("GOOGLETRANSLATE(A6305, ""en"", ""mt"")"),"Min kien missier Shi Tianze?")</f>
        <v>Min kien missier Shi Tianze?</v>
      </c>
    </row>
    <row r="6306" ht="15.75" customHeight="1">
      <c r="A6306" s="2" t="s">
        <v>6306</v>
      </c>
      <c r="B6306" s="2" t="str">
        <f>IFERROR(__xludf.DUMMYFUNCTION("GOOGLETRANSLATE(A6306, ""en"", ""mt"")"),"X'inhu O-R-O?")</f>
        <v>X'inhu O-R-O?</v>
      </c>
    </row>
    <row r="6307" ht="15.75" customHeight="1">
      <c r="A6307" s="2" t="s">
        <v>6307</v>
      </c>
      <c r="B6307" s="2" t="str">
        <f>IFERROR(__xludf.DUMMYFUNCTION("GOOGLETRANSLATE(A6307, ""en"", ""mt"")"),"Il-ġeoloġi jużaw numru ta 'metodi ta' immudellar fuq il-post, tal-laboratorju u numeriċi biex jiddeċifraw l-istorja tad-dinja u jifhmu l-proċessi li jseħħu fuq u ġewwa d-Dinja. Fl-investigazzjonijiet ġeoloġiċi tipiċi, il-ġeoloġi jużaw informazzjoni primar"&amp;"ja relatata mal-petroloġija (l-istudju tal-blat), l-istratigrafija (l-istudju tas-saffi sedimentarji), u l-ġeoloġija strutturali (l-istudju tal-pożizzjonijiet tal-unitajiet tal-blat u d-deformazzjoni tagħhom). F’ħafna każijiet, il-ġeoloġi jistudjaw ukoll "&amp;"ħamrija moderna, xmajjar, pajsaġġi, u glaċieri; Investiga l-ħajja tal-passat u attwali u l-mogħdijiet bijokokimiċi, u uża metodi ġeofiżiċi biex tinvestiga l-wiċċ.")</f>
        <v>Il-ġeoloġi jużaw numru ta 'metodi ta' immudellar fuq il-post, tal-laboratorju u numeriċi biex jiddeċifraw l-istorja tad-dinja u jifhmu l-proċessi li jseħħu fuq u ġewwa d-Dinja. Fl-investigazzjonijiet ġeoloġiċi tipiċi, il-ġeoloġi jużaw informazzjoni primarja relatata mal-petroloġija (l-istudju tal-blat), l-istratigrafija (l-istudju tas-saffi sedimentarji), u l-ġeoloġija strutturali (l-istudju tal-pożizzjonijiet tal-unitajiet tal-blat u d-deformazzjoni tagħhom). F’ħafna każijiet, il-ġeoloġi jistudjaw ukoll ħamrija moderna, xmajjar, pajsaġġi, u glaċieri; Investiga l-ħajja tal-passat u attwali u l-mogħdijiet bijokokimiċi, u uża metodi ġeofiżiċi biex tinvestiga l-wiċċ.</v>
      </c>
    </row>
    <row r="6308" ht="15.75" customHeight="1">
      <c r="A6308" s="2" t="s">
        <v>6308</v>
      </c>
      <c r="B6308" s="2" t="str">
        <f>IFERROR(__xludf.DUMMYFUNCTION("GOOGLETRANSLATE(A6308, ""en"", ""mt"")"),"Matul kemm studji wrew li l-vjolenza hija iktar komuni f'soċjetajiet b'differenzi ta 'dħul?")</f>
        <v>Matul kemm studji wrew li l-vjolenza hija iktar komuni f'soċjetajiet b'differenzi ta 'dħul?</v>
      </c>
    </row>
    <row r="6309" ht="15.75" customHeight="1">
      <c r="A6309" s="2" t="s">
        <v>6309</v>
      </c>
      <c r="B6309" s="2" t="str">
        <f>IFERROR(__xludf.DUMMYFUNCTION("GOOGLETRANSLATE(A6309, ""en"", ""mt"")"),"Liema grupp għandu żagħżugħ li jitwieled mingħajr tentakli u ħalq kbir?")</f>
        <v>Liema grupp għandu żagħżugħ li jitwieled mingħajr tentakli u ħalq kbir?</v>
      </c>
    </row>
    <row r="6310" ht="15.75" customHeight="1">
      <c r="A6310" s="2" t="s">
        <v>6310</v>
      </c>
      <c r="B6310" s="2" t="str">
        <f>IFERROR(__xludf.DUMMYFUNCTION("GOOGLETRANSLATE(A6310, ""en"", ""mt"")"),"X'inhu eżempju tal-forza anormali fl-azzjoni?")</f>
        <v>X'inhu eżempju tal-forza anormali fl-azzjoni?</v>
      </c>
    </row>
    <row r="6311" ht="15.75" customHeight="1">
      <c r="A6311" s="2" t="s">
        <v>6311</v>
      </c>
      <c r="B6311" s="2" t="str">
        <f>IFERROR(__xludf.DUMMYFUNCTION("GOOGLETRANSLATE(A6311, ""en"", ""mt"")"),"X'inhu l-mili kwadri massimi li Betty Meggers iddikjara li jista 'jiġi sostnut fil-foresta tropikali?")</f>
        <v>X'inhu l-mili kwadri massimi li Betty Meggers iddikjara li jista 'jiġi sostnut fil-foresta tropikali?</v>
      </c>
    </row>
    <row r="6312" ht="15.75" customHeight="1">
      <c r="A6312" s="2" t="s">
        <v>6312</v>
      </c>
      <c r="B6312" s="2" t="str">
        <f>IFERROR(__xludf.DUMMYFUNCTION("GOOGLETRANSLATE(A6312, ""en"", ""mt"")"),"Kif jissejħu l-istadji fil-magna tal-effiċjenza?")</f>
        <v>Kif jissejħu l-istadji fil-magna tal-effiċjenza?</v>
      </c>
    </row>
    <row r="6313" ht="15.75" customHeight="1">
      <c r="A6313" s="2" t="s">
        <v>6313</v>
      </c>
      <c r="B6313" s="2" t="str">
        <f>IFERROR(__xludf.DUMMYFUNCTION("GOOGLETRANSLATE(A6313, ""en"", ""mt"")"),"Liema spettaklu Amerikan biddel il-fehmiet tar-Rumeni matul il-Gwerra Bierda?")</f>
        <v>Liema spettaklu Amerikan biddel il-fehmiet tar-Rumeni matul il-Gwerra Bierda?</v>
      </c>
    </row>
    <row r="6314" ht="15.75" customHeight="1">
      <c r="A6314" s="2" t="s">
        <v>6314</v>
      </c>
      <c r="B6314" s="2" t="str">
        <f>IFERROR(__xludf.DUMMYFUNCTION("GOOGLETRANSLATE(A6314, ""en"", ""mt"")"),"Minn xiex kien jirrikjedi li l-Artikolu 12 tat-termini tal-Armistizju Alleati kien jirrikjedi li l-Ġermanja tirtira?")</f>
        <v>Minn xiex kien jirrikjedi li l-Artikolu 12 tat-termini tal-Armistizju Alleati kien jirrikjedi li l-Ġermanja tirtira?</v>
      </c>
    </row>
    <row r="6315" ht="15.75" customHeight="1">
      <c r="A6315" s="2" t="s">
        <v>6315</v>
      </c>
      <c r="B6315" s="2" t="str">
        <f>IFERROR(__xludf.DUMMYFUNCTION("GOOGLETRANSLATE(A6315, ""en"", ""mt"")"),"L-eżodu ta 'Huguenots minn Franza ħoloq fossa tal-moħħ, peress li ħafna Huguenots kienu okkupaw postijiet importanti fis-soċjetà. Ir-renju ma rkuprax għal kollox għal snin twal. Ir-rifjut tal-Kuruna Franċiża li tippermetti li n-non-Kattoliċi joqgħodu fi F"&amp;"ranza l-ġdida jista 'jgħin biex jispjega li r-rata bil-mod ta' tkabbir tal-popolazzjoni tal-kolonja meta mqabbla ma 'dik tal-kolonji Ingliżi ġirien, li fetħu l-ftehim għal dissenters reliġjużi. Saż-żmien tal-Gwerra Franċiża u Indjana (il-front tal-Amerika"&amp;" ta ’Fuq tal-Gwerra tas-Seba’ snin), popolazzjoni mdaqqsa ta ’dixxendenza Huguenot kienet tgħix fil-kolonji Ingliżi, u ħafna pparteċipaw fit-telfa Ingliża ta’ New France fl-1759-60.")</f>
        <v>L-eżodu ta 'Huguenots minn Franza ħoloq fossa tal-moħħ, peress li ħafna Huguenots kienu okkupaw postijiet importanti fis-soċjetà. Ir-renju ma rkuprax għal kollox għal snin twal. Ir-rifjut tal-Kuruna Franċiża li tippermetti li n-non-Kattoliċi joqgħodu fi Franza l-ġdida jista 'jgħin biex jispjega li r-rata bil-mod ta' tkabbir tal-popolazzjoni tal-kolonja meta mqabbla ma 'dik tal-kolonji Ingliżi ġirien, li fetħu l-ftehim għal dissenters reliġjużi. Saż-żmien tal-Gwerra Franċiża u Indjana (il-front tal-Amerika ta ’Fuq tal-Gwerra tas-Seba’ snin), popolazzjoni mdaqqsa ta ’dixxendenza Huguenot kienet tgħix fil-kolonji Ingliżi, u ħafna pparteċipaw fit-telfa Ingliża ta’ New France fl-1759-60.</v>
      </c>
    </row>
    <row r="6316" ht="15.75" customHeight="1">
      <c r="A6316" s="2" t="s">
        <v>6316</v>
      </c>
      <c r="B6316" s="2" t="str">
        <f>IFERROR(__xludf.DUMMYFUNCTION("GOOGLETRANSLATE(A6316, ""en"", ""mt"")"),"X’kontribwixxa għas-severità tal-pesta?")</f>
        <v>X’kontribwixxa għas-severità tal-pesta?</v>
      </c>
    </row>
    <row r="6317" ht="15.75" customHeight="1">
      <c r="A6317" s="2" t="s">
        <v>6317</v>
      </c>
      <c r="B6317" s="2" t="str">
        <f>IFERROR(__xludf.DUMMYFUNCTION("GOOGLETRANSLATE(A6317, ""en"", ""mt"")"),"Liema rapporti ssuġġerixxu Michael Oppenheimer li kien hemm bżonn ta 'esplorazzjoni wiesgħa ta' ċertezzi?")</f>
        <v>Liema rapporti ssuġġerixxu Michael Oppenheimer li kien hemm bżonn ta 'esplorazzjoni wiesgħa ta' ċertezzi?</v>
      </c>
    </row>
    <row r="6318" ht="15.75" customHeight="1">
      <c r="A6318" s="2" t="s">
        <v>6318</v>
      </c>
      <c r="B6318" s="2" t="str">
        <f>IFERROR(__xludf.DUMMYFUNCTION("GOOGLETRANSLATE(A6318, ""en"", ""mt"")"),"Village of Pickawillany")</f>
        <v>Village of Pickawillany</v>
      </c>
    </row>
    <row r="6319" ht="15.75" customHeight="1">
      <c r="A6319" s="2" t="s">
        <v>6319</v>
      </c>
      <c r="B6319" s="2" t="str">
        <f>IFERROR(__xludf.DUMMYFUNCTION("GOOGLETRANSLATE(A6319, ""en"", ""mt"")"),"twemmin fil-validità tal-kuntratt soċjali")</f>
        <v>twemmin fil-validità tal-kuntratt soċjali</v>
      </c>
    </row>
    <row r="6320" ht="15.75" customHeight="1">
      <c r="A6320" s="2" t="s">
        <v>6320</v>
      </c>
      <c r="B6320" s="2" t="str">
        <f>IFERROR(__xludf.DUMMYFUNCTION("GOOGLETRANSLATE(A6320, ""en"", ""mt"")"),"Ċili kbar")</f>
        <v>Ċili kbar</v>
      </c>
    </row>
    <row r="6321" ht="15.75" customHeight="1">
      <c r="A6321" s="2" t="s">
        <v>6321</v>
      </c>
      <c r="B6321" s="2" t="str">
        <f>IFERROR(__xludf.DUMMYFUNCTION("GOOGLETRANSLATE(A6321, ""en"", ""mt"")"),"Dirett lejn iċ-ċentru tal-passaġġ mgħawweġ")</f>
        <v>Dirett lejn iċ-ċentru tal-passaġġ mgħawweġ</v>
      </c>
    </row>
    <row r="6322" ht="15.75" customHeight="1">
      <c r="A6322" s="2" t="s">
        <v>6322</v>
      </c>
      <c r="B6322" s="2" t="str">
        <f>IFERROR(__xludf.DUMMYFUNCTION("GOOGLETRANSLATE(A6322, ""en"",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6323" ht="15.75" customHeight="1">
      <c r="A6323" s="2" t="s">
        <v>6323</v>
      </c>
      <c r="B6323" s="2" t="str">
        <f>IFERROR(__xludf.DUMMYFUNCTION("GOOGLETRANSLATE(A6323, ""en"", ""mt"")"),"Liema xogħol ma jeħtieġ l-ebda kwalifika?")</f>
        <v>Liema xogħol ma jeħtieġ l-ebda kwalifika?</v>
      </c>
    </row>
    <row r="6324" ht="15.75" customHeight="1">
      <c r="A6324" s="2" t="s">
        <v>6324</v>
      </c>
      <c r="B6324" s="2" t="str">
        <f>IFERROR(__xludf.DUMMYFUNCTION("GOOGLETRANSLATE(A6324, ""en"", ""mt"")"),"Liema kontej tinkludi t-tmien definizzjoni tal-kontea aktar estensiva ta 'SoCal?")</f>
        <v>Liema kontej tinkludi t-tmien definizzjoni tal-kontea aktar estensiva ta 'SoCal?</v>
      </c>
    </row>
    <row r="6325" ht="15.75" customHeight="1">
      <c r="A6325" s="2" t="s">
        <v>6325</v>
      </c>
      <c r="B6325" s="2" t="str">
        <f>IFERROR(__xludf.DUMMYFUNCTION("GOOGLETRANSLATE(A6325, ""en"", ""mt"")"),"Avvanzi fit-Teknoloġija tal-Istampar 3D")</f>
        <v>Avvanzi fit-Teknoloġija tal-Istampar 3D</v>
      </c>
    </row>
    <row r="6326" ht="15.75" customHeight="1">
      <c r="A6326" s="2" t="s">
        <v>6326</v>
      </c>
      <c r="B6326" s="2" t="str">
        <f>IFERROR(__xludf.DUMMYFUNCTION("GOOGLETRANSLATE(A6326, ""en"", ""mt"")"),"isiru eħfef")</f>
        <v>isiru eħfef</v>
      </c>
    </row>
    <row r="6327" ht="15.75" customHeight="1">
      <c r="A6327" s="2" t="s">
        <v>6327</v>
      </c>
      <c r="B6327" s="2" t="str">
        <f>IFERROR(__xludf.DUMMYFUNCTION("GOOGLETRANSLATE(A6327, ""en"", ""mt"")"),"Ġurnaliżmu")</f>
        <v>Ġurnaliżmu</v>
      </c>
    </row>
    <row r="6328" ht="15.75" customHeight="1">
      <c r="A6328" s="2" t="s">
        <v>6328</v>
      </c>
      <c r="B6328" s="2" t="str">
        <f>IFERROR(__xludf.DUMMYFUNCTION("GOOGLETRANSLATE(A6328, ""en"", ""mt"")"),"Sky Q Silver Set Top Boxes")</f>
        <v>Sky Q Silver Set Top Boxes</v>
      </c>
    </row>
    <row r="6329" ht="15.75" customHeight="1">
      <c r="A6329" s="2" t="s">
        <v>6329</v>
      </c>
      <c r="B6329" s="2" t="str">
        <f>IFERROR(__xludf.DUMMYFUNCTION("GOOGLETRANSLATE(A6329, ""en"", ""mt"")"),"Irrispondi għall-mistoqsijiet tal-investigaturi")</f>
        <v>Irrispondi għall-mistoqsijiet tal-investigaturi</v>
      </c>
    </row>
    <row r="6330" ht="15.75" customHeight="1">
      <c r="A6330" s="2" t="s">
        <v>6330</v>
      </c>
      <c r="B6330" s="2" t="str">
        <f>IFERROR(__xludf.DUMMYFUNCTION("GOOGLETRANSLATE(A6330, ""en"", ""mt"")"),"X'inhuma l-fitoplankton?")</f>
        <v>X'inhuma l-fitoplankton?</v>
      </c>
    </row>
    <row r="6331" ht="15.75" customHeight="1">
      <c r="A6331" s="2" t="s">
        <v>6331</v>
      </c>
      <c r="B6331" s="2" t="str">
        <f>IFERROR(__xludf.DUMMYFUNCTION("GOOGLETRANSLATE(A6331, ""en"", ""mt"")"),"X'kienet waħda mill-ibliet li kellha port fuq il-Baħar l-Iswed?")</f>
        <v>X'kienet waħda mill-ibliet li kellha port fuq il-Baħar l-Iswed?</v>
      </c>
    </row>
    <row r="6332" ht="15.75" customHeight="1">
      <c r="A6332" s="2" t="s">
        <v>6332</v>
      </c>
      <c r="B6332" s="2" t="str">
        <f>IFERROR(__xludf.DUMMYFUNCTION("GOOGLETRANSLATE(A6332, ""en"", ""mt"")"),"Victoria hija ċ-ċentru tal-biedja tal-ħalib fl-Awstralja. Huwa dar għal 60% tat-3 miljun baqar tal-ħalib tal-Awstralja u jipproduċi kważi żewġ terzi tal-ħalib tan-nazzjon, kważi 6.4 biljun litru. L-istat għandu wkoll 2.4 miljun baqar taċ-ċanga, b'aktar mi"&amp;"nn 2.2 miljun baqar u għoġġiela maqtula kull sena. Fl-2003–04, l-ekwipaġġi tas-sajd kummerċjali Vittorjan u l-industrija tal-akkwakultura pproduċew 11,634 tunnellata ta 'frott tal-baħar b'valur ta' kważi $ 109 miljun. Blacklipped Abalone huwa l-pedament t"&amp;"al-qabda, li jġib $ 46 miljun, segwit minn awwista tal-blat tan-Nofsinhar li tiswa $ 13.7 miljun. Il-biċċa l-kbira tal-awwista abalone u rock hija esportata lejn l-Asja.")</f>
        <v>Victoria hija ċ-ċentru tal-biedja tal-ħalib fl-Awstralja. Huwa dar għal 60% tat-3 miljun baqar tal-ħalib tal-Awstralja u jipproduċi kważi żewġ terzi tal-ħalib tan-nazzjon, kważi 6.4 biljun litru. L-istat għandu wkoll 2.4 miljun baqar taċ-ċanga, b'aktar minn 2.2 miljun baqar u għoġġiela maqtula kull sena. Fl-2003–04, l-ekwipaġġi tas-sajd kummerċjali Vittorjan u l-industrija tal-akkwakultura pproduċew 11,634 tunnellata ta 'frott tal-baħar b'valur ta' kważi $ 109 miljun. Blacklipped Abalone huwa l-pedament tal-qabda, li jġib $ 46 miljun, segwit minn awwista tal-blat tan-Nofsinhar li tiswa $ 13.7 miljun. Il-biċċa l-kbira tal-awwista abalone u rock hija esportata lejn l-Asja.</v>
      </c>
    </row>
    <row r="6333" ht="15.75" customHeight="1">
      <c r="A6333" s="2" t="s">
        <v>6333</v>
      </c>
      <c r="B6333" s="2" t="str">
        <f>IFERROR(__xludf.DUMMYFUNCTION("GOOGLETRANSLATE(A6333, ""en"", ""mt"")"),"Kemm-il darba Oxford u Cambridge iwarrbu r-rivalità tagħhom?")</f>
        <v>Kemm-il darba Oxford u Cambridge iwarrbu r-rivalità tagħhom?</v>
      </c>
    </row>
    <row r="6334" ht="15.75" customHeight="1">
      <c r="A6334" s="2" t="s">
        <v>6334</v>
      </c>
      <c r="B6334" s="2" t="str">
        <f>IFERROR(__xludf.DUMMYFUNCTION("GOOGLETRANSLATE(A6334, ""en"", ""mt"")"),"Kemm mill-art agrikola tar-Rabat tinbiegħ domestikament?")</f>
        <v>Kemm mill-art agrikola tar-Rabat tinbiegħ domestikament?</v>
      </c>
    </row>
    <row r="6335" ht="15.75" customHeight="1">
      <c r="A6335" s="2" t="s">
        <v>6335</v>
      </c>
      <c r="B6335" s="2" t="str">
        <f>IFERROR(__xludf.DUMMYFUNCTION("GOOGLETRANSLATE(A6335, ""en"", ""mt"")"),"Meta twaqqgħet il-Qorti tal-Kontea ta 'Fresno?")</f>
        <v>Meta twaqqgħet il-Qorti tal-Kontea ta 'Fresno?</v>
      </c>
    </row>
    <row r="6336" ht="15.75" customHeight="1">
      <c r="A6336" s="2" t="s">
        <v>6336</v>
      </c>
      <c r="B6336" s="2" t="str">
        <f>IFERROR(__xludf.DUMMYFUNCTION("GOOGLETRANSLATE(A6336, ""en"", ""mt"")"),"Kif huma rregolati l-ispiżjara fil-biċċa l-kbira tal-ġurisdizzjonijiet?")</f>
        <v>Kif huma rregolati l-ispiżjara fil-biċċa l-kbira tal-ġurisdizzjonijiet?</v>
      </c>
    </row>
    <row r="6337" ht="15.75" customHeight="1">
      <c r="A6337" s="2" t="s">
        <v>6337</v>
      </c>
      <c r="B6337" s="2" t="str">
        <f>IFERROR(__xludf.DUMMYFUNCTION("GOOGLETRANSLATE(A6337, ""en"", ""mt"")"),"F'liema sena r-Re Louis XIV ta 'Franza ħa t-tron?")</f>
        <v>F'liema sena r-Re Louis XIV ta 'Franza ħa t-tron?</v>
      </c>
    </row>
    <row r="6338" ht="15.75" customHeight="1">
      <c r="A6338" s="2" t="s">
        <v>6338</v>
      </c>
      <c r="B6338" s="2" t="str">
        <f>IFERROR(__xludf.DUMMYFUNCTION("GOOGLETRANSLATE(A6338, ""en"", ""mt"")"),"Xi spejjeż żejda jinġabru")</f>
        <v>Xi spejjeż żejda jinġabru</v>
      </c>
    </row>
    <row r="6339" ht="15.75" customHeight="1">
      <c r="A6339" s="2" t="s">
        <v>6339</v>
      </c>
      <c r="B6339" s="2" t="str">
        <f>IFERROR(__xludf.DUMMYFUNCTION("GOOGLETRANSLATE(A6339, ""en"", ""mt"")"),"problema")</f>
        <v>problema</v>
      </c>
    </row>
    <row r="6340" ht="15.75" customHeight="1">
      <c r="A6340" s="2" t="s">
        <v>6340</v>
      </c>
      <c r="B6340" s="2" t="str">
        <f>IFERROR(__xludf.DUMMYFUNCTION("GOOGLETRANSLATE(A6340, ""en"", ""mt"")"),"Liema persentaġġ ta 'art agrikola tikber il-fażola?")</f>
        <v>Liema persentaġġ ta 'art agrikola tikber il-fażola?</v>
      </c>
    </row>
    <row r="6341" ht="15.75" customHeight="1">
      <c r="A6341" s="2" t="s">
        <v>6341</v>
      </c>
      <c r="B6341" s="2" t="str">
        <f>IFERROR(__xludf.DUMMYFUNCTION("GOOGLETRANSLATE(A6341, ""en"", ""mt"")"),"Rivoluzzjoni Dinjija.")</f>
        <v>Rivoluzzjoni Dinjija.</v>
      </c>
    </row>
    <row r="6342" ht="15.75" customHeight="1">
      <c r="A6342" s="2" t="s">
        <v>6342</v>
      </c>
      <c r="B6342" s="2" t="str">
        <f>IFERROR(__xludf.DUMMYFUNCTION("GOOGLETRANSLATE(A6342, ""en"", ""mt"")"),"X'inhu l-baġit annwali għall-kaċċa tal-kennies?")</f>
        <v>X'inhu l-baġit annwali għall-kaċċa tal-kennies?</v>
      </c>
    </row>
    <row r="6343" ht="15.75" customHeight="1">
      <c r="A6343" s="2" t="s">
        <v>6343</v>
      </c>
      <c r="B6343" s="2" t="str">
        <f>IFERROR(__xludf.DUMMYFUNCTION("GOOGLETRANSLATE(A6343, ""en"", ""mt"")"),"Kemm hemm bażijiet tal-baħar f'Jacksonville?")</f>
        <v>Kemm hemm bażijiet tal-baħar f'Jacksonville?</v>
      </c>
    </row>
    <row r="6344" ht="15.75" customHeight="1">
      <c r="A6344" s="2" t="s">
        <v>6344</v>
      </c>
      <c r="B6344" s="2" t="str">
        <f>IFERROR(__xludf.DUMMYFUNCTION("GOOGLETRANSLATE(A6344, ""en"", ""mt"")"),"Transpac")</f>
        <v>Transpac</v>
      </c>
    </row>
    <row r="6345" ht="15.75" customHeight="1">
      <c r="A6345" s="2" t="s">
        <v>6345</v>
      </c>
      <c r="B6345" s="2" t="str">
        <f>IFERROR(__xludf.DUMMYFUNCTION("GOOGLETRANSLATE(A6345, ""en"", ""mt"")"),"Liema belt ta 'Florida għandha l-akbar popolazzjoni?")</f>
        <v>Liema belt ta 'Florida għandha l-akbar popolazzjoni?</v>
      </c>
    </row>
    <row r="6346" ht="15.75" customHeight="1">
      <c r="A6346" s="2" t="s">
        <v>6346</v>
      </c>
      <c r="B6346" s="2" t="str">
        <f>IFERROR(__xludf.DUMMYFUNCTION("GOOGLETRANSLATE(A6346, ""en"", ""mt"")"),"Liema terminu rrefera għal ċittadini tal-klassi tan-nofs li jħallu s-subborgi?")</f>
        <v>Liema terminu rrefera għal ċittadini tal-klassi tan-nofs li jħallu s-subborgi?</v>
      </c>
    </row>
    <row r="6347" ht="15.75" customHeight="1">
      <c r="A6347" s="2" t="s">
        <v>6347</v>
      </c>
      <c r="B6347" s="2" t="str">
        <f>IFERROR(__xludf.DUMMYFUNCTION("GOOGLETRANSLATE(A6347, ""en"", ""mt"")"),"Satyagraha")</f>
        <v>Satyagraha</v>
      </c>
    </row>
    <row r="6348" ht="15.75" customHeight="1">
      <c r="A6348" s="2" t="s">
        <v>6348</v>
      </c>
      <c r="B6348" s="2" t="str">
        <f>IFERROR(__xludf.DUMMYFUNCTION("GOOGLETRANSLATE(A6348, ""en"", ""mt"")"),"Kumpanija Cisco Systems")</f>
        <v>Kumpanija Cisco Systems</v>
      </c>
    </row>
    <row r="6349" ht="15.75" customHeight="1">
      <c r="A6349" s="2" t="s">
        <v>6349</v>
      </c>
      <c r="B6349" s="2" t="str">
        <f>IFERROR(__xludf.DUMMYFUNCTION("GOOGLETRANSLATE(A6349, ""en"", ""mt"")"),"Muhammad Abd al-Salaam Farag")</f>
        <v>Muhammad Abd al-Salaam Farag</v>
      </c>
    </row>
    <row r="6350" ht="15.75" customHeight="1">
      <c r="A6350" s="2" t="s">
        <v>6350</v>
      </c>
      <c r="B6350" s="2" t="str">
        <f>IFERROR(__xludf.DUMMYFUNCTION("GOOGLETRANSLATE(A6350, ""en"", ""mt"")"),"Rebbiegħa tal-1349")</f>
        <v>Rebbiegħa tal-1349</v>
      </c>
    </row>
    <row r="6351" ht="15.75" customHeight="1">
      <c r="A6351" s="2" t="s">
        <v>6351</v>
      </c>
      <c r="B6351" s="2" t="str">
        <f>IFERROR(__xludf.DUMMYFUNCTION("GOOGLETRANSLATE(A6351, ""en"", ""mt"")"),"Meta kienet il-kriżi tar-Rhine?")</f>
        <v>Meta kienet il-kriżi tar-Rhine?</v>
      </c>
    </row>
    <row r="6352" ht="15.75" customHeight="1">
      <c r="A6352" s="2" t="s">
        <v>6352</v>
      </c>
      <c r="B6352" s="2" t="str">
        <f>IFERROR(__xludf.DUMMYFUNCTION("GOOGLETRANSLATE(A6352, ""en"", ""mt"")"),"it-trattat dwar il-funzjonament tal-Unjoni Ewropea")</f>
        <v>it-trattat dwar il-funzjonament tal-Unjoni Ewropea</v>
      </c>
    </row>
    <row r="6353" ht="15.75" customHeight="1">
      <c r="A6353" s="2" t="s">
        <v>6353</v>
      </c>
      <c r="B6353" s="2" t="str">
        <f>IFERROR(__xludf.DUMMYFUNCTION("GOOGLETRANSLATE(A6353, ""en"", ""mt"")"),"kunjomijiet")</f>
        <v>kunjomijiet</v>
      </c>
    </row>
    <row r="6354" ht="15.75" customHeight="1">
      <c r="A6354" s="2" t="s">
        <v>6354</v>
      </c>
      <c r="B6354" s="2" t="str">
        <f>IFERROR(__xludf.DUMMYFUNCTION("GOOGLETRANSLATE(A6354, ""en"", ""mt"")"),"Xi jfisser il-karta tal-patoġen PLOS?")</f>
        <v>Xi jfisser il-karta tal-patoġen PLOS?</v>
      </c>
    </row>
    <row r="6355" ht="15.75" customHeight="1">
      <c r="A6355" s="2" t="s">
        <v>6355</v>
      </c>
      <c r="B6355" s="2" t="str">
        <f>IFERROR(__xludf.DUMMYFUNCTION("GOOGLETRANSLATE(A6355, ""en"", ""mt"")"),"Bargain tal-motiv")</f>
        <v>Bargain tal-motiv</v>
      </c>
    </row>
    <row r="6356" ht="15.75" customHeight="1">
      <c r="A6356" s="2" t="s">
        <v>6356</v>
      </c>
      <c r="B6356" s="2" t="str">
        <f>IFERROR(__xludf.DUMMYFUNCTION("GOOGLETRANSLATE(A6356, ""en"", ""mt"")"),"Liema persentaġġ tal-vot għal assemblea Skoċċiża favurha?")</f>
        <v>Liema persentaġġ tal-vot għal assemblea Skoċċiża favurha?</v>
      </c>
    </row>
    <row r="6357" ht="15.75" customHeight="1">
      <c r="A6357" s="2" t="s">
        <v>6357</v>
      </c>
      <c r="B6357" s="2" t="str">
        <f>IFERROR(__xludf.DUMMYFUNCTION("GOOGLETRANSLATE(A6357, ""en"", ""mt"")"),"X'inhu l-ogħla sptar ta 'referenza fil-Ġermanja kollha?")</f>
        <v>X'inhu l-ogħla sptar ta 'referenza fil-Ġermanja kollha?</v>
      </c>
    </row>
    <row r="6358" ht="15.75" customHeight="1">
      <c r="A6358" s="2" t="s">
        <v>6358</v>
      </c>
      <c r="B6358" s="2" t="str">
        <f>IFERROR(__xludf.DUMMYFUNCTION("GOOGLETRANSLATE(A6358, ""en"", ""mt"")"),"Dgħajjes tal-fwar")</f>
        <v>Dgħajjes tal-fwar</v>
      </c>
    </row>
    <row r="6359" ht="15.75" customHeight="1">
      <c r="A6359" s="2" t="s">
        <v>6359</v>
      </c>
      <c r="B6359" s="2" t="str">
        <f>IFERROR(__xludf.DUMMYFUNCTION("GOOGLETRANSLATE(A6359, ""en"", ""mt"")"),"X’jagħmel l-Artikolu 107?")</f>
        <v>X’jagħmel l-Artikolu 107?</v>
      </c>
    </row>
    <row r="6360" ht="15.75" customHeight="1">
      <c r="A6360" s="2" t="s">
        <v>6360</v>
      </c>
      <c r="B6360" s="2" t="str">
        <f>IFERROR(__xludf.DUMMYFUNCTION("GOOGLETRANSLATE(A6360, ""en"", ""mt"")"),"Kummerċ ma 'Kostantinopli")</f>
        <v>Kummerċ ma 'Kostantinopli</v>
      </c>
    </row>
    <row r="6361" ht="15.75" customHeight="1">
      <c r="A6361" s="2" t="s">
        <v>6361</v>
      </c>
      <c r="B6361" s="2" t="str">
        <f>IFERROR(__xludf.DUMMYFUNCTION("GOOGLETRANSLATE(A6361, ""en"", ""mt"")"),"X’jikkostitwixxi 28.0% tal-atmosfera tad-Dinja?")</f>
        <v>X’jikkostitwixxi 28.0% tal-atmosfera tad-Dinja?</v>
      </c>
    </row>
    <row r="6362" ht="15.75" customHeight="1">
      <c r="A6362" s="2" t="s">
        <v>6362</v>
      </c>
      <c r="B6362" s="2" t="str">
        <f>IFERROR(__xludf.DUMMYFUNCTION("GOOGLETRANSLATE(A6362, ""en"", ""mt"")")," Matul liema era l-aztek u l-imperi incan ma jirnexxilhomx?")</f>
        <v> Matul liema era l-aztek u l-imperi incan ma jirnexxilhomx?</v>
      </c>
    </row>
    <row r="6363" ht="15.75" customHeight="1">
      <c r="A6363" s="2" t="s">
        <v>6363</v>
      </c>
      <c r="B6363" s="2" t="str">
        <f>IFERROR(__xludf.DUMMYFUNCTION("GOOGLETRANSLATE(A6363, ""en"", ""mt"")"),"Dak li ma kienx ċentrali għall-iżvilupp Ewropew mit-Trattat ta ’Ruma fl-1957?")</f>
        <v>Dak li ma kienx ċentrali għall-iżvilupp Ewropew mit-Trattat ta ’Ruma fl-1957?</v>
      </c>
    </row>
    <row r="6364" ht="15.75" customHeight="1">
      <c r="A6364" s="2" t="s">
        <v>6364</v>
      </c>
      <c r="B6364" s="2" t="str">
        <f>IFERROR(__xludf.DUMMYFUNCTION("GOOGLETRANSLATE(A6364, ""en"", ""mt"")"),"Harvey Wheeler x’għamlu lill-Ungeriżi?")</f>
        <v>Harvey Wheeler x’għamlu lill-Ungeriżi?</v>
      </c>
    </row>
    <row r="6365" ht="15.75" customHeight="1">
      <c r="A6365" s="2" t="s">
        <v>6365</v>
      </c>
      <c r="B6365" s="2" t="str">
        <f>IFERROR(__xludf.DUMMYFUNCTION("GOOGLETRANSLATE(A6365, ""en"", ""mt"")"),"X'inhi l-akbar skola medika f'Chopin?")</f>
        <v>X'inhi l-akbar skola medika f'Chopin?</v>
      </c>
    </row>
    <row r="6366" ht="15.75" customHeight="1">
      <c r="A6366" s="2" t="s">
        <v>6366</v>
      </c>
      <c r="B6366" s="2" t="str">
        <f>IFERROR(__xludf.DUMMYFUNCTION("GOOGLETRANSLATE(A6366, ""en"", ""mt"")"),"X'kienu l-vittmi tal-battalja?")</f>
        <v>X'kienu l-vittmi tal-battalja?</v>
      </c>
    </row>
    <row r="6367" ht="15.75" customHeight="1">
      <c r="A6367" s="2" t="s">
        <v>6367</v>
      </c>
      <c r="B6367" s="2" t="str">
        <f>IFERROR(__xludf.DUMMYFUNCTION("GOOGLETRANSLATE(A6367, ""en"", ""mt"")"),"Biex tevita interferenza ma 'stazzjonijiet tat-televiżjoni VHF eżistenti")</f>
        <v>Biex tevita interferenza ma 'stazzjonijiet tat-televiżjoni VHF eżistenti</v>
      </c>
    </row>
    <row r="6368" ht="15.75" customHeight="1">
      <c r="A6368" s="2" t="s">
        <v>6368</v>
      </c>
      <c r="B6368" s="2" t="str">
        <f>IFERROR(__xludf.DUMMYFUNCTION("GOOGLETRANSLATE(A6368, ""en"", ""mt"")"),"L-inugwaljanza kif tgħin it-tkabbir?")</f>
        <v>L-inugwaljanza kif tgħin it-tkabbir?</v>
      </c>
    </row>
    <row r="6369" ht="15.75" customHeight="1">
      <c r="A6369" s="2" t="s">
        <v>6369</v>
      </c>
      <c r="B6369" s="2" t="str">
        <f>IFERROR(__xludf.DUMMYFUNCTION("GOOGLETRANSLATE(A6369, ""en"", ""mt"")"),"Minn min kien il-moviment li Eliot segwa?")</f>
        <v>Minn min kien il-moviment li Eliot segwa?</v>
      </c>
    </row>
    <row r="6370" ht="15.75" customHeight="1">
      <c r="A6370" s="2" t="s">
        <v>6370</v>
      </c>
      <c r="B6370" s="2" t="str">
        <f>IFERROR(__xludf.DUMMYFUNCTION("GOOGLETRANSLATE(A6370, ""en"", ""mt"")"),"L-Alpi Vittorjani")</f>
        <v>L-Alpi Vittorjani</v>
      </c>
    </row>
    <row r="6371" ht="15.75" customHeight="1">
      <c r="A6371" s="2" t="s">
        <v>6371</v>
      </c>
      <c r="B6371" s="2" t="str">
        <f>IFERROR(__xludf.DUMMYFUNCTION("GOOGLETRANSLATE(A6371, ""en"", ""mt"")"),"X'impatt kellu l-moviment tal-edukazzjoni tal-iskola għolja fuq il-preżenza ta 'ħaddiema mhux kwalifikati?")</f>
        <v>X'impatt kellu l-moviment tal-edukazzjoni tal-iskola għolja fuq il-preżenza ta 'ħaddiema mhux kwalifikati?</v>
      </c>
    </row>
    <row r="6372" ht="15.75" customHeight="1">
      <c r="A6372" s="2" t="s">
        <v>6372</v>
      </c>
      <c r="B6372" s="2" t="str">
        <f>IFERROR(__xludf.DUMMYFUNCTION("GOOGLETRANSLATE(A6372, ""en"", ""mt"")"),"Immunoproteomics")</f>
        <v>Immunoproteomics</v>
      </c>
    </row>
    <row r="6373" ht="15.75" customHeight="1">
      <c r="A6373" s="2" t="s">
        <v>6373</v>
      </c>
      <c r="B6373" s="2" t="str">
        <f>IFERROR(__xludf.DUMMYFUNCTION("GOOGLETRANSLATE(A6373, ""en"", ""mt"")"),"Fl-1758 x'kien il-pjan ta 'Duc de Choiseul għal sforzi militari mhux iffokati?")</f>
        <v>Fl-1758 x'kien il-pjan ta 'Duc de Choiseul għal sforzi militari mhux iffokati?</v>
      </c>
    </row>
    <row r="6374" ht="15.75" customHeight="1">
      <c r="A6374" s="2" t="s">
        <v>6374</v>
      </c>
      <c r="B6374" s="2" t="str">
        <f>IFERROR(__xludf.DUMMYFUNCTION("GOOGLETRANSLATE(A6374, ""en"", ""mt"")"),"X’sejħilna Smedley Butler Politika Barranija?")</f>
        <v>X’sejħilna Smedley Butler Politika Barranija?</v>
      </c>
    </row>
    <row r="6375" ht="15.75" customHeight="1">
      <c r="A6375" s="2" t="s">
        <v>6375</v>
      </c>
      <c r="B6375" s="2" t="str">
        <f>IFERROR(__xludf.DUMMYFUNCTION("GOOGLETRANSLATE(A6375, ""en"", ""mt"")"),"kopertura mnaqqsa tal-veġetazzjoni tropikali niedja mnaqqsa")</f>
        <v>kopertura mnaqqsa tal-veġetazzjoni tropikali niedja mnaqqsa</v>
      </c>
    </row>
    <row r="6376" ht="15.75" customHeight="1">
      <c r="A6376" s="2" t="s">
        <v>6376</v>
      </c>
      <c r="B6376" s="2" t="str">
        <f>IFERROR(__xludf.DUMMYFUNCTION("GOOGLETRANSLATE(A6376, ""en"", ""mt"")"),"X'tip ta 'immunità m'għandhomx il-prokarioti?")</f>
        <v>X'tip ta 'immunità m'għandhomx il-prokarioti?</v>
      </c>
    </row>
    <row r="6377" ht="15.75" customHeight="1">
      <c r="A6377" s="2" t="s">
        <v>6377</v>
      </c>
      <c r="B6377" s="2" t="str">
        <f>IFERROR(__xludf.DUMMYFUNCTION("GOOGLETRANSLATE(A6377, ""en"", ""mt"")"),"Kif waslet il-Mewt l-Iswed għall-Mediterran u l-Ewropa?")</f>
        <v>Kif waslet il-Mewt l-Iswed għall-Mediterran u l-Ewropa?</v>
      </c>
    </row>
    <row r="6378" ht="15.75" customHeight="1">
      <c r="A6378" s="2" t="s">
        <v>6378</v>
      </c>
      <c r="B6378" s="2" t="str">
        <f>IFERROR(__xludf.DUMMYFUNCTION("GOOGLETRANSLATE(A6378, ""en"", ""mt"")"),"Għall-Konservattivi, id-diżappunt ewlieni kien it-telf ta 'Edinburgh Pentlands, is-sede tal-eks mexxej tal-partit David McLetchie, għall-SNP. McLetchie ġiet eletta fil-lista reġjonali Lothian u l-Konservattivi sofrew telf nett ta 'ħames siġġijiet, bil-mex"&amp;"xejja Annabel Goldie sostniet li l-appoġġ tagħhom kien kellu sod. Minkejja dan, hi wkoll ħabbret li kienet se tonqos bħala mexxej tal-partit. Cameron feraħ lill-SNP għar-rebħa tagħhom iżda wegħdet li tagħmel kampanja għall-Unjoni fir-referendum tal-Indipe"&amp;"ndenza.")</f>
        <v>Għall-Konservattivi, id-diżappunt ewlieni kien it-telf ta 'Edinburgh Pentlands, is-sede tal-eks mexxej tal-partit David McLetchie, għall-SNP. McLetchie ġiet eletta fil-lista reġjonali Lothian u l-Konservattivi sofrew telf nett ta 'ħames siġġijiet, bil-mexxejja Annabel Goldie sostniet li l-appoġġ tagħhom kien kellu sod. Minkejja dan, hi wkoll ħabbret li kienet se tonqos bħala mexxej tal-partit. Cameron feraħ lill-SNP għar-rebħa tagħhom iżda wegħdet li tagħmel kampanja għall-Unjoni fir-referendum tal-Indipendenza.</v>
      </c>
    </row>
    <row r="6379" ht="15.75" customHeight="1">
      <c r="A6379" s="2" t="s">
        <v>6379</v>
      </c>
      <c r="B6379" s="2" t="str">
        <f>IFERROR(__xludf.DUMMYFUNCTION("GOOGLETRANSLATE(A6379, ""en"", ""mt"")"),"Tnaqqis fid-domanda tal-Punent")</f>
        <v>Tnaqqis fid-domanda tal-Punent</v>
      </c>
    </row>
    <row r="6380" ht="15.75" customHeight="1">
      <c r="A6380" s="2" t="s">
        <v>6380</v>
      </c>
      <c r="B6380" s="2" t="str">
        <f>IFERROR(__xludf.DUMMYFUNCTION("GOOGLETRANSLATE(A6380, ""en"", ""mt"")"),"Meta Henry ħareġ l-editt ta 'Nantes?")</f>
        <v>Meta Henry ħareġ l-editt ta 'Nantes?</v>
      </c>
    </row>
    <row r="6381" ht="15.75" customHeight="1">
      <c r="A6381" s="2" t="s">
        <v>6381</v>
      </c>
      <c r="B6381" s="2" t="str">
        <f>IFERROR(__xludf.DUMMYFUNCTION("GOOGLETRANSLATE(A6381, ""en"", ""mt"")"),"Frodi")</f>
        <v>Frodi</v>
      </c>
    </row>
    <row r="6382" ht="15.75" customHeight="1">
      <c r="A6382" s="2" t="s">
        <v>6382</v>
      </c>
      <c r="B6382" s="2" t="str">
        <f>IFERROR(__xludf.DUMMYFUNCTION("GOOGLETRANSLATE(A6382, ""en"", ""mt"")"),"Liema difett jista 'jipproduċi avveniment ta' kobor 8.7?")</f>
        <v>Liema difett jista 'jipproduċi avveniment ta' kobor 8.7?</v>
      </c>
    </row>
    <row r="6383" ht="15.75" customHeight="1">
      <c r="A6383" s="2" t="s">
        <v>6383</v>
      </c>
      <c r="B6383" s="2" t="str">
        <f>IFERROR(__xludf.DUMMYFUNCTION("GOOGLETRANSLATE(A6383, ""en"", ""mt"")"),"Tliet kmamar tal-piż")</f>
        <v>Tliet kmamar tal-piż</v>
      </c>
    </row>
    <row r="6384" ht="15.75" customHeight="1">
      <c r="A6384" s="2" t="s">
        <v>6384</v>
      </c>
      <c r="B6384" s="2" t="str">
        <f>IFERROR(__xludf.DUMMYFUNCTION("GOOGLETRANSLATE(A6384, ""en"", ""mt"")"),"eħfef")</f>
        <v>eħfef</v>
      </c>
    </row>
    <row r="6385" ht="15.75" customHeight="1">
      <c r="A6385" s="2" t="s">
        <v>6385</v>
      </c>
      <c r="B6385" s="2" t="str">
        <f>IFERROR(__xludf.DUMMYFUNCTION("GOOGLETRANSLATE(A6385, ""en"", ""mt"")"),"Liema kosta tinsab id-deżert?")</f>
        <v>Liema kosta tinsab id-deżert?</v>
      </c>
    </row>
    <row r="6386" ht="15.75" customHeight="1">
      <c r="A6386" s="2" t="s">
        <v>6386</v>
      </c>
      <c r="B6386" s="2" t="str">
        <f>IFERROR(__xludf.DUMMYFUNCTION("GOOGLETRANSLATE(A6386, ""en"", ""mt"")"),"Min ikkonkluda li d-distakk fl-inugwaljanza tad-dħul li qed jiżdied ma kienx qed jitjieb?")</f>
        <v>Min ikkonkluda li d-distakk fl-inugwaljanza tad-dħul li qed jiżdied ma kienx qed jitjieb?</v>
      </c>
    </row>
    <row r="6387" ht="15.75" customHeight="1">
      <c r="A6387" s="2" t="s">
        <v>6387</v>
      </c>
      <c r="B6387" s="2" t="str">
        <f>IFERROR(__xludf.DUMMYFUNCTION("GOOGLETRANSLATE(A6387, ""en"", ""mt"")"),"importanza dejjem tiżdied tal-kapital uman")</f>
        <v>importanza dejjem tiżdied tal-kapital uman</v>
      </c>
    </row>
    <row r="6388" ht="15.75" customHeight="1">
      <c r="A6388" s="2" t="s">
        <v>6388</v>
      </c>
      <c r="B6388" s="2" t="str">
        <f>IFERROR(__xludf.DUMMYFUNCTION("GOOGLETRANSLATE(A6388, ""en"", ""mt"")"),"Fluss ta 'ilma ma jistax jitqies bħala artifact ta' xiex?")</f>
        <v>Fluss ta 'ilma ma jistax jitqies bħala artifact ta' xiex?</v>
      </c>
    </row>
    <row r="6389" ht="15.75" customHeight="1">
      <c r="A6389" s="2" t="s">
        <v>6389</v>
      </c>
      <c r="B6389" s="2" t="str">
        <f>IFERROR(__xludf.DUMMYFUNCTION("GOOGLETRANSLATE(A6389, ""en"", ""mt"")"),"Attakk fuq il-kapitali l-ġdida ta 'Franza, Quebec")</f>
        <v>Attakk fuq il-kapitali l-ġdida ta 'Franza, Quebec</v>
      </c>
    </row>
    <row r="6390" ht="15.75" customHeight="1">
      <c r="A6390" s="2" t="s">
        <v>6390</v>
      </c>
      <c r="B6390" s="2" t="str">
        <f>IFERROR(__xludf.DUMMYFUNCTION("GOOGLETRANSLATE(A6390, ""en"", ""mt"")"),"Kontijiet tat-TV Sky")</f>
        <v>Kontijiet tat-TV Sky</v>
      </c>
    </row>
    <row r="6391" ht="15.75" customHeight="1">
      <c r="A6391" s="2" t="s">
        <v>6391</v>
      </c>
      <c r="B6391" s="2" t="str">
        <f>IFERROR(__xludf.DUMMYFUNCTION("GOOGLETRANSLATE(A6391, ""en"", ""mt"")"),"Għaliex ir-Royal Society ħasbet li d-Dinja kienet eqdem milli kien maħsub qabel?")</f>
        <v>Għaliex ir-Royal Society ħasbet li d-Dinja kienet eqdem milli kien maħsub qabel?</v>
      </c>
    </row>
    <row r="6392" ht="15.75" customHeight="1">
      <c r="A6392" s="2" t="s">
        <v>6392</v>
      </c>
      <c r="B6392" s="2" t="str">
        <f>IFERROR(__xludf.DUMMYFUNCTION("GOOGLETRANSLATE(A6392, ""en"", ""mt"")"),"X'inhi l-ewwel linja ta 'difiża kontra patoġeni li ma tħallihomx jidħlu f'organiżmu?")</f>
        <v>X'inhi l-ewwel linja ta 'difiża kontra patoġeni li ma tħallihomx jidħlu f'organiżmu?</v>
      </c>
    </row>
    <row r="6393" ht="15.75" customHeight="1">
      <c r="A6393" s="2" t="s">
        <v>6393</v>
      </c>
      <c r="B6393" s="2" t="str">
        <f>IFERROR(__xludf.DUMMYFUNCTION("GOOGLETRANSLATE(A6393, ""en"", ""mt"")"),"cyclosporin")</f>
        <v>cyclosporin</v>
      </c>
    </row>
    <row r="6394" ht="15.75" customHeight="1">
      <c r="A6394" s="2" t="s">
        <v>6394</v>
      </c>
      <c r="B6394" s="2" t="str">
        <f>IFERROR(__xludf.DUMMYFUNCTION("GOOGLETRANSLATE(A6394, ""en"", ""mt"")"),"Diżubbidjenza ċivili")</f>
        <v>Diżubbidjenza ċivili</v>
      </c>
    </row>
    <row r="6395" ht="15.75" customHeight="1">
      <c r="A6395" s="2" t="s">
        <v>6395</v>
      </c>
      <c r="B6395" s="2" t="str">
        <f>IFERROR(__xludf.DUMMYFUNCTION("GOOGLETRANSLATE(A6395, ""en"", ""mt"")"),"Min jista 'jkun fl-infurzar tal-liġi Vittorjan?")</f>
        <v>Min jista 'jkun fl-infurzar tal-liġi Vittorjan?</v>
      </c>
    </row>
    <row r="6396" ht="15.75" customHeight="1">
      <c r="A6396" s="2" t="s">
        <v>6396</v>
      </c>
      <c r="B6396" s="2" t="str">
        <f>IFERROR(__xludf.DUMMYFUNCTION("GOOGLETRANSLATE(A6396, ""en"", ""mt"")"),"X'jista 'jipproduċi l-ossiġnu kkonċentrat?")</f>
        <v>X'jista 'jipproduċi l-ossiġnu kkonċentrat?</v>
      </c>
    </row>
    <row r="6397" ht="15.75" customHeight="1">
      <c r="A6397" s="2" t="s">
        <v>6397</v>
      </c>
      <c r="B6397" s="2" t="str">
        <f>IFERROR(__xludf.DUMMYFUNCTION("GOOGLETRANSLATE(A6397, ""en"", ""mt"")"),"Iċ-ċelloli tal-qattiel naturali jirrikonoxxu ċelloli li għandhom ikunu mmirati minn kundizzjoni magħrufa bħala?")</f>
        <v>Iċ-ċelloli tal-qattiel naturali jirrikonoxxu ċelloli li għandhom ikunu mmirati minn kundizzjoni magħrufa bħala?</v>
      </c>
    </row>
    <row r="6398" ht="15.75" customHeight="1">
      <c r="A6398" s="2" t="s">
        <v>6398</v>
      </c>
      <c r="B6398" s="2" t="str">
        <f>IFERROR(__xludf.DUMMYFUNCTION("GOOGLETRANSLATE(A6398, ""en"", ""mt"")"),"Ċapta l-lobi tagħhom")</f>
        <v>Ċapta l-lobi tagħhom</v>
      </c>
    </row>
    <row r="6399" ht="15.75" customHeight="1">
      <c r="A6399" s="2" t="s">
        <v>6399</v>
      </c>
      <c r="B6399" s="2" t="str">
        <f>IFERROR(__xludf.DUMMYFUNCTION("GOOGLETRANSLATE(A6399, ""en"", ""mt"")"),"Bħala ""sieq"" muskolari")</f>
        <v>Bħala "sieq" muskolari</v>
      </c>
    </row>
    <row r="6400" ht="15.75" customHeight="1">
      <c r="A6400" s="2" t="s">
        <v>6400</v>
      </c>
      <c r="B6400" s="2" t="str">
        <f>IFERROR(__xludf.DUMMYFUNCTION("GOOGLETRANSLATE(A6400, ""en"", ""mt"")"),"Fil-mudell b'saffi tad-dinja, il-mantell għandu żewġ saffi taħtha. X'inhuma?")</f>
        <v>Fil-mudell b'saffi tad-dinja, il-mantell għandu żewġ saffi taħtha. X'inhuma?</v>
      </c>
    </row>
    <row r="6401" ht="15.75" customHeight="1">
      <c r="A6401" s="2" t="s">
        <v>6401</v>
      </c>
      <c r="B6401" s="2" t="str">
        <f>IFERROR(__xludf.DUMMYFUNCTION("GOOGLETRANSLATE(A6401, ""en"", ""mt"")"),"Għaliex l-istituzzjonijiet akkademiċi u ta 'riċerka kellhom bżonn l-għajnuna ta' NSF li jgħaqqdu ma 'Arpanet?")</f>
        <v>Għaliex l-istituzzjonijiet akkademiċi u ta 'riċerka kellhom bżonn l-għajnuna ta' NSF li jgħaqqdu ma 'Arpanet?</v>
      </c>
    </row>
    <row r="6402" ht="15.75" customHeight="1">
      <c r="A6402" s="2" t="s">
        <v>6402</v>
      </c>
      <c r="B6402" s="2" t="str">
        <f>IFERROR(__xludf.DUMMYFUNCTION("GOOGLETRANSLATE(A6402, ""en"", ""mt"")"),"""Huwa ż-żejt tal-Iskozja""")</f>
        <v>"Huwa ż-żejt tal-Iskozja"</v>
      </c>
    </row>
    <row r="6403" ht="15.75" customHeight="1">
      <c r="A6403" s="2" t="s">
        <v>6403</v>
      </c>
      <c r="B6403" s="2" t="str">
        <f>IFERROR(__xludf.DUMMYFUNCTION("GOOGLETRANSLATE(A6403, ""en"", ""mt"")"),"Liema avveniment ikun jeħtieġ li l-passiġġieri tal-ajru jkollhom bżonn provvista supplimentari ta 'ossiġnu?")</f>
        <v>Liema avveniment ikun jeħtieġ li l-passiġġieri tal-ajru jkollhom bżonn provvista supplimentari ta 'ossiġnu?</v>
      </c>
    </row>
    <row r="6404" ht="15.75" customHeight="1">
      <c r="A6404" s="2" t="s">
        <v>6404</v>
      </c>
      <c r="B6404" s="2" t="str">
        <f>IFERROR(__xludf.DUMMYFUNCTION("GOOGLETRANSLATE(A6404, ""en"", ""mt"")"),"Sal-1998, il-VBNs kibru biex jgħaqqdu aktar minn 100 università u istituzzjonijiet ta 'riċerka u inġinerija permezz ta '12 -il punt nazzjonali ta' preżenza ma 'DS-3")</f>
        <v>Sal-1998, il-VBNs kibru biex jgħaqqdu aktar minn 100 università u istituzzjonijiet ta 'riċerka u inġinerija permezz ta '12 -il punt nazzjonali ta' preżenza ma 'DS-3</v>
      </c>
    </row>
    <row r="6405" ht="15.75" customHeight="1">
      <c r="A6405" s="2" t="s">
        <v>6405</v>
      </c>
      <c r="B6405" s="2" t="str">
        <f>IFERROR(__xludf.DUMMYFUNCTION("GOOGLETRANSLATE(A6405, ""en"", ""mt"")"),"X'inhu 565 ° C il-limitu ta 'creep?")</f>
        <v>X'inhu 565 ° C il-limitu ta 'creep?</v>
      </c>
    </row>
    <row r="6406" ht="15.75" customHeight="1">
      <c r="A6406" s="2" t="s">
        <v>6406</v>
      </c>
      <c r="B6406" s="2" t="str">
        <f>IFERROR(__xludf.DUMMYFUNCTION("GOOGLETRANSLATE(A6406, ""en"", ""mt"")"),"Ibbażat fuq l-osservazzjoni tiegħu ta 'qxur ta' annimali fossili fi stratum ġeoloġiku f'muntanja mijiet ta 'mili mill-oċean")</f>
        <v>Ibbażat fuq l-osservazzjoni tiegħu ta 'qxur ta' annimali fossili fi stratum ġeoloġiku f'muntanja mijiet ta 'mili mill-oċean</v>
      </c>
    </row>
    <row r="6407" ht="15.75" customHeight="1">
      <c r="A6407" s="2" t="s">
        <v>6407</v>
      </c>
      <c r="B6407" s="2" t="str">
        <f>IFERROR(__xludf.DUMMYFUNCTION("GOOGLETRANSLATE(A6407, ""en"", ""mt"")"),"igneous")</f>
        <v>igneous</v>
      </c>
    </row>
    <row r="6408" ht="15.75" customHeight="1">
      <c r="A6408" s="2" t="s">
        <v>6408</v>
      </c>
      <c r="B6408" s="2" t="str">
        <f>IFERROR(__xludf.DUMMYFUNCTION("GOOGLETRANSLATE(A6408, ""en"", ""mt"")"),"Liema pajjiż kien imexxi California?")</f>
        <v>Liema pajjiż kien imexxi California?</v>
      </c>
    </row>
    <row r="6409" ht="15.75" customHeight="1">
      <c r="A6409" s="2" t="s">
        <v>6409</v>
      </c>
      <c r="B6409" s="2" t="str">
        <f>IFERROR(__xludf.DUMMYFUNCTION("GOOGLETRANSLATE(A6409, ""en"", ""mt"")"),"Għaliex -1 għandu jkun eskluż sabiex tiġi ppreservata l-uniċità tat-teorema fundamentali?")</f>
        <v>Għaliex -1 għandu jkun eskluż sabiex tiġi ppreservata l-uniċità tat-teorema fundamentali?</v>
      </c>
    </row>
    <row r="6410" ht="15.75" customHeight="1">
      <c r="A6410" s="2" t="s">
        <v>6410</v>
      </c>
      <c r="B6410" s="2" t="str">
        <f>IFERROR(__xludf.DUMMYFUNCTION("GOOGLETRANSLATE(A6410, ""en"", ""mt"")"),"L-Imperu Ruman")</f>
        <v>L-Imperu Ruman</v>
      </c>
    </row>
    <row r="6411" ht="15.75" customHeight="1">
      <c r="A6411" s="2" t="s">
        <v>6411</v>
      </c>
      <c r="B6411" s="2" t="str">
        <f>IFERROR(__xludf.DUMMYFUNCTION("GOOGLETRANSLATE(A6411, ""en"", ""mt"")"),"Laqgħat plenarji fil-kamra tad-dibattitu ġeneralment isiru nhar it-Tlieta wara nofsinhar mis-1pm għal xiex?")</f>
        <v>Laqgħat plenarji fil-kamra tad-dibattitu ġeneralment isiru nhar it-Tlieta wara nofsinhar mis-1pm għal xiex?</v>
      </c>
    </row>
    <row r="6412" ht="15.75" customHeight="1">
      <c r="A6412" s="2" t="s">
        <v>6412</v>
      </c>
      <c r="B6412" s="2" t="str">
        <f>IFERROR(__xludf.DUMMYFUNCTION("GOOGLETRANSLATE(A6412, ""en"", ""mt"")"),"Stadtholder William III ta 'Orange")</f>
        <v>Stadtholder William III ta 'Orange</v>
      </c>
    </row>
    <row r="6413" ht="15.75" customHeight="1">
      <c r="A6413" s="2" t="s">
        <v>6413</v>
      </c>
      <c r="B6413" s="2" t="str">
        <f>IFERROR(__xludf.DUMMYFUNCTION("GOOGLETRANSLATE(A6413, ""en"", ""mt"")"),"Meta dawn il-kolonizzaturi ġew naturalizzati bħala kolonisti Ingliżi?")</f>
        <v>Meta dawn il-kolonizzaturi ġew naturalizzati bħala kolonisti Ingliżi?</v>
      </c>
    </row>
    <row r="6414" ht="15.75" customHeight="1">
      <c r="A6414" s="2" t="s">
        <v>6414</v>
      </c>
      <c r="B6414" s="2" t="str">
        <f>IFERROR(__xludf.DUMMYFUNCTION("GOOGLETRANSLATE(A6414, ""en"", ""mt"")")," X’kienet ħalliet il-Gwerra Ċivili fl-Ekonomija tal-Istat tal-Iraq?")</f>
        <v> X’kienet ħalliet il-Gwerra Ċivili fl-Ekonomija tal-Istat tal-Iraq?</v>
      </c>
    </row>
    <row r="6415" ht="15.75" customHeight="1">
      <c r="A6415" s="2" t="s">
        <v>6415</v>
      </c>
      <c r="B6415" s="2" t="str">
        <f>IFERROR(__xludf.DUMMYFUNCTION("GOOGLETRANSLATE(A6415, ""en"", ""mt"")"),"Dak li jipproteġi l-istatocyst?")</f>
        <v>Dak li jipproteġi l-istatocyst?</v>
      </c>
    </row>
    <row r="6416" ht="15.75" customHeight="1">
      <c r="A6416" s="2" t="s">
        <v>6416</v>
      </c>
      <c r="B6416" s="2" t="str">
        <f>IFERROR(__xludf.DUMMYFUNCTION("GOOGLETRANSLATE(A6416, ""en"", ""mt"")"),"wieħed (jew aktar) tad-dipartimenti (jew ministeri) tal-gvern Skoċċiż")</f>
        <v>wieħed (jew aktar) tad-dipartimenti (jew ministeri) tal-gvern Skoċċiż</v>
      </c>
    </row>
    <row r="6417" ht="15.75" customHeight="1">
      <c r="A6417" s="2" t="s">
        <v>6417</v>
      </c>
      <c r="B6417" s="2" t="str">
        <f>IFERROR(__xludf.DUMMYFUNCTION("GOOGLETRANSLATE(A6417, ""en"", ""mt"")"),"32 ° C (90 ° F)")</f>
        <v>32 ° C (90 ° F)</v>
      </c>
    </row>
    <row r="6418" ht="15.75" customHeight="1">
      <c r="A6418" s="2" t="s">
        <v>6418</v>
      </c>
      <c r="B6418" s="2" t="str">
        <f>IFERROR(__xludf.DUMMYFUNCTION("GOOGLETRANSLATE(A6418, ""en"", ""mt"")"),"X'jikkawżaw mard mill-Afrika?")</f>
        <v>X'jikkawżaw mard mill-Afrika?</v>
      </c>
    </row>
    <row r="6419" ht="15.75" customHeight="1">
      <c r="A6419" s="2" t="s">
        <v>6419</v>
      </c>
      <c r="B6419" s="2" t="str">
        <f>IFERROR(__xludf.DUMMYFUNCTION("GOOGLETRANSLATE(A6419, ""en"", ""mt"")"),"ċirku ta 'kommutattiv Noetherjan")</f>
        <v>ċirku ta 'kommutattiv Noetherjan</v>
      </c>
    </row>
    <row r="6420" ht="15.75" customHeight="1">
      <c r="A6420" s="2" t="s">
        <v>6420</v>
      </c>
      <c r="B6420" s="2" t="str">
        <f>IFERROR(__xludf.DUMMYFUNCTION("GOOGLETRANSLATE(A6420, ""en"", ""mt"")"),"F'liema forma huwa ttrasportat l-ossiġnu f'kontenituri iżgħar?")</f>
        <v>F'liema forma huwa ttrasportat l-ossiġnu f'kontenituri iżgħar?</v>
      </c>
    </row>
    <row r="6421" ht="15.75" customHeight="1">
      <c r="A6421" s="2" t="s">
        <v>6421</v>
      </c>
      <c r="B6421" s="2" t="str">
        <f>IFERROR(__xludf.DUMMYFUNCTION("GOOGLETRANSLATE(A6421, ""en"", ""mt"")"),"jirrendu ċerti liġijiet ineffettivi")</f>
        <v>jirrendu ċerti liġijiet ineffettivi</v>
      </c>
    </row>
    <row r="6422" ht="15.75" customHeight="1">
      <c r="A6422" s="2" t="s">
        <v>6422</v>
      </c>
      <c r="B6422" s="2" t="str">
        <f>IFERROR(__xludf.DUMMYFUNCTION("GOOGLETRANSLATE(A6422, ""en"", ""mt"")"),"Computational_complexity_theory")</f>
        <v>Computational_complexity_theory</v>
      </c>
    </row>
    <row r="6423" ht="15.75" customHeight="1">
      <c r="A6423" s="2" t="s">
        <v>6423</v>
      </c>
      <c r="B6423" s="2" t="str">
        <f>IFERROR(__xludf.DUMMYFUNCTION("GOOGLETRANSLATE(A6423, ""en"", ""mt"")"),"X'inhu faċli dwar li tipprova limiti aktar baxxi?")</f>
        <v>X'inhu faċli dwar li tipprova limiti aktar baxxi?</v>
      </c>
    </row>
    <row r="6424" ht="15.75" customHeight="1">
      <c r="A6424" s="2" t="s">
        <v>6424</v>
      </c>
      <c r="B6424" s="2" t="str">
        <f>IFERROR(__xludf.DUMMYFUNCTION("GOOGLETRANSLATE(A6424, ""en"", ""mt"")"),"X'inhu l-forza ta 'reazzjoni tar-rebbiegħa fuq oġġett sospiż fuq skala ta' reazzjoni tar-rebbiegħa?")</f>
        <v>X'inhu l-forza ta 'reazzjoni tar-rebbiegħa fuq oġġett sospiż fuq skala ta' reazzjoni tar-rebbiegħa?</v>
      </c>
    </row>
    <row r="6425" ht="15.75" customHeight="1">
      <c r="A6425" s="2" t="s">
        <v>6425</v>
      </c>
      <c r="B6425" s="2" t="str">
        <f>IFERROR(__xludf.DUMMYFUNCTION("GOOGLETRANSLATE(A6425, ""en"", ""mt"")"),"Kemm kienet kbira l-propjetà ta ’Woodward b’kollox?")</f>
        <v>Kemm kienet kbira l-propjetà ta ’Woodward b’kollox?</v>
      </c>
    </row>
    <row r="6426" ht="15.75" customHeight="1">
      <c r="A6426" s="2" t="s">
        <v>6426</v>
      </c>
      <c r="B6426" s="2" t="str">
        <f>IFERROR(__xludf.DUMMYFUNCTION("GOOGLETRANSLATE(A6426, ""en"", ""mt"")"),"X'inhu terminu ieħor għal kompressjoni eċċessiva?")</f>
        <v>X'inhu terminu ieħor għal kompressjoni eċċessiva?</v>
      </c>
    </row>
    <row r="6427" ht="15.75" customHeight="1">
      <c r="A6427" s="2" t="s">
        <v>6427</v>
      </c>
      <c r="B6427" s="2" t="str">
        <f>IFERROR(__xludf.DUMMYFUNCTION("GOOGLETRANSLATE(A6427, ""en"", ""mt"")"),"Minbarra l-konsegwenzi negattivi taċ-ċaħda ta 'l-irqad, l-irqad u s-sistema ċirkadjana marbuta ma' xulxin intwerew li għandhom effetti regolatorji qawwija fuq funzjonijiet immunoloġiċi li jaffettwaw kemm l-immunità innata kif ukoll dawk adattivi. L-ewwel,"&amp;" matul l-istadju bikri tal-mewġ bil-mod, waqgħa f'daqqa fil-livelli tad-demm ta 'kortisol, epinefrina, u norepinefrina tikkawża żieda fil-livelli tad-demm tal-ormoni leptin, ormon tat-tkabbir pitwitarju, u prolactin. Dawn is-sinjali jinduċu stat pro-infja"&amp;"mmatorju permezz tal-produzzjoni taċ-ċitokini pro-infjammatorji interleukin-1, interleukin-12, TNF-alpha u IFN-gamma. Dawn iċ-ċitokini mbagħad jistimulaw funzjonijiet immuni bħall-attivazzjoni taċ-ċelloli immuni, il-proliferazzjoni, u d-differenzjazzjoni."&amp;" Huwa matul dan iż-żmien li ċelloli T mhux iddifferenzjati, jew inqas differenzjati, bħaċ-ċelloli T tal-memorja naïve u ċentrali (i.e. waqt żmien ta 'rispons immuni adattat li qed jevolvi bil-mod). Minbarra dawn l-effetti, l-ambjent ta 'ormoni prodotti f'"&amp;"dan il-ħin (leptin, ormon tat-tkabbir pitwitarju, u prolactin) jappoġġjaw l-interazzjonijiet bejn APCs u ċelloli T, bidla fil-bilanċ taċ-ċitokina Th1 / Th2 lejn wieħed li jappoġġja Th1, A Żieda fil-proliferazzjoni ġenerali taċ-ċelloli TH, u l-migrazzjoni "&amp;"taċ-ċelluli T naïve għal lymph nodes. Dan l-ambitu huwa maħsub ukoll li jappoġġja l-formazzjoni ta 'memorja immuni li ddum fit-tul permezz tal-bidu ta' risponsi immuni ta 'Th1.")</f>
        <v>Minbarra l-konsegwenzi negattivi taċ-ċaħda ta 'l-irqad, l-irqad u s-sistema ċirkadjana marbuta ma' xulxin intwerew li għandhom effetti regolatorji qawwija fuq funzjonijiet immunoloġiċi li jaffettwaw kemm l-immunità innata kif ukoll dawk adattivi. L-ewwel, matul l-istadju bikri tal-mewġ bil-mod, waqgħa f'daqqa fil-livelli tad-demm ta 'kortisol, epinefrina, u norepinefrina tikkawża żieda fil-livelli tad-demm tal-ormoni leptin, ormon tat-tkabbir pitwitarju, u prolactin. Dawn is-sinjali jinduċu stat pro-infjammatorju permezz tal-produzzjoni taċ-ċitokini pro-infjammatorji interleukin-1, interleukin-12, TNF-alpha u IFN-gamma. Dawn iċ-ċitokini mbagħad jistimulaw funzjonijiet immuni bħall-attivazzjoni taċ-ċelloli immuni, il-proliferazzjoni, u d-differenzjazzjoni. Huwa matul dan iż-żmien li ċelloli T mhux iddifferenzjati, jew inqas differenzjati, bħaċ-ċelloli T tal-memorja naïve u ċentrali (i.e. waqt żmien ta 'rispons immuni adattat li qed jevolvi bil-mod). Minbarra dawn l-effetti, l-ambjent ta 'ormoni prodotti f'dan il-ħin (leptin, ormon tat-tkabbir pitwitarju, u prolactin) jappoġġjaw l-interazzjonijiet bejn APCs u ċelloli T, bidla fil-bilanċ taċ-ċitokina Th1 / Th2 lejn wieħed li jappoġġja Th1, A Żieda fil-proliferazzjoni ġenerali taċ-ċelloli TH, u l-migrazzjoni taċ-ċelluli T naïve għal lymph nodes. Dan l-ambitu huwa maħsub ukoll li jappoġġja l-formazzjoni ta 'memorja immuni li ddum fit-tul permezz tal-bidu ta' risponsi immuni ta 'Th1.</v>
      </c>
    </row>
    <row r="6428" ht="15.75" customHeight="1">
      <c r="A6428" s="2" t="s">
        <v>6428</v>
      </c>
      <c r="B6428" s="2" t="str">
        <f>IFERROR(__xludf.DUMMYFUNCTION("GOOGLETRANSLATE(A6428, ""en"", ""mt"")"),"Kemm hemm kmamar kardjo fil-Pavillion Lavietes?")</f>
        <v>Kemm hemm kmamar kardjo fil-Pavillion Lavietes?</v>
      </c>
    </row>
    <row r="6429" ht="15.75" customHeight="1">
      <c r="A6429" s="2" t="s">
        <v>6429</v>
      </c>
      <c r="B6429" s="2" t="str">
        <f>IFERROR(__xludf.DUMMYFUNCTION("GOOGLETRANSLATE(A6429, ""en"", ""mt"")"),"F'kemm postijiet jinħażen l-ossiġnu fiċ-ċiklu tiegħu?")</f>
        <v>F'kemm postijiet jinħażen l-ossiġnu fiċ-ċiklu tiegħu?</v>
      </c>
    </row>
    <row r="6430" ht="15.75" customHeight="1">
      <c r="A6430" s="2" t="s">
        <v>6430</v>
      </c>
      <c r="B6430" s="2" t="str">
        <f>IFERROR(__xludf.DUMMYFUNCTION("GOOGLETRANSLATE(A6430, ""en"", ""mt"")"),"L-adozzjoni tat-taħlit kienet komuni għal unitajiet industrijali, għal magni tat-toroq u kważi universali għall-magni tal-baħar wara l-1880; Ma kienx popolari universalment fil-lokomottivi tal-ferrovija fejn spiss kien ikkunsidrat bħala kkumplikat. Dan hu"&amp;"wa parzjalment dovut għall-ambjent operattiv tal-ferrovija ħarxa u l-ispazju limitat mogħti mill-gauge tat-tagħbija (partikolarment fil-Gran Brittanja, fejn it-taħlit qatt ma kien komuni u mhux impjegat wara l-1930). Madankollu, għalkemm qatt fil-maġġoran"&amp;"za, kien popolari f'ħafna pajjiżi oħra.")</f>
        <v>L-adozzjoni tat-taħlit kienet komuni għal unitajiet industrijali, għal magni tat-toroq u kważi universali għall-magni tal-baħar wara l-1880; Ma kienx popolari universalment fil-lokomottivi tal-ferrovija fejn spiss kien ikkunsidrat bħala kkumplikat. Dan huwa parzjalment dovut għall-ambjent operattiv tal-ferrovija ħarxa u l-ispazju limitat mogħti mill-gauge tat-tagħbija (partikolarment fil-Gran Brittanja, fejn it-taħlit qatt ma kien komuni u mhux impjegat wara l-1930). Madankollu, għalkemm qatt fil-maġġoranza, kien popolari f'ħafna pajjiżi oħra.</v>
      </c>
    </row>
    <row r="6431" ht="15.75" customHeight="1">
      <c r="A6431" s="2" t="s">
        <v>6431</v>
      </c>
      <c r="B6431" s="2" t="str">
        <f>IFERROR(__xludf.DUMMYFUNCTION("GOOGLETRANSLATE(A6431, ""en"", ""mt"")"),"O (n2)")</f>
        <v>O (n2)</v>
      </c>
    </row>
    <row r="6432" ht="15.75" customHeight="1">
      <c r="A6432" s="2" t="s">
        <v>6432</v>
      </c>
      <c r="B6432" s="2" t="str">
        <f>IFERROR(__xludf.DUMMYFUNCTION("GOOGLETRANSLATE(A6432, ""en"", ""mt"")"),"Kemm stadji ta 'espansjoni jintużaw mill-magna ta' espansjoni tripla?")</f>
        <v>Kemm stadji ta 'espansjoni jintużaw mill-magna ta' espansjoni tripla?</v>
      </c>
    </row>
    <row r="6433" ht="15.75" customHeight="1">
      <c r="A6433" s="2" t="s">
        <v>6433</v>
      </c>
      <c r="B6433" s="2" t="str">
        <f>IFERROR(__xludf.DUMMYFUNCTION("GOOGLETRANSLATE(A6433, ""en"", ""mt"")"),"Taħt il-qasam Stagg tal-università")</f>
        <v>Taħt il-qasam Stagg tal-università</v>
      </c>
    </row>
    <row r="6434" ht="15.75" customHeight="1">
      <c r="A6434" s="2" t="s">
        <v>6434</v>
      </c>
      <c r="B6434" s="2" t="str">
        <f>IFERROR(__xludf.DUMMYFUNCTION("GOOGLETRANSLATE(A6434, ""en"", ""mt"")"),"X'inhu l-inqas tip ta 'tnaqqis użat?")</f>
        <v>X'inhu l-inqas tip ta 'tnaqqis użat?</v>
      </c>
    </row>
    <row r="6435" ht="15.75" customHeight="1">
      <c r="A6435" s="2" t="s">
        <v>6435</v>
      </c>
      <c r="B6435" s="2" t="str">
        <f>IFERROR(__xludf.DUMMYFUNCTION("GOOGLETRANSLATE(A6435, ""en"", ""mt"")"),"F'liema baħar il-kopepodi ġew rilaxxati b'mod aċċidentali?")</f>
        <v>F'liema baħar il-kopepodi ġew rilaxxati b'mod aċċidentali?</v>
      </c>
    </row>
    <row r="6436" ht="15.75" customHeight="1">
      <c r="A6436" s="2" t="s">
        <v>6436</v>
      </c>
      <c r="B6436" s="2" t="str">
        <f>IFERROR(__xludf.DUMMYFUNCTION("GOOGLETRANSLATE(A6436, ""en"", ""mt"")"),"X'inhi applikazzjoni notevoli ta 'injetturi llum?")</f>
        <v>X'inhi applikazzjoni notevoli ta 'injetturi llum?</v>
      </c>
    </row>
    <row r="6437" ht="15.75" customHeight="1">
      <c r="A6437" s="2" t="s">
        <v>6437</v>
      </c>
      <c r="B6437" s="2" t="str">
        <f>IFERROR(__xludf.DUMMYFUNCTION("GOOGLETRANSLATE(A6437, ""en"", ""mt"")"),"X'waqfet kwistjoni importanti fl-identità nazzjonali Skoċċiża għal ħafna snin?")</f>
        <v>X'waqfet kwistjoni importanti fl-identità nazzjonali Skoċċiża għal ħafna snin?</v>
      </c>
    </row>
    <row r="6438" ht="15.75" customHeight="1">
      <c r="A6438" s="2" t="s">
        <v>6438</v>
      </c>
      <c r="B6438" s="2" t="str">
        <f>IFERROR(__xludf.DUMMYFUNCTION("GOOGLETRANSLATE(A6438, ""en"", ""mt"")"),"X'inhu kunċett ġenerali ieħor li japplika għal elementi ta 'ċrieki kommutattivi?")</f>
        <v>X'inhu kunċett ġenerali ieħor li japplika għal elementi ta 'ċrieki kommutattivi?</v>
      </c>
    </row>
    <row r="6439" ht="15.75" customHeight="1">
      <c r="A6439" s="2" t="s">
        <v>6439</v>
      </c>
      <c r="B6439" s="2" t="str">
        <f>IFERROR(__xludf.DUMMYFUNCTION("GOOGLETRANSLATE(A6439, ""en"", ""mt"")"),"L-introduzzjoni aċċidentali tal-Mnemiopsis li tiekol l-Amerika ta ’Fuq Ctenophore Beroe Ovata, u permezz ta’ tkessiħ tal-klima lokali mill-1991 sal-1993")</f>
        <v>L-introduzzjoni aċċidentali tal-Mnemiopsis li tiekol l-Amerika ta ’Fuq Ctenophore Beroe Ovata, u permezz ta’ tkessiħ tal-klima lokali mill-1991 sal-1993</v>
      </c>
    </row>
    <row r="6440" ht="15.75" customHeight="1">
      <c r="A6440" s="2" t="s">
        <v>6440</v>
      </c>
      <c r="B6440" s="2" t="str">
        <f>IFERROR(__xludf.DUMMYFUNCTION("GOOGLETRANSLATE(A6440, ""en"", ""mt"")"),"X'kienet it-twemmin li ż-żamma tal-moviment kienet teħtieġ il-forza?")</f>
        <v>X'kienet it-twemmin li ż-żamma tal-moviment kienet teħtieġ il-forza?</v>
      </c>
    </row>
    <row r="6441" ht="15.75" customHeight="1">
      <c r="A6441" s="2" t="s">
        <v>6441</v>
      </c>
      <c r="B6441" s="2" t="str">
        <f>IFERROR(__xludf.DUMMYFUNCTION("GOOGLETRANSLATE(A6441, ""en"", ""mt"")"),"Kemm mill-popolazzjoni fil-Lvant Nofsani mietet bil-pesta?")</f>
        <v>Kemm mill-popolazzjoni fil-Lvant Nofsani mietet bil-pesta?</v>
      </c>
    </row>
    <row r="6442" ht="15.75" customHeight="1">
      <c r="A6442" s="2" t="s">
        <v>6442</v>
      </c>
      <c r="B6442" s="2" t="str">
        <f>IFERROR(__xludf.DUMMYFUNCTION("GOOGLETRANSLATE(A6442, ""en"", ""mt"")"),"patoġeni, allograft")</f>
        <v>patoġeni, allograft</v>
      </c>
    </row>
    <row r="6443" ht="15.75" customHeight="1">
      <c r="A6443" s="2" t="s">
        <v>6443</v>
      </c>
      <c r="B6443" s="2" t="str">
        <f>IFERROR(__xludf.DUMMYFUNCTION("GOOGLETRANSLATE(A6443, ""en"", ""mt"")"),"Min kiteb il-poeżija The Mark of Anarchy?")</f>
        <v>Min kiteb il-poeżija The Mark of Anarchy?</v>
      </c>
    </row>
    <row r="6444" ht="15.75" customHeight="1">
      <c r="A6444" s="2" t="s">
        <v>6444</v>
      </c>
      <c r="B6444" s="2" t="str">
        <f>IFERROR(__xludf.DUMMYFUNCTION("GOOGLETRANSLATE(A6444, ""en"", ""mt"")"),"Skond it-teorija, xi jfisser l-isem ""Huguenot""?")</f>
        <v>Skond it-teorija, xi jfisser l-isem "Huguenot"?</v>
      </c>
    </row>
    <row r="6445" ht="15.75" customHeight="1">
      <c r="A6445" s="2" t="s">
        <v>6445</v>
      </c>
      <c r="B6445" s="2" t="str">
        <f>IFERROR(__xludf.DUMMYFUNCTION("GOOGLETRANSLATE(A6445, ""en"", ""mt"")"),"Liema sena twieled Casimir Pulaski f'Varsavja?")</f>
        <v>Liema sena twieled Casimir Pulaski f'Varsavja?</v>
      </c>
    </row>
    <row r="6446" ht="15.75" customHeight="1">
      <c r="A6446" s="2" t="s">
        <v>6446</v>
      </c>
      <c r="B6446" s="2" t="str">
        <f>IFERROR(__xludf.DUMMYFUNCTION("GOOGLETRANSLATE(A6446, ""en"", ""mt"")"),"persuna jew grupp ta 'nies")</f>
        <v>persuna jew grupp ta 'nies</v>
      </c>
    </row>
    <row r="6447" ht="15.75" customHeight="1">
      <c r="A6447" s="2" t="s">
        <v>6447</v>
      </c>
      <c r="B6447" s="2" t="str">
        <f>IFERROR(__xludf.DUMMYFUNCTION("GOOGLETRANSLATE(A6447, ""en"", ""mt"")"),"is-sistema umoristika tagħha")</f>
        <v>is-sistema umoristika tagħha</v>
      </c>
    </row>
    <row r="6448" ht="15.75" customHeight="1">
      <c r="A6448" s="2" t="s">
        <v>6448</v>
      </c>
      <c r="B6448" s="2" t="str">
        <f>IFERROR(__xludf.DUMMYFUNCTION("GOOGLETRANSLATE(A6448, ""en"", ""mt"")"),"X'għandu juża regolarment il-kodifikazzjoni tal-input bħala l-għażla konkreta tiegħu?")</f>
        <v>X'għandu juża regolarment il-kodifikazzjoni tal-input bħala l-għażla konkreta tiegħu?</v>
      </c>
    </row>
    <row r="6449" ht="15.75" customHeight="1">
      <c r="A6449" s="2" t="s">
        <v>6449</v>
      </c>
      <c r="B6449" s="2" t="str">
        <f>IFERROR(__xludf.DUMMYFUNCTION("GOOGLETRANSLATE(A6449, ""en"", ""mt"")"),"Ir-reġjun ċentrali")</f>
        <v>Ir-reġjun ċentrali</v>
      </c>
    </row>
    <row r="6450" ht="15.75" customHeight="1">
      <c r="A6450" s="2" t="s">
        <v>6450</v>
      </c>
      <c r="B6450" s="2" t="str">
        <f>IFERROR(__xludf.DUMMYFUNCTION("GOOGLETRANSLATE(A6450, ""en"", ""mt"")"),"Kemm hemm irziezet fir-Rabat?")</f>
        <v>Kemm hemm irziezet fir-Rabat?</v>
      </c>
    </row>
    <row r="6451" ht="15.75" customHeight="1">
      <c r="A6451" s="2" t="s">
        <v>6451</v>
      </c>
      <c r="B6451" s="2" t="str">
        <f>IFERROR(__xludf.DUMMYFUNCTION("GOOGLETRANSLATE(A6451, ""en"", ""mt"")"),"X'kien il-proporzjon ta 'Huguenots għall-Kattoliċi fil-quċċata tagħhom?")</f>
        <v>X'kien il-proporzjon ta 'Huguenots għall-Kattoliċi fil-quċċata tagħhom?</v>
      </c>
    </row>
    <row r="6452" ht="15.75" customHeight="1">
      <c r="A6452" s="2" t="s">
        <v>6452</v>
      </c>
      <c r="B6452" s="2" t="str">
        <f>IFERROR(__xludf.DUMMYFUNCTION("GOOGLETRANSLATE(A6452, ""en"", ""mt"")"),"Wid [en] l-għażliet tan-nies u l-livell tal-benesseri miksub tagħhom")</f>
        <v>Wid [en] l-għażliet tan-nies u l-livell tal-benesseri miksub tagħhom</v>
      </c>
    </row>
    <row r="6453" ht="15.75" customHeight="1">
      <c r="A6453" s="2" t="s">
        <v>6453</v>
      </c>
      <c r="B6453" s="2" t="str">
        <f>IFERROR(__xludf.DUMMYFUNCTION("GOOGLETRANSLATE(A6453, ""en"", ""mt"")"),"Wara liema battalja l-forzi tal-unjoni ħallew lil Jacksonville għall-ġid?")</f>
        <v>Wara liema battalja l-forzi tal-unjoni ħallew lil Jacksonville għall-ġid?</v>
      </c>
    </row>
    <row r="6454" ht="15.75" customHeight="1">
      <c r="A6454" s="2" t="s">
        <v>6454</v>
      </c>
      <c r="B6454" s="2" t="str">
        <f>IFERROR(__xludf.DUMMYFUNCTION("GOOGLETRANSLATE(A6454, ""en"", ""mt"")"),"L-agħar problemi fl-NP jistgħu jiġu miktuba b'mod analogu bħala liema klassi ta 'problemi?")</f>
        <v>L-agħar problemi fl-NP jistgħu jiġu miktuba b'mod analogu bħala liema klassi ta 'problemi?</v>
      </c>
    </row>
    <row r="6455" ht="15.75" customHeight="1">
      <c r="A6455" s="2" t="s">
        <v>6455</v>
      </c>
      <c r="B6455" s="2" t="str">
        <f>IFERROR(__xludf.DUMMYFUNCTION("GOOGLETRANSLATE(A6455, ""en"", ""mt"")"),"X'kien Huihui?")</f>
        <v>X'kien Huihui?</v>
      </c>
    </row>
    <row r="6456" ht="15.75" customHeight="1">
      <c r="A6456" s="2" t="s">
        <v>6456</v>
      </c>
      <c r="B6456" s="2" t="str">
        <f>IFERROR(__xludf.DUMMYFUNCTION("GOOGLETRANSLATE(A6456, ""en"", ""mt"")"),"Des Moines College, Kalamazoo College, Butler University, u Stetson University")</f>
        <v>Des Moines College, Kalamazoo College, Butler University, u Stetson University</v>
      </c>
    </row>
    <row r="6457" ht="15.75" customHeight="1">
      <c r="A6457" s="2" t="s">
        <v>6457</v>
      </c>
      <c r="B6457" s="2" t="str">
        <f>IFERROR(__xludf.DUMMYFUNCTION("GOOGLETRANSLATE(A6457, ""en"", ""mt"")"),"11 mit-12-il stat membru dak iż-żmien")</f>
        <v>11 mit-12-il stat membru dak iż-żmien</v>
      </c>
    </row>
    <row r="6458" ht="15.75" customHeight="1">
      <c r="A6458" s="2" t="s">
        <v>6458</v>
      </c>
      <c r="B6458" s="2" t="str">
        <f>IFERROR(__xludf.DUMMYFUNCTION("GOOGLETRANSLATE(A6458, ""en"", ""mt"")"),"L-iben il-kbir tiegħu, Zhenjin")</f>
        <v>L-iben il-kbir tiegħu, Zhenjin</v>
      </c>
    </row>
    <row r="6459" ht="15.75" customHeight="1">
      <c r="A6459" s="2" t="s">
        <v>6459</v>
      </c>
      <c r="B6459" s="2" t="str">
        <f>IFERROR(__xludf.DUMMYFUNCTION("GOOGLETRANSLATE(A6459, ""en"", ""mt"")"),"90 sa 95")</f>
        <v>90 sa 95</v>
      </c>
    </row>
    <row r="6460" ht="15.75" customHeight="1">
      <c r="A6460" s="2" t="s">
        <v>6460</v>
      </c>
      <c r="B6460" s="2" t="str">
        <f>IFERROR(__xludf.DUMMYFUNCTION("GOOGLETRANSLATE(A6460, ""en"", ""mt"")"),"Liema jqanqal rispons bil-mod ta 'qtil?")</f>
        <v>Liema jqanqal rispons bil-mod ta 'qtil?</v>
      </c>
    </row>
    <row r="6461" ht="15.75" customHeight="1">
      <c r="A6461" s="2" t="s">
        <v>6461</v>
      </c>
      <c r="B6461" s="2" t="str">
        <f>IFERROR(__xludf.DUMMYFUNCTION("GOOGLETRANSLATE(A6461, ""en"", ""mt"")"),"Awturi Richard Wilkinson u Kate Pickett")</f>
        <v>Awturi Richard Wilkinson u Kate Pickett</v>
      </c>
    </row>
    <row r="6462" ht="15.75" customHeight="1">
      <c r="A6462" s="2" t="s">
        <v>6462</v>
      </c>
      <c r="B6462" s="2" t="str">
        <f>IFERROR(__xludf.DUMMYFUNCTION("GOOGLETRANSLATE(A6462, ""en"", ""mt"")"),"Liema teorema tista 'tiġi ssimplifikata għat-teorema tal-ideali ewlenin?")</f>
        <v>Liema teorema tista 'tiġi ssimplifikata għat-teorema tal-ideali ewlenin?</v>
      </c>
    </row>
    <row r="6463" ht="15.75" customHeight="1">
      <c r="A6463" s="2" t="s">
        <v>6463</v>
      </c>
      <c r="B6463" s="2" t="str">
        <f>IFERROR(__xludf.DUMMYFUNCTION("GOOGLETRANSLATE(A6463, ""en"", ""mt"")"),"Meta ma kinitx il-Gwerra Franċiża u Indjana?")</f>
        <v>Meta ma kinitx il-Gwerra Franċiża u Indjana?</v>
      </c>
    </row>
    <row r="6464" ht="15.75" customHeight="1">
      <c r="A6464" s="2" t="s">
        <v>6464</v>
      </c>
      <c r="B6464" s="2" t="str">
        <f>IFERROR(__xludf.DUMMYFUNCTION("GOOGLETRANSLATE(A6464, ""en"", ""mt"")"),"Liema oqsma jħobbu jgħixu l-kopepodi?")</f>
        <v>Liema oqsma jħobbu jgħixu l-kopepodi?</v>
      </c>
    </row>
    <row r="6465" ht="15.75" customHeight="1">
      <c r="A6465" s="2" t="s">
        <v>6465</v>
      </c>
      <c r="B6465" s="2" t="str">
        <f>IFERROR(__xludf.DUMMYFUNCTION("GOOGLETRANSLATE(A6465, ""en"", ""mt"")"),"Madwar 20 siegħa")</f>
        <v>Madwar 20 siegħa</v>
      </c>
    </row>
    <row r="6466" ht="15.75" customHeight="1">
      <c r="A6466" s="2" t="s">
        <v>6466</v>
      </c>
      <c r="B6466" s="2" t="str">
        <f>IFERROR(__xludf.DUMMYFUNCTION("GOOGLETRANSLATE(A6466, ""en"", ""mt"")"),"Fejn skont il-prodott tal-istat gross il-Victoria tikklassifika fl-Awstralja?")</f>
        <v>Fejn skont il-prodott tal-istat gross il-Victoria tikklassifika fl-Awstralja?</v>
      </c>
    </row>
    <row r="6467" ht="15.75" customHeight="1">
      <c r="A6467" s="2" t="s">
        <v>6467</v>
      </c>
      <c r="B6467" s="2" t="str">
        <f>IFERROR(__xludf.DUMMYFUNCTION("GOOGLETRANSLATE(A6467, ""en"", ""mt"")"),"Bosta strutturi tal-proġett jistgħu jgħinu lis-sid f'din l-integrazzjoni, inklużi l-bini tad-disinn, is-sħubija u l-ġestjoni tal-kostruzzjoni. B'mod ġenerali, kull waħda minn dawn l-istrutturi tal-proġett tippermetti lis-sid jintegra s-servizzi ta 'periti"&amp;", disinjaturi interni, inġiniera u kostrutturi matul id-disinn u l-kostruzzjoni. Bi tweġiba, ħafna kumpaniji qed jikbru lil hinn mill-offerti tradizzjonali tad-disinn jew servizzi ta 'kostruzzjoni waħedhom u qed ipoġġu aktar enfasi fuq l-istabbiliment ta'"&amp;" relazzjonijiet ma 'parteċipanti oħra meħtieġa permezz tal-proċess tal-bini tad-disinn.")</f>
        <v>Bosta strutturi tal-proġett jistgħu jgħinu lis-sid f'din l-integrazzjoni, inklużi l-bini tad-disinn, is-sħubija u l-ġestjoni tal-kostruzzjoni. B'mod ġenerali, kull waħda minn dawn l-istrutturi tal-proġett tippermetti lis-sid jintegra s-servizzi ta 'periti, disinjaturi interni, inġiniera u kostrutturi matul id-disinn u l-kostruzzjoni. Bi tweġiba, ħafna kumpaniji qed jikbru lil hinn mill-offerti tradizzjonali tad-disinn jew servizzi ta 'kostruzzjoni waħedhom u qed ipoġġu aktar enfasi fuq l-istabbiliment ta' relazzjonijiet ma 'parteċipanti oħra meħtieġa permezz tal-proċess tal-bini tad-disinn.</v>
      </c>
    </row>
    <row r="6468" ht="15.75" customHeight="1">
      <c r="A6468" s="2" t="s">
        <v>6468</v>
      </c>
      <c r="B6468" s="2" t="str">
        <f>IFERROR(__xludf.DUMMYFUNCTION("GOOGLETRANSLATE(A6468, ""en"", ""mt"")"),"Liema kontej huma konnessi ma 'Los Angeles, Ventura, u San Bernardino b'linja waħda?")</f>
        <v>Liema kontej huma konnessi ma 'Los Angeles, Ventura, u San Bernardino b'linja waħda?</v>
      </c>
    </row>
    <row r="6469" ht="15.75" customHeight="1">
      <c r="A6469" s="2" t="s">
        <v>6469</v>
      </c>
      <c r="B6469" s="2" t="str">
        <f>IFERROR(__xludf.DUMMYFUNCTION("GOOGLETRANSLATE(A6469, ""en"", ""mt"")"),"l-iżgħar subfield")</f>
        <v>l-iżgħar subfield</v>
      </c>
    </row>
    <row r="6470" ht="15.75" customHeight="1">
      <c r="A6470" s="2" t="s">
        <v>6470</v>
      </c>
      <c r="B6470" s="2" t="str">
        <f>IFERROR(__xludf.DUMMYFUNCTION("GOOGLETRANSLATE(A6470, ""en"", ""mt"")"),"Ewropa")</f>
        <v>Ewropa</v>
      </c>
    </row>
    <row r="6471" ht="15.75" customHeight="1">
      <c r="A6471" s="2" t="s">
        <v>6471</v>
      </c>
      <c r="B6471" s="2" t="str">
        <f>IFERROR(__xludf.DUMMYFUNCTION("GOOGLETRANSLATE(A6471, ""en"", ""mt"")"),"Meta d-Danimarka ssieħbet fl-UE?")</f>
        <v>Meta d-Danimarka ssieħbet fl-UE?</v>
      </c>
    </row>
    <row r="6472" ht="15.75" customHeight="1">
      <c r="A6472" s="2" t="s">
        <v>6472</v>
      </c>
      <c r="B6472" s="2" t="str">
        <f>IFERROR(__xludf.DUMMYFUNCTION("GOOGLETRANSLATE(A6472, ""en"", ""mt"")"),"Majjistral madwar l-Ewropa")</f>
        <v>Majjistral madwar l-Ewropa</v>
      </c>
    </row>
    <row r="6473" ht="15.75" customHeight="1">
      <c r="A6473" s="2" t="s">
        <v>6473</v>
      </c>
      <c r="B6473" s="2" t="str">
        <f>IFERROR(__xludf.DUMMYFUNCTION("GOOGLETRANSLATE(A6473, ""en"", ""mt"")"),"Charleston, South Carolina")</f>
        <v>Charleston, South Carolina</v>
      </c>
    </row>
    <row r="6474" ht="15.75" customHeight="1">
      <c r="A6474" s="2" t="s">
        <v>6474</v>
      </c>
      <c r="B6474" s="2" t="str">
        <f>IFERROR(__xludf.DUMMYFUNCTION("GOOGLETRANSLATE(A6474, ""en"", ""mt"")"),"Id-duttrina Monroe")</f>
        <v>Id-duttrina Monroe</v>
      </c>
    </row>
    <row r="6475" ht="15.75" customHeight="1">
      <c r="A6475" s="2" t="s">
        <v>6475</v>
      </c>
      <c r="B6475" s="2" t="str">
        <f>IFERROR(__xludf.DUMMYFUNCTION("GOOGLETRANSLATE(A6475, ""en"", ""mt"")"),"X'kienet l-importanza tal-Kungress?")</f>
        <v>X'kienet l-importanza tal-Kungress?</v>
      </c>
    </row>
    <row r="6476" ht="15.75" customHeight="1">
      <c r="A6476" s="2" t="s">
        <v>6476</v>
      </c>
      <c r="B6476" s="2" t="str">
        <f>IFERROR(__xludf.DUMMYFUNCTION("GOOGLETRANSLATE(A6476, ""en"", ""mt"")"),"Il-Battalja ta ’Hastings")</f>
        <v>Il-Battalja ta ’Hastings</v>
      </c>
    </row>
    <row r="6477" ht="15.75" customHeight="1">
      <c r="A6477" s="2" t="s">
        <v>6477</v>
      </c>
      <c r="B6477" s="2" t="str">
        <f>IFERROR(__xludf.DUMMYFUNCTION("GOOGLETRANSLATE(A6477, ""en"", ""mt"")"),"Kemm kien simili t-Trattat ta 'Lisbona għat-Trattat Kostituzzjonali?")</f>
        <v>Kemm kien simili t-Trattat ta 'Lisbona għat-Trattat Kostituzzjonali?</v>
      </c>
    </row>
    <row r="6478" ht="15.75" customHeight="1">
      <c r="A6478" s="2" t="s">
        <v>6478</v>
      </c>
      <c r="B6478" s="2" t="str">
        <f>IFERROR(__xludf.DUMMYFUNCTION("GOOGLETRANSLATE(A6478, ""en"", ""mt"")"),"MHC I (Kumpless maġġuri ta 'Istokompatibilità)")</f>
        <v>MHC I (Kumpless maġġuri ta 'Istokompatibilità)</v>
      </c>
    </row>
    <row r="6479" ht="15.75" customHeight="1">
      <c r="A6479" s="2" t="s">
        <v>6479</v>
      </c>
      <c r="B6479" s="2" t="str">
        <f>IFERROR(__xludf.DUMMYFUNCTION("GOOGLETRANSLATE(A6479, ""en"", ""mt"")"),"Meta l-elezzjoni pproduċiet gvern ta 'maġġoranza ta' SNP, x'kienet l-ewwel ġrajja?")</f>
        <v>Meta l-elezzjoni pproduċiet gvern ta 'maġġoranza ta' SNP, x'kienet l-ewwel ġrajja?</v>
      </c>
    </row>
    <row r="6480" ht="15.75" customHeight="1">
      <c r="A6480" s="2" t="s">
        <v>6480</v>
      </c>
      <c r="B6480" s="2" t="str">
        <f>IFERROR(__xludf.DUMMYFUNCTION("GOOGLETRANSLATE(A6480, ""en"", ""mt"")"),"Erba 'rġiel li jattendu l-Kulleġġ ta' Harvard għal kull mara li tistudja f'Radcliffe")</f>
        <v>Erba 'rġiel li jattendu l-Kulleġġ ta' Harvard għal kull mara li tistudja f'Radcliffe</v>
      </c>
    </row>
    <row r="6481" ht="15.75" customHeight="1">
      <c r="A6481" s="2" t="s">
        <v>6481</v>
      </c>
      <c r="B6481" s="2" t="str">
        <f>IFERROR(__xludf.DUMMYFUNCTION("GOOGLETRANSLATE(A6481, ""en"", ""mt"")"),"Liema numru Henri Lebesgue ma jqisx bħala numru veru?")</f>
        <v>Liema numru Henri Lebesgue ma jqisx bħala numru veru?</v>
      </c>
    </row>
    <row r="6482" ht="15.75" customHeight="1">
      <c r="A6482" s="2" t="s">
        <v>6482</v>
      </c>
      <c r="B6482" s="2" t="str">
        <f>IFERROR(__xludf.DUMMYFUNCTION("GOOGLETRANSLATE(A6482, ""en"", ""mt"")"),"X'kienet il-bażi msemmija għall-iżvilupp tat-Teorija Ġenerali tar-Relatività?")</f>
        <v>X'kienet il-bażi msemmija għall-iżvilupp tat-Teorija Ġenerali tar-Relatività?</v>
      </c>
    </row>
    <row r="6483" ht="15.75" customHeight="1">
      <c r="A6483" s="2" t="s">
        <v>6483</v>
      </c>
      <c r="B6483" s="2" t="str">
        <f>IFERROR(__xludf.DUMMYFUNCTION("GOOGLETRANSLATE(A6483, ""en"", ""mt"")"),"Vendobionta")</f>
        <v>Vendobionta</v>
      </c>
    </row>
    <row r="6484" ht="15.75" customHeight="1">
      <c r="A6484" s="2" t="s">
        <v>6484</v>
      </c>
      <c r="B6484" s="2" t="str">
        <f>IFERROR(__xludf.DUMMYFUNCTION("GOOGLETRANSLATE(A6484, ""en"", ""mt"")"),"Liema kumpanija qablet li ttemm il-proċeduri tal-qorti għolja ma 'BSKYB?")</f>
        <v>Liema kumpanija qablet li ttemm il-proċeduri tal-qorti għolja ma 'BSKYB?</v>
      </c>
    </row>
    <row r="6485" ht="15.75" customHeight="1">
      <c r="A6485" s="2" t="s">
        <v>6485</v>
      </c>
      <c r="B6485" s="2" t="str">
        <f>IFERROR(__xludf.DUMMYFUNCTION("GOOGLETRANSLATE(A6485, ""en"", ""mt"")"),"Liema dramm minn Edipo, juri d-diżubbidjenza ċivili?")</f>
        <v>Liema dramm minn Edipo, juri d-diżubbidjenza ċivili?</v>
      </c>
    </row>
    <row r="6486" ht="15.75" customHeight="1">
      <c r="A6486" s="2" t="s">
        <v>6486</v>
      </c>
      <c r="B6486" s="2" t="str">
        <f>IFERROR(__xludf.DUMMYFUNCTION("GOOGLETRANSLATE(A6486, ""en"", ""mt"")"),"Dak li jipprovdi soluzzjoni għal-lista ta 'numri interi pprovduti bħala input li ned li għandu jiġi magħżul?")</f>
        <v>Dak li jipprovdi soluzzjoni għal-lista ta 'numri interi pprovduti bħala input li ned li għandu jiġi magħżul?</v>
      </c>
    </row>
    <row r="6487" ht="15.75" customHeight="1">
      <c r="A6487" s="2" t="s">
        <v>6487</v>
      </c>
      <c r="B6487" s="2" t="str">
        <f>IFERROR(__xludf.DUMMYFUNCTION("GOOGLETRANSLATE(A6487, ""en"", ""mt"")"),"Kemm id-dħul huwa privat?")</f>
        <v>Kemm id-dħul huwa privat?</v>
      </c>
    </row>
    <row r="6488" ht="15.75" customHeight="1">
      <c r="A6488" s="2" t="s">
        <v>6488</v>
      </c>
      <c r="B6488" s="2" t="str">
        <f>IFERROR(__xludf.DUMMYFUNCTION("GOOGLETRANSLATE(A6488, ""en"", ""mt"")"),"Madwar 11.5 pulzier")</f>
        <v>Madwar 11.5 pulzier</v>
      </c>
    </row>
    <row r="6489" ht="15.75" customHeight="1">
      <c r="A6489" s="2" t="s">
        <v>6489</v>
      </c>
      <c r="B6489" s="2" t="str">
        <f>IFERROR(__xludf.DUMMYFUNCTION("GOOGLETRANSLATE(A6489, ""en"", ""mt"")"),"Seklu 20")</f>
        <v>Seklu 20</v>
      </c>
    </row>
    <row r="6490" ht="15.75" customHeight="1">
      <c r="A6490" s="2" t="s">
        <v>6490</v>
      </c>
      <c r="B6490" s="2" t="str">
        <f>IFERROR(__xludf.DUMMYFUNCTION("GOOGLETRANSLATE(A6490, ""en"", ""mt"")"),"Kien l-użu tal-isem DataNet 1 korrett")</f>
        <v>Kien l-użu tal-isem DataNet 1 korrett</v>
      </c>
    </row>
    <row r="6491" ht="15.75" customHeight="1">
      <c r="A6491" s="2" t="s">
        <v>6491</v>
      </c>
      <c r="B6491" s="2" t="str">
        <f>IFERROR(__xludf.DUMMYFUNCTION("GOOGLETRANSLATE(A6491, ""en"", ""mt"")"),"fl-1185")</f>
        <v>fl-1185</v>
      </c>
    </row>
    <row r="6492" ht="15.75" customHeight="1">
      <c r="A6492" s="2" t="s">
        <v>6492</v>
      </c>
      <c r="B6492" s="2" t="str">
        <f>IFERROR(__xludf.DUMMYFUNCTION("GOOGLETRANSLATE(A6492, ""en"", ""mt"")"),"F'liema klassi ta 'kumplessità jeżistu problemi ta' problemi ta 'NP?")</f>
        <v>F'liema klassi ta 'kumplessità jeżistu problemi ta' problemi ta 'NP?</v>
      </c>
    </row>
    <row r="6493" ht="15.75" customHeight="1">
      <c r="A6493" s="2" t="s">
        <v>6493</v>
      </c>
      <c r="B6493" s="2" t="str">
        <f>IFERROR(__xludf.DUMMYFUNCTION("GOOGLETRANSLATE(A6493, ""en"", ""mt"")"),"Matul liema perjodu Jacksonville sar destinazzjoni popolari għas-sinjuri?")</f>
        <v>Matul liema perjodu Jacksonville sar destinazzjoni popolari għas-sinjuri?</v>
      </c>
    </row>
    <row r="6494" ht="15.75" customHeight="1">
      <c r="A6494" s="2" t="s">
        <v>6494</v>
      </c>
      <c r="B6494" s="2" t="str">
        <f>IFERROR(__xludf.DUMMYFUNCTION("GOOGLETRANSLATE(A6494, ""en"", ""mt"")"),"Liema gass tipproduċi r-reazzjoni eżotermika tal-linja tal-ajru?")</f>
        <v>Liema gass tipproduċi r-reazzjoni eżotermika tal-linja tal-ajru?</v>
      </c>
    </row>
    <row r="6495" ht="15.75" customHeight="1">
      <c r="A6495" s="2" t="s">
        <v>6495</v>
      </c>
      <c r="B6495" s="2" t="str">
        <f>IFERROR(__xludf.DUMMYFUNCTION("GOOGLETRANSLATE(A6495, ""en"", ""mt"")"),"Liema flussi bejn il-bingen u l-bonn?")</f>
        <v>Liema flussi bejn il-bingen u l-bonn?</v>
      </c>
    </row>
    <row r="6496" ht="15.75" customHeight="1">
      <c r="A6496" s="2" t="s">
        <v>6496</v>
      </c>
      <c r="B6496" s="2" t="str">
        <f>IFERROR(__xludf.DUMMYFUNCTION("GOOGLETRANSLATE(A6496, ""en"", ""mt"")"),"Edukazzjoni tat-Tfal bħala Kattoliċi")</f>
        <v>Edukazzjoni tat-Tfal bħala Kattoliċi</v>
      </c>
    </row>
    <row r="6497" ht="15.75" customHeight="1">
      <c r="A6497" s="2" t="s">
        <v>6497</v>
      </c>
      <c r="B6497" s="2" t="str">
        <f>IFERROR(__xludf.DUMMYFUNCTION("GOOGLETRANSLATE(A6497, ""en"", ""mt"")"),"sens globali")</f>
        <v>sens globali</v>
      </c>
    </row>
    <row r="6498" ht="15.75" customHeight="1">
      <c r="A6498" s="2" t="s">
        <v>6498</v>
      </c>
      <c r="B6498" s="2" t="str">
        <f>IFERROR(__xludf.DUMMYFUNCTION("GOOGLETRANSLATE(A6498, ""en"", ""mt"")"),"Karakorum")</f>
        <v>Karakorum</v>
      </c>
    </row>
    <row r="6499" ht="15.75" customHeight="1">
      <c r="A6499" s="2" t="s">
        <v>6499</v>
      </c>
      <c r="B6499" s="2" t="str">
        <f>IFERROR(__xludf.DUMMYFUNCTION("GOOGLETRANSLATE(A6499, ""en"", ""mt"")"),"Min qabbad dak il-membru ddikjara li ma setax jirrestrinġi kumpanija milli tmexxi s-sede tan-negozju tagħha mingħajr ma tikser l-Artikolu 49 tat-TFEU?")</f>
        <v>Min qabbad dak il-membru ddikjara li ma setax jirrestrinġi kumpanija milli tmexxi s-sede tan-negozju tagħha mingħajr ma tikser l-Artikolu 49 tat-TFEU?</v>
      </c>
    </row>
    <row r="6500" ht="15.75" customHeight="1">
      <c r="A6500" s="2" t="s">
        <v>6500</v>
      </c>
      <c r="B6500" s="2" t="str">
        <f>IFERROR(__xludf.DUMMYFUNCTION("GOOGLETRANSLATE(A6500, ""en"", ""mt"")"),"Minn fejn jgħaddi r-Renu ta 'fuq?")</f>
        <v>Minn fejn jgħaddi r-Renu ta 'fuq?</v>
      </c>
    </row>
    <row r="6501" ht="15.75" customHeight="1">
      <c r="A6501" s="2" t="s">
        <v>6501</v>
      </c>
      <c r="B6501" s="2" t="str">
        <f>IFERROR(__xludf.DUMMYFUNCTION("GOOGLETRANSLATE(A6501, ""en"", ""mt"")"),"X'tip ta 'sistema tirrilaxxa l-fwar tal-egżost fl-atmosfera?")</f>
        <v>X'tip ta 'sistema tirrilaxxa l-fwar tal-egżost fl-atmosfera?</v>
      </c>
    </row>
    <row r="6502" ht="15.75" customHeight="1">
      <c r="A6502" s="2" t="s">
        <v>6502</v>
      </c>
      <c r="B6502" s="2" t="str">
        <f>IFERROR(__xludf.DUMMYFUNCTION("GOOGLETRANSLATE(A6502, ""en"", ""mt"")"),"X'toqtlu ċ-ċelloli B Killer?")</f>
        <v>X'toqtlu ċ-ċelloli B Killer?</v>
      </c>
    </row>
    <row r="6503" ht="15.75" customHeight="1">
      <c r="A6503" s="2" t="s">
        <v>6503</v>
      </c>
      <c r="B6503" s="2" t="str">
        <f>IFERROR(__xludf.DUMMYFUNCTION("GOOGLETRANSLATE(A6503, ""en"", ""mt"")"),"Ir-Reġina Eliżabetta")</f>
        <v>Ir-Reġina Eliżabetta</v>
      </c>
    </row>
    <row r="6504" ht="15.75" customHeight="1">
      <c r="A6504" s="2" t="s">
        <v>6504</v>
      </c>
      <c r="B6504" s="2" t="str">
        <f>IFERROR(__xludf.DUMMYFUNCTION("GOOGLETRANSLATE(A6504, ""en"", ""mt"")"),"Meta Herve telgħet kontra t-Torok?")</f>
        <v>Meta Herve telgħet kontra t-Torok?</v>
      </c>
    </row>
    <row r="6505" ht="15.75" customHeight="1">
      <c r="A6505" s="2" t="s">
        <v>6505</v>
      </c>
      <c r="B6505" s="2" t="str">
        <f>IFERROR(__xludf.DUMMYFUNCTION("GOOGLETRANSLATE(A6505, ""en"", ""mt"")"),"qafas")</f>
        <v>qafas</v>
      </c>
    </row>
    <row r="6506" ht="15.75" customHeight="1">
      <c r="A6506" s="2" t="s">
        <v>6506</v>
      </c>
      <c r="B6506" s="2" t="str">
        <f>IFERROR(__xludf.DUMMYFUNCTION("GOOGLETRANSLATE(A6506, ""en"", ""mt"")"),"Liema astronomu jobgħod lil Kublai?")</f>
        <v>Liema astronomu jobgħod lil Kublai?</v>
      </c>
    </row>
    <row r="6507" ht="15.75" customHeight="1">
      <c r="A6507" s="2" t="s">
        <v>6507</v>
      </c>
      <c r="B6507" s="2" t="str">
        <f>IFERROR(__xludf.DUMMYFUNCTION("GOOGLETRANSLATE(A6507, ""en"", ""mt"")"),"CA. 2 miljun")</f>
        <v>CA. 2 miljun</v>
      </c>
    </row>
    <row r="6508" ht="15.75" customHeight="1">
      <c r="A6508" s="2" t="s">
        <v>6508</v>
      </c>
      <c r="B6508" s="2" t="str">
        <f>IFERROR(__xludf.DUMMYFUNCTION("GOOGLETRANSLATE(A6508, ""en"", ""mt"")"),"Fuq xiex għamel enfasi fuq il-moviment Salafi?")</f>
        <v>Fuq xiex għamel enfasi fuq il-moviment Salafi?</v>
      </c>
    </row>
    <row r="6509" ht="15.75" customHeight="1">
      <c r="A6509" s="2" t="s">
        <v>6509</v>
      </c>
      <c r="B6509" s="2" t="str">
        <f>IFERROR(__xludf.DUMMYFUNCTION("GOOGLETRANSLATE(A6509, ""en"", ""mt"")"),"X'inhu terminu ieħor għall-mistoqsija ta 'problema?")</f>
        <v>X'inhu terminu ieħor għall-mistoqsija ta 'problema?</v>
      </c>
    </row>
    <row r="6510" ht="15.75" customHeight="1">
      <c r="A6510" s="2" t="s">
        <v>6510</v>
      </c>
      <c r="B6510" s="2" t="str">
        <f>IFERROR(__xludf.DUMMYFUNCTION("GOOGLETRANSLATE(A6510, ""en"", ""mt"")"),"B'liema mod Lavoisier ra li l-landa li uża fl-esperiment tiegħu żdiedet?")</f>
        <v>B'liema mod Lavoisier ra li l-landa li uża fl-esperiment tiegħu żdiedet?</v>
      </c>
    </row>
    <row r="6511" ht="15.75" customHeight="1">
      <c r="A6511" s="2" t="s">
        <v>6511</v>
      </c>
      <c r="B6511" s="2" t="str">
        <f>IFERROR(__xludf.DUMMYFUNCTION("GOOGLETRANSLATE(A6511, ""en"", ""mt"")"),"Minn liema istituzzjoni ma 'Robert Barro silġ?")</f>
        <v>Minn liema istituzzjoni ma 'Robert Barro silġ?</v>
      </c>
    </row>
    <row r="6512" ht="15.75" customHeight="1">
      <c r="A6512" s="2" t="s">
        <v>6512</v>
      </c>
      <c r="B6512" s="2" t="str">
        <f>IFERROR(__xludf.DUMMYFUNCTION("GOOGLETRANSLATE(A6512, ""en"", ""mt"")"),"protesta u azzjoni politika")</f>
        <v>protesta u azzjoni politika</v>
      </c>
    </row>
    <row r="6513" ht="15.75" customHeight="1">
      <c r="A6513" s="2" t="s">
        <v>6513</v>
      </c>
      <c r="B6513" s="2" t="str">
        <f>IFERROR(__xludf.DUMMYFUNCTION("GOOGLETRANSLATE(A6513, ""en"", ""mt"")"),"Thoreau jargumenta li s-soltu r-regoli tal-maġġoranza imma l-opinjonijiet tagħhom kollettivament huma xi kultant?")</f>
        <v>Thoreau jargumenta li s-soltu r-regoli tal-maġġoranza imma l-opinjonijiet tagħhom kollettivament huma xi kultant?</v>
      </c>
    </row>
    <row r="6514" ht="15.75" customHeight="1">
      <c r="A6514" s="2" t="s">
        <v>6514</v>
      </c>
      <c r="B6514" s="2" t="str">
        <f>IFERROR(__xludf.DUMMYFUNCTION("GOOGLETRANSLATE(A6514, ""en"", ""mt"")"),"Dak li kien ikkunsidrat bħala żbaljat għas-servizzi mogħtija minn KPN?")</f>
        <v>Dak li kien ikkunsidrat bħala żbaljat għas-servizzi mogħtija minn KPN?</v>
      </c>
    </row>
    <row r="6515" ht="15.75" customHeight="1">
      <c r="A6515" s="2" t="s">
        <v>6515</v>
      </c>
      <c r="B6515" s="2" t="str">
        <f>IFERROR(__xludf.DUMMYFUNCTION("GOOGLETRANSLATE(A6515, ""en"", ""mt"")"),"Minn liema istituzzjoni Robert Barro silġ?")</f>
        <v>Minn liema istituzzjoni Robert Barro silġ?</v>
      </c>
    </row>
    <row r="6516" ht="15.75" customHeight="1">
      <c r="A6516" s="2" t="s">
        <v>6516</v>
      </c>
      <c r="B6516" s="2" t="str">
        <f>IFERROR(__xludf.DUMMYFUNCTION("GOOGLETRANSLATE(A6516, ""en"", ""mt"")"),"Fejn Marin bena l-ewwel fort?")</f>
        <v>Fejn Marin bena l-ewwel fort?</v>
      </c>
    </row>
    <row r="6517" ht="15.75" customHeight="1">
      <c r="A6517" s="2" t="s">
        <v>6517</v>
      </c>
      <c r="B6517" s="2" t="str">
        <f>IFERROR(__xludf.DUMMYFUNCTION("GOOGLETRANSLATE(A6517, ""en"", ""mt"")"),"fil-pussess ta 'individwi jew entitajiet diġà sinjuri")</f>
        <v>fil-pussess ta 'individwi jew entitajiet diġà sinjuri</v>
      </c>
    </row>
    <row r="6518" ht="15.75" customHeight="1">
      <c r="A6518" s="2" t="s">
        <v>6518</v>
      </c>
      <c r="B6518" s="2" t="str">
        <f>IFERROR(__xludf.DUMMYFUNCTION("GOOGLETRANSLATE(A6518, ""en"", ""mt"")"),"X'kienet is-soluzzjoni proposta għall-kwistjonijiet tat-taxxa ta 'Jacksonville?")</f>
        <v>X'kienet is-soluzzjoni proposta għall-kwistjonijiet tat-taxxa ta 'Jacksonville?</v>
      </c>
    </row>
    <row r="6519" ht="15.75" customHeight="1">
      <c r="A6519" s="2" t="s">
        <v>6519</v>
      </c>
      <c r="B6519" s="2" t="str">
        <f>IFERROR(__xludf.DUMMYFUNCTION("GOOGLETRANSLATE(A6519, ""en"", ""mt"")"),"X'għamel l-Artikolu 65 tal-Projbizzjoni tal-ECSC?")</f>
        <v>X'għamel l-Artikolu 65 tal-Projbizzjoni tal-ECSC?</v>
      </c>
    </row>
    <row r="6520" ht="15.75" customHeight="1">
      <c r="A6520" s="2" t="s">
        <v>6520</v>
      </c>
      <c r="B6520" s="2" t="str">
        <f>IFERROR(__xludf.DUMMYFUNCTION("GOOGLETRANSLATE(A6520, ""en"", ""mt"")"),"Il-limitazzjonijiet tal-finanzjament ippermettew li s-CSNET ikun dak")</f>
        <v>Il-limitazzjonijiet tal-finanzjament ippermettew li s-CSNET ikun dak</v>
      </c>
    </row>
    <row r="6521" ht="15.75" customHeight="1">
      <c r="A6521" s="2" t="s">
        <v>6521</v>
      </c>
      <c r="B6521" s="2" t="str">
        <f>IFERROR(__xludf.DUMMYFUNCTION("GOOGLETRANSLATE(A6521, ""en"", ""mt"")"),"Liema sena Heesung Lee sar president?")</f>
        <v>Liema sena Heesung Lee sar president?</v>
      </c>
    </row>
    <row r="6522" ht="15.75" customHeight="1">
      <c r="A6522" s="2" t="s">
        <v>6522</v>
      </c>
      <c r="B6522" s="2" t="str">
        <f>IFERROR(__xludf.DUMMYFUNCTION("GOOGLETRANSLATE(A6522, ""en"", ""mt"")")," Meta bdiet id-dinastija JIP?")</f>
        <v> Meta bdiet id-dinastija JIP?</v>
      </c>
    </row>
    <row r="6523" ht="15.75" customHeight="1">
      <c r="A6523" s="2" t="s">
        <v>6523</v>
      </c>
      <c r="B6523" s="2" t="str">
        <f>IFERROR(__xludf.DUMMYFUNCTION("GOOGLETRANSLATE(A6523, ""en"", ""mt"")"),"Analiżi tal-algoritmi")</f>
        <v>Analiżi tal-algoritmi</v>
      </c>
    </row>
    <row r="6524" ht="15.75" customHeight="1">
      <c r="A6524" s="2" t="s">
        <v>6524</v>
      </c>
      <c r="B6524" s="2" t="str">
        <f>IFERROR(__xludf.DUMMYFUNCTION("GOOGLETRANSLATE(A6524, ""en"", ""mt"")"),"Min iservi bħala l-Kap Eżekuttiv Globali tal-Microsoft u MF?")</f>
        <v>Min iservi bħala l-Kap Eżekuttiv Globali tal-Microsoft u MF?</v>
      </c>
    </row>
    <row r="6525" ht="15.75" customHeight="1">
      <c r="A6525" s="2" t="s">
        <v>6525</v>
      </c>
      <c r="B6525" s="2" t="str">
        <f>IFERROR(__xludf.DUMMYFUNCTION("GOOGLETRANSLATE(A6525, ""en"", ""mt"")"),"Liema ammont tal-karbonju tad-dinja huwa maħżun fil-foresta tal-Amażonja?")</f>
        <v>Liema ammont tal-karbonju tad-dinja huwa maħżun fil-foresta tal-Amażonja?</v>
      </c>
    </row>
    <row r="6526" ht="15.75" customHeight="1">
      <c r="A6526" s="2" t="s">
        <v>6526</v>
      </c>
      <c r="B6526" s="2" t="str">
        <f>IFERROR(__xludf.DUMMYFUNCTION("GOOGLETRANSLATE(A6526, ""en"", ""mt"")"),"Liema simbolu kien użat sa kmieni fis-seklu 20?")</f>
        <v>Liema simbolu kien użat sa kmieni fis-seklu 20?</v>
      </c>
    </row>
    <row r="6527" ht="15.75" customHeight="1">
      <c r="A6527" s="2" t="s">
        <v>6527</v>
      </c>
      <c r="B6527" s="2" t="str">
        <f>IFERROR(__xludf.DUMMYFUNCTION("GOOGLETRANSLATE(A6527, ""en"", ""mt"")"),"Iż-żjarat ta 'John Pawlu II f'pajjiżu fl-1979 u fl-1983 ġabu appoġġ għall-moviment ta' solidarjetà tal-bidu u ħeġġew il-ħrara anti-komunista dejjem tikber hemmhekk. Fl-1979, inqas minn sena wara li sar Papa, John Paul iċċelebra l-Quddiesa fil-Pjazza tal-V"&amp;"itorja f'Varsavja u temm il-priedka tiegħu b'sejħa biex ""iġġedded il-wiċċ"" tal-Polonja: ħalli l-ispirtu tiegħek jinżel! Ħalli l-ispirtu tiegħek jinżel u jġedded il-wiċċ tal-art! Din l-art! Dawn il-kliem kienu sinifikanti ħafna għaċ-ċittadini Pollakki li"&amp;" fehmuhom bħala l-inċentiv għall-bidliet demokratiċi.")</f>
        <v>Iż-żjarat ta 'John Pawlu II f'pajjiżu fl-1979 u fl-1983 ġabu appoġġ għall-moviment ta' solidarjetà tal-bidu u ħeġġew il-ħrara anti-komunista dejjem tikber hemmhekk. Fl-1979, inqas minn sena wara li sar Papa, John Paul iċċelebra l-Quddiesa fil-Pjazza tal-Vitorja f'Varsavja u temm il-priedka tiegħu b'sejħa biex "iġġedded il-wiċċ" tal-Polonja: ħalli l-ispirtu tiegħek jinżel! Ħalli l-ispirtu tiegħek jinżel u jġedded il-wiċċ tal-art! Din l-art! Dawn il-kliem kienu sinifikanti ħafna għaċ-ċittadini Pollakki li fehmuhom bħala l-inċentiv għall-bidliet demokratiċi.</v>
      </c>
    </row>
    <row r="6528" ht="15.75" customHeight="1">
      <c r="A6528" s="2" t="s">
        <v>6528</v>
      </c>
      <c r="B6528" s="2" t="str">
        <f>IFERROR(__xludf.DUMMYFUNCTION("GOOGLETRANSLATE(A6528, ""en"", ""mt"")"),"Liema Rive jingħaqad mar-Rhine f'Duisburg?")</f>
        <v>Liema Rive jingħaqad mar-Rhine f'Duisburg?</v>
      </c>
    </row>
    <row r="6529" ht="15.75" customHeight="1">
      <c r="A6529" s="2" t="s">
        <v>6529</v>
      </c>
      <c r="B6529" s="2" t="str">
        <f>IFERROR(__xludf.DUMMYFUNCTION("GOOGLETRANSLATE(A6529, ""en"", ""mt"")"),"Bejn is-snin 1880 u t-Tieni Gwerra Dinjija")</f>
        <v>Bejn is-snin 1880 u t-Tieni Gwerra Dinjija</v>
      </c>
    </row>
    <row r="6530" ht="15.75" customHeight="1">
      <c r="A6530" s="2" t="s">
        <v>6530</v>
      </c>
      <c r="B6530" s="2" t="str">
        <f>IFERROR(__xludf.DUMMYFUNCTION("GOOGLETRANSLATE(A6530, ""en"", ""mt"")"),"fergħat sovrani tal-gvern")</f>
        <v>fergħat sovrani tal-gvern</v>
      </c>
    </row>
    <row r="6531" ht="15.75" customHeight="1">
      <c r="A6531" s="2" t="s">
        <v>6531</v>
      </c>
      <c r="B6531" s="2" t="str">
        <f>IFERROR(__xludf.DUMMYFUNCTION("GOOGLETRANSLATE(A6531, ""en"", ""mt"")"),"Meta r-Rhine waqfet tkun il-konfini Rumana?")</f>
        <v>Meta r-Rhine waqfet tkun il-konfini Rumana?</v>
      </c>
    </row>
    <row r="6532" ht="15.75" customHeight="1">
      <c r="A6532" s="2" t="s">
        <v>6532</v>
      </c>
      <c r="B6532" s="2" t="str">
        <f>IFERROR(__xludf.DUMMYFUNCTION("GOOGLETRANSLATE(A6532, ""en"", ""mt"")"),"X'kienet il-gwerra ta 'seba' snin?")</f>
        <v>X'kienet il-gwerra ta 'seba' snin?</v>
      </c>
    </row>
    <row r="6533" ht="15.75" customHeight="1">
      <c r="A6533" s="2" t="s">
        <v>6533</v>
      </c>
      <c r="B6533" s="2" t="str">
        <f>IFERROR(__xludf.DUMMYFUNCTION("GOOGLETRANSLATE(A6533, ""en"", ""mt"")"),"Mazda, Mitsushi u Isuzu ngħaqdu ma 'sħubija ma' liema kumpanija tal-karozzi Amerikani?")</f>
        <v>Mazda, Mitsushi u Isuzu ngħaqdu ma 'sħubija ma' liema kumpanija tal-karozzi Amerikani?</v>
      </c>
    </row>
    <row r="6534" ht="15.75" customHeight="1">
      <c r="A6534" s="2" t="s">
        <v>6534</v>
      </c>
      <c r="B6534" s="2" t="str">
        <f>IFERROR(__xludf.DUMMYFUNCTION("GOOGLETRANSLATE(A6534, ""en"", ""mt"")"),"1749")</f>
        <v>1749</v>
      </c>
    </row>
    <row r="6535" ht="15.75" customHeight="1">
      <c r="A6535" s="2" t="s">
        <v>6535</v>
      </c>
      <c r="B6535" s="2" t="str">
        <f>IFERROR(__xludf.DUMMYFUNCTION("GOOGLETRANSLATE(A6535, ""en"", ""mt"")"),"Klassi Olimpika")</f>
        <v>Klassi Olimpika</v>
      </c>
    </row>
    <row r="6536" ht="15.75" customHeight="1">
      <c r="A6536" s="2" t="s">
        <v>6536</v>
      </c>
      <c r="B6536" s="2" t="str">
        <f>IFERROR(__xludf.DUMMYFUNCTION("GOOGLETRANSLATE(A6536, ""en"", ""mt"")"),"1599")</f>
        <v>1599</v>
      </c>
    </row>
    <row r="6537" ht="15.75" customHeight="1">
      <c r="A6537" s="2" t="s">
        <v>6537</v>
      </c>
      <c r="B6537" s="2" t="str">
        <f>IFERROR(__xludf.DUMMYFUNCTION("GOOGLETRANSLATE(A6537, ""en"", ""mt"")"),"Fl-1942, kif kien imsejjaħ qabel it-Tramuntana ta 'Fresno?")</f>
        <v>Fl-1942, kif kien imsejjaħ qabel it-Tramuntana ta 'Fresno?</v>
      </c>
    </row>
    <row r="6538" ht="15.75" customHeight="1">
      <c r="A6538" s="2" t="s">
        <v>6538</v>
      </c>
      <c r="B6538" s="2" t="str">
        <f>IFERROR(__xludf.DUMMYFUNCTION("GOOGLETRANSLATE(A6538, ""en"", ""mt"")"),"X'kienet it-taħlit bħala li kien fl-industrija tal-baħar?")</f>
        <v>X'kienet it-taħlit bħala li kien fl-industrija tal-baħar?</v>
      </c>
    </row>
    <row r="6539" ht="15.75" customHeight="1">
      <c r="A6539" s="2" t="s">
        <v>6539</v>
      </c>
      <c r="B6539" s="2" t="str">
        <f>IFERROR(__xludf.DUMMYFUNCTION("GOOGLETRANSLATE(A6539, ""en"", ""mt"")"),"Liema naħa rebħet il-Battalja tal-Ewwel Gwerra Dinjija ta 'Tannenberg?")</f>
        <v>Liema naħa rebħet il-Battalja tal-Ewwel Gwerra Dinjija ta 'Tannenberg?</v>
      </c>
    </row>
    <row r="6540" ht="15.75" customHeight="1">
      <c r="A6540" s="2" t="s">
        <v>6540</v>
      </c>
      <c r="B6540" s="2" t="str">
        <f>IFERROR(__xludf.DUMMYFUNCTION("GOOGLETRANSLATE(A6540, ""en"", ""mt"")"),"HT ma jidħolx fil-jihad armat jew jaħdem għal sistema demokratika, iżda jaħdem biex jieħu l-poter permezz ta '""ġlieda ideoloġika"" biex tbiddel l-opinjoni pubblika Musulmana, u b'mod partikolari permezz ta' elite li ""jiffaċilitaw"" ""bidla fil-gvern,"" "&amp;"i.e. Tniedi kolp ta 'stat ""mingħajr demm"". Allegatament huwa pprova u falla tali kolpi fl-1968 u fl-1969 fil-Ġordan, u fl-1974 fl-Eġittu, u issa huwa pprojbit fiż-żewġ pajjiżi. Iżda ħafna membri tal-HT komplew jingħaqdu ma 'gruppi terroristiċi u ħafna t"&amp;"erroristi jihadi kkwotaw lil HT bħala l-influwenza ewlenija tagħhom.")</f>
        <v>HT ma jidħolx fil-jihad armat jew jaħdem għal sistema demokratika, iżda jaħdem biex jieħu l-poter permezz ta '"ġlieda ideoloġika" biex tbiddel l-opinjoni pubblika Musulmana, u b'mod partikolari permezz ta' elite li "jiffaċilitaw" "bidla fil-gvern," i.e. Tniedi kolp ta 'stat "mingħajr demm". Allegatament huwa pprova u falla tali kolpi fl-1968 u fl-1969 fil-Ġordan, u fl-1974 fl-Eġittu, u issa huwa pprojbit fiż-żewġ pajjiżi. Iżda ħafna membri tal-HT komplew jingħaqdu ma 'gruppi terroristiċi u ħafna terroristi jihadi kkwotaw lil HT bħala l-influwenza ewlenija tagħhom.</v>
      </c>
    </row>
    <row r="6541" ht="15.75" customHeight="1">
      <c r="A6541" s="2" t="s">
        <v>6541</v>
      </c>
      <c r="B6541" s="2" t="str">
        <f>IFERROR(__xludf.DUMMYFUNCTION("GOOGLETRANSLATE(A6541, ""en"", ""mt"")"),"Kemm kampus affiljati ma 'Harvard jeżistu fl-1977?")</f>
        <v>Kemm kampus affiljati ma 'Harvard jeżistu fl-1977?</v>
      </c>
    </row>
    <row r="6542" ht="15.75" customHeight="1">
      <c r="A6542" s="2" t="s">
        <v>6542</v>
      </c>
      <c r="B6542" s="2" t="str">
        <f>IFERROR(__xludf.DUMMYFUNCTION("GOOGLETRANSLATE(A6542, ""en"", ""mt"")"),"X'kien l-effett tal-ħabta tad-djar fuq ir-reġjun?")</f>
        <v>X'kien l-effett tal-ħabta tad-djar fuq ir-reġjun?</v>
      </c>
    </row>
    <row r="6543" ht="15.75" customHeight="1">
      <c r="A6543" s="2" t="s">
        <v>6543</v>
      </c>
      <c r="B6543" s="2" t="str">
        <f>IFERROR(__xludf.DUMMYFUNCTION("GOOGLETRANSLATE(A6543, ""en"", ""mt"")"),"Wilson's Geographer.")</f>
        <v>Wilson's Geographer.</v>
      </c>
    </row>
    <row r="6544" ht="15.75" customHeight="1">
      <c r="A6544" s="2" t="s">
        <v>6544</v>
      </c>
      <c r="B6544" s="2" t="str">
        <f>IFERROR(__xludf.DUMMYFUNCTION("GOOGLETRANSLATE(A6544, ""en"", ""mt"")"),"Id-direzzjoni li tagħmilha tidher qisha bidla fil-klima hija iktar serja")</f>
        <v>Id-direzzjoni li tagħmilha tidher qisha bidla fil-klima hija iktar serja</v>
      </c>
    </row>
    <row r="6545" ht="15.75" customHeight="1">
      <c r="A6545" s="2" t="s">
        <v>6545</v>
      </c>
      <c r="B6545" s="2" t="str">
        <f>IFERROR(__xludf.DUMMYFUNCTION("GOOGLETRANSLATE(A6545, ""en"", ""mt"")"),"Sit tal-Wirt Dinji")</f>
        <v>Sit tal-Wirt Dinji</v>
      </c>
    </row>
    <row r="6546" ht="15.75" customHeight="1">
      <c r="A6546" s="2" t="s">
        <v>6546</v>
      </c>
      <c r="B6546" s="2" t="str">
        <f>IFERROR(__xludf.DUMMYFUNCTION("GOOGLETRANSLATE(A6546, ""en"", ""mt"")"),"X’għamel Eliot lil Harvard Crimson f’regatta għall-iskola fl-1875?")</f>
        <v>X’għamel Eliot lil Harvard Crimson f’regatta għall-iskola fl-1875?</v>
      </c>
    </row>
    <row r="6547" ht="15.75" customHeight="1">
      <c r="A6547" s="2" t="s">
        <v>6547</v>
      </c>
      <c r="B6547" s="2" t="str">
        <f>IFERROR(__xludf.DUMMYFUNCTION("GOOGLETRANSLATE(A6547, ""en"", ""mt"")"),"F’liema sena waqqfet is-Soċjetà Huguenot għall-Amerika?")</f>
        <v>F’liema sena waqqfet is-Soċjetà Huguenot għall-Amerika?</v>
      </c>
    </row>
    <row r="6548" ht="15.75" customHeight="1">
      <c r="A6548" s="2" t="s">
        <v>6548</v>
      </c>
      <c r="B6548" s="2" t="str">
        <f>IFERROR(__xludf.DUMMYFUNCTION("GOOGLETRANSLATE(A6548, ""en"", ""mt"")"),"Liema belt għandha popolazzjoni ta '3.3 miljun persuna?")</f>
        <v>Liema belt għandha popolazzjoni ta '3.3 miljun persuna?</v>
      </c>
    </row>
    <row r="6549" ht="15.75" customHeight="1">
      <c r="A6549" s="2" t="s">
        <v>6549</v>
      </c>
      <c r="B6549" s="2" t="str">
        <f>IFERROR(__xludf.DUMMYFUNCTION("GOOGLETRANSLATE(A6549, ""en"", ""mt"")"),"Liema triq li għandha rwol fir-rispons immuni għall-viruses hija preżenti fl-ewkarioti kollha?")</f>
        <v>Liema triq li għandha rwol fir-rispons immuni għall-viruses hija preżenti fl-ewkarioti kollha?</v>
      </c>
    </row>
    <row r="6550" ht="15.75" customHeight="1">
      <c r="A6550" s="2" t="s">
        <v>6550</v>
      </c>
      <c r="B6550" s="2" t="str">
        <f>IFERROR(__xludf.DUMMYFUNCTION("GOOGLETRANSLATE(A6550, ""en"", ""mt"")"),"Kemm Huguenots emigraw lejn l-Amerika ta ’Fuq bħala kolonisti?")</f>
        <v>Kemm Huguenots emigraw lejn l-Amerika ta ’Fuq bħala kolonisti?</v>
      </c>
    </row>
    <row r="6551" ht="15.75" customHeight="1">
      <c r="A6551" s="2" t="s">
        <v>6551</v>
      </c>
      <c r="B6551" s="2" t="str">
        <f>IFERROR(__xludf.DUMMYFUNCTION("GOOGLETRANSLATE(A6551, ""en"", ""mt"")"),"Kif tista 'tipprotesta kontra l-gvern b'mod individwali?")</f>
        <v>Kif tista 'tipprotesta kontra l-gvern b'mod individwali?</v>
      </c>
    </row>
    <row r="6552" ht="15.75" customHeight="1">
      <c r="A6552" s="2" t="s">
        <v>6552</v>
      </c>
      <c r="B6552" s="2" t="str">
        <f>IFERROR(__xludf.DUMMYFUNCTION("GOOGLETRANSLATE(A6552, ""en"", ""mt"")"),"Liema timijiet tal-NLH huma min-Nofsinhar tal-Kalifornja?")</f>
        <v>Liema timijiet tal-NLH huma min-Nofsinhar tal-Kalifornja?</v>
      </c>
    </row>
    <row r="6553" ht="15.75" customHeight="1">
      <c r="A6553" s="2" t="s">
        <v>6553</v>
      </c>
      <c r="B6553" s="2" t="str">
        <f>IFERROR(__xludf.DUMMYFUNCTION("GOOGLETRANSLATE(A6553, ""en"", ""mt"")"),"Agrikoltura u Silvikultura")</f>
        <v>Agrikoltura u Silvikultura</v>
      </c>
    </row>
    <row r="6554" ht="15.75" customHeight="1">
      <c r="A6554" s="2" t="s">
        <v>6554</v>
      </c>
      <c r="B6554" s="2" t="str">
        <f>IFERROR(__xludf.DUMMYFUNCTION("GOOGLETRANSLATE(A6554, ""en"", ""mt"")")," Meta nżamm il-kalifat Ottoman?")</f>
        <v> Meta nżamm il-kalifat Ottoman?</v>
      </c>
    </row>
    <row r="6555" ht="15.75" customHeight="1">
      <c r="A6555" s="2" t="s">
        <v>6555</v>
      </c>
      <c r="B6555" s="2" t="str">
        <f>IFERROR(__xludf.DUMMYFUNCTION("GOOGLETRANSLATE(A6555, ""en"", ""mt"")"),"76,000 sa 540,000")</f>
        <v>76,000 sa 540,000</v>
      </c>
    </row>
    <row r="6556" ht="15.75" customHeight="1">
      <c r="A6556" s="2" t="s">
        <v>6556</v>
      </c>
      <c r="B6556" s="2" t="str">
        <f>IFERROR(__xludf.DUMMYFUNCTION("GOOGLETRANSLATE(A6556, ""en"", ""mt"")"),"L-Università u l-Akkademja Militari")</f>
        <v>L-Università u l-Akkademja Militari</v>
      </c>
    </row>
    <row r="6557" ht="15.75" customHeight="1">
      <c r="A6557" s="2" t="s">
        <v>6557</v>
      </c>
      <c r="B6557" s="2" t="str">
        <f>IFERROR(__xludf.DUMMYFUNCTION("GOOGLETRANSLATE(A6557, ""en"", ""mt"")")," Meta miet Otto von Bismarck?")</f>
        <v> Meta miet Otto von Bismarck?</v>
      </c>
    </row>
    <row r="6558" ht="15.75" customHeight="1">
      <c r="A6558" s="2" t="s">
        <v>6558</v>
      </c>
      <c r="B6558" s="2" t="str">
        <f>IFERROR(__xludf.DUMMYFUNCTION("GOOGLETRANSLATE(A6558, ""en"", ""mt"")"),"X'inhu l-istandard tal-għixien għal ħafna familji f'Katmandu?")</f>
        <v>X'inhu l-istandard tal-għixien għal ħafna familji f'Katmandu?</v>
      </c>
    </row>
    <row r="6559" ht="15.75" customHeight="1">
      <c r="A6559" s="2" t="s">
        <v>6559</v>
      </c>
      <c r="B6559" s="2" t="str">
        <f>IFERROR(__xludf.DUMMYFUNCTION("GOOGLETRANSLATE(A6559, ""en"", ""mt"")"),"Qrati Nazzjonali")</f>
        <v>Qrati Nazzjonali</v>
      </c>
    </row>
    <row r="6560" ht="15.75" customHeight="1">
      <c r="A6560" s="2" t="s">
        <v>6560</v>
      </c>
      <c r="B6560" s="2" t="str">
        <f>IFERROR(__xludf.DUMMYFUNCTION("GOOGLETRANSLATE(A6560, ""en"", ""mt"")"),"Fil-mudell b'saffi tad-dinja hemm diskontinwitajiet sismiċi f'liema saff?")</f>
        <v>Fil-mudell b'saffi tad-dinja hemm diskontinwitajiet sismiċi f'liema saff?</v>
      </c>
    </row>
    <row r="6561" ht="15.75" customHeight="1">
      <c r="A6561" s="2" t="s">
        <v>6561</v>
      </c>
      <c r="B6561" s="2" t="str">
        <f>IFERROR(__xludf.DUMMYFUNCTION("GOOGLETRANSLATE(A6561, ""en"", ""mt"")"),"Kemm Huguenots Franċiżi fil-belt ta 'Manakin spiċċaw jiċċaqalqu lejn Kentucky?")</f>
        <v>Kemm Huguenots Franċiżi fil-belt ta 'Manakin spiċċaw jiċċaqalqu lejn Kentucky?</v>
      </c>
    </row>
    <row r="6562" ht="15.75" customHeight="1">
      <c r="A6562" s="2" t="s">
        <v>6562</v>
      </c>
      <c r="B6562" s="2" t="str">
        <f>IFERROR(__xludf.DUMMYFUNCTION("GOOGLETRANSLATE(A6562, ""en"", ""mt"")"),"Huwa bagħat missjunarji, appoġġjati minn fond biex jippremjaw finanzjarjament konvertiti")</f>
        <v>Huwa bagħat missjunarji, appoġġjati minn fond biex jippremjaw finanzjarjament konvertiti</v>
      </c>
    </row>
    <row r="6563" ht="15.75" customHeight="1">
      <c r="A6563" s="2" t="s">
        <v>6563</v>
      </c>
      <c r="B6563" s="2" t="str">
        <f>IFERROR(__xludf.DUMMYFUNCTION("GOOGLETRANSLATE(A6563, ""en"", ""mt"")"),"10% tal-ħwienet tal-karbonju")</f>
        <v>10% tal-ħwienet tal-karbonju</v>
      </c>
    </row>
    <row r="6564" ht="15.75" customHeight="1">
      <c r="A6564" s="2" t="s">
        <v>6564</v>
      </c>
      <c r="B6564" s="2" t="str">
        <f>IFERROR(__xludf.DUMMYFUNCTION("GOOGLETRANSLATE(A6564, ""en"", ""mt"")"),"Liema belt serviet bħala l-kapitali tal-Polonja fl-1313?")</f>
        <v>Liema belt serviet bħala l-kapitali tal-Polonja fl-1313?</v>
      </c>
    </row>
    <row r="6565" ht="15.75" customHeight="1">
      <c r="A6565" s="2" t="s">
        <v>6565</v>
      </c>
      <c r="B6565" s="2" t="str">
        <f>IFERROR(__xludf.DUMMYFUNCTION("GOOGLETRANSLATE(A6565, ""en"", ""mt"")"),"Liema sena rritorna iqbal f'Lahore?")</f>
        <v>Liema sena rritorna iqbal f'Lahore?</v>
      </c>
    </row>
    <row r="6566" ht="15.75" customHeight="1">
      <c r="A6566" s="2" t="s">
        <v>6566</v>
      </c>
      <c r="B6566" s="2" t="str">
        <f>IFERROR(__xludf.DUMMYFUNCTION("GOOGLETRANSLATE(A6566, ""en"", ""mt"")"),"Liema mediċini biex jagħmlu l-kmamar iperbariċi?")</f>
        <v>Liema mediċini biex jagħmlu l-kmamar iperbariċi?</v>
      </c>
    </row>
    <row r="6567" ht="15.75" customHeight="1">
      <c r="A6567" s="2" t="s">
        <v>6567</v>
      </c>
      <c r="B6567" s="2" t="str">
        <f>IFERROR(__xludf.DUMMYFUNCTION("GOOGLETRANSLATE(A6567, ""en"", ""mt"")"),"X’waqqaf fl-1809?")</f>
        <v>X’waqqaf fl-1809?</v>
      </c>
    </row>
    <row r="6568" ht="15.75" customHeight="1">
      <c r="A6568" s="2" t="s">
        <v>6568</v>
      </c>
      <c r="B6568" s="2" t="str">
        <f>IFERROR(__xludf.DUMMYFUNCTION("GOOGLETRANSLATE(A6568, ""en"", ""mt"")"),"Min qal Edward jgħid li qed jiġi attakkat mill-imperjalizmu tal-Istati Uniti?")</f>
        <v>Min qal Edward jgħid li qed jiġi attakkat mill-imperjalizmu tal-Istati Uniti?</v>
      </c>
    </row>
    <row r="6569" ht="15.75" customHeight="1">
      <c r="A6569" s="2" t="s">
        <v>6569</v>
      </c>
      <c r="B6569" s="2" t="str">
        <f>IFERROR(__xludf.DUMMYFUNCTION("GOOGLETRANSLATE(A6569, ""en"", ""mt"")"),"Kif tista 'd-deposizzjoni ta' kumpliment toqtol iċ-ċelloli invażin direttament?")</f>
        <v>Kif tista 'd-deposizzjoni ta' kumpliment toqtol iċ-ċelloli invażin direttament?</v>
      </c>
    </row>
    <row r="6570" ht="15.75" customHeight="1">
      <c r="A6570" s="2" t="s">
        <v>6570</v>
      </c>
      <c r="B6570" s="2" t="str">
        <f>IFERROR(__xludf.DUMMYFUNCTION("GOOGLETRANSLATE(A6570, ""en"", ""mt"")"),"Telnet inbiegħ lil")</f>
        <v>Telnet inbiegħ lil</v>
      </c>
    </row>
    <row r="6571" ht="15.75" customHeight="1">
      <c r="A6571" s="2" t="s">
        <v>6571</v>
      </c>
      <c r="B6571" s="2" t="str">
        <f>IFERROR(__xludf.DUMMYFUNCTION("GOOGLETRANSLATE(A6571, ""en"", ""mt"")"),"Ġarr tal-kanali bażiċi rispettivi tagħhom")</f>
        <v>Ġarr tal-kanali bażiċi rispettivi tagħhom</v>
      </c>
    </row>
    <row r="6572" ht="15.75" customHeight="1">
      <c r="A6572" s="2" t="s">
        <v>6572</v>
      </c>
      <c r="B6572" s="2" t="str">
        <f>IFERROR(__xludf.DUMMYFUNCTION("GOOGLETRANSLATE(A6572, ""en"", ""mt"")"),"X'kien in-numru totali ta 'djar li kienu ħabbru Sky li kellu Sky + HD f'Marzu tal-2012?")</f>
        <v>X'kien in-numru totali ta 'djar li kienu ħabbru Sky li kellu Sky + HD f'Marzu tal-2012?</v>
      </c>
    </row>
    <row r="6573" ht="15.75" customHeight="1">
      <c r="A6573" s="2" t="s">
        <v>6573</v>
      </c>
      <c r="B6573" s="2" t="str">
        <f>IFERROR(__xludf.DUMMYFUNCTION("GOOGLETRANSLATE(A6573, ""en"", ""mt"")"),"X'inhi l-problema attribwita għad-definizzjoni jekk tliet graffs finiti humiex isomorfi?")</f>
        <v>X'inhi l-problema attribwita għad-definizzjoni jekk tliet graffs finiti humiex isomorfi?</v>
      </c>
    </row>
    <row r="6574" ht="15.75" customHeight="1">
      <c r="A6574" s="2" t="s">
        <v>6574</v>
      </c>
      <c r="B6574" s="2" t="str">
        <f>IFERROR(__xludf.DUMMYFUNCTION("GOOGLETRANSLATE(A6574, ""en"", ""mt"")"),"Min hu wieħed mid-dixxendenti ta 'Frederick Williams?")</f>
        <v>Min hu wieħed mid-dixxendenti ta 'Frederick Williams?</v>
      </c>
    </row>
    <row r="6575" ht="15.75" customHeight="1">
      <c r="A6575" s="2" t="s">
        <v>6575</v>
      </c>
      <c r="B6575" s="2" t="str">
        <f>IFERROR(__xludf.DUMMYFUNCTION("GOOGLETRANSLATE(A6575, ""en"", ""mt"")"),"Xita mhux frekwenti")</f>
        <v>Xita mhux frekwenti</v>
      </c>
    </row>
    <row r="6576" ht="15.75" customHeight="1">
      <c r="A6576" s="2" t="s">
        <v>6576</v>
      </c>
      <c r="B6576" s="2" t="str">
        <f>IFERROR(__xludf.DUMMYFUNCTION("GOOGLETRANSLATE(A6576, ""en"", ""mt"")"),"Maria Goeppert-Mayer")</f>
        <v>Maria Goeppert-Mayer</v>
      </c>
    </row>
    <row r="6577" ht="15.75" customHeight="1">
      <c r="A6577" s="2" t="s">
        <v>6577</v>
      </c>
      <c r="B6577" s="2" t="str">
        <f>IFERROR(__xludf.DUMMYFUNCTION("GOOGLETRANSLATE(A6577, ""en"", ""mt"")"),"1945")</f>
        <v>1945</v>
      </c>
    </row>
    <row r="6578" ht="15.75" customHeight="1">
      <c r="A6578" s="2" t="s">
        <v>6578</v>
      </c>
      <c r="B6578" s="2" t="str">
        <f>IFERROR(__xludf.DUMMYFUNCTION("GOOGLETRANSLATE(A6578, ""en"", ""mt"")"),"Robert Mayow meta wera t-teoriji tiegħu?")</f>
        <v>Robert Mayow meta wera t-teoriji tiegħu?</v>
      </c>
    </row>
    <row r="6579" ht="15.75" customHeight="1">
      <c r="A6579" s="2" t="s">
        <v>6579</v>
      </c>
      <c r="B6579" s="2" t="str">
        <f>IFERROR(__xludf.DUMMYFUNCTION("GOOGLETRANSLATE(A6579, ""en"", ""mt"")"),"X'ġara bil-livell ta 'l-ilma ta' taħt l-art bil-programm ta 'l-iddrittar tar-Rhine?")</f>
        <v>X'ġara bil-livell ta 'l-ilma ta' taħt l-art bil-programm ta 'l-iddrittar tar-Rhine?</v>
      </c>
    </row>
    <row r="6580" ht="15.75" customHeight="1">
      <c r="A6580" s="2" t="s">
        <v>6580</v>
      </c>
      <c r="B6580" s="2" t="str">
        <f>IFERROR(__xludf.DUMMYFUNCTION("GOOGLETRANSLATE(A6580, ""en"", ""mt"")"),"Minbarra surf, għal liema kultura oħra hija d-dar tan-Nofsinhar ta 'California?")</f>
        <v>Minbarra surf, għal liema kultura oħra hija d-dar tan-Nofsinhar ta 'California?</v>
      </c>
    </row>
    <row r="6581" ht="15.75" customHeight="1">
      <c r="A6581" s="2" t="s">
        <v>6581</v>
      </c>
      <c r="B6581" s="2" t="str">
        <f>IFERROR(__xludf.DUMMYFUNCTION("GOOGLETRANSLATE(A6581, ""en"", ""mt"")"),"Industrija tal-Inbid")</f>
        <v>Industrija tal-Inbid</v>
      </c>
    </row>
    <row r="6582" ht="15.75" customHeight="1">
      <c r="A6582" s="2" t="s">
        <v>6582</v>
      </c>
      <c r="B6582" s="2" t="str">
        <f>IFERROR(__xludf.DUMMYFUNCTION("GOOGLETRANSLATE(A6582, ""en"", ""mt"")"),"Notazzjoni Big O.")</f>
        <v>Notazzjoni Big O.</v>
      </c>
    </row>
    <row r="6583" ht="15.75" customHeight="1">
      <c r="A6583" s="2" t="s">
        <v>6583</v>
      </c>
      <c r="B6583" s="2" t="str">
        <f>IFERROR(__xludf.DUMMYFUNCTION("GOOGLETRANSLATE(A6583, ""en"", ""mt"")"),"Ma 'liema organizzazzjoni ħadem Paul Baran fir-Renju Unit?")</f>
        <v>Ma 'liema organizzazzjoni ħadem Paul Baran fir-Renju Unit?</v>
      </c>
    </row>
    <row r="6584" ht="15.75" customHeight="1">
      <c r="A6584" s="2" t="s">
        <v>6584</v>
      </c>
      <c r="B6584" s="2" t="str">
        <f>IFERROR(__xludf.DUMMYFUNCTION("GOOGLETRANSLATE(A6584, ""en"", ""mt"")"),"Kif bdew it-trattati tal-prinċipju li jiffurmaw l-unjoni Kanadiża?")</f>
        <v>Kif bdew it-trattati tal-prinċipju li jiffurmaw l-unjoni Kanadiża?</v>
      </c>
    </row>
    <row r="6585" ht="15.75" customHeight="1">
      <c r="A6585" s="2" t="s">
        <v>6585</v>
      </c>
      <c r="B6585" s="2" t="str">
        <f>IFERROR(__xludf.DUMMYFUNCTION("GOOGLETRANSLATE(A6585, ""en"", ""mt"")"),"Lag George")</f>
        <v>Lag George</v>
      </c>
    </row>
    <row r="6586" ht="15.75" customHeight="1">
      <c r="A6586" s="2" t="s">
        <v>6586</v>
      </c>
      <c r="B6586" s="2" t="str">
        <f>IFERROR(__xludf.DUMMYFUNCTION("GOOGLETRANSLATE(A6586, ""en"", ""mt"")"),"maġġoranza sempliċi")</f>
        <v>maġġoranza sempliċi</v>
      </c>
    </row>
    <row r="6587" ht="15.75" customHeight="1">
      <c r="A6587" s="2" t="s">
        <v>6587</v>
      </c>
      <c r="B6587" s="2" t="str">
        <f>IFERROR(__xludf.DUMMYFUNCTION("GOOGLETRANSLATE(A6587, ""en"", ""mt"")"),"L-aħħar massimu glaċjali")</f>
        <v>L-aħħar massimu glaċjali</v>
      </c>
    </row>
    <row r="6588" ht="15.75" customHeight="1">
      <c r="A6588" s="2" t="s">
        <v>6588</v>
      </c>
      <c r="B6588" s="2" t="str">
        <f>IFERROR(__xludf.DUMMYFUNCTION("GOOGLETRANSLATE(A6588, ""en"", ""mt"")"),"Fibrożi pulmonari permanenti")</f>
        <v>Fibrożi pulmonari permanenti</v>
      </c>
    </row>
    <row r="6589" ht="15.75" customHeight="1">
      <c r="A6589" s="2" t="s">
        <v>6589</v>
      </c>
      <c r="B6589" s="2" t="str">
        <f>IFERROR(__xludf.DUMMYFUNCTION("GOOGLETRANSLATE(A6589, ""en"", ""mt"")"),"X'inhu l-isem ta 'fejn ir-Rhine fergħat ħdejn Dordrecht?")</f>
        <v>X'inhu l-isem ta 'fejn ir-Rhine fergħat ħdejn Dordrecht?</v>
      </c>
    </row>
    <row r="6590" ht="15.75" customHeight="1">
      <c r="A6590" s="2" t="s">
        <v>6590</v>
      </c>
      <c r="B6590" s="2" t="str">
        <f>IFERROR(__xludf.DUMMYFUNCTION("GOOGLETRANSLATE(A6590, ""en"", ""mt"")"),"Min ispira Frank Burnet b'suġġeriment?")</f>
        <v>Min ispira Frank Burnet b'suġġeriment?</v>
      </c>
    </row>
    <row r="6591" ht="15.75" customHeight="1">
      <c r="A6591" s="2" t="s">
        <v>6591</v>
      </c>
      <c r="B6591" s="2" t="str">
        <f>IFERROR(__xludf.DUMMYFUNCTION("GOOGLETRANSLATE(A6591, ""en"", ""mt"")"),"Liema linja ferrovjarja topera f'Melbourne?")</f>
        <v>Liema linja ferrovjarja topera f'Melbourne?</v>
      </c>
    </row>
    <row r="6592" ht="15.75" customHeight="1">
      <c r="A6592" s="2" t="s">
        <v>6592</v>
      </c>
      <c r="B6592" s="2" t="str">
        <f>IFERROR(__xludf.DUMMYFUNCTION("GOOGLETRANSLATE(A6592, ""en"", ""mt"")"),"Ħamsa u għoxrin romol li stabbilixxew f'Dover")</f>
        <v>Ħamsa u għoxrin romol li stabbilixxew f'Dover</v>
      </c>
    </row>
    <row r="6593" ht="15.75" customHeight="1">
      <c r="A6593" s="2" t="s">
        <v>6593</v>
      </c>
      <c r="B6593" s="2" t="str">
        <f>IFERROR(__xludf.DUMMYFUNCTION("GOOGLETRANSLATE(A6593, ""en"", ""mt"")"),"apoptożi")</f>
        <v>apoptożi</v>
      </c>
    </row>
    <row r="6594" ht="15.75" customHeight="1">
      <c r="A6594" s="2" t="s">
        <v>6594</v>
      </c>
      <c r="B6594" s="2" t="str">
        <f>IFERROR(__xludf.DUMMYFUNCTION("GOOGLETRANSLATE(A6594, ""en"", ""mt"")"),"F’liema sena l-Newcomen brevett il-pompa tal-fwar tiegħu?")</f>
        <v>F’liema sena l-Newcomen brevett il-pompa tal-fwar tiegħu?</v>
      </c>
    </row>
    <row r="6595" ht="15.75" customHeight="1">
      <c r="A6595" s="2" t="s">
        <v>6595</v>
      </c>
      <c r="B6595" s="2" t="str">
        <f>IFERROR(__xludf.DUMMYFUNCTION("GOOGLETRANSLATE(A6595, ""en"", ""mt"")"),"Min kien id-detratur ewlieni tat-teorija ċellulari tal-immunità?")</f>
        <v>Min kien id-detratur ewlieni tat-teorija ċellulari tal-immunità?</v>
      </c>
    </row>
    <row r="6596" ht="15.75" customHeight="1">
      <c r="A6596" s="2" t="s">
        <v>6596</v>
      </c>
      <c r="B6596" s="2" t="str">
        <f>IFERROR(__xludf.DUMMYFUNCTION("GOOGLETRANSLATE(A6596, ""en"", ""mt"")"),"Liema prinċipju jgħin biex jiddefinixxi s-sodda ewlenija?")</f>
        <v>Liema prinċipju jgħin biex jiddefinixxi s-sodda ewlenija?</v>
      </c>
    </row>
    <row r="6597" ht="15.75" customHeight="1">
      <c r="A6597" s="2" t="s">
        <v>6597</v>
      </c>
      <c r="B6597" s="2" t="str">
        <f>IFERROR(__xludf.DUMMYFUNCTION("GOOGLETRANSLATE(A6597, ""en"", ""mt"")"),"X'jiġri inġinier tal-kostruzzjoni?")</f>
        <v>X'jiġri inġinier tal-kostruzzjoni?</v>
      </c>
    </row>
    <row r="6598" ht="15.75" customHeight="1">
      <c r="A6598" s="2" t="s">
        <v>6598</v>
      </c>
      <c r="B6598" s="2" t="str">
        <f>IFERROR(__xludf.DUMMYFUNCTION("GOOGLETRANSLATE(A6598, ""en"", ""mt"")"),"Meta mqabbel ma 'bliet oħra Awstraljani, x'inhu d-daqs ta' Melbourne?")</f>
        <v>Meta mqabbel ma 'bliet oħra Awstraljani, x'inhu d-daqs ta' Melbourne?</v>
      </c>
    </row>
    <row r="6599" ht="15.75" customHeight="1">
      <c r="A6599" s="2" t="s">
        <v>6599</v>
      </c>
      <c r="B6599" s="2" t="str">
        <f>IFERROR(__xludf.DUMMYFUNCTION("GOOGLETRANSLATE(A6599, ""en"", ""mt"")"),"finit")</f>
        <v>finit</v>
      </c>
    </row>
    <row r="6600" ht="15.75" customHeight="1">
      <c r="A6600" s="2" t="s">
        <v>6600</v>
      </c>
      <c r="B6600" s="2" t="str">
        <f>IFERROR(__xludf.DUMMYFUNCTION("GOOGLETRANSLATE(A6600, ""en"", ""mt"")"),"X'tip ta 'ħtieġa teħtieġ il-qalba komuni tal-kulleġġ?")</f>
        <v>X'tip ta 'ħtieġa teħtieġ il-qalba komuni tal-kulleġġ?</v>
      </c>
    </row>
    <row r="6601" ht="15.75" customHeight="1">
      <c r="A6601" s="2" t="s">
        <v>6601</v>
      </c>
      <c r="B6601" s="2" t="str">
        <f>IFERROR(__xludf.DUMMYFUNCTION("GOOGLETRANSLATE(A6601, ""en"", ""mt"")"),"Id-diżubbidjenza ċivili rivoluzzjonarja lejn il-kultura hija enfasizzata bl-eżempju ta 'min?")</f>
        <v>Id-diżubbidjenza ċivili rivoluzzjonarja lejn il-kultura hija enfasizzata bl-eżempju ta 'min?</v>
      </c>
    </row>
    <row r="6602" ht="15.75" customHeight="1">
      <c r="A6602" s="2" t="s">
        <v>6602</v>
      </c>
      <c r="B6602" s="2" t="str">
        <f>IFERROR(__xludf.DUMMYFUNCTION("GOOGLETRANSLATE(A6602, ""en"", ""mt"")"),"Min sar is-sultan tal-Gżejjer Kanarji?")</f>
        <v>Min sar is-sultan tal-Gżejjer Kanarji?</v>
      </c>
    </row>
    <row r="6603" ht="15.75" customHeight="1">
      <c r="A6603" s="2" t="s">
        <v>6603</v>
      </c>
      <c r="B6603" s="2" t="str">
        <f>IFERROR(__xludf.DUMMYFUNCTION("GOOGLETRANSLATE(A6603, ""en"", ""mt"")"),"Il-klassifikazzjoni tar-riżorsi tiddependi fuq id-determinazzjoni tal-limiti ta 'fuq u t'isfel tal-ħin minimu meħtieġ minn xiex?")</f>
        <v>Il-klassifikazzjoni tar-riżorsi tiddependi fuq id-determinazzjoni tal-limiti ta 'fuq u t'isfel tal-ħin minimu meħtieġ minn xiex?</v>
      </c>
    </row>
    <row r="6604" ht="15.75" customHeight="1">
      <c r="A6604" s="2" t="s">
        <v>6604</v>
      </c>
      <c r="B6604" s="2" t="str">
        <f>IFERROR(__xludf.DUMMYFUNCTION("GOOGLETRANSLATE(A6604, ""en"", ""mt"")"),"""Wise up jew imut.""")</f>
        <v>"Wise up jew imut."</v>
      </c>
    </row>
    <row r="6605" ht="15.75" customHeight="1">
      <c r="A6605" s="2" t="s">
        <v>6605</v>
      </c>
      <c r="B6605" s="2" t="str">
        <f>IFERROR(__xludf.DUMMYFUNCTION("GOOGLETRANSLATE(A6605, ""en"", ""mt"")"),"Liema pajjiż Ewropew Ċentrali kellu ħakkiem kalvinista?")</f>
        <v>Liema pajjiż Ewropew Ċentrali kellu ħakkiem kalvinista?</v>
      </c>
    </row>
    <row r="6606" ht="15.75" customHeight="1">
      <c r="A6606" s="2" t="s">
        <v>6606</v>
      </c>
      <c r="B6606" s="2" t="str">
        <f>IFERROR(__xludf.DUMMYFUNCTION("GOOGLETRANSLATE(A6606, ""en"", ""mt"")"),"E.I. du pont")</f>
        <v>E.I. du pont</v>
      </c>
    </row>
    <row r="6607" ht="15.75" customHeight="1">
      <c r="A6607" s="2" t="s">
        <v>6607</v>
      </c>
      <c r="B6607" s="2" t="str">
        <f>IFERROR(__xludf.DUMMYFUNCTION("GOOGLETRANSLATE(A6607, ""en"", ""mt"")"),"X’kien awtur fis-seklu 12?")</f>
        <v>X’kien awtur fis-seklu 12?</v>
      </c>
    </row>
    <row r="6608" ht="15.75" customHeight="1">
      <c r="A6608" s="2" t="s">
        <v>6608</v>
      </c>
      <c r="B6608" s="2" t="str">
        <f>IFERROR(__xludf.DUMMYFUNCTION("GOOGLETRANSLATE(A6608, ""en"", ""mt"")"),"X'inbiegħ lil PTTs barranin?")</f>
        <v>X'inbiegħ lil PTTs barranin?</v>
      </c>
    </row>
    <row r="6609" ht="15.75" customHeight="1">
      <c r="A6609" s="2" t="s">
        <v>6609</v>
      </c>
      <c r="B6609" s="2" t="str">
        <f>IFERROR(__xludf.DUMMYFUNCTION("GOOGLETRANSLATE(A6609, ""en"", ""mt"")"),"Polonia Varsavja")</f>
        <v>Polonia Varsavja</v>
      </c>
    </row>
    <row r="6610" ht="15.75" customHeight="1">
      <c r="A6610" s="2" t="s">
        <v>6610</v>
      </c>
      <c r="B6610" s="2" t="str">
        <f>IFERROR(__xludf.DUMMYFUNCTION("GOOGLETRANSLATE(A6610, ""en"", ""mt"")"),"Liema benefiċċji addizzjonali hemm għall-komunità tal-madwar ta 'espansjoni?")</f>
        <v>Liema benefiċċji addizzjonali hemm għall-komunità tal-madwar ta 'espansjoni?</v>
      </c>
    </row>
    <row r="6611" ht="15.75" customHeight="1">
      <c r="A6611" s="2" t="s">
        <v>6611</v>
      </c>
      <c r="B6611" s="2" t="str">
        <f>IFERROR(__xludf.DUMMYFUNCTION("GOOGLETRANSLATE(A6611, ""en"", ""mt"")"),"Għal liema tip ta 'ħiliet is-suq joffri kumpens?")</f>
        <v>Għal liema tip ta 'ħiliet is-suq joffri kumpens?</v>
      </c>
    </row>
    <row r="6612" ht="15.75" customHeight="1">
      <c r="A6612" s="2" t="s">
        <v>6612</v>
      </c>
      <c r="B6612" s="2" t="str">
        <f>IFERROR(__xludf.DUMMYFUNCTION("GOOGLETRANSLATE(A6612, ""en"", ""mt"")"),"Fejn jinsab il-Kulleġġ San Gregorju?")</f>
        <v>Fejn jinsab il-Kulleġġ San Gregorju?</v>
      </c>
    </row>
    <row r="6613" ht="15.75" customHeight="1">
      <c r="A6613" s="2" t="s">
        <v>6613</v>
      </c>
      <c r="B6613" s="2" t="str">
        <f>IFERROR(__xludf.DUMMYFUNCTION("GOOGLETRANSLATE(A6613, ""en"", ""mt"")"),"X'jista 'jopera l-fluwidu tax-xogħol f'ċiklu tal-bojler?")</f>
        <v>X'jista 'jopera l-fluwidu tax-xogħol f'ċiklu tal-bojler?</v>
      </c>
    </row>
    <row r="6614" ht="15.75" customHeight="1">
      <c r="A6614" s="2" t="s">
        <v>6614</v>
      </c>
      <c r="B6614" s="2" t="str">
        <f>IFERROR(__xludf.DUMMYFUNCTION("GOOGLETRANSLATE(A6614, ""en"", ""mt"")"),"Meta l-gvernijiet tal-Lvant appoġġjaw l-Iżlamisti li qed jaħarbu?")</f>
        <v>Meta l-gvernijiet tal-Lvant appoġġjaw l-Iżlamisti li qed jaħarbu?</v>
      </c>
    </row>
    <row r="6615" ht="15.75" customHeight="1">
      <c r="A6615" s="2" t="s">
        <v>6615</v>
      </c>
      <c r="B6615" s="2" t="str">
        <f>IFERROR(__xludf.DUMMYFUNCTION("GOOGLETRANSLATE(A6615, ""en"", ""mt"")"),"Ġeokronologi")</f>
        <v>Ġeokronologi</v>
      </c>
    </row>
    <row r="6616" ht="15.75" customHeight="1">
      <c r="A6616" s="2" t="s">
        <v>6616</v>
      </c>
      <c r="B6616" s="2" t="str">
        <f>IFERROR(__xludf.DUMMYFUNCTION("GOOGLETRANSLATE(A6616, ""en"", ""mt"")"),"Kemm kien twil it-teatru tas-sajf fl-operazzjoni?")</f>
        <v>Kemm kien twil it-teatru tas-sajf fl-operazzjoni?</v>
      </c>
    </row>
    <row r="6617" ht="15.75" customHeight="1">
      <c r="A6617" s="2" t="s">
        <v>6617</v>
      </c>
      <c r="B6617" s="2" t="str">
        <f>IFERROR(__xludf.DUMMYFUNCTION("GOOGLETRANSLATE(A6617, ""en"", ""mt"")"),"Min kien Huguenot prominenti fl-Olanda?")</f>
        <v>Min kien Huguenot prominenti fl-Olanda?</v>
      </c>
    </row>
    <row r="6618" ht="15.75" customHeight="1">
      <c r="A6618" s="2" t="s">
        <v>6618</v>
      </c>
      <c r="B6618" s="2" t="str">
        <f>IFERROR(__xludf.DUMMYFUNCTION("GOOGLETRANSLATE(A6618, ""en"", ""mt"")"),"X'impatt għandhom il-produttività ogħla tal-ħaddiem u l-paga livellata fuq dawk li jaqilgħu ogħla?")</f>
        <v>X'impatt għandhom il-produttività ogħla tal-ħaddiem u l-paga livellata fuq dawk li jaqilgħu ogħla?</v>
      </c>
    </row>
    <row r="6619" ht="15.75" customHeight="1">
      <c r="A6619" s="2" t="s">
        <v>6619</v>
      </c>
      <c r="B6619" s="2" t="str">
        <f>IFERROR(__xludf.DUMMYFUNCTION("GOOGLETRANSLATE(A6619, ""en"", ""mt"")"),"415,000")</f>
        <v>415,000</v>
      </c>
    </row>
    <row r="6620" ht="15.75" customHeight="1">
      <c r="A6620" s="2" t="s">
        <v>6620</v>
      </c>
      <c r="B6620" s="2" t="str">
        <f>IFERROR(__xludf.DUMMYFUNCTION("GOOGLETRANSLATE(A6620, ""en"", ""mt"")"),"Il-Ġermanja u l-Iskandinavja")</f>
        <v>Il-Ġermanja u l-Iskandinavja</v>
      </c>
    </row>
    <row r="6621" ht="15.75" customHeight="1">
      <c r="A6621" s="2" t="s">
        <v>6621</v>
      </c>
      <c r="B6621" s="2" t="str">
        <f>IFERROR(__xludf.DUMMYFUNCTION("GOOGLETRANSLATE(A6621, ""en"", ""mt"")"),"It-tnaqqis ulterjuri tal-istat tal-affarijiet Biżantini witta t-triq għat-tielet attakk fl-1185, meta armata Norman kbira invadiet Dyrrachium, minħabba t-tradiment ta 'uffiċjali għoljin Biżantini. Xi żmien wara, id-Dyrrachium - waħda mill-aktar bażijiet n"&amp;"avali importanti tal-Adrijatiku - jerġa 'jġib l-idejn Biżantini.")</f>
        <v>It-tnaqqis ulterjuri tal-istat tal-affarijiet Biżantini witta t-triq għat-tielet attakk fl-1185, meta armata Norman kbira invadiet Dyrrachium, minħabba t-tradiment ta 'uffiċjali għoljin Biżantini. Xi żmien wara, id-Dyrrachium - waħda mill-aktar bażijiet navali importanti tal-Adrijatiku - jerġa 'jġib l-idejn Biżantini.</v>
      </c>
    </row>
    <row r="6622" ht="15.75" customHeight="1">
      <c r="A6622" s="2" t="s">
        <v>6622</v>
      </c>
      <c r="B6622" s="2" t="str">
        <f>IFERROR(__xludf.DUMMYFUNCTION("GOOGLETRANSLATE(A6622, ""en"", ""mt"")"),"5 miljun")</f>
        <v>5 miljun</v>
      </c>
    </row>
    <row r="6623" ht="15.75" customHeight="1">
      <c r="A6623" s="2" t="s">
        <v>6623</v>
      </c>
      <c r="B6623" s="2" t="str">
        <f>IFERROR(__xludf.DUMMYFUNCTION("GOOGLETRANSLATE(A6623, ""en"", ""mt"")"),"1259")</f>
        <v>1259</v>
      </c>
    </row>
    <row r="6624" ht="15.75" customHeight="1">
      <c r="A6624" s="2" t="s">
        <v>6624</v>
      </c>
      <c r="B6624" s="2" t="str">
        <f>IFERROR(__xludf.DUMMYFUNCTION("GOOGLETRANSLATE(A6624, ""en"", ""mt"")"),"Gwerra faqqgħet")</f>
        <v>Gwerra faqqgħet</v>
      </c>
    </row>
    <row r="6625" ht="15.75" customHeight="1">
      <c r="A6625" s="2" t="s">
        <v>6625</v>
      </c>
      <c r="B6625" s="2" t="str">
        <f>IFERROR(__xludf.DUMMYFUNCTION("GOOGLETRANSLATE(A6625, ""en"", ""mt"")"),"Liema avveniment isir f'Port Sunshine fir-Rabat?")</f>
        <v>Liema avveniment isir f'Port Sunshine fir-Rabat?</v>
      </c>
    </row>
    <row r="6626" ht="15.75" customHeight="1">
      <c r="A6626" s="2" t="s">
        <v>6626</v>
      </c>
      <c r="B6626" s="2" t="str">
        <f>IFERROR(__xludf.DUMMYFUNCTION("GOOGLETRANSLATE(A6626, ""en"", ""mt"")"),"Ippjanar, [ċitazzjoni meħtieġa] disinn, u finanzjament u jkompli sakemm jinbena l-proġett")</f>
        <v>Ippjanar, [ċitazzjoni meħtieġa] disinn, u finanzjament u jkompli sakemm jinbena l-proġett</v>
      </c>
    </row>
    <row r="6627" ht="15.75" customHeight="1">
      <c r="A6627" s="2" t="s">
        <v>6627</v>
      </c>
      <c r="B6627" s="2" t="str">
        <f>IFERROR(__xludf.DUMMYFUNCTION("GOOGLETRANSLATE(A6627, ""en"", ""mt"")"),"F'liema sena kien imsemmi Frederick William bħala l-Elettur ta 'Brandenburg?")</f>
        <v>F'liema sena kien imsemmi Frederick William bħala l-Elettur ta 'Brandenburg?</v>
      </c>
    </row>
    <row r="6628" ht="15.75" customHeight="1">
      <c r="A6628" s="2" t="s">
        <v>6628</v>
      </c>
      <c r="B6628" s="2" t="str">
        <f>IFERROR(__xludf.DUMMYFUNCTION("GOOGLETRANSLATE(A6628, ""en"", ""mt"")"),"It-tieni bini tal-U ta 'C huma magħrufa bħala?")</f>
        <v>It-tieni bini tal-U ta 'C huma magħrufa bħala?</v>
      </c>
    </row>
    <row r="6629" ht="15.75" customHeight="1">
      <c r="A6629" s="2" t="s">
        <v>6629</v>
      </c>
      <c r="B6629" s="2" t="str">
        <f>IFERROR(__xludf.DUMMYFUNCTION("GOOGLETRANSLATE(A6629, ""en"", ""mt"")"),"Liema awtur famuż uża xebh u xebh ta 'Percy Shelly fil-kitba tiegħu?")</f>
        <v>Liema awtur famuż uża xebh u xebh ta 'Percy Shelly fil-kitba tiegħu?</v>
      </c>
    </row>
    <row r="6630" ht="15.75" customHeight="1">
      <c r="A6630" s="2" t="s">
        <v>6630</v>
      </c>
      <c r="B6630" s="2" t="str">
        <f>IFERROR(__xludf.DUMMYFUNCTION("GOOGLETRANSLATE(A6630, ""en"", ""mt"")"),"Sforzi ta 'konservazzjoni bbażati fuq il-komunità qed jiġu sostitwiti fejn")</f>
        <v>Sforzi ta 'konservazzjoni bbażati fuq il-komunità qed jiġu sostitwiti fejn</v>
      </c>
    </row>
    <row r="6631" ht="15.75" customHeight="1">
      <c r="A6631" s="2" t="s">
        <v>6631</v>
      </c>
      <c r="B6631" s="2" t="str">
        <f>IFERROR(__xludf.DUMMYFUNCTION("GOOGLETRANSLATE(A6631, ""en"", ""mt"")"),"Għaliex l-ispeċi kostali huma iebsa?")</f>
        <v>Għaliex l-ispeċi kostali huma iebsa?</v>
      </c>
    </row>
    <row r="6632" ht="15.75" customHeight="1">
      <c r="A6632" s="2" t="s">
        <v>6632</v>
      </c>
      <c r="B6632" s="2" t="str">
        <f>IFERROR(__xludf.DUMMYFUNCTION("GOOGLETRANSLATE(A6632, ""en"", ""mt"")"),"Kemm kienu nies fil-kolonji Franċiżi tal-Amerika ta ’Fuq?")</f>
        <v>Kemm kienu nies fil-kolonji Franċiżi tal-Amerika ta ’Fuq?</v>
      </c>
    </row>
    <row r="6633" ht="15.75" customHeight="1">
      <c r="A6633" s="2" t="s">
        <v>6633</v>
      </c>
      <c r="B6633" s="2" t="str">
        <f>IFERROR(__xludf.DUMMYFUNCTION("GOOGLETRANSLATE(A6633, ""en"", ""mt"")"),"Membru Onorarju tal-Konfederazzjoni Iroquois")</f>
        <v>Membru Onorarju tal-Konfederazzjoni Iroquois</v>
      </c>
    </row>
    <row r="6634" ht="15.75" customHeight="1">
      <c r="A6634" s="2" t="s">
        <v>6634</v>
      </c>
      <c r="B6634" s="2" t="str">
        <f>IFERROR(__xludf.DUMMYFUNCTION("GOOGLETRANSLATE(A6634, ""en"", ""mt"")"),"Għaliex jista 'avukat Olandiż li mar il-Belġju jagħti pariri legali?")</f>
        <v>Għaliex jista 'avukat Olandiż li mar il-Belġju jagħti pariri legali?</v>
      </c>
    </row>
    <row r="6635" ht="15.75" customHeight="1">
      <c r="A6635" s="2" t="s">
        <v>6635</v>
      </c>
      <c r="B6635" s="2" t="str">
        <f>IFERROR(__xludf.DUMMYFUNCTION("GOOGLETRANSLATE(A6635, ""en"", ""mt"")"),"Liema liġi Ingliża għamlet lil dak il-pajjiż aktar milqugħ lil Huguenots?")</f>
        <v>Liema liġi Ingliża għamlet lil dak il-pajjiż aktar milqugħ lil Huguenots?</v>
      </c>
    </row>
    <row r="6636" ht="15.75" customHeight="1">
      <c r="A6636" s="2" t="s">
        <v>6636</v>
      </c>
      <c r="B6636" s="2" t="str">
        <f>IFERROR(__xludf.DUMMYFUNCTION("GOOGLETRANSLATE(A6636, ""en"", ""mt"")"),"Imperu Intern")</f>
        <v>Imperu Intern</v>
      </c>
    </row>
    <row r="6637" ht="15.75" customHeight="1">
      <c r="A6637" s="2" t="s">
        <v>6637</v>
      </c>
      <c r="B6637" s="2" t="str">
        <f>IFERROR(__xludf.DUMMYFUNCTION("GOOGLETRANSLATE(A6637, ""en"", ""mt"")"),"Permezz ta 'kemm il-maniġment ta' Harvard naqqas l-azjendi tal-Afrika t'Isfel tagħha b'reazzjoni għall-pressjoni?")</f>
        <v>Permezz ta 'kemm il-maniġment ta' Harvard naqqas l-azjendi tal-Afrika t'Isfel tagħha b'reazzjoni għall-pressjoni?</v>
      </c>
    </row>
    <row r="6638" ht="15.75" customHeight="1">
      <c r="A6638" s="2" t="s">
        <v>6638</v>
      </c>
      <c r="B6638" s="2" t="str">
        <f>IFERROR(__xludf.DUMMYFUNCTION("GOOGLETRANSLATE(A6638, ""en"", ""mt"")"),"Liema forzi m'għandhomx iservu bħala brejk fuq il-konċentrazzjoni tal-ġid?")</f>
        <v>Liema forzi m'għandhomx iservu bħala brejk fuq il-konċentrazzjoni tal-ġid?</v>
      </c>
    </row>
    <row r="6639" ht="15.75" customHeight="1">
      <c r="A6639" s="2" t="s">
        <v>6639</v>
      </c>
      <c r="B6639" s="2" t="str">
        <f>IFERROR(__xludf.DUMMYFUNCTION("GOOGLETRANSLATE(A6639, ""en"", ""mt"")"),"Liema karozza hija liċenzjata mill-fabbrika tal-karozzi FSO u mibnija fl-Eġittu?")</f>
        <v>Liema karozza hija liċenzjata mill-fabbrika tal-karozzi FSO u mibnija fl-Eġittu?</v>
      </c>
    </row>
    <row r="6640" ht="15.75" customHeight="1">
      <c r="A6640" s="2" t="s">
        <v>6640</v>
      </c>
      <c r="B6640" s="2" t="str">
        <f>IFERROR(__xludf.DUMMYFUNCTION("GOOGLETRANSLATE(A6640, ""en"", ""mt"")"),"Southern California")</f>
        <v>Southern California</v>
      </c>
    </row>
    <row r="6641" ht="15.75" customHeight="1">
      <c r="A6641" s="2" t="s">
        <v>6641</v>
      </c>
      <c r="B6641" s="2" t="str">
        <f>IFERROR(__xludf.DUMMYFUNCTION("GOOGLETRANSLATE(A6641, ""en"", ""mt"")"),"Etajiet tas-silġ")</f>
        <v>Etajiet tas-silġ</v>
      </c>
    </row>
    <row r="6642" ht="15.75" customHeight="1">
      <c r="A6642" s="2" t="s">
        <v>6642</v>
      </c>
      <c r="B6642" s="2" t="str">
        <f>IFERROR(__xludf.DUMMYFUNCTION("GOOGLETRANSLATE(A6642, ""en"", ""mt"")"),"Okkupazzjoni Ingliża")</f>
        <v>Okkupazzjoni Ingliża</v>
      </c>
    </row>
    <row r="6643" ht="15.75" customHeight="1">
      <c r="A6643" s="2" t="s">
        <v>6643</v>
      </c>
      <c r="B6643" s="2" t="str">
        <f>IFERROR(__xludf.DUMMYFUNCTION("GOOGLETRANSLATE(A6643, ""en"", ""mt"")"),"Ħolqien ta 'stati moderni tal-Balkani u tal-Lvant Nofsani")</f>
        <v>Ħolqien ta 'stati moderni tal-Balkani u tal-Lvant Nofsani</v>
      </c>
    </row>
    <row r="6644" ht="15.75" customHeight="1">
      <c r="A6644" s="2" t="s">
        <v>6644</v>
      </c>
      <c r="B6644" s="2" t="str">
        <f>IFERROR(__xludf.DUMMYFUNCTION("GOOGLETRANSLATE(A6644, ""en"", ""mt"")"),"Testijiet moderni ta 'primalità għal numri ġenerali n jistgħu jinqasmu f'żewġ klassijiet ewlenin, probabilistiċi (jew ""Monte Carlo"") u algoritmi deterministiċi. Algoritmi deterministiċi jipprovdu mod kif tgħid żgur jekk numru partikolari huwiex ewlieni "&amp;"jew le. Pereżempju, id-diviżjoni tal-prova hija algoritmu deterministiku għaliex, jekk titwettaq b'mod korrett, dejjem tidentifika numru ewlieni bħala prim u numru kompost bħala kompost. L-algoritmi probabilistiċi huma normalment aktar mgħaġġla, iżda ma j"&amp;"ippruvawx kompletament li numru huwa ewlieni. Dawn it-testijiet jiddependu fuq l-ittestjar ta 'numru partikolari b'mod parzjalment bl-addoċċ. Pereżempju, test partikolari jista 'jgħaddi l-ħin kollu jekk jiġi applikat għal numru ewlieni, imma jgħaddi biss "&amp;"bi probabbiltà P jekk applikat għal numru kompost. Jekk nirrepetu t-test n darbiet u ngħaddu kull darba, allura l-probabbiltà li n-numru tagħna huwa kompost huwa 1 / (1-p) n, li jonqos b'mod esponenzjali man-numru ta 'testijiet, sabiex inkunu nistgħu nkun"&amp;"u żgur kif nixtiequ (għalkemm qatt perfettament ċert) li n-numru huwa ewlieni. Min-naħa l-oħra, jekk it-test dejjem ifalli, allura nafu li n-numru huwa kompost.")</f>
        <v>Testijiet moderni ta 'primalità għal numri ġenerali n jistgħu jinqasmu f'żewġ klassijiet ewlenin, probabilistiċi (jew "Monte Carlo") u algoritmi deterministiċi. Algoritmi deterministiċi jipprovdu mod kif tgħid żgur jekk numru partikolari huwiex ewlieni jew le. Pereżempju, id-diviżjoni tal-prova hija algoritmu deterministiku għaliex, jekk titwettaq b'mod korrett, dejjem tidentifika numru ewlieni bħala prim u numru kompost bħala kompost. L-algoritmi probabilistiċi huma normalment aktar mgħaġġla, iżda ma jippruvawx kompletament li numru huwa ewlieni. Dawn it-testijiet jiddependu fuq l-ittestjar ta 'numru partikolari b'mod parzjalment bl-addoċċ. Pereżempju, test partikolari jista 'jgħaddi l-ħin kollu jekk jiġi applikat għal numru ewlieni, imma jgħaddi biss bi probabbiltà P jekk applikat għal numru kompost. Jekk nirrepetu t-test n darbiet u ngħaddu kull darba, allura l-probabbiltà li n-numru tagħna huwa kompost huwa 1 / (1-p) n, li jonqos b'mod esponenzjali man-numru ta 'testijiet, sabiex inkunu nistgħu nkunu żgur kif nixtiequ (għalkemm qatt perfettament ċert) li n-numru huwa ewlieni. Min-naħa l-oħra, jekk it-test dejjem ifalli, allura nafu li n-numru huwa kompost.</v>
      </c>
    </row>
    <row r="6645" ht="15.75" customHeight="1">
      <c r="A6645" s="2" t="s">
        <v>6645</v>
      </c>
      <c r="B6645" s="2" t="str">
        <f>IFERROR(__xludf.DUMMYFUNCTION("GOOGLETRANSLATE(A6645, ""en"", ""mt"")"),"X'inhi forma sempliċi ta 'diżubbidjenza ċivili?")</f>
        <v>X'inhi forma sempliċi ta 'diżubbidjenza ċivili?</v>
      </c>
    </row>
    <row r="6646" ht="15.75" customHeight="1">
      <c r="A6646" s="2" t="s">
        <v>6646</v>
      </c>
      <c r="B6646" s="2" t="str">
        <f>IFERROR(__xludf.DUMMYFUNCTION("GOOGLETRANSLATE(A6646, ""en"", ""mt"")"),"X'inhi l-inqas problema importanti fl-Istati Uniti u bnadi oħra?")</f>
        <v>X'inhi l-inqas problema importanti fl-Istati Uniti u bnadi oħra?</v>
      </c>
    </row>
    <row r="6647" ht="15.75" customHeight="1">
      <c r="A6647" s="2" t="s">
        <v>6647</v>
      </c>
      <c r="B6647" s="2" t="str">
        <f>IFERROR(__xludf.DUMMYFUNCTION("GOOGLETRANSLATE(A6647, ""en"", ""mt"")"),"X'jista 'jiġi ppreżentat lill-Parlament b'diversi modi?")</f>
        <v>X'jista 'jiġi ppreżentat lill-Parlament b'diversi modi?</v>
      </c>
    </row>
    <row r="6648" ht="15.75" customHeight="1">
      <c r="A6648" s="2" t="s">
        <v>6648</v>
      </c>
      <c r="B6648" s="2" t="str">
        <f>IFERROR(__xludf.DUMMYFUNCTION("GOOGLETRANSLATE(A6648, ""en"", ""mt"")"),"X’tgħallmu l-iskejjel Kattoliċi Rumani kollha?")</f>
        <v>X’tgħallmu l-iskejjel Kattoliċi Rumani kollha?</v>
      </c>
    </row>
    <row r="6649" ht="15.75" customHeight="1">
      <c r="A6649" s="2" t="s">
        <v>6649</v>
      </c>
      <c r="B6649" s="2" t="str">
        <f>IFERROR(__xludf.DUMMYFUNCTION("GOOGLETRANSLATE(A6649, ""en"", ""mt"")"),"Min ħa f'idejh il-fergħat tal-ferrovija ta 'San Joaquin Valley?")</f>
        <v>Min ħa f'idejh il-fergħat tal-ferrovija ta 'San Joaquin Valley?</v>
      </c>
    </row>
    <row r="6650" ht="15.75" customHeight="1">
      <c r="A6650" s="2" t="s">
        <v>6650</v>
      </c>
      <c r="B6650" s="2" t="str">
        <f>IFERROR(__xludf.DUMMYFUNCTION("GOOGLETRANSLATE(A6650, ""en"", ""mt"")"),"X'inhu l-isem tad-delta fl-Olanda?")</f>
        <v>X'inhu l-isem tad-delta fl-Olanda?</v>
      </c>
    </row>
    <row r="6651" ht="15.75" customHeight="1">
      <c r="A6651" s="2" t="s">
        <v>6651</v>
      </c>
      <c r="B6651" s="2" t="str">
        <f>IFERROR(__xludf.DUMMYFUNCTION("GOOGLETRANSLATE(A6651, ""en"", ""mt"")"),"binarju")</f>
        <v>binarju</v>
      </c>
    </row>
    <row r="6652" ht="15.75" customHeight="1">
      <c r="A6652" s="2" t="s">
        <v>6652</v>
      </c>
      <c r="B6652" s="2" t="str">
        <f>IFERROR(__xludf.DUMMYFUNCTION("GOOGLETRANSLATE(A6652, ""en"", ""mt"")"),"sett fiss ta 'regoli biex jiddetermina l-azzjonijiet futuri tiegħu")</f>
        <v>sett fiss ta 'regoli biex jiddetermina l-azzjonijiet futuri tiegħu</v>
      </c>
    </row>
    <row r="6653" ht="15.75" customHeight="1">
      <c r="A6653" s="2" t="s">
        <v>6653</v>
      </c>
      <c r="B6653" s="2" t="str">
        <f>IFERROR(__xludf.DUMMYFUNCTION("GOOGLETRANSLATE(A6653, ""en"", ""mt"")"),"It-tabella li ġejja tagħti l-akbar primes magħrufa tat-tipi msemmija. Uħud minn dawn il-primes instabu bl-użu ta ’kompjuters distribwiti. Fl-2009, il-proġett kbir ta 'tfittxija ta' l-Internet Mersenne ingħata premju ta '$ 100,000 għall-ewwel skoperta ta' "&amp;"prim b'mill-inqas 10 miljun ċifra. Il-Fondazzjoni Electronic Frontier toffri wkoll $ 150,000 u $ 250,000 għal primes b'mill-inqas 100 miljun ċifra u 1 biljun ċifra, rispettivament. Uħud mill-ikbar primes mhux magħrufa li għandhom xi forma partikolari (jiġ"&amp;"ifieri, l-ebda formula sempliċi bħal dik ta 'Mersenne Primes) ma nstabu billi ħadu biċċa ta' dejta binarja semi-random, li jibdluha f'numru N, li timmultiplikaha billi 256k għal xi numru sħiħ pożittiv K, u tfittxija għal primes possibbli fl-intervall [256"&amp;"KN + 1, 256K (n + 1) - 1]. [Ċitazzjoni meħtieġa]")</f>
        <v>It-tabella li ġejja tagħti l-akbar primes magħrufa tat-tipi msemmija. Uħud minn dawn il-primes instabu bl-użu ta ’kompjuters distribwiti. Fl-2009, il-proġett kbir ta 'tfittxija ta' l-Internet Mersenne ingħata premju ta '$ 100,000 għall-ewwel skoperta ta' prim b'mill-inqas 10 miljun ċifra. Il-Fondazzjoni Electronic Frontier toffri wkoll $ 150,000 u $ 250,000 għal primes b'mill-inqas 100 miljun ċifra u 1 biljun ċifra, rispettivament. Uħud mill-ikbar primes mhux magħrufa li għandhom xi forma partikolari (jiġifieri, l-ebda formula sempliċi bħal dik ta 'Mersenne Primes) ma nstabu billi ħadu biċċa ta' dejta binarja semi-random, li jibdluha f'numru N, li timmultiplikaha billi 256k għal xi numru sħiħ pożittiv K, u tfittxija għal primes possibbli fl-intervall [256KN + 1, 256K (n + 1) - 1]. [Ċitazzjoni meħtieġa]</v>
      </c>
    </row>
    <row r="6654" ht="15.75" customHeight="1">
      <c r="A6654" s="2" t="s">
        <v>6654</v>
      </c>
      <c r="B6654" s="2" t="str">
        <f>IFERROR(__xludf.DUMMYFUNCTION("GOOGLETRANSLATE(A6654, ""en"", ""mt"")"),"Il-Maroons jikkompetu fid-Diviżjoni III tal-NCAA bħala membri tal-Assoċjazzjoni tal-Atletika tal-Università (UAA). L-università kienet membru fundatur tal-Big Ten Conference u pparteċipat fil-basketball tal-irġiel u l-futbol tal-irġiel tad-Diviżjoni I tal"&amp;"-NCAA u kienet parteċipant regolari fil-kampjonat tal-basketball tal-irġiel. Fl-1935, l-Università ta ’Chicago laħqet il-ħelu sittax. Fl-1935, il-plejer tal-futbol ta 'Chicago Maroons Jay Berwanger sar l-ewwel rebbieħ tat-Trofew Heisman. Madankollu, l-uni"&amp;"versità għażlet li tirtira mill-konferenza fl-1946 wara li l-President tal-Università Robert Maynard Hutchins de-enfasizza l-atletika tal-varsity fl-1939 u waqqa 'l-futbol. (Fl-1969, Chicago reġgħet daħlet il-futbol bħala tim tad-Diviżjoni III, u terġa 't"&amp;"ilgħab il-logħob tad-dar tagħha fil-Field Stagg il-ġdid.)")</f>
        <v>Il-Maroons jikkompetu fid-Diviżjoni III tal-NCAA bħala membri tal-Assoċjazzjoni tal-Atletika tal-Università (UAA). L-università kienet membru fundatur tal-Big Ten Conference u pparteċipat fil-basketball tal-irġiel u l-futbol tal-irġiel tad-Diviżjoni I tal-NCAA u kienet parteċipant regolari fil-kampjonat tal-basketball tal-irġiel. Fl-1935, l-Università ta ’Chicago laħqet il-ħelu sittax. Fl-1935, il-plejer tal-futbol ta 'Chicago Maroons Jay Berwanger sar l-ewwel rebbieħ tat-Trofew Heisman. Madankollu, l-università għażlet li tirtira mill-konferenza fl-1946 wara li l-President tal-Università Robert Maynard Hutchins de-enfasizza l-atletika tal-varsity fl-1939 u waqqa 'l-futbol. (Fl-1969, Chicago reġgħet daħlet il-futbol bħala tim tad-Diviżjoni III, u terġa 'tilgħab il-logħob tad-dar tagħha fil-Field Stagg il-ġdid.)</v>
      </c>
    </row>
    <row r="6655" ht="15.75" customHeight="1">
      <c r="A6655" s="2" t="s">
        <v>6655</v>
      </c>
      <c r="B6655" s="2" t="str">
        <f>IFERROR(__xludf.DUMMYFUNCTION("GOOGLETRANSLATE(A6655, ""en"", ""mt"")"),"Mill-perspettiva ta 'min fil-karozza hemm il-vettura u kollox ġewwa tagħha waqt il-mistrieħ?")</f>
        <v>Mill-perspettiva ta 'min fil-karozza hemm il-vettura u kollox ġewwa tagħha waqt il-mistrieħ?</v>
      </c>
    </row>
    <row r="6656" ht="15.75" customHeight="1">
      <c r="A6656" s="2" t="s">
        <v>6656</v>
      </c>
      <c r="B6656" s="2" t="str">
        <f>IFERROR(__xludf.DUMMYFUNCTION("GOOGLETRANSLATE(A6656, ""en"", ""mt"")"),"mediċini")</f>
        <v>mediċini</v>
      </c>
    </row>
    <row r="6657" ht="15.75" customHeight="1">
      <c r="A6657" s="2" t="s">
        <v>6657</v>
      </c>
      <c r="B6657" s="2" t="str">
        <f>IFERROR(__xludf.DUMMYFUNCTION("GOOGLETRANSLATE(A6657, ""en"", ""mt"")"),"L-istennija tal-ħajja hija inqas")</f>
        <v>L-istennija tal-ħajja hija inqas</v>
      </c>
    </row>
    <row r="6658" ht="15.75" customHeight="1">
      <c r="A6658" s="2" t="s">
        <v>6658</v>
      </c>
      <c r="B6658" s="2" t="str">
        <f>IFERROR(__xludf.DUMMYFUNCTION("GOOGLETRANSLATE(A6658, ""en"", ""mt"")"),"madwar 3 mili")</f>
        <v>madwar 3 mili</v>
      </c>
    </row>
    <row r="6659" ht="15.75" customHeight="1">
      <c r="A6659" s="2" t="s">
        <v>6659</v>
      </c>
      <c r="B6659" s="2" t="str">
        <f>IFERROR(__xludf.DUMMYFUNCTION("GOOGLETRANSLATE(A6659, ""en"", ""mt"")"),"Kemm Huguenots ħarbu minn Franza sal-1700s?")</f>
        <v>Kemm Huguenots ħarbu minn Franza sal-1700s?</v>
      </c>
    </row>
    <row r="6660" ht="15.75" customHeight="1">
      <c r="A6660" s="2" t="s">
        <v>6660</v>
      </c>
      <c r="B6660" s="2" t="str">
        <f>IFERROR(__xludf.DUMMYFUNCTION("GOOGLETRANSLATE(A6660, ""en"", ""mt"")"),"F’liema sena Pierre de Fermat iddikjara t-teorema żgħira ta ’Euler?")</f>
        <v>F’liema sena Pierre de Fermat iddikjara t-teorema żgħira ta ’Euler?</v>
      </c>
    </row>
    <row r="6661" ht="15.75" customHeight="1">
      <c r="A6661" s="2" t="s">
        <v>6661</v>
      </c>
      <c r="B6661" s="2" t="str">
        <f>IFERROR(__xludf.DUMMYFUNCTION("GOOGLETRANSLATE(A6661, ""en"", ""mt"")"),"X'inhuma ż-żewġ tweġibiet ta 'kliem sempliċi għal problema ta' deċiżjoni?")</f>
        <v>X'inhuma ż-żewġ tweġibiet ta 'kliem sempliċi għal problema ta' deċiżjoni?</v>
      </c>
    </row>
    <row r="6662" ht="15.75" customHeight="1">
      <c r="A6662" s="2" t="s">
        <v>6662</v>
      </c>
      <c r="B6662" s="2" t="str">
        <f>IFERROR(__xludf.DUMMYFUNCTION("GOOGLETRANSLATE(A6662, ""en"", ""mt"")"),"Meta Jamaa Islamiya rrinunzjat il-vjolenza?")</f>
        <v>Meta Jamaa Islamiya rrinunzjat il-vjolenza?</v>
      </c>
    </row>
    <row r="6663" ht="15.75" customHeight="1">
      <c r="A6663" s="2" t="s">
        <v>6663</v>
      </c>
      <c r="B6663" s="2" t="str">
        <f>IFERROR(__xludf.DUMMYFUNCTION("GOOGLETRANSLATE(A6663, ""en"", ""mt"")"),"Liema rapporti jsegwu proċedura differenti mir-rapporti tal-valutazzjoni?")</f>
        <v>Liema rapporti jsegwu proċedura differenti mir-rapporti tal-valutazzjoni?</v>
      </c>
    </row>
    <row r="6664" ht="15.75" customHeight="1">
      <c r="A6664" s="2" t="s">
        <v>6664</v>
      </c>
      <c r="B6664" s="2" t="str">
        <f>IFERROR(__xludf.DUMMYFUNCTION("GOOGLETRANSLATE(A6664, ""en"", ""mt"")"),"Meta huwa l-eqdem siġill armat ta 'sigilium?")</f>
        <v>Meta huwa l-eqdem siġill armat ta 'sigilium?</v>
      </c>
    </row>
    <row r="6665" ht="15.75" customHeight="1">
      <c r="A6665" s="2" t="s">
        <v>6665</v>
      </c>
      <c r="B6665" s="2" t="str">
        <f>IFERROR(__xludf.DUMMYFUNCTION("GOOGLETRANSLATE(A6665, ""en"", ""mt"")"),"X'inhu kultant impossibbli li timmudella?")</f>
        <v>X'inhu kultant impossibbli li timmudella?</v>
      </c>
    </row>
    <row r="6666" ht="15.75" customHeight="1">
      <c r="A6666" s="2" t="s">
        <v>6666</v>
      </c>
      <c r="B6666" s="2" t="str">
        <f>IFERROR(__xludf.DUMMYFUNCTION("GOOGLETRANSLATE(A6666, ""en"", ""mt"")"),"X'inhuma tliet tipi ta 'partijiet tas-sedimenti li nstabu?")</f>
        <v>X'inhuma tliet tipi ta 'partijiet tas-sedimenti li nstabu?</v>
      </c>
    </row>
    <row r="6667" ht="15.75" customHeight="1">
      <c r="A6667" s="2" t="s">
        <v>6667</v>
      </c>
      <c r="B6667" s="2" t="str">
        <f>IFERROR(__xludf.DUMMYFUNCTION("GOOGLETRANSLATE(A6667, ""en"", ""mt"")"),"memorja passiva għal żmien qasir jew memorja attiva fit-tul")</f>
        <v>memorja passiva għal żmien qasir jew memorja attiva fit-tul</v>
      </c>
    </row>
    <row r="6668" ht="15.75" customHeight="1">
      <c r="A6668" s="2" t="s">
        <v>6668</v>
      </c>
      <c r="B6668" s="2" t="str">
        <f>IFERROR(__xludf.DUMMYFUNCTION("GOOGLETRANSLATE(A6668, ""en"", ""mt"")"),"X'inhu l-isem uffiċjali sħiħ tal-belt ta 'Varsavja?")</f>
        <v>X'inhu l-isem uffiċjali sħiħ tal-belt ta 'Varsavja?</v>
      </c>
    </row>
    <row r="6669" ht="15.75" customHeight="1">
      <c r="A6669" s="2" t="s">
        <v>6669</v>
      </c>
      <c r="B6669" s="2" t="str">
        <f>IFERROR(__xludf.DUMMYFUNCTION("GOOGLETRANSLATE(A6669, ""en"", ""mt"")"),"Il-Mi'kmaq u l-Abenaki")</f>
        <v>Il-Mi'kmaq u l-Abenaki</v>
      </c>
    </row>
    <row r="6670" ht="15.75" customHeight="1">
      <c r="A6670" s="2" t="s">
        <v>6670</v>
      </c>
      <c r="B6670" s="2" t="str">
        <f>IFERROR(__xludf.DUMMYFUNCTION("GOOGLETRANSLATE(A6670, ""en"", ""mt"")"),"Il-biċċa l-kbira tal-kors attwali tar-Rhine ma kienx taħt is-silġ matul l-aħħar età tas-silġ; Għalkemm, is-sors tiegħu xorta għandu jkun glaċier. Tundra, bil-flora u l-fawna tal-età tas-silġ, tiġġebbed madwar l-Ewropa Nofsani, mill-Asja sal-Oċean Atlantik"&amp;"u. Dan kien il-każ matul l-aħħar massimu glaċjali, ca. 22,000–14,000 yr bp, meta l-folji tas-silġ koprew l-Iskandinavja, il-Baltiċi, l-Iskozja u l-Alpi, iżda ħallew l-ispazju bejn it-tundra miftuħa. It-trab tal-loess jew tar-riħ minfuħ fuq dik it-tundra, "&amp;"stabbilixxa ġewwa u madwar il-wied tar-Renu, li jikkontribwixxi għall-utilità agrikola attwali tagħha.")</f>
        <v>Il-biċċa l-kbira tal-kors attwali tar-Rhine ma kienx taħt is-silġ matul l-aħħar età tas-silġ; Għalkemm, is-sors tiegħu xorta għandu jkun glaċier. Tundra, bil-flora u l-fawna tal-età tas-silġ, tiġġebbed madwar l-Ewropa Nofsani, mill-Asja sal-Oċean Atlantiku. Dan kien il-każ matul l-aħħar massimu glaċjali, ca. 22,000–14,000 yr bp, meta l-folji tas-silġ koprew l-Iskandinavja, il-Baltiċi, l-Iskozja u l-Alpi, iżda ħallew l-ispazju bejn it-tundra miftuħa. It-trab tal-loess jew tar-riħ minfuħ fuq dik it-tundra, stabbilixxa ġewwa u madwar il-wied tar-Renu, li jikkontribwixxi għall-utilità agrikola attwali tagħha.</v>
      </c>
    </row>
    <row r="6671" ht="15.75" customHeight="1">
      <c r="A6671" s="2" t="s">
        <v>6671</v>
      </c>
      <c r="B6671" s="2" t="str">
        <f>IFERROR(__xludf.DUMMYFUNCTION("GOOGLETRANSLATE(A6671, ""en"", ""mt"")"),"pagi aktar baxxi")</f>
        <v>pagi aktar baxxi</v>
      </c>
    </row>
    <row r="6672" ht="15.75" customHeight="1">
      <c r="A6672" s="2" t="s">
        <v>6672</v>
      </c>
      <c r="B6672" s="2" t="str">
        <f>IFERROR(__xludf.DUMMYFUNCTION("GOOGLETRANSLATE(A6672, ""en"", ""mt"")"),"Liema sezzjoni tar-Renu tinstab ħafna fabbriki?")</f>
        <v>Liema sezzjoni tar-Renu tinstab ħafna fabbriki?</v>
      </c>
    </row>
    <row r="6673" ht="15.75" customHeight="1">
      <c r="A6673" s="2" t="s">
        <v>6673</v>
      </c>
      <c r="B6673" s="2" t="str">
        <f>IFERROR(__xludf.DUMMYFUNCTION("GOOGLETRANSLATE(A6673, ""en"", ""mt"")"),"Meta mqabbel mat-titjib ta 'Smeaton fuq il-magna ta' Newcomen, kemm il-faħam uża l-magna ta 'Watt?")</f>
        <v>Meta mqabbel mat-titjib ta 'Smeaton fuq il-magna ta' Newcomen, kemm il-faħam uża l-magna ta 'Watt?</v>
      </c>
    </row>
    <row r="6674" ht="15.75" customHeight="1">
      <c r="A6674" s="2" t="s">
        <v>6674</v>
      </c>
      <c r="B6674" s="2" t="str">
        <f>IFERROR(__xludf.DUMMYFUNCTION("GOOGLETRANSLATE(A6674, ""en"", ""mt"")"),"Gwerra Franċiża u Indjana")</f>
        <v>Gwerra Franċiża u Indjana</v>
      </c>
    </row>
    <row r="6675" ht="15.75" customHeight="1">
      <c r="A6675" s="2" t="s">
        <v>6675</v>
      </c>
      <c r="B6675" s="2" t="str">
        <f>IFERROR(__xludf.DUMMYFUNCTION("GOOGLETRANSLATE(A6675, ""en"", ""mt"")"),"Kif jittieħed il-ħin espress bħala funzjoni ta 'X?")</f>
        <v>Kif jittieħed il-ħin espress bħala funzjoni ta 'X?</v>
      </c>
    </row>
    <row r="6676" ht="15.75" customHeight="1">
      <c r="A6676" s="2" t="s">
        <v>6676</v>
      </c>
      <c r="B6676" s="2" t="str">
        <f>IFERROR(__xludf.DUMMYFUNCTION("GOOGLETRANSLATE(A6676, ""en"", ""mt"")"),"Kif huwa kklassifikat l-ossiġnu bħala abbundanti fl-univers?")</f>
        <v>Kif huwa kklassifikat l-ossiġnu bħala abbundanti fl-univers?</v>
      </c>
    </row>
    <row r="6677" ht="15.75" customHeight="1">
      <c r="A6677" s="2" t="s">
        <v>6677</v>
      </c>
      <c r="B6677" s="2" t="str">
        <f>IFERROR(__xludf.DUMMYFUNCTION("GOOGLETRANSLATE(A6677, ""en"", ""mt"")"),"X'narbu matul l-era tal-apartheid?")</f>
        <v>X'narbu matul l-era tal-apartheid?</v>
      </c>
    </row>
    <row r="6678" ht="15.75" customHeight="1">
      <c r="A6678" s="2" t="s">
        <v>6678</v>
      </c>
      <c r="B6678" s="2" t="str">
        <f>IFERROR(__xludf.DUMMYFUNCTION("GOOGLETRANSLATE(A6678, ""en"", ""mt"")"),"Għaliex m'hemmx spinta għall-Istati Uniti biex tnaqqas l-ispejjeż tad-droga tal-konsumatur?")</f>
        <v>Għaliex m'hemmx spinta għall-Istati Uniti biex tnaqqas l-ispejjeż tad-droga tal-konsumatur?</v>
      </c>
    </row>
    <row r="6679" ht="15.75" customHeight="1">
      <c r="A6679" s="2" t="s">
        <v>6679</v>
      </c>
      <c r="B6679" s="2" t="str">
        <f>IFERROR(__xludf.DUMMYFUNCTION("GOOGLETRANSLATE(A6679, ""en"", ""mt"")"),"Minn fejn jistgħu jiġu estrapolati l-istimi tal-popolazzjoni?")</f>
        <v>Minn fejn jistgħu jiġu estrapolati l-istimi tal-popolazzjoni?</v>
      </c>
    </row>
    <row r="6680" ht="15.75" customHeight="1">
      <c r="A6680" s="2" t="s">
        <v>6680</v>
      </c>
      <c r="B6680" s="2" t="str">
        <f>IFERROR(__xludf.DUMMYFUNCTION("GOOGLETRANSLATE(A6680, ""en"", ""mt"")"),"Liema diffikultajiet kien qed ikollu Shirly?")</f>
        <v>Liema diffikultajiet kien qed ikollu Shirly?</v>
      </c>
    </row>
    <row r="6681" ht="15.75" customHeight="1">
      <c r="A6681" s="2" t="s">
        <v>6681</v>
      </c>
      <c r="B6681" s="2" t="str">
        <f>IFERROR(__xludf.DUMMYFUNCTION("GOOGLETRANSLATE(A6681, ""en"", ""mt"")"),"L-ideali ewlenin huma l-punti ta 'oġġetti alġebro-ġeometriċi, permezz tal-kunċett ta' l-ispettru ta 'ċirku. Il-ġeometrija aritmetika tibbenefika wkoll minn din il-kunċett, u ħafna kunċetti jeżistu kemm fil-ġeometrija kif ukoll fit-teorija tan-numri. Pereż"&amp;"empju, fatorizzazzjoni jew ramifikazzjoni ta 'ideali ewlenin meta titneħħa għal qasam ta' estensjoni, problema bażika tat-teorija tan-numri alġebriċi, għandha xebh ma 'ramifikazzjoni fil-ġeometrija. Mistoqsijiet ta 'ramifikazzjoni bħal dawn iseħħu anke fi"&amp;" mistoqsijiet teoretiċi b'numri kkonċernati biss ma' numri interi. Pereżempju, ideali ewlenin fiċ-ċirku ta 'numru sħiħ ta' oqsma ta 'numri kwadratiċi jistgħu jintużaw biex jippruvaw reċiproċità kwadratika, dikjarazzjoni li tikkonċerna s-solvabilità ta' ek"&amp;"wazzjonijiet kwadratiċi")</f>
        <v>L-ideali ewlenin huma l-punti ta 'oġġetti alġebro-ġeometriċi, permezz tal-kunċett ta' l-ispettru ta 'ċirku. Il-ġeometrija aritmetika tibbenefika wkoll minn din il-kunċett, u ħafna kunċetti jeżistu kemm fil-ġeometrija kif ukoll fit-teorija tan-numri. Pereżempju, fatorizzazzjoni jew ramifikazzjoni ta 'ideali ewlenin meta titneħħa għal qasam ta' estensjoni, problema bażika tat-teorija tan-numri alġebriċi, għandha xebh ma 'ramifikazzjoni fil-ġeometrija. Mistoqsijiet ta 'ramifikazzjoni bħal dawn iseħħu anke fi mistoqsijiet teoretiċi b'numri kkonċernati biss ma' numri interi. Pereżempju, ideali ewlenin fiċ-ċirku ta 'numru sħiħ ta' oqsma ta 'numri kwadratiċi jistgħu jintużaw biex jippruvaw reċiproċità kwadratika, dikjarazzjoni li tikkonċerna s-solvabilità ta' ekwazzjonijiet kwadratiċi</v>
      </c>
    </row>
    <row r="6682" ht="15.75" customHeight="1">
      <c r="A6682" s="2" t="s">
        <v>6682</v>
      </c>
      <c r="B6682" s="2" t="str">
        <f>IFERROR(__xludf.DUMMYFUNCTION("GOOGLETRANSLATE(A6682, ""en"", ""mt"")"),"Fejn l-ilma lejn il-lvant tal-Baċin tad-Drenaġġ tal-Amażonja ħareġ?")</f>
        <v>Fejn l-ilma lejn il-lvant tal-Baċin tad-Drenaġġ tal-Amażonja ħareġ?</v>
      </c>
    </row>
    <row r="6683" ht="15.75" customHeight="1">
      <c r="A6683" s="2" t="s">
        <v>6683</v>
      </c>
      <c r="B6683" s="2" t="str">
        <f>IFERROR(__xludf.DUMMYFUNCTION("GOOGLETRANSLATE(A6683, ""en"", ""mt"")"),"Liema artist għandu biċċa xogħol artistiku tiegħu li jinsab fil-Mall Fulton?")</f>
        <v>Liema artist għandu biċċa xogħol artistiku tiegħu li jinsab fil-Mall Fulton?</v>
      </c>
    </row>
    <row r="6684" ht="15.75" customHeight="1">
      <c r="A6684" s="2" t="s">
        <v>6684</v>
      </c>
      <c r="B6684" s="2" t="str">
        <f>IFERROR(__xludf.DUMMYFUNCTION("GOOGLETRANSLATE(A6684, ""en"", ""mt"")"),"Id-diżubbidjenza ċivili hija ġeneralment definita bħala li għandha x'taqsam mar-relazzjoni ta 'ċittadin mal-istat u l-liġijiet tiegħu, kif distint minn impass kostituzzjonali li fih żewġ aġenziji pubbliċi, speċjalment żewġ fergħat ugwalment sovrani tal-gv"&amp;"ern, kunflitt. Pereżempju, jekk il-kap tal-gvern ta 'pajjiż kien jirrifjuta li jinforza deċiżjoni ta' l-ogħla qorti ta 'dak il-pajjiż, ma tkunx diżubbidjenza ċivili, peress li l-kap tal-gvern ikun qed jaġixxi fil-kapaċità tagħha jew tiegħu bħala uffiċjal "&amp;"pubbliku aktar milli privat ċittadin.")</f>
        <v>Id-diżubbidjenza ċivili hija ġeneralment definita bħala li għandha x'taqsam mar-relazzjoni ta 'ċittadin mal-istat u l-liġijiet tiegħu, kif distint minn impass kostituzzjonali li fih żewġ aġenziji pubbliċi, speċjalment żewġ fergħat ugwalment sovrani tal-gvern, kunflitt. Pereżempju, jekk il-kap tal-gvern ta 'pajjiż kien jirrifjuta li jinforza deċiżjoni ta' l-ogħla qorti ta 'dak il-pajjiż, ma tkunx diżubbidjenza ċivili, peress li l-kap tal-gvern ikun qed jaġixxi fil-kapaċità tagħha jew tiegħu bħala uffiċjal pubbliku aktar milli privat ċittadin.</v>
      </c>
    </row>
    <row r="6685" ht="15.75" customHeight="1">
      <c r="A6685" s="2" t="s">
        <v>6685</v>
      </c>
      <c r="B6685" s="2" t="str">
        <f>IFERROR(__xludf.DUMMYFUNCTION("GOOGLETRANSLATE(A6685, ""en"", ""mt"")")," Il-partit kif waqqa 'l-gvern elett fl-1929?")</f>
        <v> Il-partit kif waqqa 'l-gvern elett fl-1929?</v>
      </c>
    </row>
    <row r="6686" ht="15.75" customHeight="1">
      <c r="A6686" s="2" t="s">
        <v>6686</v>
      </c>
      <c r="B6686" s="2" t="str">
        <f>IFERROR(__xludf.DUMMYFUNCTION("GOOGLETRANSLATE(A6686, ""en"", ""mt"")"),"1978")</f>
        <v>1978</v>
      </c>
    </row>
    <row r="6687" ht="15.75" customHeight="1">
      <c r="A6687" s="2" t="s">
        <v>6687</v>
      </c>
      <c r="B6687" s="2" t="str">
        <f>IFERROR(__xludf.DUMMYFUNCTION("GOOGLETRANSLATE(A6687, ""en"", ""mt"")"),"Għal xiex id-ditti kapitalisti jissostitwixxu tagħmir għal analiżi Marxjana?")</f>
        <v>Għal xiex id-ditti kapitalisti jissostitwixxu tagħmir għal analiżi Marxjana?</v>
      </c>
    </row>
    <row r="6688" ht="15.75" customHeight="1">
      <c r="A6688" s="2" t="s">
        <v>6688</v>
      </c>
      <c r="B6688" s="2" t="str">
        <f>IFERROR(__xludf.DUMMYFUNCTION("GOOGLETRANSLATE(A6688, ""en"", ""mt"")"),"Liema partit politiku huwa l-iktar qawwi fis-subborgi tal-klassi tal-ħaddiema ta 'Melbourne?")</f>
        <v>Liema partit politiku huwa l-iktar qawwi fis-subborgi tal-klassi tal-ħaddiema ta 'Melbourne?</v>
      </c>
    </row>
    <row r="6689" ht="15.75" customHeight="1">
      <c r="A6689" s="2" t="s">
        <v>6689</v>
      </c>
      <c r="B6689" s="2" t="str">
        <f>IFERROR(__xludf.DUMMYFUNCTION("GOOGLETRANSLATE(A6689, ""en"", ""mt"")"),"X'jagħmel 0.9% tal-qoxra tad-dinja bil-massa?")</f>
        <v>X'jagħmel 0.9% tal-qoxra tad-dinja bil-massa?</v>
      </c>
    </row>
    <row r="6690" ht="15.75" customHeight="1">
      <c r="A6690" s="2" t="s">
        <v>6690</v>
      </c>
      <c r="B6690" s="2" t="str">
        <f>IFERROR(__xludf.DUMMYFUNCTION("GOOGLETRANSLATE(A6690, ""en"", ""mt"")"),"Sultan ta 'Tebes")</f>
        <v>Sultan ta 'Tebes</v>
      </c>
    </row>
    <row r="6691" ht="15.75" customHeight="1">
      <c r="A6691" s="2" t="s">
        <v>6691</v>
      </c>
      <c r="B6691" s="2" t="str">
        <f>IFERROR(__xludf.DUMMYFUNCTION("GOOGLETRANSLATE(A6691, ""en"", ""mt"")"),"Tekniku tal-ispiżerija fir-Renju Unit huwa meqjus bħala professjonist fil-kura tas-saħħa u ħafna drabi ma jaħdimx taħt is-superviżjoni diretta ta 'spiżjar (jekk impjegat fi spiżerija fl-isptar) iżda minflok huwa sorveljat u mmaniġġjat minn tekniċi anzjani"&amp;" oħra tal-ispiżerija. Fir-Renju Unit ir-rwol ta 'PHT kiber u r-responsabbiltà ġiet mgħoddija lilhom biex jimmaniġġjaw id-dipartiment tal-ispiżerija u oqsma speċjalizzati fil-prattika tal-ispiżerija li jippermettu lill-ispiżjara l-ħin li jispeċjalizzaw fil"&amp;"-qasam espert tagħhom bħala konsulenti tal-medikazzjoni li jqattgħu aktar ħin jaħdmu ma' pazjenti u fi riċerka. Tekniku tal-ispiżerija ladarba jkun ikkwalifikat għandu jirreġistra bħala professjonist fir-reġistru ġenerali tal-Kunsill Farmaċewtiku (GPHC). "&amp;"Il-GPHC huwa l-korp li jiggverna għall-professjonisti tal-kura tas-saħħa tal-ispiżerija u dan huwa min jirregola l-prattika tal-ispiżjara u t-tekniċi tal-ispiżerija.")</f>
        <v>Tekniku tal-ispiżerija fir-Renju Unit huwa meqjus bħala professjonist fil-kura tas-saħħa u ħafna drabi ma jaħdimx taħt is-superviżjoni diretta ta 'spiżjar (jekk impjegat fi spiżerija fl-isptar) iżda minflok huwa sorveljat u mmaniġġjat minn tekniċi anzjani oħra tal-ispiżerija. Fir-Renju Unit ir-rwol ta 'PHT kiber u r-responsabbiltà ġiet mgħoddija lilhom biex jimmaniġġjaw id-dipartiment tal-ispiżerija u oqsma speċjalizzati fil-prattika tal-ispiżerija li jippermettu lill-ispiżjara l-ħin li jispeċjalizzaw fil-qasam espert tagħhom bħala konsulenti tal-medikazzjoni li jqattgħu aktar ħin jaħdmu ma' pazjenti u fi riċerka. Tekniku tal-ispiżerija ladarba jkun ikkwalifikat għandu jirreġistra bħala professjonist fir-reġistru ġenerali tal-Kunsill Farmaċewtiku (GPHC). Il-GPHC huwa l-korp li jiggverna għall-professjonisti tal-kura tas-saħħa tal-ispiżerija u dan huwa min jirregola l-prattika tal-ispiżjara u t-tekniċi tal-ispiżerija.</v>
      </c>
    </row>
    <row r="6692" ht="15.75" customHeight="1">
      <c r="A6692" s="2" t="s">
        <v>6692</v>
      </c>
      <c r="B6692" s="2" t="str">
        <f>IFERROR(__xludf.DUMMYFUNCTION("GOOGLETRANSLATE(A6692, ""en"", ""mt"")"),"Liema forzi jistgħu jiġu mmudellati bl-użu ta 'kordi ta' frizzjoni ideali?")</f>
        <v>Liema forzi jistgħu jiġu mmudellati bl-użu ta 'kordi ta' frizzjoni ideali?</v>
      </c>
    </row>
    <row r="6693" ht="15.75" customHeight="1">
      <c r="A6693" s="2" t="s">
        <v>6693</v>
      </c>
      <c r="B6693" s="2" t="str">
        <f>IFERROR(__xludf.DUMMYFUNCTION("GOOGLETRANSLATE(A6693, ""en"", ""mt"")"),"X'inhu l-isem għal O3 l-iktar spiss użat?")</f>
        <v>X'inhu l-isem għal O3 l-iktar spiss użat?</v>
      </c>
    </row>
    <row r="6694" ht="15.75" customHeight="1">
      <c r="A6694" s="2" t="s">
        <v>6694</v>
      </c>
      <c r="B6694" s="2" t="str">
        <f>IFERROR(__xludf.DUMMYFUNCTION("GOOGLETRANSLATE(A6694, ""en"", ""mt"")"),"Għal liema ferrovija Stephenson bena lokomottiva fl-1825?")</f>
        <v>Għal liema ferrovija Stephenson bena lokomottiva fl-1825?</v>
      </c>
    </row>
    <row r="6695" ht="15.75" customHeight="1">
      <c r="A6695" s="2" t="s">
        <v>6695</v>
      </c>
      <c r="B6695" s="2" t="str">
        <f>IFERROR(__xludf.DUMMYFUNCTION("GOOGLETRANSLATE(A6695, ""en"", ""mt"")"),"Fejn kienu ospitati servers?")</f>
        <v>Fejn kienu ospitati servers?</v>
      </c>
    </row>
    <row r="6696" ht="15.75" customHeight="1">
      <c r="A6696" s="2" t="s">
        <v>6696</v>
      </c>
      <c r="B6696" s="2" t="str">
        <f>IFERROR(__xludf.DUMMYFUNCTION("GOOGLETRANSLATE(A6696, ""en"", ""mt"")"),"Meta Pachauri rriżenja bħala president tal-IPCC?")</f>
        <v>Meta Pachauri rriżenja bħala president tal-IPCC?</v>
      </c>
    </row>
    <row r="6697" ht="15.75" customHeight="1">
      <c r="A6697" s="2" t="s">
        <v>6697</v>
      </c>
      <c r="B6697" s="2" t="str">
        <f>IFERROR(__xludf.DUMMYFUNCTION("GOOGLETRANSLATE(A6697, ""en"", ""mt"")"),"Kungress u presidenti")</f>
        <v>Kungress u presidenti</v>
      </c>
    </row>
    <row r="6698" ht="15.75" customHeight="1">
      <c r="A6698" s="2" t="s">
        <v>6698</v>
      </c>
      <c r="B6698" s="2" t="str">
        <f>IFERROR(__xludf.DUMMYFUNCTION("GOOGLETRANSLATE(A6698, ""en"", ""mt"")"),"sid tal-propjetà")</f>
        <v>sid tal-propjetà</v>
      </c>
    </row>
    <row r="6699" ht="15.75" customHeight="1">
      <c r="A6699" s="2" t="s">
        <v>6699</v>
      </c>
      <c r="B6699" s="2" t="str">
        <f>IFERROR(__xludf.DUMMYFUNCTION("GOOGLETRANSLATE(A6699, ""en"", ""mt"")"),"X'inhu l-famuż blat ħdejn Sanke Goarshausen?")</f>
        <v>X'inhu l-famuż blat ħdejn Sanke Goarshausen?</v>
      </c>
    </row>
    <row r="6700" ht="15.75" customHeight="1">
      <c r="A6700" s="2" t="s">
        <v>6700</v>
      </c>
      <c r="B6700" s="2" t="str">
        <f>IFERROR(__xludf.DUMMYFUNCTION("GOOGLETRANSLATE(A6700, ""en"", ""mt"")")," X'kienu t-tliet forom ta 'determiniżmu ambjentali?")</f>
        <v> X'kienu t-tliet forom ta 'determiniżmu ambjentali?</v>
      </c>
    </row>
    <row r="6701" ht="15.75" customHeight="1">
      <c r="A6701" s="2" t="s">
        <v>6701</v>
      </c>
      <c r="B6701" s="2" t="str">
        <f>IFERROR(__xludf.DUMMYFUNCTION("GOOGLETRANSLATE(A6701, ""en"", ""mt"")"),"Min ikejjel l-ossiġnu-18 u l-ossiġenu-16 fl-iskeletri tal-organiżmi kollha?")</f>
        <v>Min ikejjel l-ossiġnu-18 u l-ossiġenu-16 fl-iskeletri tal-organiżmi kollha?</v>
      </c>
    </row>
    <row r="6702" ht="15.75" customHeight="1">
      <c r="A6702" s="2" t="s">
        <v>6702</v>
      </c>
      <c r="B6702" s="2" t="str">
        <f>IFERROR(__xludf.DUMMYFUNCTION("GOOGLETRANSLATE(A6702, ""en"", ""mt"")"),"Maria de la Queillerie")</f>
        <v>Maria de la Queillerie</v>
      </c>
    </row>
    <row r="6703" ht="15.75" customHeight="1">
      <c r="A6703" s="2" t="s">
        <v>6703</v>
      </c>
      <c r="B6703" s="2" t="str">
        <f>IFERROR(__xludf.DUMMYFUNCTION("GOOGLETRANSLATE(A6703, ""en"", ""mt"")"),"Organizzazzjoni Meteoroloġika Dinjija (WMO) u l-Programm tal-Ambjent tan-Nazzjonijiet Uniti (UNEP),")</f>
        <v>Organizzazzjoni Meteoroloġika Dinjija (WMO) u l-Programm tal-Ambjent tan-Nazzjonijiet Uniti (UNEP),</v>
      </c>
    </row>
    <row r="6704" ht="15.75" customHeight="1">
      <c r="A6704" s="2" t="s">
        <v>6704</v>
      </c>
      <c r="B6704" s="2" t="str">
        <f>IFERROR(__xludf.DUMMYFUNCTION("GOOGLETRANSLATE(A6704, ""en"", ""mt"")"),"X'inhi l-inqas riżorsa kritika mkejla fil-valutazzjoni tad-determinazzjoni tal-kapaċità ta 'magna Turing li ssolvi kwalunkwe sett ta' problemi?")</f>
        <v>X'inhi l-inqas riżorsa kritika mkejla fil-valutazzjoni tad-determinazzjoni tal-kapaċità ta 'magna Turing li ssolvi kwalunkwe sett ta' problemi?</v>
      </c>
    </row>
    <row r="6705" ht="15.75" customHeight="1">
      <c r="A6705" s="2" t="s">
        <v>6705</v>
      </c>
      <c r="B6705" s="2" t="str">
        <f>IFERROR(__xludf.DUMMYFUNCTION("GOOGLETRANSLATE(A6705, ""en"", ""mt"")"),"Liema apparat mediku jista 'jkun ta' tħassib għat-tossiċità tal-ossiġnu?")</f>
        <v>Liema apparat mediku jista 'jkun ta' tħassib għat-tossiċità tal-ossiġnu?</v>
      </c>
    </row>
    <row r="6706" ht="15.75" customHeight="1">
      <c r="A6706" s="2" t="s">
        <v>6706</v>
      </c>
      <c r="B6706" s="2" t="str">
        <f>IFERROR(__xludf.DUMMYFUNCTION("GOOGLETRANSLATE(A6706, ""en"", ""mt"")"),"1249")</f>
        <v>1249</v>
      </c>
    </row>
    <row r="6707" ht="15.75" customHeight="1">
      <c r="A6707" s="2" t="s">
        <v>6707</v>
      </c>
      <c r="B6707" s="2" t="str">
        <f>IFERROR(__xludf.DUMMYFUNCTION("GOOGLETRANSLATE(A6707, ""en"", ""mt"")"),"Liema organizzazzjoni toffri premjijiet monetarji għall-identifikazzjoni ta 'primes b'mill-inqas 100 miljun ċifra?")</f>
        <v>Liema organizzazzjoni toffri premjijiet monetarji għall-identifikazzjoni ta 'primes b'mill-inqas 100 miljun ċifra?</v>
      </c>
    </row>
    <row r="6708" ht="15.75" customHeight="1">
      <c r="A6708" s="2" t="s">
        <v>6708</v>
      </c>
      <c r="B6708" s="2" t="str">
        <f>IFERROR(__xludf.DUMMYFUNCTION("GOOGLETRANSLATE(A6708, ""en"", ""mt"")"),"X’bagħat George Carlin lill-Kunsill tal-Belt fi New Hampshire?")</f>
        <v>X’bagħat George Carlin lill-Kunsill tal-Belt fi New Hampshire?</v>
      </c>
    </row>
    <row r="6709" ht="15.75" customHeight="1">
      <c r="A6709" s="2" t="s">
        <v>6709</v>
      </c>
      <c r="B6709" s="2" t="str">
        <f>IFERROR(__xludf.DUMMYFUNCTION("GOOGLETRANSLATE(A6709, ""en"", ""mt"")"),"X'għandhom ikunu soċjetajiet estremament ugwali?")</f>
        <v>X'għandhom ikunu soċjetajiet estremament ugwali?</v>
      </c>
    </row>
    <row r="6710" ht="15.75" customHeight="1">
      <c r="A6710" s="2" t="s">
        <v>6710</v>
      </c>
      <c r="B6710" s="2" t="str">
        <f>IFERROR(__xludf.DUMMYFUNCTION("GOOGLETRANSLATE(A6710, ""en"", ""mt"")"),"X'inhu l-uniku mod kif tibgħat il-pakketti?")</f>
        <v>X'inhu l-uniku mod kif tibgħat il-pakketti?</v>
      </c>
    </row>
    <row r="6711" ht="15.75" customHeight="1">
      <c r="A6711" s="2" t="s">
        <v>6711</v>
      </c>
      <c r="B6711" s="2" t="str">
        <f>IFERROR(__xludf.DUMMYFUNCTION("GOOGLETRANSLATE(A6711, ""en"", ""mt"")"),"Fl-1891 l-ispiżjar Skoċċiż James Dewar kien kapaċi jipproduċi biżżejjed ossiġnu likwidu biex jistudja. L-ewwel proċess kummerċjalment vijabbli għall-produzzjoni ta 'ossiġnu likwidu ġie żviluppat b'mod indipendenti fl-1895 mill-inġinier Ġermaniż Carl von L"&amp;"inde u l-inġinier Brittaniku William Hampson. Iż-żewġ irġiel naqqsu t-temperatura ta 'l-arja sakemm tkun likwifikata u mbagħad iddistillaw il-gassijiet tal-komponenti billi jagħlquhom waħda kull darba u qabduhom. Aktar tard, fl-1901, l-iwweldjar ta 'oxyac"&amp;"etylene intwera għall-ewwel darba billi jinħaraq taħlita ta' aċetilena u kompressat O
2. Dan il-metodu ta 'wweldjar u qtugħ tal-metall aktar tard sar komuni.")</f>
        <v>Fl-1891 l-ispiżjar Skoċċiż James Dewar kien kapaċi jipproduċi biżżejjed ossiġnu likwidu biex jistudja. L-ewwel proċess kummerċjalment vijabbli għall-produzzjoni ta 'ossiġnu likwidu ġie żviluppat b'mod indipendenti fl-1895 mill-inġinier Ġermaniż Carl von Linde u l-inġinier Brittaniku William Hampson. Iż-żewġ irġiel naqqsu t-temperatura ta 'l-arja sakemm tkun likwifikata u mbagħad iddistillaw il-gassijiet tal-komponenti billi jagħlquhom waħda kull darba u qabduhom. Aktar tard, fl-1901, l-iwweldjar ta 'oxyacetylene intwera għall-ewwel darba billi jinħaraq taħlita ta' aċetilena u kompressat O
2. Dan il-metodu ta 'wweldjar u qtugħ tal-metall aktar tard sar komuni.</v>
      </c>
    </row>
    <row r="6712" ht="15.75" customHeight="1">
      <c r="A6712" s="2" t="s">
        <v>6712</v>
      </c>
      <c r="B6712" s="2" t="str">
        <f>IFERROR(__xludf.DUMMYFUNCTION("GOOGLETRANSLATE(A6712, ""en"", ""mt"")"),"Fl-isforz li jinżamm livell ta 'astrazzjoni, liema għażla tipikament titħalla indipendenti?")</f>
        <v>Fl-isforz li jinżamm livell ta 'astrazzjoni, liema għażla tipikament titħalla indipendenti?</v>
      </c>
    </row>
    <row r="6713" ht="15.75" customHeight="1">
      <c r="A6713" s="2" t="s">
        <v>6713</v>
      </c>
      <c r="B6713" s="2" t="str">
        <f>IFERROR(__xludf.DUMMYFUNCTION("GOOGLETRANSLATE(A6713, ""en"", ""mt"")"),"BSKYB Meta ħabbar l-intenzjoni li jissostitwixxi l-istazzjonijiet diġitali bla ħlas tiegħu?")</f>
        <v>BSKYB Meta ħabbar l-intenzjoni li jissostitwixxi l-istazzjonijiet diġitali bla ħlas tiegħu?</v>
      </c>
    </row>
    <row r="6714" ht="15.75" customHeight="1">
      <c r="A6714" s="2" t="s">
        <v>6714</v>
      </c>
      <c r="B6714" s="2" t="str">
        <f>IFERROR(__xludf.DUMMYFUNCTION("GOOGLETRANSLATE(A6714, ""en"", ""mt"")"),"Ferħ")</f>
        <v>Ferħ</v>
      </c>
    </row>
    <row r="6715" ht="15.75" customHeight="1">
      <c r="A6715" s="2" t="s">
        <v>6715</v>
      </c>
      <c r="B6715" s="2" t="str">
        <f>IFERROR(__xludf.DUMMYFUNCTION("GOOGLETRANSLATE(A6715, ""en"", ""mt"")"),"Partijiet fin-Nofsinhar u Ċentrali ta 'Franza,")</f>
        <v>Partijiet fin-Nofsinhar u Ċentrali ta 'Franza,</v>
      </c>
    </row>
    <row r="6716" ht="15.75" customHeight="1">
      <c r="A6716" s="2" t="s">
        <v>6716</v>
      </c>
      <c r="B6716" s="2" t="str">
        <f>IFERROR(__xludf.DUMMYFUNCTION("GOOGLETRANSLATE(A6716, ""en"", ""mt"")"),"X'inhu l-isem tad-deżert ħdejn il-fruntiera ta 'Nevada?")</f>
        <v>X'inhu l-isem tad-deżert ħdejn il-fruntiera ta 'Nevada?</v>
      </c>
    </row>
    <row r="6717" ht="15.75" customHeight="1">
      <c r="A6717" s="2" t="s">
        <v>6717</v>
      </c>
      <c r="B6717" s="2" t="str">
        <f>IFERROR(__xludf.DUMMYFUNCTION("GOOGLETRANSLATE(A6717, ""en"", ""mt"")"),"Liema ċiklu termodinamiku ideali janalizza l-proċess li bih jaħdmu l-magni solari?")</f>
        <v>Liema ċiklu termodinamiku ideali janalizza l-proċess li bih jaħdmu l-magni solari?</v>
      </c>
    </row>
    <row r="6718" ht="15.75" customHeight="1">
      <c r="A6718" s="2" t="s">
        <v>6718</v>
      </c>
      <c r="B6718" s="2" t="str">
        <f>IFERROR(__xludf.DUMMYFUNCTION("GOOGLETRANSLATE(A6718, ""en"", ""mt"")"),"ċelloli T qattiel")</f>
        <v>ċelloli T qattiel</v>
      </c>
    </row>
    <row r="6719" ht="15.75" customHeight="1">
      <c r="A6719" s="2" t="s">
        <v>6719</v>
      </c>
      <c r="B6719" s="2" t="str">
        <f>IFERROR(__xludf.DUMMYFUNCTION("GOOGLETRANSLATE(A6719, ""en"", ""mt"")"),"Vetra u jien Germanica u XX Valeria kienu ż-żewġ leġjuni għal xiex?")</f>
        <v>Vetra u jien Germanica u XX Valeria kienu ż-żewġ leġjuni għal xiex?</v>
      </c>
    </row>
    <row r="6720" ht="15.75" customHeight="1">
      <c r="A6720" s="2" t="s">
        <v>6720</v>
      </c>
      <c r="B6720" s="2" t="str">
        <f>IFERROR(__xludf.DUMMYFUNCTION("GOOGLETRANSLATE(A6720, ""en"", ""mt"")"),"Għaliex in-nies li jqassmu l-fuljetti fil-qorti ma ġewx arrestati?")</f>
        <v>Għaliex in-nies li jqassmu l-fuljetti fil-qorti ma ġewx arrestati?</v>
      </c>
    </row>
    <row r="6721" ht="15.75" customHeight="1">
      <c r="A6721" s="2" t="s">
        <v>6721</v>
      </c>
      <c r="B6721" s="2" t="str">
        <f>IFERROR(__xludf.DUMMYFUNCTION("GOOGLETRANSLATE(A6721, ""en"", ""mt"")"),"Liema sistema tagħti lill-organiżmu immunità fit-tul kontra patoġen?")</f>
        <v>Liema sistema tagħti lill-organiżmu immunità fit-tul kontra patoġen?</v>
      </c>
    </row>
    <row r="6722" ht="15.75" customHeight="1">
      <c r="A6722" s="2" t="s">
        <v>6722</v>
      </c>
      <c r="B6722" s="2" t="str">
        <f>IFERROR(__xludf.DUMMYFUNCTION("GOOGLETRANSLATE(A6722, ""en"", ""mt"")"),"In-numri ta 'Huguenot laħqu l-quċċata ta' stima ta 'żewġ miljun sal-1562, ikkonċentrati prinċipalment fil-partijiet tan-Nofsinhar u Ċentrali ta' Franza, madwar tmienja n-numru ta 'Kattoliċi Franċiżi. Hekk kif Huguenots kisbu influwenza u wrew b'mod aktar "&amp;"miftuħ il-fidi tagħhom, l-ostilità Kattolika kibret, minkejja konċessjonijiet politiċi dejjem aktar liberali u edetti ta 'tolleranza mill-kuruna Franċiża. Segwiet serje ta 'kunflitti reliġjużi, magħrufa bħala l-Gwerer tar-Reliġjon, ġġieldu b'mod intermitt"&amp;"enti mill-1562 sal-1598. Il-gwerer fl-aħħar intemmu bl-għoti tal-editt ta' Nantes, li taw lill-Huguenots sostanzjali reliġjużi, politiċi u militari.")</f>
        <v>In-numri ta 'Huguenot laħqu l-quċċata ta' stima ta 'żewġ miljun sal-1562, ikkonċentrati prinċipalment fil-partijiet tan-Nofsinhar u Ċentrali ta' Franza, madwar tmienja n-numru ta 'Kattoliċi Franċiżi. Hekk kif Huguenots kisbu influwenza u wrew b'mod aktar miftuħ il-fidi tagħhom, l-ostilità Kattolika kibret, minkejja konċessjonijiet politiċi dejjem aktar liberali u edetti ta 'tolleranza mill-kuruna Franċiża. Segwiet serje ta 'kunflitti reliġjużi, magħrufa bħala l-Gwerer tar-Reliġjon, ġġieldu b'mod intermittenti mill-1562 sal-1598. Il-gwerer fl-aħħar intemmu bl-għoti tal-editt ta' Nantes, li taw lill-Huguenots sostanzjali reliġjużi, politiċi u militari.</v>
      </c>
    </row>
    <row r="6723" ht="15.75" customHeight="1">
      <c r="A6723" s="2" t="s">
        <v>6723</v>
      </c>
      <c r="B6723" s="2" t="str">
        <f>IFERROR(__xludf.DUMMYFUNCTION("GOOGLETRANSLATE(A6723, ""en"", ""mt"")"),"Min huma s-subordinati mhux eletti tal-gvernijiet tal-istat membri?")</f>
        <v>Min huma s-subordinati mhux eletti tal-gvernijiet tal-istat membri?</v>
      </c>
    </row>
    <row r="6724" ht="15.75" customHeight="1">
      <c r="A6724" s="2" t="s">
        <v>6724</v>
      </c>
      <c r="B6724" s="2" t="str">
        <f>IFERROR(__xludf.DUMMYFUNCTION("GOOGLETRANSLATE(A6724, ""en"", ""mt"")"),"Meta l-inugwaljanza ekonomika hija iżgħar, hemm aktar skart u tniġġis?")</f>
        <v>Meta l-inugwaljanza ekonomika hija iżgħar, hemm aktar skart u tniġġis?</v>
      </c>
    </row>
    <row r="6725" ht="15.75" customHeight="1">
      <c r="A6725" s="2" t="s">
        <v>6725</v>
      </c>
      <c r="B6725" s="2" t="str">
        <f>IFERROR(__xludf.DUMMYFUNCTION("GOOGLETRANSLATE(A6725, ""en"", ""mt"")"),"X'inhuma l-iktar skejjel pubbliċi li mhumiex parti minnu?")</f>
        <v>X'inhuma l-iktar skejjel pubbliċi li mhumiex parti minnu?</v>
      </c>
    </row>
    <row r="6726" ht="15.75" customHeight="1">
      <c r="A6726" s="2" t="s">
        <v>6726</v>
      </c>
      <c r="B6726" s="2" t="str">
        <f>IFERROR(__xludf.DUMMYFUNCTION("GOOGLETRANSLATE(A6726, ""en"", ""mt"")"),"X'inhi r-rata ta 'ammissjoni tal-applikant għall-klassi tal-2019?")</f>
        <v>X'inhi r-rata ta 'ammissjoni tal-applikant għall-klassi tal-2019?</v>
      </c>
    </row>
    <row r="6727" ht="15.75" customHeight="1">
      <c r="A6727" s="2" t="s">
        <v>6727</v>
      </c>
      <c r="B6727" s="2" t="str">
        <f>IFERROR(__xludf.DUMMYFUNCTION("GOOGLETRANSLATE(A6727, ""en"", ""mt"")"),"Min kien l-aħħar Ewropew magħruf li jżur iċ-Ċina u jirritorna?")</f>
        <v>Min kien l-aħħar Ewropew magħruf li jżur iċ-Ċina u jirritorna?</v>
      </c>
    </row>
    <row r="6728" ht="15.75" customHeight="1">
      <c r="A6728" s="2" t="s">
        <v>6728</v>
      </c>
      <c r="B6728" s="2" t="str">
        <f>IFERROR(__xludf.DUMMYFUNCTION("GOOGLETRANSLATE(A6728, ""en"", ""mt"")"),"Mudelli matematiċi ta 'komputazzjoni")</f>
        <v>Mudelli matematiċi ta 'komputazzjoni</v>
      </c>
    </row>
    <row r="6729" ht="15.75" customHeight="1">
      <c r="A6729" s="2" t="s">
        <v>6729</v>
      </c>
      <c r="B6729" s="2" t="str">
        <f>IFERROR(__xludf.DUMMYFUNCTION("GOOGLETRANSLATE(A6729, ""en"", ""mt"")"),"Kif kien possibbli dan")</f>
        <v>Kif kien possibbli dan</v>
      </c>
    </row>
    <row r="6730" ht="15.75" customHeight="1">
      <c r="A6730" s="2" t="s">
        <v>6730</v>
      </c>
      <c r="B6730" s="2" t="str">
        <f>IFERROR(__xludf.DUMMYFUNCTION("GOOGLETRANSLATE(A6730, ""en"", ""mt"")"),"Lexus")</f>
        <v>Lexus</v>
      </c>
    </row>
    <row r="6731" ht="15.75" customHeight="1">
      <c r="A6731" s="2" t="s">
        <v>6731</v>
      </c>
      <c r="B6731" s="2" t="str">
        <f>IFERROR(__xludf.DUMMYFUNCTION("GOOGLETRANSLATE(A6731, ""en"", ""mt"")"),"Kelliema li jirnexxu ġeneralment jiġu allokati aktar?")</f>
        <v>Kelliema li jirnexxu ġeneralment jiġu allokati aktar?</v>
      </c>
    </row>
    <row r="6732" ht="15.75" customHeight="1">
      <c r="A6732" s="2" t="s">
        <v>6732</v>
      </c>
      <c r="B6732" s="2" t="str">
        <f>IFERROR(__xludf.DUMMYFUNCTION("GOOGLETRANSLATE(A6732, ""en"", ""mt"")"),"Fis-snin sebgħin, il-belt kienet is-suġġett ta 'kanzunetta, ""Walking In Fresno"", miktuba mill-kitarrist tas-Sala tal-Eroj Bill Aken u rrekordjat minn Bob Gallion of the World-famuż ""WWVA Jamboree"" Radju u Televiżiv Show in Wheeling, West Virginia - Ak"&amp;"en, adottat mill-attriċi tal-films Messikani Lupe Mayorga, kiber fil-belt ġirien ta 'Madera u l-kanzunetta tiegħu kronikaw it-tbatijiet li jħabbtu wiċċhom magħhom il-ħaddiema tal-farm migranti li ra bħala tifel. Aken għamel ukoll l-ewwel dehra tat-TV tieg"&amp;"ħu jdoqq il-kitarra fuq l-ispettaklu l-qadim tal-Punent fil-Fresno Barn.")</f>
        <v>Fis-snin sebgħin, il-belt kienet is-suġġett ta 'kanzunetta, "Walking In Fresno", miktuba mill-kitarrist tas-Sala tal-Eroj Bill Aken u rrekordjat minn Bob Gallion of the World-famuż "WWVA Jamboree" Radju u Televiżiv Show in Wheeling, West Virginia - Aken, adottat mill-attriċi tal-films Messikani Lupe Mayorga, kiber fil-belt ġirien ta 'Madera u l-kanzunetta tiegħu kronikaw it-tbatijiet li jħabbtu wiċċhom magħhom il-ħaddiema tal-farm migranti li ra bħala tifel. Aken għamel ukoll l-ewwel dehra tat-TV tiegħu jdoqq il-kitarra fuq l-ispettaklu l-qadim tal-Punent fil-Fresno Barn.</v>
      </c>
    </row>
    <row r="6733" ht="15.75" customHeight="1">
      <c r="A6733" s="2" t="s">
        <v>6733</v>
      </c>
      <c r="B6733" s="2" t="str">
        <f>IFERROR(__xludf.DUMMYFUNCTION("GOOGLETRANSLATE(A6733, ""en"", ""mt"")"),"m'għandekx drittijiet tal-vot")</f>
        <v>m'għandekx drittijiet tal-vot</v>
      </c>
    </row>
    <row r="6734" ht="15.75" customHeight="1">
      <c r="A6734" s="2" t="s">
        <v>6734</v>
      </c>
      <c r="B6734" s="2" t="str">
        <f>IFERROR(__xludf.DUMMYFUNCTION("GOOGLETRANSLATE(A6734, ""en"", ""mt"")"),"Ottubru 2016")</f>
        <v>Ottubru 2016</v>
      </c>
    </row>
    <row r="6735" ht="15.75" customHeight="1">
      <c r="A6735" s="2" t="s">
        <v>6735</v>
      </c>
      <c r="B6735" s="2" t="str">
        <f>IFERROR(__xludf.DUMMYFUNCTION("GOOGLETRANSLATE(A6735, ""en"", ""mt"")"),"X'inhu t-terminu skola privata ristretta fl-Istati Uniti?")</f>
        <v>X'inhu t-terminu skola privata ristretta fl-Istati Uniti?</v>
      </c>
    </row>
    <row r="6736" ht="15.75" customHeight="1">
      <c r="A6736" s="2" t="s">
        <v>6736</v>
      </c>
      <c r="B6736" s="2" t="str">
        <f>IFERROR(__xludf.DUMMYFUNCTION("GOOGLETRANSLATE(A6736, ""en"", ""mt"")"),"Bosta ostakli jipproteġu l-organiżmi minn infezzjoni, inklużi ostakli mekkaniċi, kimiċi u bijoloġiċi. Ir-rita tax-xama 'ta' ħafna weraq, l-eżoskeletru ta 'l-insetti, il-qxur u l-membrani ta' bajd depożitat esternament, u l-ġilda huma eżempji ta 'ostakli m"&amp;"ekkaniċi li huma l-ewwel linja ta' difiża kontra l-infezzjoni. Madankollu, billi l-organiżmi ma jistgħux jiġu ssiġillati kompletament mill-ambjenti tagħhom, sistemi oħra jaġixxu biex jipproteġu l-fetħiet tal-ġisem bħall-pulmuni, l-imsaren u l-passaġġ ġeni"&amp;"tourinarju. Fil-pulmuni, is-sogħla u l-għatis tal-għatis jkeċċu mekkanikament patoġeni u irritanti oħra mill-passaġġ respiratorju. L-azzjoni tat-tlaħliħ tad-dmugħ u l-awrina tkeċċi wkoll mekkanikament il-patoġeni, filwaqt li l-mukus sekretat mill-passaġġ "&amp;"respiratorju u gastro-intestinali jservi biex jaqbad u jqabbad mikro-organiżmi.")</f>
        <v>Bosta ostakli jipproteġu l-organiżmi minn infezzjoni, inklużi ostakli mekkaniċi, kimiċi u bijoloġiċi. Ir-rita tax-xama 'ta' ħafna weraq, l-eżoskeletru ta 'l-insetti, il-qxur u l-membrani ta' bajd depożitat esternament, u l-ġilda huma eżempji ta 'ostakli mekkaniċi li huma l-ewwel linja ta' difiża kontra l-infezzjoni. Madankollu, billi l-organiżmi ma jistgħux jiġu ssiġillati kompletament mill-ambjenti tagħhom, sistemi oħra jaġixxu biex jipproteġu l-fetħiet tal-ġisem bħall-pulmuni, l-imsaren u l-passaġġ ġenitourinarju. Fil-pulmuni, is-sogħla u l-għatis tal-għatis jkeċċu mekkanikament patoġeni u irritanti oħra mill-passaġġ respiratorju. L-azzjoni tat-tlaħliħ tad-dmugħ u l-awrina tkeċċi wkoll mekkanikament il-patoġeni, filwaqt li l-mukus sekretat mill-passaġġ respiratorju u gastro-intestinali jservi biex jaqbad u jqabbad mikro-organiżmi.</v>
      </c>
    </row>
    <row r="6737" ht="15.75" customHeight="1">
      <c r="A6737" s="2" t="s">
        <v>6737</v>
      </c>
      <c r="B6737" s="2" t="str">
        <f>IFERROR(__xludf.DUMMYFUNCTION("GOOGLETRANSLATE(A6737, ""en"", ""mt"")"),"fin-Nofsinhar")</f>
        <v>fin-Nofsinhar</v>
      </c>
    </row>
    <row r="6738" ht="15.75" customHeight="1">
      <c r="A6738" s="2" t="s">
        <v>6738</v>
      </c>
      <c r="B6738" s="2" t="str">
        <f>IFERROR(__xludf.DUMMYFUNCTION("GOOGLETRANSLATE(A6738, ""en"", ""mt"")"),"Teorija tal-kumplessità tal-komputazzjoni")</f>
        <v>Teorija tal-kumplessità tal-komputazzjoni</v>
      </c>
    </row>
    <row r="6739" ht="15.75" customHeight="1">
      <c r="A6739" s="2" t="s">
        <v>6739</v>
      </c>
      <c r="B6739" s="2" t="str">
        <f>IFERROR(__xludf.DUMMYFUNCTION("GOOGLETRANSLATE(A6739, ""en"", ""mt"")"),"Kemm liri ta 'fwar kull kilowatt juża l-energiprojekt AB tal-magna AB?")</f>
        <v>Kemm liri ta 'fwar kull kilowatt juża l-energiprojekt AB tal-magna AB?</v>
      </c>
    </row>
    <row r="6740" ht="15.75" customHeight="1">
      <c r="A6740" s="2" t="s">
        <v>6740</v>
      </c>
      <c r="B6740" s="2" t="str">
        <f>IFERROR(__xludf.DUMMYFUNCTION("GOOGLETRANSLATE(A6740, ""en"", ""mt"")"),"Liema distrett fi Fresno huwa magħruf bħala ċ-ċentru għall-komunità tal-metall tqil?")</f>
        <v>Liema distrett fi Fresno huwa magħruf bħala ċ-ċentru għall-komunità tal-metall tqil?</v>
      </c>
    </row>
    <row r="6741" ht="15.75" customHeight="1">
      <c r="A6741" s="2" t="s">
        <v>6741</v>
      </c>
      <c r="B6741" s="2" t="str">
        <f>IFERROR(__xludf.DUMMYFUNCTION("GOOGLETRANSLATE(A6741, ""en"", ""mt"")"),"Imblokka l-portijiet Franċiżi, bagħtu l-flotta tagħhom fi Frar 1755")</f>
        <v>Imblokka l-portijiet Franċiżi, bagħtu l-flotta tagħhom fi Frar 1755</v>
      </c>
    </row>
    <row r="6742" ht="15.75" customHeight="1">
      <c r="A6742" s="2" t="s">
        <v>6742</v>
      </c>
      <c r="B6742" s="2" t="str">
        <f>IFERROR(__xludf.DUMMYFUNCTION("GOOGLETRANSLATE(A6742, ""en"", ""mt"")"),"kwistjonijiet morali")</f>
        <v>kwistjonijiet morali</v>
      </c>
    </row>
    <row r="6743" ht="15.75" customHeight="1">
      <c r="A6743" s="2" t="s">
        <v>6743</v>
      </c>
      <c r="B6743" s="2" t="str">
        <f>IFERROR(__xludf.DUMMYFUNCTION("GOOGLETRANSLATE(A6743, ""en"", ""mt"")"),"Min kienu ż-żewġ abbati fil-Fécamp Abbey?")</f>
        <v>Min kienu ż-żewġ abbati fil-Fécamp Abbey?</v>
      </c>
    </row>
    <row r="6744" ht="15.75" customHeight="1">
      <c r="A6744" s="2" t="s">
        <v>6744</v>
      </c>
      <c r="B6744" s="2" t="str">
        <f>IFERROR(__xludf.DUMMYFUNCTION("GOOGLETRANSLATE(A6744, ""en"", ""mt"")"),"F’liema sena l-iskart tossiku mxerred minn vapur Ewropew wassal lill-kummissjoni biex tistudja l-leġislazzjoni kontra l-iskart?")</f>
        <v>F’liema sena l-iskart tossiku mxerred minn vapur Ewropew wassal lill-kummissjoni biex tistudja l-leġislazzjoni kontra l-iskart?</v>
      </c>
    </row>
    <row r="6745" ht="15.75" customHeight="1">
      <c r="A6745" s="2" t="s">
        <v>6745</v>
      </c>
      <c r="B6745" s="2" t="str">
        <f>IFERROR(__xludf.DUMMYFUNCTION("GOOGLETRANSLATE(A6745, ""en"", ""mt"")"),"30")</f>
        <v>30</v>
      </c>
    </row>
    <row r="6746" ht="15.75" customHeight="1">
      <c r="A6746" s="2" t="s">
        <v>6746</v>
      </c>
      <c r="B6746" s="2" t="str">
        <f>IFERROR(__xludf.DUMMYFUNCTION("GOOGLETRANSLATE(A6746, ""en"", ""mt"")"),"xelters, assistenza edukattiva, kliniċi mediċi b’xejn jew bi prezz baxx, assistenza tad-djar")</f>
        <v>xelters, assistenza edukattiva, kliniċi mediċi b’xejn jew bi prezz baxx, assistenza tad-djar</v>
      </c>
    </row>
    <row r="6747" ht="15.75" customHeight="1">
      <c r="A6747" s="2" t="s">
        <v>6747</v>
      </c>
      <c r="B6747" s="2" t="str">
        <f>IFERROR(__xludf.DUMMYFUNCTION("GOOGLETRANSLATE(A6747, ""en"", ""mt"")"),"Amboise Plot")</f>
        <v>Amboise Plot</v>
      </c>
    </row>
    <row r="6748" ht="15.75" customHeight="1">
      <c r="A6748" s="2" t="s">
        <v>6748</v>
      </c>
      <c r="B6748" s="2" t="str">
        <f>IFERROR(__xludf.DUMMYFUNCTION("GOOGLETRANSLATE(A6748, ""en"", ""mt"")"),"Kif tissejjaħ ukoll il-forza tal-ġewż?")</f>
        <v>Kif tissejjaħ ukoll il-forza tal-ġewż?</v>
      </c>
    </row>
    <row r="6749" ht="15.75" customHeight="1">
      <c r="A6749" s="2" t="s">
        <v>6749</v>
      </c>
      <c r="B6749" s="2" t="str">
        <f>IFERROR(__xludf.DUMMYFUNCTION("GOOGLETRANSLATE(A6749, ""en"", ""mt"")"),"Liema plateau tinsab il-parti tax-xellug ta 'Vistula?")</f>
        <v>Liema plateau tinsab il-parti tax-xellug ta 'Vistula?</v>
      </c>
    </row>
    <row r="6750" ht="15.75" customHeight="1">
      <c r="A6750" s="2" t="s">
        <v>6750</v>
      </c>
      <c r="B6750" s="2" t="str">
        <f>IFERROR(__xludf.DUMMYFUNCTION("GOOGLETRANSLATE(A6750, ""en"", ""mt"")"),"l-Armata l-Ħamra")</f>
        <v>l-Armata l-Ħamra</v>
      </c>
    </row>
    <row r="6751" ht="15.75" customHeight="1">
      <c r="A6751" s="2" t="s">
        <v>6751</v>
      </c>
      <c r="B6751" s="2" t="str">
        <f>IFERROR(__xludf.DUMMYFUNCTION("GOOGLETRANSLATE(A6751, ""en"", ""mt"")"),"L-ewwel servizz onlajn kummerċjali tad-dinja")</f>
        <v>L-ewwel servizz onlajn kummerċjali tad-dinja</v>
      </c>
    </row>
    <row r="6752" ht="15.75" customHeight="1">
      <c r="A6752" s="2" t="s">
        <v>6752</v>
      </c>
      <c r="B6752" s="2" t="str">
        <f>IFERROR(__xludf.DUMMYFUNCTION("GOOGLETRANSLATE(A6752, ""en"", ""mt"")"),"Liema gruppi mhux governattivi huma parteċipanti tas-sessjonijiet plenarji?")</f>
        <v>Liema gruppi mhux governattivi huma parteċipanti tas-sessjonijiet plenarji?</v>
      </c>
    </row>
    <row r="6753" ht="15.75" customHeight="1">
      <c r="A6753" s="2" t="s">
        <v>6753</v>
      </c>
      <c r="B6753" s="2" t="str">
        <f>IFERROR(__xludf.DUMMYFUNCTION("GOOGLETRANSLATE(A6753, ""en"", ""mt"")"),"Meta bdew il-Filippini jgħallmu l-Ingliż fil-livell primarju fl-iskola pubblika?")</f>
        <v>Meta bdew il-Filippini jgħallmu l-Ingliż fil-livell primarju fl-iskola pubblika?</v>
      </c>
    </row>
    <row r="6754" ht="15.75" customHeight="1">
      <c r="A6754" s="2" t="s">
        <v>6754</v>
      </c>
      <c r="B6754" s="2" t="str">
        <f>IFERROR(__xludf.DUMMYFUNCTION("GOOGLETRANSLATE(A6754, ""en"", ""mt"")"),"Sa liema punt Fermat ikkonferma l-validità tan-numri Euler?")</f>
        <v>Sa liema punt Fermat ikkonferma l-validità tan-numri Euler?</v>
      </c>
    </row>
    <row r="6755" ht="15.75" customHeight="1">
      <c r="A6755" s="2" t="s">
        <v>6755</v>
      </c>
      <c r="B6755" s="2" t="str">
        <f>IFERROR(__xludf.DUMMYFUNCTION("GOOGLETRANSLATE(A6755, ""en"", ""mt"")"),"Aktar Qawwa")</f>
        <v>Aktar Qawwa</v>
      </c>
    </row>
    <row r="6756" ht="15.75" customHeight="1">
      <c r="A6756" s="2" t="s">
        <v>6756</v>
      </c>
      <c r="B6756" s="2" t="str">
        <f>IFERROR(__xludf.DUMMYFUNCTION("GOOGLETRANSLATE(A6756, ""en"", ""mt"")"),"Ċittadini Ġermaniżi Meta l-pulizija sigrieta ta ’Hitler talbu jkunu jafu jekk kinux qed jaħbu Lhudi f’darhom")</f>
        <v>Ċittadini Ġermaniżi Meta l-pulizija sigrieta ta ’Hitler talbu jkunu jafu jekk kinux qed jaħbu Lhudi f’darhom</v>
      </c>
    </row>
    <row r="6757" ht="15.75" customHeight="1">
      <c r="A6757" s="2" t="s">
        <v>6757</v>
      </c>
      <c r="B6757" s="2" t="str">
        <f>IFERROR(__xludf.DUMMYFUNCTION("GOOGLETRANSLATE(A6757, ""en"", ""mt"")"),"Jaqbad tliet negozjanti u joqtol 14-il persuna tan-nazzjon ta 'Miami, inkluż il-Brittaniku l-Qadim")</f>
        <v>Jaqbad tliet negozjanti u joqtol 14-il persuna tan-nazzjon ta 'Miami, inkluż il-Brittaniku l-Qadim</v>
      </c>
    </row>
    <row r="6758" ht="15.75" customHeight="1">
      <c r="A6758" s="2" t="s">
        <v>6758</v>
      </c>
      <c r="B6758" s="2" t="str">
        <f>IFERROR(__xludf.DUMMYFUNCTION("GOOGLETRANSLATE(A6758, ""en"", ""mt"")"),"X'inhi l-akbar belt f'Karpazija?")</f>
        <v>X'inhi l-akbar belt f'Karpazija?</v>
      </c>
    </row>
    <row r="6759" ht="15.75" customHeight="1">
      <c r="A6759" s="2" t="s">
        <v>6759</v>
      </c>
      <c r="B6759" s="2" t="str">
        <f>IFERROR(__xludf.DUMMYFUNCTION("GOOGLETRANSLATE(A6759, ""en"", ""mt"")"),"Liema organizzazzjoni tappoġġja l-proċessi tal-UNFCCC?")</f>
        <v>Liema organizzazzjoni tappoġġja l-proċessi tal-UNFCCC?</v>
      </c>
    </row>
    <row r="6760" ht="15.75" customHeight="1">
      <c r="A6760" s="2" t="s">
        <v>6760</v>
      </c>
      <c r="B6760" s="2" t="str">
        <f>IFERROR(__xludf.DUMMYFUNCTION("GOOGLETRANSLATE(A6760, ""en"", ""mt"")"),"Minn liema seklu ġie l-ortografija bir-RH fir-Rhine Ingliż?")</f>
        <v>Minn liema seklu ġie l-ortografija bir-RH fir-Rhine Ingliż?</v>
      </c>
    </row>
    <row r="6761" ht="15.75" customHeight="1">
      <c r="A6761" s="2" t="s">
        <v>6761</v>
      </c>
      <c r="B6761" s="2" t="str">
        <f>IFERROR(__xludf.DUMMYFUNCTION("GOOGLETRANSLATE(A6761, ""en"", ""mt"")"),"is-sett ta 'trippli (a, b, c) tali li r-relazzjoni a × b = c iżżomm")</f>
        <v>is-sett ta 'trippli (a, b, c) tali li r-relazzjoni a × b = c iżżomm</v>
      </c>
    </row>
    <row r="6762" ht="15.75" customHeight="1">
      <c r="A6762" s="2" t="s">
        <v>6762</v>
      </c>
      <c r="B6762" s="2" t="str">
        <f>IFERROR(__xludf.DUMMYFUNCTION("GOOGLETRANSLATE(A6762, ""en"", ""mt"")"),"Beroida")</f>
        <v>Beroida</v>
      </c>
    </row>
    <row r="6763" ht="15.75" customHeight="1">
      <c r="A6763" s="2" t="s">
        <v>6763</v>
      </c>
      <c r="B6763" s="2" t="str">
        <f>IFERROR(__xludf.DUMMYFUNCTION("GOOGLETRANSLATE(A6763, ""en"", ""mt"")"),"Liema direzzjoni jgħumu Ctenophore?")</f>
        <v>Liema direzzjoni jgħumu Ctenophore?</v>
      </c>
    </row>
    <row r="6764" ht="15.75" customHeight="1">
      <c r="A6764" s="2" t="s">
        <v>6764</v>
      </c>
      <c r="B6764" s="2" t="str">
        <f>IFERROR(__xludf.DUMMYFUNCTION("GOOGLETRANSLATE(A6764, ""en"", ""mt"")"),"Liema università tikklassifika li għandha d-9 l-iktar numru ta 'volumi fl-Istati Uniti?")</f>
        <v>Liema università tikklassifika li għandha d-9 l-iktar numru ta 'volumi fl-Istati Uniti?</v>
      </c>
    </row>
    <row r="6765" ht="15.75" customHeight="1">
      <c r="A6765" s="2" t="s">
        <v>6765</v>
      </c>
      <c r="B6765" s="2" t="str">
        <f>IFERROR(__xludf.DUMMYFUNCTION("GOOGLETRANSLATE(A6765, ""en"", ""mt"")"),"Xi tfisser l-inkapaċità li tissepara l-Iżlam mill-Iżlamiżmu li jwassal ħafna fl-eest biex jappoġġjaw?")</f>
        <v>Xi tfisser l-inkapaċità li tissepara l-Iżlam mill-Iżlamiżmu li jwassal ħafna fl-eest biex jappoġġjaw?</v>
      </c>
    </row>
    <row r="6766" ht="15.75" customHeight="1">
      <c r="A6766" s="2" t="s">
        <v>6766</v>
      </c>
      <c r="B6766" s="2" t="str">
        <f>IFERROR(__xludf.DUMMYFUNCTION("GOOGLETRANSLATE(A6766, ""en"", ""mt"")"),"Terra Nullius hija espressjoni Latina li tfisser dak bl-Ingliż?")</f>
        <v>Terra Nullius hija espressjoni Latina li tfisser dak bl-Ingliż?</v>
      </c>
    </row>
    <row r="6767" ht="15.75" customHeight="1">
      <c r="A6767" s="2" t="s">
        <v>6767</v>
      </c>
      <c r="B6767" s="2" t="str">
        <f>IFERROR(__xludf.DUMMYFUNCTION("GOOGLETRANSLATE(A6767, ""en"", ""mt"")"),"617 ft")</f>
        <v>617 ft</v>
      </c>
    </row>
    <row r="6768" ht="15.75" customHeight="1">
      <c r="A6768" s="2" t="s">
        <v>6768</v>
      </c>
      <c r="B6768" s="2" t="str">
        <f>IFERROR(__xludf.DUMMYFUNCTION("GOOGLETRANSLATE(A6768, ""en"", ""mt"")"),"la huwa żero u lanqas unità")</f>
        <v>la huwa żero u lanqas unità</v>
      </c>
    </row>
    <row r="6769" ht="15.75" customHeight="1">
      <c r="A6769" s="2" t="s">
        <v>6769</v>
      </c>
      <c r="B6769" s="2" t="str">
        <f>IFERROR(__xludf.DUMMYFUNCTION("GOOGLETRANSLATE(A6769, ""en"", ""mt"")"),"batterjofage")</f>
        <v>batterjofage</v>
      </c>
    </row>
    <row r="6770" ht="15.75" customHeight="1">
      <c r="A6770" s="2" t="s">
        <v>6770</v>
      </c>
      <c r="B6770" s="2" t="str">
        <f>IFERROR(__xludf.DUMMYFUNCTION("GOOGLETRANSLATE(A6770, ""en"", ""mt"")"),"X'jagħmlu l-Auricles?")</f>
        <v>X'jagħmlu l-Auricles?</v>
      </c>
    </row>
    <row r="6771" ht="15.75" customHeight="1">
      <c r="A6771" s="2" t="s">
        <v>6771</v>
      </c>
      <c r="B6771" s="2" t="str">
        <f>IFERROR(__xludf.DUMMYFUNCTION("GOOGLETRANSLATE(A6771, ""en"", ""mt"")"),"Meuse")</f>
        <v>Meuse</v>
      </c>
    </row>
    <row r="6772" ht="15.75" customHeight="1">
      <c r="A6772" s="2" t="s">
        <v>6772</v>
      </c>
      <c r="B6772" s="2" t="str">
        <f>IFERROR(__xludf.DUMMYFUNCTION("GOOGLETRANSLATE(A6772, ""en"", ""mt"")"),"Flimkien ma 'magni ta' kombustjoni interna, liema magni ħadu l-enerġija f'xi oqsma?")</f>
        <v>Flimkien ma 'magni ta' kombustjoni interna, liema magni ħadu l-enerġija f'xi oqsma?</v>
      </c>
    </row>
    <row r="6773" ht="15.75" customHeight="1">
      <c r="A6773" s="2" t="s">
        <v>6773</v>
      </c>
      <c r="B6773" s="2" t="str">
        <f>IFERROR(__xludf.DUMMYFUNCTION("GOOGLETRANSLATE(A6773, ""en"", ""mt"")"),"96,660 u 128,843")</f>
        <v>96,660 u 128,843</v>
      </c>
    </row>
    <row r="6774" ht="15.75" customHeight="1">
      <c r="A6774" s="2" t="s">
        <v>6774</v>
      </c>
      <c r="B6774" s="2" t="str">
        <f>IFERROR(__xludf.DUMMYFUNCTION("GOOGLETRANSLATE(A6774, ""en"", ""mt"")"),"In-Nofsinhar ta ’California hija l-iktar famuża għat-turiżmu u dak li notevolment id-Distrett?")</f>
        <v>In-Nofsinhar ta ’California hija l-iktar famuża għat-turiżmu u dak li notevolment id-Distrett?</v>
      </c>
    </row>
    <row r="6775" ht="15.75" customHeight="1">
      <c r="A6775" s="2" t="s">
        <v>6775</v>
      </c>
      <c r="B6775" s="2" t="str">
        <f>IFERROR(__xludf.DUMMYFUNCTION("GOOGLETRANSLATE(A6775, ""en"", ""mt"")"),"Il-liġi konswetudinarja tan-Normandija ġiet żviluppata bejn is-sekli 10 u 13 u tibqa 'ħajja llum permezz tas-sistemi legali ta' Jersey u Guernsey fil-Channel Islands. Il-liġi konswetudinarja Norman ġiet traskritta f'żewġ drawwa bil-Latin minn żewġ imħallf"&amp;"in għall-użu minnhom u l-kollegi tagħhom: dawn huma t-Très Ancien Coumier (konswetudinarja antika ħafna), miktuba bejn l-1200 u l-1245; u l-Grand Coumier de Normandie (konswetudinarju kbir tan-Normandija, oriġinarjament Summa de Legibus Normanniae fil-Cur"&amp;"ia Laïcali), awturi bejn l-1235 u l-1245.")</f>
        <v>Il-liġi konswetudinarja tan-Normandija ġiet żviluppata bejn is-sekli 10 u 13 u tibqa 'ħajja llum permezz tas-sistemi legali ta' Jersey u Guernsey fil-Channel Islands. Il-liġi konswetudinarja Norman ġiet traskritta f'żewġ drawwa bil-Latin minn żewġ imħallfin għall-użu minnhom u l-kollegi tagħhom: dawn huma t-Très Ancien Coumier (konswetudinarja antika ħafna), miktuba bejn l-1200 u l-1245; u l-Grand Coumier de Normandie (konswetudinarju kbir tan-Normandija, oriġinarjament Summa de Legibus Normanniae fil-Curia Laïcali), awturi bejn l-1235 u l-1245.</v>
      </c>
    </row>
    <row r="6776" ht="15.75" customHeight="1">
      <c r="A6776" s="2" t="s">
        <v>6776</v>
      </c>
      <c r="B6776" s="2" t="str">
        <f>IFERROR(__xludf.DUMMYFUNCTION("GOOGLETRANSLATE(A6776, ""en"", ""mt"")"),"X'inhi soluzzjoni tal-komputazzjoni fejn input wieħed huwa mistenni għal kull input?")</f>
        <v>X'inhi soluzzjoni tal-komputazzjoni fejn input wieħed huwa mistenni għal kull input?</v>
      </c>
    </row>
    <row r="6777" ht="15.75" customHeight="1">
      <c r="A6777" s="2" t="s">
        <v>6777</v>
      </c>
      <c r="B6777" s="2" t="str">
        <f>IFERROR(__xludf.DUMMYFUNCTION("GOOGLETRANSLATE(A6777, ""en"", ""mt"")"),"L-ewwel oġġett ta 'negozju fil-House of Lords normalment huwa x'inhu?")</f>
        <v>L-ewwel oġġett ta 'negozju fil-House of Lords normalment huwa x'inhu?</v>
      </c>
    </row>
    <row r="6778" ht="15.75" customHeight="1">
      <c r="A6778" s="2" t="s">
        <v>6778</v>
      </c>
      <c r="B6778" s="2" t="str">
        <f>IFERROR(__xludf.DUMMYFUNCTION("GOOGLETRANSLATE(A6778, ""en"", ""mt"")"),"X'inhu r-raba 'sors possibbli għall-antiġeni tat-tumur?")</f>
        <v>X'inhu r-raba 'sors possibbli għall-antiġeni tat-tumur?</v>
      </c>
    </row>
    <row r="6779" ht="15.75" customHeight="1">
      <c r="A6779" s="2" t="s">
        <v>6779</v>
      </c>
      <c r="B6779" s="2" t="str">
        <f>IFERROR(__xludf.DUMMYFUNCTION("GOOGLETRANSLATE(A6779, ""en"", ""mt"")"),"Beta tħassir (ta 'newtroni fin-nuklei atomiċi)")</f>
        <v>Beta tħassir (ta 'newtroni fin-nuklei atomiċi)</v>
      </c>
    </row>
    <row r="6780" ht="15.75" customHeight="1">
      <c r="A6780" s="2" t="s">
        <v>6780</v>
      </c>
      <c r="B6780" s="2" t="str">
        <f>IFERROR(__xludf.DUMMYFUNCTION("GOOGLETRANSLATE(A6780, ""en"", ""mt"")"),"It-taħlit ma kienx popolari fil-kostruzzjoni ta 'liema magni?")</f>
        <v>It-taħlit ma kienx popolari fil-kostruzzjoni ta 'liema magni?</v>
      </c>
    </row>
    <row r="6781" ht="15.75" customHeight="1">
      <c r="A6781" s="2" t="s">
        <v>6781</v>
      </c>
      <c r="B6781" s="2" t="str">
        <f>IFERROR(__xludf.DUMMYFUNCTION("GOOGLETRANSLATE(A6781, ""en"", ""mt"")"),"Liema għodda jużaw fl-iskola pubblika biex iżommu d-dixxiplina?")</f>
        <v>Liema għodda jużaw fl-iskola pubblika biex iżommu d-dixxiplina?</v>
      </c>
    </row>
    <row r="6782" ht="15.75" customHeight="1">
      <c r="A6782" s="2" t="s">
        <v>6782</v>
      </c>
      <c r="B6782" s="2" t="str">
        <f>IFERROR(__xludf.DUMMYFUNCTION("GOOGLETRANSLATE(A6782, ""en"", ""mt"")"),"Id-deportazzjoni tal-popolazzjoni Akkadjana li titkellem bil-Franċiż")</f>
        <v>Id-deportazzjoni tal-popolazzjoni Akkadjana li titkellem bil-Franċiż</v>
      </c>
    </row>
    <row r="6783" ht="15.75" customHeight="1">
      <c r="A6783" s="2" t="s">
        <v>6783</v>
      </c>
      <c r="B6783" s="2" t="str">
        <f>IFERROR(__xludf.DUMMYFUNCTION("GOOGLETRANSLATE(A6783, ""en"", ""mt"")")," X’għamlet l-iskop tal-Gwerra tal-Golf fil-bidu tad-disgħinijiet?")</f>
        <v> X’għamlet l-iskop tal-Gwerra tal-Golf fil-bidu tad-disgħinijiet?</v>
      </c>
    </row>
    <row r="6784" ht="15.75" customHeight="1">
      <c r="A6784" s="2" t="s">
        <v>6784</v>
      </c>
      <c r="B6784" s="2" t="str">
        <f>IFERROR(__xludf.DUMMYFUNCTION("GOOGLETRANSLATE(A6784, ""en"", ""mt"")"),"X'inhu l-paragun fil-prezz bejn l-iskejjel privati ​​Awstraljani kontra l-pubbliku?")</f>
        <v>X'inhu l-paragun fil-prezz bejn l-iskejjel privati ​​Awstraljani kontra l-pubbliku?</v>
      </c>
    </row>
    <row r="6785" ht="15.75" customHeight="1">
      <c r="A6785" s="2" t="s">
        <v>6785</v>
      </c>
      <c r="B6785" s="2" t="str">
        <f>IFERROR(__xludf.DUMMYFUNCTION("GOOGLETRANSLATE(A6785, ""en"", ""mt"")"),"Għarab Sunni")</f>
        <v>Għarab Sunni</v>
      </c>
    </row>
    <row r="6786" ht="15.75" customHeight="1">
      <c r="A6786" s="2" t="s">
        <v>6786</v>
      </c>
      <c r="B6786" s="2" t="str">
        <f>IFERROR(__xludf.DUMMYFUNCTION("GOOGLETRANSLATE(A6786, ""en"", ""mt"")"),"tiffinanzja vjaġġaturi li jerġgħu lura bir-rakkonti tal-iskoperti tagħhom")</f>
        <v>tiffinanzja vjaġġaturi li jerġgħu lura bir-rakkonti tal-iskoperti tagħhom</v>
      </c>
    </row>
    <row r="6787" ht="15.75" customHeight="1">
      <c r="A6787" s="2" t="s">
        <v>6787</v>
      </c>
      <c r="B6787" s="2" t="str">
        <f>IFERROR(__xludf.DUMMYFUNCTION("GOOGLETRANSLATE(A6787, ""en"", ""mt"")"),"Għal xiex juża l-Euplokamis it-tliet tipi ta 'moviment?")</f>
        <v>Għal xiex juża l-Euplokamis it-tliet tipi ta 'moviment?</v>
      </c>
    </row>
    <row r="6788" ht="15.75" customHeight="1">
      <c r="A6788" s="2" t="s">
        <v>6788</v>
      </c>
      <c r="B6788" s="2" t="str">
        <f>IFERROR(__xludf.DUMMYFUNCTION("GOOGLETRANSLATE(A6788, ""en"", ""mt"")"),"X'kien DataNet 1")</f>
        <v>X'kien DataNet 1</v>
      </c>
    </row>
    <row r="6789" ht="15.75" customHeight="1">
      <c r="A6789" s="2" t="s">
        <v>6789</v>
      </c>
      <c r="B6789" s="2" t="str">
        <f>IFERROR(__xludf.DUMMYFUNCTION("GOOGLETRANSLATE(A6789, ""en"", ""mt"")"),"Għaliex il-pakketti jaslu barra mill-ordni?")</f>
        <v>Għaliex il-pakketti jaslu barra mill-ordni?</v>
      </c>
    </row>
    <row r="6790" ht="15.75" customHeight="1">
      <c r="A6790" s="2" t="s">
        <v>6790</v>
      </c>
      <c r="B6790" s="2" t="str">
        <f>IFERROR(__xludf.DUMMYFUNCTION("GOOGLETRANSLATE(A6790, ""en"", ""mt"")"),"Liema graff kien appoġġjat minn McIntyre u McKitrick?")</f>
        <v>Liema graff kien appoġġjat minn McIntyre u McKitrick?</v>
      </c>
    </row>
    <row r="6791" ht="15.75" customHeight="1">
      <c r="A6791" s="2" t="s">
        <v>6791</v>
      </c>
      <c r="B6791" s="2" t="str">
        <f>IFERROR(__xludf.DUMMYFUNCTION("GOOGLETRANSLATE(A6791, ""en"", ""mt"")"),"Woodblocks")</f>
        <v>Woodblocks</v>
      </c>
    </row>
    <row r="6792" ht="15.75" customHeight="1">
      <c r="A6792" s="2" t="s">
        <v>6792</v>
      </c>
      <c r="B6792" s="2" t="str">
        <f>IFERROR(__xludf.DUMMYFUNCTION("GOOGLETRANSLATE(A6792, ""en"", ""mt"")"),"Fejn kienet il-post tal-gvern kolonjali li amministrat il-kolonja l-ġdida?")</f>
        <v>Fejn kienet il-post tal-gvern kolonjali li amministrat il-kolonja l-ġdida?</v>
      </c>
    </row>
    <row r="6793" ht="15.75" customHeight="1">
      <c r="A6793" s="2" t="s">
        <v>6793</v>
      </c>
      <c r="B6793" s="2" t="str">
        <f>IFERROR(__xludf.DUMMYFUNCTION("GOOGLETRANSLATE(A6793, ""en"", ""mt"")"),"X'iktar jikkontribwixxi għall-maltempati tas-sajf ta 'Jacksonville minbarra l-art li tisħon ħdejn l-ilma?")</f>
        <v>X'iktar jikkontribwixxi għall-maltempati tas-sajf ta 'Jacksonville minbarra l-art li tisħon ħdejn l-ilma?</v>
      </c>
    </row>
    <row r="6794" ht="15.75" customHeight="1">
      <c r="A6794" s="2" t="s">
        <v>6794</v>
      </c>
      <c r="B6794" s="2" t="str">
        <f>IFERROR(__xludf.DUMMYFUNCTION("GOOGLETRANSLATE(A6794, ""en"", ""mt"")"),"Min wera li P = NP jimplika problemi li mhumiex preżenti f'P jew NP-Complete?")</f>
        <v>Min wera li P = NP jimplika problemi li mhumiex preżenti f'P jew NP-Complete?</v>
      </c>
    </row>
    <row r="6795" ht="15.75" customHeight="1">
      <c r="A6795" s="2" t="s">
        <v>6795</v>
      </c>
      <c r="B6795" s="2" t="str">
        <f>IFERROR(__xludf.DUMMYFUNCTION("GOOGLETRANSLATE(A6795, ""en"", ""mt"")"),"Fuq xiex ipproponiet il-ħlasijiet ta 'benefiċċji ta' Alec Shelbrooke?")</f>
        <v>Fuq xiex ipproponiet il-ħlasijiet ta 'benefiċċji ta' Alec Shelbrooke?</v>
      </c>
    </row>
    <row r="6796" ht="15.75" customHeight="1">
      <c r="A6796" s="2" t="s">
        <v>6796</v>
      </c>
      <c r="B6796" s="2" t="str">
        <f>IFERROR(__xludf.DUMMYFUNCTION("GOOGLETRANSLATE(A6796, ""en"", ""mt"")"),"Il-Kummissjoni Ewropea hija l-korp eżekuttiv ewlieni tal-Unjoni Ewropea. L-Artikolu 17 (1) tat-Trattat dwar l-Unjoni Ewropea jiddikjara li l-Kummissjoni għandha ""tippromwovi l-interess ġenerali tal-Unjoni"" filwaqt li l-Artikolu 17 (3) iżid li l-kummissa"&amp;"rji għandhom ikunu ""kompletament indipendenti"" u mhux ""jieħdu struzzjonijiet minn kwalunkwe gvern"". Taħt l-Artikolu 17 (2), ""Atti Leġiżlattivi tal-Unjoni jistgħu jiġu adottati biss fuq il-bażi ta 'proposta ta' kummissjoni, ħlief fejn it-trattati jipp"&amp;"rovdu mod ieħor."" Dan ifisser li l-kummissjoni għandha monopolju fuq il-bidu tal-proċedura leġiżlattiva, għalkemm il-kunsill huwa l- ""katalist de facto ta 'ħafna inizjattivi leġiżlattivi"". Il-Parlament jista 'wkoll jitlob formalment lill-Kummissjoni bi"&amp;"ex tissottometti proposta leġiżlattiva iżda l-Kummissjoni tista' tirrifjuta tali suġġeriment, billi tagħti raġunijiet. Il-president tal-kummissjoni (bħalissa ex-Prim Ministru ta 'Luxembourg, Jean-Claude Juncker) jistabbilixxi l-aġenda għax-xogħol tal-UE. "&amp;"Id-deċiżjonijiet jittieħdu permezz ta 'vot maġġoranza sempliċi, ġeneralment permezz ta' ""proċedura bil-miktub"" li tiċċirkola l-proposti u l-adozzjoni jekk ma jkunx hemm oġġezzjonijiet. [Ċitazzjoni meħtieġa] peress li l-Irlanda rrifjutat li tagħti l-kuns"&amp;"ens għal bidliet fit-Trattat ta 'Lisbona 2007, jibqa' kummissarju wieħed Għal kull wieħed mit-28 stat membru, inkluż il-President u r-Rappreżentant Għoli għall-Politika Barranija u tas-Sigurtà (bħalissa Federica Mogherini). Il-kummissarji (u l-iktar impor"&amp;"tanti, il-portafolli li għandhom iżommu) huma nnegozjati b'mod intensiv mill-Istati Membri. Il-kummissarji, bħala blokka, huma mbagħad soġġetti għal vot ta 'maġġoranza kwalifikata tal-Kunsill biex japprova, u l-approvazzjoni tal-maġġoranza tal-Parlament. "&amp;"Il-proposta biex il-kummissarji jiġu meħuda mill-Parlament elett, ma ġietx adottata fit-Trattat ta 'Lisbona. Dan ifisser li l-kummissarji huma, permezz tal-proċess tal-ħatra, is-subordinati mhux eletti tal-gvernijiet tal-istat membri.")</f>
        <v>Il-Kummissjoni Ewropea hija l-korp eżekuttiv ewlieni tal-Unjoni Ewropea. L-Artikolu 17 (1) tat-Trattat dwar l-Unjoni Ewropea jiddikjara li l-Kummissjoni għandha "tippromwovi l-interess ġenerali tal-Unjoni" filwaqt li l-Artikolu 17 (3) iżid li l-kummissarji għandhom ikunu "kompletament indipendenti" u mhux "jieħdu struzzjonijiet minn kwalunkwe gvern". Taħt l-Artikolu 17 (2), "Atti Leġiżlattivi tal-Unjoni jistgħu jiġu adottati biss fuq il-bażi ta 'proposta ta' kummissjoni, ħlief fejn it-trattati jipprovdu mod ieħor." Dan ifisser li l-kummissjoni għandha monopolju fuq il-bidu tal-proċedura leġiżlattiva, għalkemm il-kunsill huwa l- "katalist de facto ta 'ħafna inizjattivi leġiżlattivi". Il-Parlament jista 'wkoll jitlob formalment lill-Kummissjoni biex tissottometti proposta leġiżlattiva iżda l-Kummissjoni tista' tirrifjuta tali suġġeriment, billi tagħti raġunijiet. Il-president tal-kummissjoni (bħalissa ex-Prim Ministru ta 'Luxembourg, Jean-Claude Juncker) jistabbilixxi l-aġenda għax-xogħol tal-UE. Id-deċiżjonijiet jittieħdu permezz ta 'vot maġġoranza sempliċi, ġeneralment permezz ta' "proċedura bil-miktub" li tiċċirkola l-proposti u l-adozzjoni jekk ma jkunx hemm oġġezzjonijiet. [Ċitazzjoni meħtieġa] peress li l-Irlanda rrifjutat li tagħti l-kunsens għal bidliet fit-Trattat ta 'Lisbona 2007, jibqa' kummissarju wieħed Għal kull wieħed mit-28 stat membru, inkluż il-President u r-Rappreżentant Għoli għall-Politika Barranija u tas-Sigurtà (bħalissa Federica Mogherini). Il-kummissarji (u l-iktar importanti, il-portafolli li għandhom iżommu) huma nnegozjati b'mod intensiv mill-Istati Membri. Il-kummissarji, bħala blokka, huma mbagħad soġġetti għal vot ta 'maġġoranza kwalifikata tal-Kunsill biex japprova, u l-approvazzjoni tal-maġġoranza tal-Parlament. Il-proposta biex il-kummissarji jiġu meħuda mill-Parlament elett, ma ġietx adottata fit-Trattat ta 'Lisbona. Dan ifisser li l-kummissarji huma, permezz tal-proċess tal-ħatra, is-subordinati mhux eletti tal-gvernijiet tal-istat membri.</v>
      </c>
    </row>
    <row r="6797" ht="15.75" customHeight="1">
      <c r="A6797" s="2" t="s">
        <v>6797</v>
      </c>
      <c r="B6797" s="2" t="str">
        <f>IFERROR(__xludf.DUMMYFUNCTION("GOOGLETRANSLATE(A6797, ""en"", ""mt"")"),"Il-Kap Mohawk Hendrick")</f>
        <v>Il-Kap Mohawk Hendrick</v>
      </c>
    </row>
    <row r="6798" ht="15.75" customHeight="1">
      <c r="A6798" s="2" t="s">
        <v>6798</v>
      </c>
      <c r="B6798" s="2" t="str">
        <f>IFERROR(__xludf.DUMMYFUNCTION("GOOGLETRANSLATE(A6798, ""en"", ""mt"")"),"Liema distretti tan-negozju jinsabu fid-downtown tat-tramuntana ta 'San Diego?")</f>
        <v>Liema distretti tan-negozju jinsabu fid-downtown tat-tramuntana ta 'San Diego?</v>
      </c>
    </row>
    <row r="6799" ht="15.75" customHeight="1">
      <c r="A6799" s="2" t="s">
        <v>6799</v>
      </c>
      <c r="B6799" s="2" t="str">
        <f>IFERROR(__xludf.DUMMYFUNCTION("GOOGLETRANSLATE(A6799, ""en"", ""mt"")"),"Meta kienet l-ewwel fratellanza pprojbita fl-Eġittu?")</f>
        <v>Meta kienet l-ewwel fratellanza pprojbita fl-Eġittu?</v>
      </c>
    </row>
    <row r="6800" ht="15.75" customHeight="1">
      <c r="A6800" s="2" t="s">
        <v>6800</v>
      </c>
      <c r="B6800" s="2" t="str">
        <f>IFERROR(__xludf.DUMMYFUNCTION("GOOGLETRANSLATE(A6800, ""en"", ""mt"")"),"Perjodu ta '4 ġimgħat")</f>
        <v>Perjodu ta '4 ġimgħat</v>
      </c>
    </row>
    <row r="6801" ht="15.75" customHeight="1">
      <c r="A6801" s="2" t="s">
        <v>6801</v>
      </c>
      <c r="B6801" s="2" t="str">
        <f>IFERROR(__xludf.DUMMYFUNCTION("GOOGLETRANSLATE(A6801, ""en"", ""mt"")"),"X'tip ta 'motiv kultant jittieħed bħala att ta' diżubbidjenza?")</f>
        <v>X'tip ta 'motiv kultant jittieħed bħala att ta' diżubbidjenza?</v>
      </c>
    </row>
    <row r="6802" ht="15.75" customHeight="1">
      <c r="A6802" s="2" t="s">
        <v>6802</v>
      </c>
      <c r="B6802" s="2" t="str">
        <f>IFERROR(__xludf.DUMMYFUNCTION("GOOGLETRANSLATE(A6802, ""en"", ""mt"")"),"Kemm għandha kampus l-Università ta 'California?")</f>
        <v>Kemm għandha kampus l-Università ta 'California?</v>
      </c>
    </row>
    <row r="6803" ht="15.75" customHeight="1">
      <c r="A6803" s="2" t="s">
        <v>6803</v>
      </c>
      <c r="B6803" s="2" t="str">
        <f>IFERROR(__xludf.DUMMYFUNCTION("GOOGLETRANSLATE(A6803, ""en"", ""mt"")"),"Fejn jinsab il-Harvard Stadium?")</f>
        <v>Fejn jinsab il-Harvard Stadium?</v>
      </c>
    </row>
    <row r="6804" ht="15.75" customHeight="1">
      <c r="A6804" s="2" t="s">
        <v>6804</v>
      </c>
      <c r="B6804" s="2" t="str">
        <f>IFERROR(__xludf.DUMMYFUNCTION("GOOGLETRANSLATE(A6804, ""en"", ""mt"")"),"Liema karriera għandu Joseph Stiglitz?")</f>
        <v>Liema karriera għandu Joseph Stiglitz?</v>
      </c>
    </row>
    <row r="6805" ht="15.75" customHeight="1">
      <c r="A6805" s="2" t="s">
        <v>6805</v>
      </c>
      <c r="B6805" s="2" t="str">
        <f>IFERROR(__xludf.DUMMYFUNCTION("GOOGLETRANSLATE(A6805, ""en"", ""mt"")"),"Liema armata l-Ġermanja ddefendiet b’suċċess lilha nnifisha?")</f>
        <v>Liema armata l-Ġermanja ddefendiet b’suċċess lilha nnifisha?</v>
      </c>
    </row>
    <row r="6806" ht="15.75" customHeight="1">
      <c r="A6806" s="2" t="s">
        <v>6806</v>
      </c>
      <c r="B6806" s="2" t="str">
        <f>IFERROR(__xludf.DUMMYFUNCTION("GOOGLETRANSLATE(A6806, ""en"", ""mt"")"),"Issa huwa possibbli li tikkonverti etajiet relattivi qodma f'liema tip ta 'etajiet bl-użu ta' dating iżotopiku?")</f>
        <v>Issa huwa possibbli li tikkonverti etajiet relattivi qodma f'liema tip ta 'etajiet bl-użu ta' dating iżotopiku?</v>
      </c>
    </row>
    <row r="6807" ht="15.75" customHeight="1">
      <c r="A6807" s="2" t="s">
        <v>6807</v>
      </c>
      <c r="B6807" s="2" t="str">
        <f>IFERROR(__xludf.DUMMYFUNCTION("GOOGLETRANSLATE(A6807, ""en"", ""mt"")"),"Flimkien ma 'skejjel mhux governattivi u mhux statali, x'inhu isem ieħor għal skejjel privati?")</f>
        <v>Flimkien ma 'skejjel mhux governattivi u mhux statali, x'inhu isem ieħor għal skejjel privati?</v>
      </c>
    </row>
    <row r="6808" ht="15.75" customHeight="1">
      <c r="A6808" s="2" t="s">
        <v>6808</v>
      </c>
      <c r="B6808" s="2" t="str">
        <f>IFERROR(__xludf.DUMMYFUNCTION("GOOGLETRANSLATE(A6808, ""en"", ""mt"")"),"Sema tlieta")</f>
        <v>Sema tlieta</v>
      </c>
    </row>
    <row r="6809" ht="15.75" customHeight="1">
      <c r="A6809" s="2" t="s">
        <v>6809</v>
      </c>
      <c r="B6809" s="2" t="str">
        <f>IFERROR(__xludf.DUMMYFUNCTION("GOOGLETRANSLATE(A6809, ""en"", ""mt"")"),"fornituri internazzjonali tad-droga, aktar milli konsumaturi")</f>
        <v>fornituri internazzjonali tad-droga, aktar milli konsumaturi</v>
      </c>
    </row>
    <row r="6810" ht="15.75" customHeight="1">
      <c r="A6810" s="2" t="s">
        <v>6810</v>
      </c>
      <c r="B6810" s="2" t="str">
        <f>IFERROR(__xludf.DUMMYFUNCTION("GOOGLETRANSLATE(A6810, ""en"", ""mt"")"),"Liema avveniment isir fil-Bells Beach fir-Rabat?")</f>
        <v>Liema avveniment isir fil-Bells Beach fir-Rabat?</v>
      </c>
    </row>
    <row r="6811" ht="15.75" customHeight="1">
      <c r="A6811" s="2" t="s">
        <v>6811</v>
      </c>
      <c r="B6811" s="2" t="str">
        <f>IFERROR(__xludf.DUMMYFUNCTION("GOOGLETRANSLATE(A6811, ""en"", ""mt"")"),"30 jum")</f>
        <v>30 jum</v>
      </c>
    </row>
    <row r="6812" ht="15.75" customHeight="1">
      <c r="A6812" s="2" t="s">
        <v>6812</v>
      </c>
      <c r="B6812" s="2" t="str">
        <f>IFERROR(__xludf.DUMMYFUNCTION("GOOGLETRANSLATE(A6812, ""en"", ""mt"")"),"il-kilogramma-forza (")</f>
        <v>il-kilogramma-forza (</v>
      </c>
    </row>
    <row r="6813" ht="15.75" customHeight="1">
      <c r="A6813" s="2" t="s">
        <v>6813</v>
      </c>
      <c r="B6813" s="2" t="str">
        <f>IFERROR(__xludf.DUMMYFUNCTION("GOOGLETRANSLATE(A6813, ""en"", ""mt"")"),"sekwenzjali")</f>
        <v>sekwenzjali</v>
      </c>
    </row>
    <row r="6814" ht="15.75" customHeight="1">
      <c r="A6814" s="2" t="s">
        <v>6814</v>
      </c>
      <c r="B6814" s="2" t="str">
        <f>IFERROR(__xludf.DUMMYFUNCTION("GOOGLETRANSLATE(A6814, ""en"", ""mt"")"),"aġixxa dejjem aktar aggressiv biex iġġiegħel lill-huguenots jikkonvertu")</f>
        <v>aġixxa dejjem aktar aggressiv biex iġġiegħel lill-huguenots jikkonvertu</v>
      </c>
    </row>
    <row r="6815" ht="15.75" customHeight="1">
      <c r="A6815" s="2" t="s">
        <v>6815</v>
      </c>
      <c r="B6815" s="2" t="str">
        <f>IFERROR(__xludf.DUMMYFUNCTION("GOOGLETRANSLATE(A6815, ""en"", ""mt"")"),"Kif kienet imsejħa d-dinastija Yuan fil-Mongoljan?")</f>
        <v>Kif kienet imsejħa d-dinastija Yuan fil-Mongoljan?</v>
      </c>
    </row>
    <row r="6816" ht="15.75" customHeight="1">
      <c r="A6816" s="2" t="s">
        <v>6816</v>
      </c>
      <c r="B6816" s="2" t="str">
        <f>IFERROR(__xludf.DUMMYFUNCTION("GOOGLETRANSLATE(A6816, ""en"", ""mt"")"),"Għal ħafna organiżmi, x'inhi s-sistema dominanti ta 'difiża?")</f>
        <v>Għal ħafna organiżmi, x'inhi s-sistema dominanti ta 'difiża?</v>
      </c>
    </row>
    <row r="6817" ht="15.75" customHeight="1">
      <c r="A6817" s="2" t="s">
        <v>6817</v>
      </c>
      <c r="B6817" s="2" t="str">
        <f>IFERROR(__xludf.DUMMYFUNCTION("GOOGLETRANSLATE(A6817, ""en"", ""mt"")")," Dak li ma jistax jissolva bl-applikazzjoni mekkanika tal-passi matematiċi?")</f>
        <v> Dak li ma jistax jissolva bl-applikazzjoni mekkanika tal-passi matematiċi?</v>
      </c>
    </row>
    <row r="6818" ht="15.75" customHeight="1">
      <c r="A6818" s="2" t="s">
        <v>6818</v>
      </c>
      <c r="B6818" s="2" t="str">
        <f>IFERROR(__xludf.DUMMYFUNCTION("GOOGLETRANSLATE(A6818, ""en"", ""mt"")"),"Dikjarazzjoni lill-Awla li tistabbilixxi l-programm leġiżlattiv tal-gvern għas-sena li ġejja")</f>
        <v>Dikjarazzjoni lill-Awla li tistabbilixxi l-programm leġiżlattiv tal-gvern għas-sena li ġejja</v>
      </c>
    </row>
    <row r="6819" ht="15.75" customHeight="1">
      <c r="A6819" s="2" t="s">
        <v>6819</v>
      </c>
      <c r="B6819" s="2" t="str">
        <f>IFERROR(__xludf.DUMMYFUNCTION("GOOGLETRANSLATE(A6819, ""en"", ""mt"")"),"Liema knisja fil-Virginia tinżamm minn Huguenots bħala santwarju storiku?")</f>
        <v>Liema knisja fil-Virginia tinżamm minn Huguenots bħala santwarju storiku?</v>
      </c>
    </row>
    <row r="6820" ht="15.75" customHeight="1">
      <c r="A6820" s="2" t="s">
        <v>6820</v>
      </c>
      <c r="B6820" s="2" t="str">
        <f>IFERROR(__xludf.DUMMYFUNCTION("GOOGLETRANSLATE(A6820, ""en"", ""mt"")"),"Għaliex xi ħadd m'għandux jikkommetti reat meta jkun qed jipprotesta?")</f>
        <v>Għaliex xi ħadd m'għandux jikkommetti reat meta jkun qed jipprotesta?</v>
      </c>
    </row>
    <row r="6821" ht="15.75" customHeight="1">
      <c r="A6821" s="2" t="s">
        <v>6821</v>
      </c>
      <c r="B6821" s="2" t="str">
        <f>IFERROR(__xludf.DUMMYFUNCTION("GOOGLETRANSLATE(A6821, ""en"", ""mt"")"),"Kif jissejjaħ spiżjar li jgħaddi l-eżami tal-ispiżjar ambulatorju?")</f>
        <v>Kif jissejjaħ spiżjar li jgħaddi l-eżami tal-ispiżjar ambulatorju?</v>
      </c>
    </row>
    <row r="6822" ht="15.75" customHeight="1">
      <c r="A6822" s="2" t="s">
        <v>6822</v>
      </c>
      <c r="B6822" s="2" t="str">
        <f>IFERROR(__xludf.DUMMYFUNCTION("GOOGLETRANSLATE(A6822, ""en"", ""mt"")"),"fergħa")</f>
        <v>fergħa</v>
      </c>
    </row>
    <row r="6823" ht="15.75" customHeight="1">
      <c r="A6823" s="2" t="s">
        <v>6823</v>
      </c>
      <c r="B6823" s="2" t="str">
        <f>IFERROR(__xludf.DUMMYFUNCTION("GOOGLETRANSLATE(A6823, ""en"", ""mt"")"),"l-ammont ta 'ħin li għalih huma permessi jitkellmu")</f>
        <v>l-ammont ta 'ħin li għalih huma permessi jitkellmu</v>
      </c>
    </row>
    <row r="6824" ht="15.75" customHeight="1">
      <c r="A6824" s="2" t="s">
        <v>6824</v>
      </c>
      <c r="B6824" s="2" t="str">
        <f>IFERROR(__xludf.DUMMYFUNCTION("GOOGLETRANSLATE(A6824, ""en"", ""mt"")"),"X'inhu Franza reġjun ta '?")</f>
        <v>X'inhu Franza reġjun ta '?</v>
      </c>
    </row>
    <row r="6825" ht="15.75" customHeight="1">
      <c r="A6825" s="2" t="s">
        <v>6825</v>
      </c>
      <c r="B6825" s="2" t="str">
        <f>IFERROR(__xludf.DUMMYFUNCTION("GOOGLETRANSLATE(A6825, ""en"", ""mt"")"),"għedewwa perikolużi")</f>
        <v>għedewwa perikolużi</v>
      </c>
    </row>
    <row r="6826" ht="15.75" customHeight="1">
      <c r="A6826" s="2" t="s">
        <v>6826</v>
      </c>
      <c r="B6826" s="2" t="str">
        <f>IFERROR(__xludf.DUMMYFUNCTION("GOOGLETRANSLATE(A6826, ""en"", ""mt"")"),"Min jista 'jintroduċi liġijiet jew emendi ġodda għal-liġijiet diġà fuq il-kotba bħala abbozz?")</f>
        <v>Min jista 'jintroduċi liġijiet jew emendi ġodda għal-liġijiet diġà fuq il-kotba bħala abbozz?</v>
      </c>
    </row>
    <row r="6827" ht="15.75" customHeight="1">
      <c r="A6827" s="2" t="s">
        <v>6827</v>
      </c>
      <c r="B6827" s="2" t="str">
        <f>IFERROR(__xludf.DUMMYFUNCTION("GOOGLETRANSLATE(A6827, ""en"", ""mt"")"),"Fratellanza")</f>
        <v>Fratellanza</v>
      </c>
    </row>
    <row r="6828" ht="15.75" customHeight="1">
      <c r="A6828" s="2" t="s">
        <v>6828</v>
      </c>
      <c r="B6828" s="2" t="str">
        <f>IFERROR(__xludf.DUMMYFUNCTION("GOOGLETRANSLATE(A6828, ""en"", ""mt"")"),"Mill-2012, skejjel privati ​​ta 'kwalità fl-Istati Uniti akkużaw tagħlim sostanzjali, qrib $ 40,000 kull sena għall-iskejjel ta' kuljum fi New York City, u kważi $ 50,000 għall-iskejjel tal-imbark. Madankollu, it-tagħlim ma jkoprix l-ispejjeż operattivi, "&amp;"partikolarment fl-iskejjel tal-imbark. L-iskejjel ewlenin bħall-Iskola Groton kellhom għotjiet sostanzjali li jmexxu mijiet ta 'miljuni ta' dollari supplimentati mill-ġbir ta 'fondi. L-iskejjel imbarkati b’reputazzjoni għall-kwalità fl-Istati Uniti għandh"&amp;"om korp ta ’studenti miġbud minn madwar il-pajjiż, tabilħaqq il-globu, u lista ta’ applikanti li jaqbżu bil-bosta l-kapaċità tagħhom.")</f>
        <v>Mill-2012, skejjel privati ​​ta 'kwalità fl-Istati Uniti akkużaw tagħlim sostanzjali, qrib $ 40,000 kull sena għall-iskejjel ta' kuljum fi New York City, u kważi $ 50,000 għall-iskejjel tal-imbark. Madankollu, it-tagħlim ma jkoprix l-ispejjeż operattivi, partikolarment fl-iskejjel tal-imbark. L-iskejjel ewlenin bħall-Iskola Groton kellhom għotjiet sostanzjali li jmexxu mijiet ta 'miljuni ta' dollari supplimentati mill-ġbir ta 'fondi. L-iskejjel imbarkati b’reputazzjoni għall-kwalità fl-Istati Uniti għandhom korp ta ’studenti miġbud minn madwar il-pajjiż, tabilħaqq il-globu, u lista ta’ applikanti li jaqbżu bil-bosta l-kapaċità tagħhom.</v>
      </c>
    </row>
    <row r="6829" ht="15.75" customHeight="1">
      <c r="A6829" s="2" t="s">
        <v>6829</v>
      </c>
      <c r="B6829" s="2" t="str">
        <f>IFERROR(__xludf.DUMMYFUNCTION("GOOGLETRANSLATE(A6829, ""en"", ""mt"")"),"Fejn kienet il-kapitali Mongoljana qabel ma Kublai qeredha?")</f>
        <v>Fejn kienet il-kapitali Mongoljana qabel ma Kublai qeredha?</v>
      </c>
    </row>
    <row r="6830" ht="15.75" customHeight="1">
      <c r="A6830" s="2" t="s">
        <v>6830</v>
      </c>
      <c r="B6830" s="2" t="str">
        <f>IFERROR(__xludf.DUMMYFUNCTION("GOOGLETRANSLATE(A6830, ""en"", ""mt"")"),"Il-lobata għandhom par ta 'lobi, li huma estensjonijiet muskolari u cuplike tal-ġisem li jipproġettaw lil hinn mill-ħalq. It-tentakli li ma jidhrux tagħhom joriġinaw mill-kantunieri tal-ħalq, li jimxu fi skanalaturi konvoluti u jinfirxu fuq il-wiċċ ta 'ġe"&amp;"wwa tal-lobi (aktar milli jimxu' l bogħod lura, bħal fiċ-Cydippida). Bejn il-lobi fuq kull naħa tal-ħalq, ħafna speċi ta 'lobati għandhom erba' arikoli, projezzjonijiet ġelatinużi maħduma b'ċili li jipproduċu kurrenti tal-ilma li jgħinu l-priża mikroskopi"&amp;"ka diretta lejn il-ħalq. Din il-kombinazzjoni ta 'strutturi tippermetti lill-lobati jitimgħu kontinwament fuq priża planktonika sospiża.")</f>
        <v>Il-lobata għandhom par ta 'lobi, li huma estensjonijiet muskolari u cuplike tal-ġisem li jipproġettaw lil hinn mill-ħalq. It-tentakli li ma jidhrux tagħhom joriġinaw mill-kantunieri tal-ħalq, li jimxu fi skanalaturi konvoluti u jinfirxu fuq il-wiċċ ta 'ġewwa tal-lobi (aktar milli jimxu' l bogħod lura, bħal fiċ-Cydippida). Bejn il-lobi fuq kull naħa tal-ħalq, ħafna speċi ta 'lobati għandhom erba' arikoli, projezzjonijiet ġelatinużi maħduma b'ċili li jipproduċu kurrenti tal-ilma li jgħinu l-priża mikroskopika diretta lejn il-ħalq. Din il-kombinazzjoni ta 'strutturi tippermetti lill-lobati jitimgħu kontinwament fuq priża planktonika sospiża.</v>
      </c>
    </row>
    <row r="6831" ht="15.75" customHeight="1">
      <c r="A6831" s="2" t="s">
        <v>6831</v>
      </c>
      <c r="B6831" s="2" t="str">
        <f>IFERROR(__xludf.DUMMYFUNCTION("GOOGLETRANSLATE(A6831, ""en"", ""mt"")"),"komun")</f>
        <v>komun</v>
      </c>
    </row>
    <row r="6832" ht="15.75" customHeight="1">
      <c r="A6832" s="2" t="s">
        <v>6832</v>
      </c>
      <c r="B6832" s="2" t="str">
        <f>IFERROR(__xludf.DUMMYFUNCTION("GOOGLETRANSLATE(A6832, ""en"", ""mt"")"),"Apostat")</f>
        <v>Apostat</v>
      </c>
    </row>
    <row r="6833" ht="15.75" customHeight="1">
      <c r="A6833" s="2" t="s">
        <v>6833</v>
      </c>
      <c r="B6833" s="2" t="str">
        <f>IFERROR(__xludf.DUMMYFUNCTION("GOOGLETRANSLATE(A6833, ""en"", ""mt"")"),"X'għandek bżonn il-premier ta 'Victoria biex imexxi fl-Assemblea Leġiżlattiva?")</f>
        <v>X'għandek bżonn il-premier ta 'Victoria biex imexxi fl-Assemblea Leġiżlattiva?</v>
      </c>
    </row>
    <row r="6834" ht="15.75" customHeight="1">
      <c r="A6834" s="2" t="s">
        <v>6834</v>
      </c>
      <c r="B6834" s="2" t="str">
        <f>IFERROR(__xludf.DUMMYFUNCTION("GOOGLETRANSLATE(A6834, ""en"", ""mt"")"),"L-Università ta ’California, Irvine")</f>
        <v>L-Università ta ’California, Irvine</v>
      </c>
    </row>
    <row r="6835" ht="15.75" customHeight="1">
      <c r="A6835" s="2" t="s">
        <v>6835</v>
      </c>
      <c r="B6835" s="2" t="str">
        <f>IFERROR(__xludf.DUMMYFUNCTION("GOOGLETRANSLATE(A6835, ""en"", ""mt"")"),"Gżira Phillip")</f>
        <v>Gżira Phillip</v>
      </c>
    </row>
    <row r="6836" ht="15.75" customHeight="1">
      <c r="A6836" s="2" t="s">
        <v>6836</v>
      </c>
      <c r="B6836" s="2" t="str">
        <f>IFERROR(__xludf.DUMMYFUNCTION("GOOGLETRANSLATE(A6836, ""en"", ""mt"")"),"Iffinanzjat bis-sħiħ minn partijiet privati")</f>
        <v>Iffinanzjat bis-sħiħ minn partijiet privati</v>
      </c>
    </row>
    <row r="6837" ht="15.75" customHeight="1">
      <c r="A6837" s="2" t="s">
        <v>6837</v>
      </c>
      <c r="B6837" s="2" t="str">
        <f>IFERROR(__xludf.DUMMYFUNCTION("GOOGLETRANSLATE(A6837, ""en"", ""mt"")"),"Al-Muwaffaq")</f>
        <v>Al-Muwaffaq</v>
      </c>
    </row>
    <row r="6838" ht="15.75" customHeight="1">
      <c r="A6838" s="2" t="s">
        <v>6838</v>
      </c>
      <c r="B6838" s="2" t="str">
        <f>IFERROR(__xludf.DUMMYFUNCTION("GOOGLETRANSLATE(A6838, ""en"", ""mt"")"),"Jacksonville, _florida")</f>
        <v>Jacksonville, _florida</v>
      </c>
    </row>
    <row r="6839" ht="15.75" customHeight="1">
      <c r="A6839" s="2" t="s">
        <v>6839</v>
      </c>
      <c r="B6839" s="2" t="str">
        <f>IFERROR(__xludf.DUMMYFUNCTION("GOOGLETRANSLATE(A6839, ""en"", ""mt"")"),"X'inhi l-akbar skola medika fil-Polonja?")</f>
        <v>X'inhi l-akbar skola medika fil-Polonja?</v>
      </c>
    </row>
    <row r="6840" ht="15.75" customHeight="1">
      <c r="A6840" s="2" t="s">
        <v>6840</v>
      </c>
      <c r="B6840" s="2" t="str">
        <f>IFERROR(__xludf.DUMMYFUNCTION("GOOGLETRANSLATE(A6840, ""en"", ""mt"")"),"Liema fergħa tal-magna ma taqbadx eżattament ħafna mill-mudelli matematiċi li rridu tanalizzaw?")</f>
        <v>Liema fergħa tal-magna ma taqbadx eżattament ħafna mill-mudelli matematiċi li rridu tanalizzaw?</v>
      </c>
    </row>
    <row r="6841" ht="15.75" customHeight="1">
      <c r="A6841" s="2" t="s">
        <v>6841</v>
      </c>
      <c r="B6841" s="2" t="str">
        <f>IFERROR(__xludf.DUMMYFUNCTION("GOOGLETRANSLATE(A6841, ""en"", ""mt"")"),"L-imperjalizmu u l-kolonjaliżmu ma jaffermawx dominanza ta 'stati fuq xiex?")</f>
        <v>L-imperjalizmu u l-kolonjaliżmu ma jaffermawx dominanza ta 'stati fuq xiex?</v>
      </c>
    </row>
    <row r="6842" ht="15.75" customHeight="1">
      <c r="A6842" s="2" t="s">
        <v>6842</v>
      </c>
      <c r="B6842" s="2" t="str">
        <f>IFERROR(__xludf.DUMMYFUNCTION("GOOGLETRANSLATE(A6842, ""en"", ""mt"")"),"X'tip ta 'impatt kbir kellu d-dinastija Norman fuq l-Ewropa moderna?")</f>
        <v>X'tip ta 'impatt kbir kellu d-dinastija Norman fuq l-Ewropa moderna?</v>
      </c>
    </row>
    <row r="6843" ht="15.75" customHeight="1">
      <c r="A6843" s="2" t="s">
        <v>6843</v>
      </c>
      <c r="B6843" s="2" t="str">
        <f>IFERROR(__xludf.DUMMYFUNCTION("GOOGLETRANSLATE(A6843, ""en"", ""mt"")"),"90,790")</f>
        <v>90,790</v>
      </c>
    </row>
    <row r="6844" ht="15.75" customHeight="1">
      <c r="A6844" s="2" t="s">
        <v>6844</v>
      </c>
      <c r="B6844" s="2" t="str">
        <f>IFERROR(__xludf.DUMMYFUNCTION("GOOGLETRANSLATE(A6844, ""en"", ""mt"")"),"F'liema sena kienet il-battalja li rriżultat minn unità tal-kavallerija konfederata li tattakka spedizzjoni tal-unjoni?")</f>
        <v>F'liema sena kienet il-battalja li rriżultat minn unità tal-kavallerija konfederata li tattakka spedizzjoni tal-unjoni?</v>
      </c>
    </row>
    <row r="6845" ht="15.75" customHeight="1">
      <c r="A6845" s="2" t="s">
        <v>6845</v>
      </c>
      <c r="B6845" s="2" t="str">
        <f>IFERROR(__xludf.DUMMYFUNCTION("GOOGLETRANSLATE(A6845, ""en"", ""mt"")"),"kiber fi privileġġ sostanzjali")</f>
        <v>kiber fi privileġġ sostanzjali</v>
      </c>
    </row>
    <row r="6846" ht="15.75" customHeight="1">
      <c r="A6846" s="2" t="s">
        <v>6846</v>
      </c>
      <c r="B6846" s="2" t="str">
        <f>IFERROR(__xludf.DUMMYFUNCTION("GOOGLETRANSLATE(A6846, ""en"", ""mt"")"),"X'inhi l-iktar problema importanti fl-Istati Uniti u bnadi oħra?")</f>
        <v>X'inhi l-iktar problema importanti fl-Istati Uniti u bnadi oħra?</v>
      </c>
    </row>
    <row r="6847" ht="15.75" customHeight="1">
      <c r="A6847" s="2" t="s">
        <v>6847</v>
      </c>
      <c r="B6847" s="2" t="str">
        <f>IFERROR(__xludf.DUMMYFUNCTION("GOOGLETRANSLATE(A6847, ""en"", ""mt"")"),"Min ipproduċa l-ewwel mappa ġeoloġika tal-Istati Uniti?")</f>
        <v>Min ipproduċa l-ewwel mappa ġeoloġika tal-Istati Uniti?</v>
      </c>
    </row>
    <row r="6848" ht="15.75" customHeight="1">
      <c r="A6848" s="2" t="s">
        <v>6848</v>
      </c>
      <c r="B6848" s="2" t="str">
        <f>IFERROR(__xludf.DUMMYFUNCTION("GOOGLETRANSLATE(A6848, ""en"", ""mt"")"),"X'jagħmel 11.6% ta 'Jacksonville?")</f>
        <v>X'jagħmel 11.6% ta 'Jacksonville?</v>
      </c>
    </row>
    <row r="6849" ht="15.75" customHeight="1">
      <c r="A6849" s="2" t="s">
        <v>6849</v>
      </c>
      <c r="B6849" s="2" t="str">
        <f>IFERROR(__xludf.DUMMYFUNCTION("GOOGLETRANSLATE(A6849, ""en"", ""mt"")"),"Kemm għandu elettorati l-Kunsill Leġiżlattiv?")</f>
        <v>Kemm għandu elettorati l-Kunsill Leġiżlattiv?</v>
      </c>
    </row>
    <row r="6850" ht="15.75" customHeight="1">
      <c r="A6850" s="2" t="s">
        <v>6850</v>
      </c>
      <c r="B6850" s="2" t="str">
        <f>IFERROR(__xludf.DUMMYFUNCTION("GOOGLETRANSLATE(A6850, ""en"", ""mt"")"),"Kif kienu ċ-ċittadini lura fl-Ewropa jħossu dwar aħbarijiet minn Celeron Expedition?")</f>
        <v>Kif kienu ċ-ċittadini lura fl-Ewropa jħossu dwar aħbarijiet minn Celeron Expedition?</v>
      </c>
    </row>
    <row r="6851" ht="15.75" customHeight="1">
      <c r="A6851" s="2" t="s">
        <v>6851</v>
      </c>
      <c r="B6851" s="2" t="str">
        <f>IFERROR(__xludf.DUMMYFUNCTION("GOOGLETRANSLATE(A6851, ""en"", ""mt"")"),"mikrobi")</f>
        <v>mikrobi</v>
      </c>
    </row>
    <row r="6852" ht="15.75" customHeight="1">
      <c r="A6852" s="2" t="s">
        <v>6852</v>
      </c>
      <c r="B6852" s="2" t="str">
        <f>IFERROR(__xludf.DUMMYFUNCTION("GOOGLETRANSLATE(A6852, ""en"", ""mt"")"),"Liema flussi wara bingen u bonn?")</f>
        <v>Liema flussi wara bingen u bonn?</v>
      </c>
    </row>
    <row r="6853" ht="15.75" customHeight="1">
      <c r="A6853" s="2" t="s">
        <v>6853</v>
      </c>
      <c r="B6853" s="2" t="str">
        <f>IFERROR(__xludf.DUMMYFUNCTION("GOOGLETRANSLATE(A6853, ""en"", ""mt"")"),"Il-lingwa formali")</f>
        <v>Il-lingwa formali</v>
      </c>
    </row>
    <row r="6854" ht="15.75" customHeight="1">
      <c r="A6854" s="2" t="s">
        <v>6854</v>
      </c>
      <c r="B6854" s="2" t="str">
        <f>IFERROR(__xludf.DUMMYFUNCTION("GOOGLETRANSLATE(A6854, ""en"", ""mt"")"),"Kif ġew eletti l-biċċa l-kbira tal-uffiċjali tal-belt fis-snin 1960?")</f>
        <v>Kif ġew eletti l-biċċa l-kbira tal-uffiċjali tal-belt fis-snin 1960?</v>
      </c>
    </row>
    <row r="6855" ht="15.75" customHeight="1">
      <c r="A6855" s="2" t="s">
        <v>6855</v>
      </c>
      <c r="B6855" s="2" t="str">
        <f>IFERROR(__xludf.DUMMYFUNCTION("GOOGLETRANSLATE(A6855, ""en"", ""mt"")"),"Biex tirkupra s-sehem tas-suq")</f>
        <v>Biex tirkupra s-sehem tas-suq</v>
      </c>
    </row>
    <row r="6856" ht="15.75" customHeight="1">
      <c r="A6856" s="2" t="s">
        <v>6856</v>
      </c>
      <c r="B6856" s="2" t="str">
        <f>IFERROR(__xludf.DUMMYFUNCTION("GOOGLETRANSLATE(A6856, ""en"", ""mt"")"),"Frontex")</f>
        <v>Frontex</v>
      </c>
    </row>
    <row r="6857" ht="15.75" customHeight="1">
      <c r="A6857" s="2" t="s">
        <v>6857</v>
      </c>
      <c r="B6857" s="2" t="str">
        <f>IFERROR(__xludf.DUMMYFUNCTION("GOOGLETRANSLATE(A6857, ""en"", ""mt"")"),"Konsum ta 'aspirazzjoni")</f>
        <v>Konsum ta 'aspirazzjoni</v>
      </c>
    </row>
    <row r="6858" ht="15.75" customHeight="1">
      <c r="A6858" s="2" t="s">
        <v>6858</v>
      </c>
      <c r="B6858" s="2" t="str">
        <f>IFERROR(__xludf.DUMMYFUNCTION("GOOGLETRANSLATE(A6858, ""en"", ""mt"")"),"X'inhu l-għoli tat-taqsima li ddur fit-tramuntana?")</f>
        <v>X'inhu l-għoli tat-taqsima li ddur fit-tramuntana?</v>
      </c>
    </row>
    <row r="6859" ht="15.75" customHeight="1">
      <c r="A6859" s="2" t="s">
        <v>6859</v>
      </c>
      <c r="B6859" s="2" t="str">
        <f>IFERROR(__xludf.DUMMYFUNCTION("GOOGLETRANSLATE(A6859, ""en"", ""mt"")"),"Abercrombie")</f>
        <v>Abercrombie</v>
      </c>
    </row>
    <row r="6860" ht="15.75" customHeight="1">
      <c r="A6860" s="2" t="s">
        <v>6860</v>
      </c>
      <c r="B6860" s="2" t="str">
        <f>IFERROR(__xludf.DUMMYFUNCTION("GOOGLETRANSLATE(A6860, ""en"", ""mt"")"),"Liġi tax-Sharia")</f>
        <v>Liġi tax-Sharia</v>
      </c>
    </row>
    <row r="6861" ht="15.75" customHeight="1">
      <c r="A6861" s="2" t="s">
        <v>6861</v>
      </c>
      <c r="B6861" s="2" t="str">
        <f>IFERROR(__xludf.DUMMYFUNCTION("GOOGLETRANSLATE(A6861, ""en"", ""mt"")"),"F'liema kontea joqgħod Jacksonville?")</f>
        <v>F'liema kontea joqgħod Jacksonville?</v>
      </c>
    </row>
    <row r="6862" ht="15.75" customHeight="1">
      <c r="A6862" s="2" t="s">
        <v>6862</v>
      </c>
      <c r="B6862" s="2" t="str">
        <f>IFERROR(__xludf.DUMMYFUNCTION("GOOGLETRANSLATE(A6862, ""en"", ""mt"")"),"każ tal-ħġieġ")</f>
        <v>każ tal-ħġieġ</v>
      </c>
    </row>
    <row r="6863" ht="15.75" customHeight="1">
      <c r="A6863" s="2" t="s">
        <v>6863</v>
      </c>
      <c r="B6863" s="2" t="str">
        <f>IFERROR(__xludf.DUMMYFUNCTION("GOOGLETRANSLATE(A6863, ""en"", ""mt"")"),"Kemm stadji ta 'espansjoni jintużaw mill-magna tal-manovella?")</f>
        <v>Kemm stadji ta 'espansjoni jintużaw mill-magna tal-manovella?</v>
      </c>
    </row>
    <row r="6864" ht="15.75" customHeight="1">
      <c r="A6864" s="2" t="s">
        <v>6864</v>
      </c>
      <c r="B6864" s="2" t="str">
        <f>IFERROR(__xludf.DUMMYFUNCTION("GOOGLETRANSLATE(A6864, ""en"", ""mt"")"),"Qwest issieħeb ma 'min biex tgħin toħloq Internet2?")</f>
        <v>Qwest issieħeb ma 'min biex tgħin toħloq Internet2?</v>
      </c>
    </row>
    <row r="6865" ht="15.75" customHeight="1">
      <c r="A6865" s="2" t="s">
        <v>6865</v>
      </c>
      <c r="B6865" s="2" t="str">
        <f>IFERROR(__xludf.DUMMYFUNCTION("GOOGLETRANSLATE(A6865, ""en"", ""mt"")"),"Uragan Dora")</f>
        <v>Uragan Dora</v>
      </c>
    </row>
    <row r="6866" ht="15.75" customHeight="1">
      <c r="A6866" s="2" t="s">
        <v>6866</v>
      </c>
      <c r="B6866" s="2" t="str">
        <f>IFERROR(__xludf.DUMMYFUNCTION("GOOGLETRANSLATE(A6866, ""en"", ""mt"")"),"biex tissottometti l-kastig preskritt mil-liġi")</f>
        <v>biex tissottometti l-kastig preskritt mil-liġi</v>
      </c>
    </row>
    <row r="6867" ht="15.75" customHeight="1">
      <c r="A6867" s="2" t="s">
        <v>6867</v>
      </c>
      <c r="B6867" s="2" t="str">
        <f>IFERROR(__xludf.DUMMYFUNCTION("GOOGLETRANSLATE(A6867, ""en"", ""mt"")"),"Meta saru tentattivi biex jingħelbu s-swieq stazzjonarji?")</f>
        <v>Meta saru tentattivi biex jingħelbu s-swieq stazzjonarji?</v>
      </c>
    </row>
    <row r="6868" ht="15.75" customHeight="1">
      <c r="A6868" s="2" t="s">
        <v>6868</v>
      </c>
      <c r="B6868" s="2" t="str">
        <f>IFERROR(__xludf.DUMMYFUNCTION("GOOGLETRANSLATE(A6868, ""en"", ""mt"")"),"Kemm nies imutu bil-pesta fi bliet fil-biċċa l-kbira popolati?")</f>
        <v>Kemm nies imutu bil-pesta fi bliet fil-biċċa l-kbira popolati?</v>
      </c>
    </row>
    <row r="6869" ht="15.75" customHeight="1">
      <c r="A6869" s="2" t="s">
        <v>6869</v>
      </c>
      <c r="B6869" s="2" t="str">
        <f>IFERROR(__xludf.DUMMYFUNCTION("GOOGLETRANSLATE(A6869, ""en"", ""mt"")"),"X'inhu l-ekwivalenti tal-forza tat-torque meta mqabbel mal-momentum angolari?")</f>
        <v>X'inhu l-ekwivalenti tal-forza tat-torque meta mqabbel mal-momentum angolari?</v>
      </c>
    </row>
    <row r="6870" ht="15.75" customHeight="1">
      <c r="A6870" s="2" t="s">
        <v>6870</v>
      </c>
      <c r="B6870" s="2" t="str">
        <f>IFERROR(__xludf.DUMMYFUNCTION("GOOGLETRANSLATE(A6870, ""en"", ""mt"")"),"L-abolizzjoni tal-kalifat Ottoman huwa maħsub li beda liema sistema?")</f>
        <v>L-abolizzjoni tal-kalifat Ottoman huwa maħsub li beda liema sistema?</v>
      </c>
    </row>
    <row r="6871" ht="15.75" customHeight="1">
      <c r="A6871" s="2" t="s">
        <v>6871</v>
      </c>
      <c r="B6871" s="2" t="str">
        <f>IFERROR(__xludf.DUMMYFUNCTION("GOOGLETRANSLATE(A6871, ""en"", ""mt"")"),"linka")</f>
        <v>linka</v>
      </c>
    </row>
    <row r="6872" ht="15.75" customHeight="1">
      <c r="A6872" s="2" t="s">
        <v>6872</v>
      </c>
      <c r="B6872" s="2" t="str">
        <f>IFERROR(__xludf.DUMMYFUNCTION("GOOGLETRANSLATE(A6872, ""en"", ""mt"")"),"X'jagħmlu t-tossini li jonqsu milli jidħlu f'organiżmu?")</f>
        <v>X'jagħmlu t-tossini li jonqsu milli jidħlu f'organiżmu?</v>
      </c>
    </row>
    <row r="6873" ht="15.75" customHeight="1">
      <c r="A6873" s="2" t="s">
        <v>6873</v>
      </c>
      <c r="B6873" s="2" t="str">
        <f>IFERROR(__xludf.DUMMYFUNCTION("GOOGLETRANSLATE(A6873, ""en"", ""mt"")"),"Liema prattika jevitaw l-ispiżeriji kollha tal-internet?")</f>
        <v>Liema prattika jevitaw l-ispiżeriji kollha tal-internet?</v>
      </c>
    </row>
    <row r="6874" ht="15.75" customHeight="1">
      <c r="A6874" s="2" t="s">
        <v>6874</v>
      </c>
      <c r="B6874" s="2" t="str">
        <f>IFERROR(__xludf.DUMMYFUNCTION("GOOGLETRANSLATE(A6874, ""en"", ""mt"")"),"ex-mexxej tal-partit")</f>
        <v>ex-mexxej tal-partit</v>
      </c>
    </row>
    <row r="6875" ht="15.75" customHeight="1">
      <c r="A6875" s="2" t="s">
        <v>6875</v>
      </c>
      <c r="B6875" s="2" t="str">
        <f>IFERROR(__xludf.DUMMYFUNCTION("GOOGLETRANSLATE(A6875, ""en"", ""mt"")"),"forom inġusti ta 'awtorità")</f>
        <v>forom inġusti ta 'awtorità</v>
      </c>
    </row>
    <row r="6876" ht="15.75" customHeight="1">
      <c r="A6876" s="2" t="s">
        <v>6876</v>
      </c>
      <c r="B6876" s="2" t="str">
        <f>IFERROR(__xludf.DUMMYFUNCTION("GOOGLETRANSLATE(A6876, ""en"", ""mt"")"),"Il-punt ewlieni tal-Islam tal-Islam kif iseħħ mhux mal-mewt ta 'Ali")</f>
        <v>Il-punt ewlieni tal-Islam tal-Islam kif iseħħ mhux mal-mewt ta 'Ali</v>
      </c>
    </row>
    <row r="6877" ht="15.75" customHeight="1">
      <c r="A6877" s="2" t="s">
        <v>6877</v>
      </c>
      <c r="B6877" s="2" t="str">
        <f>IFERROR(__xludf.DUMMYFUNCTION("GOOGLETRANSLATE(A6877, ""en"", ""mt"")"),"Wara l-2007 kemm student minn familji jaqla 'inqas minn $ 60,000 iħallsu għall-iskola?")</f>
        <v>Wara l-2007 kemm student minn familji jaqla 'inqas minn $ 60,000 iħallsu għall-iskola?</v>
      </c>
    </row>
    <row r="6878" ht="15.75" customHeight="1">
      <c r="A6878" s="2" t="s">
        <v>6878</v>
      </c>
      <c r="B6878" s="2" t="str">
        <f>IFERROR(__xludf.DUMMYFUNCTION("GOOGLETRANSLATE(A6878, ""en"", ""mt"")"),"F'liema sena l-ewwel ivvjaġġar Ewropew it-tul kollu tax-xmara Amazon?")</f>
        <v>F'liema sena l-ewwel ivvjaġġar Ewropew it-tul kollu tax-xmara Amazon?</v>
      </c>
    </row>
    <row r="6879" ht="15.75" customHeight="1">
      <c r="A6879" s="2" t="s">
        <v>6879</v>
      </c>
      <c r="B6879" s="2" t="str">
        <f>IFERROR(__xludf.DUMMYFUNCTION("GOOGLETRANSLATE(A6879, ""en"", ""mt"")"),"Aktar ġid u dħul")</f>
        <v>Aktar ġid u dħul</v>
      </c>
    </row>
    <row r="6880" ht="15.75" customHeight="1">
      <c r="A6880" s="2" t="s">
        <v>6880</v>
      </c>
      <c r="B6880" s="2" t="str">
        <f>IFERROR(__xludf.DUMMYFUNCTION("GOOGLETRANSLATE(A6880, ""en"", ""mt"")"),"Kif xi wħud jissuspettaw li Polo tgħallmu dwar iċ-Ċina minflok ma żżurha fil-fatt?")</f>
        <v>Kif xi wħud jissuspettaw li Polo tgħallmu dwar iċ-Ċina minflok ma żżurha fil-fatt?</v>
      </c>
    </row>
    <row r="6881" ht="15.75" customHeight="1">
      <c r="A6881" s="2" t="s">
        <v>6881</v>
      </c>
      <c r="B6881" s="2" t="str">
        <f>IFERROR(__xludf.DUMMYFUNCTION("GOOGLETRANSLATE(A6881, ""en"", ""mt"")"),"avukat")</f>
        <v>avukat</v>
      </c>
    </row>
    <row r="6882" ht="15.75" customHeight="1">
      <c r="A6882" s="2" t="s">
        <v>6882</v>
      </c>
      <c r="B6882" s="2" t="str">
        <f>IFERROR(__xludf.DUMMYFUNCTION("GOOGLETRANSLATE(A6882, ""en"", ""mt"")"),"Sawdi")</f>
        <v>Sawdi</v>
      </c>
    </row>
    <row r="6883" ht="15.75" customHeight="1">
      <c r="A6883" s="2" t="s">
        <v>6883</v>
      </c>
      <c r="B6883" s="2" t="str">
        <f>IFERROR(__xludf.DUMMYFUNCTION("GOOGLETRANSLATE(A6883, ""en"", ""mt"")"),"X'tip ta 'insett juża l-użu ta' numri ewlenin fl-istrateġija evoluzzjonarja tiegħu?")</f>
        <v>X'tip ta 'insett juża l-użu ta' numri ewlenin fl-istrateġija evoluzzjonarja tiegħu?</v>
      </c>
    </row>
    <row r="6884" ht="15.75" customHeight="1">
      <c r="A6884" s="2" t="s">
        <v>6884</v>
      </c>
      <c r="B6884" s="2" t="str">
        <f>IFERROR(__xludf.DUMMYFUNCTION("GOOGLETRANSLATE(A6884, ""en"", ""mt"")"),"F'liema sena nħareġ l-editt ta 'Nantes?")</f>
        <v>F'liema sena nħareġ l-editt ta 'Nantes?</v>
      </c>
    </row>
    <row r="6885" ht="15.75" customHeight="1">
      <c r="A6885" s="2" t="s">
        <v>6885</v>
      </c>
      <c r="B6885" s="2" t="str">
        <f>IFERROR(__xludf.DUMMYFUNCTION("GOOGLETRANSLATE(A6885, ""en"", ""mt"")"),"L-insedjamenti moderni jibqgħu jinqerdu minn xiex?")</f>
        <v>L-insedjamenti moderni jibqgħu jinqerdu minn xiex?</v>
      </c>
    </row>
    <row r="6886" ht="15.75" customHeight="1">
      <c r="A6886" s="2" t="s">
        <v>6886</v>
      </c>
      <c r="B6886" s="2" t="str">
        <f>IFERROR(__xludf.DUMMYFUNCTION("GOOGLETRANSLATE(A6886, ""en"", ""mt"")"),"Miftuħa")</f>
        <v>Miftuħa</v>
      </c>
    </row>
    <row r="6887" ht="15.75" customHeight="1">
      <c r="A6887" s="2" t="s">
        <v>6887</v>
      </c>
      <c r="B6887" s="2" t="str">
        <f>IFERROR(__xludf.DUMMYFUNCTION("GOOGLETRANSLATE(A6887, ""en"", ""mt"")"),"Shi Tianze kien Ċiniż Han li kien jgħix fid-dinastija Jin. Iż-żwieġ interetniku bejn Han u Jurchen sar komuni f'dan il-ħin. Missieru kien Shi Bingzhi (史秉直, Shih Ping-Chih). Shi Bingzhi kien miżżewweġ lil mara Jurchen (kunjom na-ho) u mara Ċiniża Han (kunj"&amp;"om Chang); Mhux magħruf liema minnhom kienet omm Shi Tianze. Shi Tianze kien miżżewweġ ma 'żewġ nisa Jurchen, mara Ċiniża Han, u mara Koreana, u ibnu Shi Gang twieled f'waħda min-nisa Jurchen tiegħu. Il-kunjomijiet tan-nisa Jurchen tiegħu kienu Mo-Nien u "&amp;"Na-ho; Kunjom il-mara Koreana tiegħu kien Li; U l-kunjom tal-mara Ċiniża Han tiegħu kien Shi. Shi Tianze iddefetta lill-forzi tal-Mongol fuq l-invażjoni tagħhom tad-dinastija Jin. Ibnu Shi Gang iżżewweġ mara Kerait; Il-Kerait kienu nies Turkiċi Mongolifik"&amp;"ati u kienu meqjusa bħala parti min-nazzjon Mongoljan "". Shi Tianze (Shih T'ien-Tse), Zhang Rou (Chang Jou, 張柔), u Yan Shi (Yen Shih, 嚴實) u Ċiniż ieħor ta 'klassifikazzjoni għolja li servew fid-dinastija Jin u ddefendew mal-Mongoli għenu jibnu l-istruttu"&amp;"ra għall-amministrazzjoni tal-istat il-ġdid. Chagaan (Tsagaan) u Zhang Rou nedew flimkien attakk fuq id-dinastija tal-kanzunetta ordnata minn Töregene Khatun.")</f>
        <v>Shi Tianze kien Ċiniż Han li kien jgħix fid-dinastija Jin. Iż-żwieġ interetniku bejn Han u Jurchen sar komuni f'dan il-ħin. Missieru kien Shi Bingzhi (史秉直, Shih Ping-Chih). Shi Bingzhi kien miżżewweġ lil mara Jurchen (kunjom na-ho) u mara Ċiniża Han (kunjom Chang); Mhux magħruf liema minnhom kienet omm Shi Tianze. Shi Tianze kien miżżewweġ ma 'żewġ nisa Jurchen, mara Ċiniża Han, u mara Koreana, u ibnu Shi Gang twieled f'waħda min-nisa Jurchen tiegħu. Il-kunjomijiet tan-nisa Jurchen tiegħu kienu Mo-Nien u Na-ho; Kunjom il-mara Koreana tiegħu kien Li; U l-kunjom tal-mara Ċiniża Han tiegħu kien Shi. Shi Tianze iddefetta lill-forzi tal-Mongol fuq l-invażjoni tagħhom tad-dinastija Jin. Ibnu Shi Gang iżżewweġ mara Kerait; Il-Kerait kienu nies Turkiċi Mongolifikati u kienu meqjusa bħala parti min-nazzjon Mongoljan ". Shi Tianze (Shih T'ien-Tse), Zhang Rou (Chang Jou, 張柔), u Yan Shi (Yen Shih, 嚴實) u Ċiniż ieħor ta 'klassifikazzjoni għolja li servew fid-dinastija Jin u ddefendew mal-Mongoli għenu jibnu l-istruttura għall-amministrazzjoni tal-istat il-ġdid. Chagaan (Tsagaan) u Zhang Rou nedew flimkien attakk fuq id-dinastija tal-kanzunetta ordnata minn Töregene Khatun.</v>
      </c>
    </row>
    <row r="6888" ht="15.75" customHeight="1">
      <c r="A6888" s="2" t="s">
        <v>6888</v>
      </c>
      <c r="B6888" s="2" t="str">
        <f>IFERROR(__xludf.DUMMYFUNCTION("GOOGLETRANSLATE(A6888, ""en"", ""mt"")")," Meta Kublai ma pprojbixxax il-kummerċ internazzjonali tal-iskjavi Mongolja?")</f>
        <v> Meta Kublai ma pprojbixxax il-kummerċ internazzjonali tal-iskjavi Mongolja?</v>
      </c>
    </row>
    <row r="6889" ht="15.75" customHeight="1">
      <c r="A6889" s="2" t="s">
        <v>6889</v>
      </c>
      <c r="B6889" s="2" t="str">
        <f>IFERROR(__xludf.DUMMYFUNCTION("GOOGLETRANSLATE(A6889, ""en"", ""mt"")"),"1769")</f>
        <v>1769</v>
      </c>
    </row>
    <row r="6890" ht="15.75" customHeight="1">
      <c r="A6890" s="2" t="s">
        <v>6890</v>
      </c>
      <c r="B6890" s="2" t="str">
        <f>IFERROR(__xludf.DUMMYFUNCTION("GOOGLETRANSLATE(A6890, ""en"", ""mt"")"),"Li tillimita")</f>
        <v>Li tillimita</v>
      </c>
    </row>
    <row r="6891" ht="15.75" customHeight="1">
      <c r="A6891" s="2" t="s">
        <v>6891</v>
      </c>
      <c r="B6891" s="2" t="str">
        <f>IFERROR(__xludf.DUMMYFUNCTION("GOOGLETRANSLATE(A6891, ""en"", ""mt"")"),"Kemm jiem ta 'vaganza mħallsa d-direttiva tal-ħin tax-xogħol teħtieġ li l-ħaddiema jkollhom kull sena?")</f>
        <v>Kemm jiem ta 'vaganza mħallsa d-direttiva tal-ħin tax-xogħol teħtieġ li l-ħaddiema jkollhom kull sena?</v>
      </c>
    </row>
    <row r="6892" ht="15.75" customHeight="1">
      <c r="A6892" s="2" t="s">
        <v>6892</v>
      </c>
      <c r="B6892" s="2" t="str">
        <f>IFERROR(__xludf.DUMMYFUNCTION("GOOGLETRANSLATE(A6892, ""en"", ""mt"")"),"Mudell standard")</f>
        <v>Mudell standard</v>
      </c>
    </row>
    <row r="6893" ht="15.75" customHeight="1">
      <c r="A6893" s="2" t="s">
        <v>6893</v>
      </c>
      <c r="B6893" s="2" t="str">
        <f>IFERROR(__xludf.DUMMYFUNCTION("GOOGLETRANSLATE(A6893, ""en"", ""mt"")"),"Il-forzi tat-tensjoni jistgħu jiġu mmudellati bl-użu ta 'kordi ideali li huma bla massa, mingħajr frizzjoni, li ma jistgħux jinbdew, u li ma jistgħux jiġu stretti. Jistgħu jiġu kkombinati ma 'taljoli ideali, li jippermettu kordi ideali biex jaqilbu d-dire"&amp;"zzjoni fiżika. Strings ideali jittrasmettu forzi ta 'tensjoni istantanjament f'pari ta' reazzjoni ta 'azzjoni sabiex jekk żewġ oġġetti huma konnessi minn korda ideali, kwalunkwe forza diretta tul is-sekwenza mill-ewwel oġġett hija akkumpanjata minn forza "&amp;"diretta tul il-korda fid-direzzjoni opposta mit-tieni oġġett - Billi tikkonnettja l-istess sekwenza bosta drabi mal-istess oġġett permezz tal-użu ta 'set-up li juża taljoli mobbli, il-forza tat-tensjoni fuq tagħbija tista' tiġi mmultiplikata. Għal kull se"&amp;"kwenza li taġixxi fuq tagħbija, fattur ieħor tal-forza tat-tensjoni fis-sekwenza taġixxi fuq it-tagħbija. Madankollu, minkejja li dawn il-magni jippermettu żieda fis-seħħ, hemm żieda korrispondenti fit-tul tal-korda li trid tiġi spostata sabiex tiċċaqlaq "&amp;"it-tagħbija. Dawn l-effetti tandem jirriżultaw fl-aħħar mill-aħħar fil-konservazzjoni tal-enerġija mekkanika peress li x-xogħol magħmul fuq it-tagħbija huwa l-istess irrispettivament minn kemm tkun ikkumplikata l-magna.")</f>
        <v>Il-forzi tat-tensjoni jistgħu jiġu mmudellati bl-użu ta 'kordi ideali li huma bla massa, mingħajr frizzjoni, li ma jistgħux jinbdew, u li ma jistgħux jiġu stretti. Jistgħu jiġu kkombinati ma 'taljoli ideali, li jippermettu kordi ideali biex jaqilbu d-direzzjoni fiżika. Strings ideali jittrasmettu forzi ta 'tensjoni istantanjament f'pari ta' reazzjoni ta 'azzjoni sabiex jekk żewġ oġġetti huma konnessi minn korda ideali, kwalunkwe forza diretta tul is-sekwenza mill-ewwel oġġett hija akkumpanjata minn forza diretta tul il-korda fid-direzzjoni opposta mit-tieni oġġett - Billi tikkonnettja l-istess sekwenza bosta drabi mal-istess oġġett permezz tal-użu ta 'set-up li juża taljoli mobbli, il-forza tat-tensjoni fuq tagħbija tista' tiġi mmultiplikata. Għal kull sekwenza li taġixxi fuq tagħbija, fattur ieħor tal-forza tat-tensjoni fis-sekwenza taġixxi fuq it-tagħbija. Madankollu, minkejja li dawn il-magni jippermettu żieda fis-seħħ, hemm żieda korrispondenti fit-tul tal-korda li trid tiġi spostata sabiex tiċċaqlaq it-tagħbija. Dawn l-effetti tandem jirriżultaw fl-aħħar mill-aħħar fil-konservazzjoni tal-enerġija mekkanika peress li x-xogħol magħmul fuq it-tagħbija huwa l-istess irrispettivament minn kemm tkun ikkumplikata l-magna.</v>
      </c>
    </row>
    <row r="6894" ht="15.75" customHeight="1">
      <c r="A6894" s="2" t="s">
        <v>6894</v>
      </c>
      <c r="B6894" s="2" t="str">
        <f>IFERROR(__xludf.DUMMYFUNCTION("GOOGLETRANSLATE(A6894, ""en"", ""mt"")"),"Ir-rikostruzzjoni tal-ħsieb reliġjuż fl-Islam")</f>
        <v>Ir-rikostruzzjoni tal-ħsieb reliġjuż fl-Islam</v>
      </c>
    </row>
    <row r="6895" ht="15.75" customHeight="1">
      <c r="A6895" s="2" t="s">
        <v>6895</v>
      </c>
      <c r="B6895" s="2" t="str">
        <f>IFERROR(__xludf.DUMMYFUNCTION("GOOGLETRANSLATE(A6895, ""en"", ""mt"")"),"Problema tal-funzjoni hija problema tal-komputazzjoni fejn produzzjoni waħda (ta 'funzjoni totali) hija mistennija għal kull input, iżda l-output huwa iktar kumpless minn dak ta' problema ta 'deċiżjoni, jiġifieri, mhuwiex biss iva jew le. Eżempji notevoli"&amp;" jinkludu l-problema tal-bejjiegħ li jivvjaġġa u l-problema ta 'fatturizzazzjoni sħiħa.")</f>
        <v>Problema tal-funzjoni hija problema tal-komputazzjoni fejn produzzjoni waħda (ta 'funzjoni totali) hija mistennija għal kull input, iżda l-output huwa iktar kumpless minn dak ta' problema ta 'deċiżjoni, jiġifieri, mhuwiex biss iva jew le. Eżempji notevoli jinkludu l-problema tal-bejjiegħ li jivvjaġġa u l-problema ta 'fatturizzazzjoni sħiħa.</v>
      </c>
    </row>
    <row r="6896" ht="15.75" customHeight="1">
      <c r="A6896" s="2" t="s">
        <v>6896</v>
      </c>
      <c r="B6896" s="2" t="str">
        <f>IFERROR(__xludf.DUMMYFUNCTION("GOOGLETRANSLATE(A6896, ""en"", ""mt"")"),"Numru totali ta 'transizzjonijiet tal-istat, jew passi, il-magna tagħmel qabel ma tieqaf u toħroġ it-tweġiba")</f>
        <v>Numru totali ta 'transizzjonijiet tal-istat, jew passi, il-magna tagħmel qabel ma tieqaf u toħroġ it-tweġiba</v>
      </c>
    </row>
    <row r="6897" ht="15.75" customHeight="1">
      <c r="A6897" s="2" t="s">
        <v>6897</v>
      </c>
      <c r="B6897" s="2" t="str">
        <f>IFERROR(__xludf.DUMMYFUNCTION("GOOGLETRANSLATE(A6897, ""en"", ""mt"")"),"Magazine tax-Xjenza")</f>
        <v>Magazine tax-Xjenza</v>
      </c>
    </row>
    <row r="6898" ht="15.75" customHeight="1">
      <c r="A6898" s="2" t="s">
        <v>6898</v>
      </c>
      <c r="B6898" s="2" t="str">
        <f>IFERROR(__xludf.DUMMYFUNCTION("GOOGLETRANSLATE(A6898, ""en"", ""mt"")"),"It-telf tal-bijodiversità mhuwiex tħassib ta 'xiex?")</f>
        <v>It-telf tal-bijodiversità mhuwiex tħassib ta 'xiex?</v>
      </c>
    </row>
    <row r="6899" ht="15.75" customHeight="1">
      <c r="A6899" s="2" t="s">
        <v>6899</v>
      </c>
      <c r="B6899" s="2" t="str">
        <f>IFERROR(__xludf.DUMMYFUNCTION("GOOGLETRANSLATE(A6899, ""en"", ""mt"")"),"Introduzzjoni ta 'Beroe")</f>
        <v>Introduzzjoni ta 'Beroe</v>
      </c>
    </row>
    <row r="6900" ht="15.75" customHeight="1">
      <c r="A6900" s="2" t="s">
        <v>6900</v>
      </c>
      <c r="B6900" s="2" t="str">
        <f>IFERROR(__xludf.DUMMYFUNCTION("GOOGLETRANSLATE(A6900, ""en"", ""mt"")"),"Fl-1271, Kublai Khan impona l-isem Great Yuan (Ċiniż: 大 大; pinyin: dà yuán; wade - giles: ta-yüan), li stabbilixxa d-dinastija Yuan. ""Dà Yuán"" (大 元) hija mis-sentenza ""大 哉 乾元"" (Dà Zai Qián Yuán / ""Kbira hija Qián, il-Primal"") fil-kummentarji dwar it"&amp;"-taqsima klassika tal-bidliet (i ching) rigward Qián (乾) - Il-kontroparti bil-lingwa Mongoljana kienet Dai Ön Ulus, mogħtija wkoll bħala Ikh Yuan üls jew Yekhe Yuan Ulus. Fil-Mongoljan, Dai Ön (wan kbir) ħafna drabi jintuża flimkien mal- ""Yeke Mongghul U"&amp;"lus"" (Lit. ""Great Mongol Stat""), li jirriżulta f'Dai Ön Yeke Mongghul Ulus (Script Mongoljan :), li jfisser ""Yuan Great Mongol Stat"". Id-dinastija Yuan hija magħrufa wkoll bħala d- ""Dynasty Mongol"" jew ""Dynasty Mongol taċ-Ċina"", simili għall-ismi"&amp;"jiet ""Dynasty Manchu"" jew ""Dynasty Manchu taċ-Ċina"" għad-dinastija Qing. Barra minn hekk, il-Yuan xi kultant huwa magħruf bħala l- ""Imperu tal-Khan il-Kbir"" jew ""Khanate tal-Khan il-Kbir"", li partikolarment deher fuq xi mapep tal-wan, peress li l-"&amp;"imperaturi tal-wan kellhom it-titlu nominali ta 'Khan il-Kbir. Madankollu, iż-żewġ termini jistgħu jirreferu wkoll għall-Khanate fi ħdan l-imperu Mongoljan immexxi direttament mill-Khans il-Kbir qabel l-istabbiliment attwali tad-Dynasty Yuan minn Kublai K"&amp;"han fl-1271.")</f>
        <v>Fl-1271, Kublai Khan impona l-isem Great Yuan (Ċiniż: 大 大; pinyin: dà yuán; wade - giles: ta-yüan), li stabbilixxa d-dinastija Yuan. "Dà Yuán" (大 元) hija mis-sentenza "大 哉 乾元" (Dà Zai Qián Yuán / "Kbira hija Qián, il-Primal") fil-kummentarji dwar it-taqsima klassika tal-bidliet (i ching) rigward Qián (乾) - Il-kontroparti bil-lingwa Mongoljana kienet Dai Ön Ulus, mogħtija wkoll bħala Ikh Yuan üls jew Yekhe Yuan Ulus. Fil-Mongoljan, Dai Ön (wan kbir) ħafna drabi jintuża flimkien mal- "Yeke Mongghul Ulus" (Lit. "Great Mongol Stat"), li jirriżulta f'Dai Ön Yeke Mongghul Ulus (Script Mongoljan :), li jfisser "Yuan Great Mongol Stat". Id-dinastija Yuan hija magħrufa wkoll bħala d- "Dynasty Mongol" jew "Dynasty Mongol taċ-Ċina", simili għall-ismijiet "Dynasty Manchu" jew "Dynasty Manchu taċ-Ċina" għad-dinastija Qing. Barra minn hekk, il-Yuan xi kultant huwa magħruf bħala l- "Imperu tal-Khan il-Kbir" jew "Khanate tal-Khan il-Kbir", li partikolarment deher fuq xi mapep tal-wan, peress li l-imperaturi tal-wan kellhom it-titlu nominali ta 'Khan il-Kbir. Madankollu, iż-żewġ termini jistgħu jirreferu wkoll għall-Khanate fi ħdan l-imperu Mongoljan immexxi direttament mill-Khans il-Kbir qabel l-istabbiliment attwali tad-Dynasty Yuan minn Kublai Khan fl-1271.</v>
      </c>
    </row>
    <row r="6901" ht="15.75" customHeight="1">
      <c r="A6901" s="2" t="s">
        <v>6901</v>
      </c>
      <c r="B6901" s="2" t="str">
        <f>IFERROR(__xludf.DUMMYFUNCTION("GOOGLETRANSLATE(A6901, ""en"", ""mt"")"),"Fejn intemm l-ewwel vjaġġ ferrovjarju tal-Ingilterra?")</f>
        <v>Fejn intemm l-ewwel vjaġġ ferrovjarju tal-Ingilterra?</v>
      </c>
    </row>
    <row r="6902" ht="15.75" customHeight="1">
      <c r="A6902" s="2" t="s">
        <v>6902</v>
      </c>
      <c r="B6902" s="2" t="str">
        <f>IFERROR(__xludf.DUMMYFUNCTION("GOOGLETRANSLATE(A6902, ""en"", ""mt"")"),"Liema klassi ta 'kumplessità mhix komunement ikkaratterizzata minn algoritmi mhux magħrufa biex tissaħħaħ is-solubilità?")</f>
        <v>Liema klassi ta 'kumplessità mhix komunement ikkaratterizzata minn algoritmi mhux magħrufa biex tissaħħaħ is-solubilità?</v>
      </c>
    </row>
    <row r="6903" ht="15.75" customHeight="1">
      <c r="A6903" s="2" t="s">
        <v>6903</v>
      </c>
      <c r="B6903" s="2" t="str">
        <f>IFERROR(__xludf.DUMMYFUNCTION("GOOGLETRANSLATE(A6903, ""en"", ""mt"")"),"X'kienet il-preżenza militari Franċiża fi tmiem il-gwerra?")</f>
        <v>X'kienet il-preżenza militari Franċiża fi tmiem il-gwerra?</v>
      </c>
    </row>
    <row r="6904" ht="15.75" customHeight="1">
      <c r="A6904" s="2" t="s">
        <v>6904</v>
      </c>
      <c r="B6904" s="2" t="str">
        <f>IFERROR(__xludf.DUMMYFUNCTION("GOOGLETRANSLATE(A6904, ""en"", ""mt"")"),"Kemm valvi użat il-magna Corliss?")</f>
        <v>Kemm valvi użat il-magna Corliss?</v>
      </c>
    </row>
    <row r="6905" ht="15.75" customHeight="1">
      <c r="A6905" s="2" t="s">
        <v>6905</v>
      </c>
      <c r="B6905" s="2" t="str">
        <f>IFERROR(__xludf.DUMMYFUNCTION("GOOGLETRANSLATE(A6905, ""en"", ""mt"")"),"Liema forza hija parti mis-sistema SI moderna?")</f>
        <v>Liema forza hija parti mis-sistema SI moderna?</v>
      </c>
    </row>
    <row r="6906" ht="15.75" customHeight="1">
      <c r="A6906" s="2" t="s">
        <v>6906</v>
      </c>
      <c r="B6906" s="2" t="str">
        <f>IFERROR(__xludf.DUMMYFUNCTION("GOOGLETRANSLATE(A6906, ""en"", ""mt"")"),"X'jistgħu jaħdmu kunjardi orogeniċi bl-istess mod?")</f>
        <v>X'jistgħu jaħdmu kunjardi orogeniċi bl-istess mod?</v>
      </c>
    </row>
    <row r="6907" ht="15.75" customHeight="1">
      <c r="A6907" s="2" t="s">
        <v>6907</v>
      </c>
      <c r="B6907" s="2" t="str">
        <f>IFERROR(__xludf.DUMMYFUNCTION("GOOGLETRANSLATE(A6907, ""en"", ""mt"")"),"Eżodu")</f>
        <v>Eżodu</v>
      </c>
    </row>
    <row r="6908" ht="15.75" customHeight="1">
      <c r="A6908" s="2" t="s">
        <v>6908</v>
      </c>
      <c r="B6908" s="2" t="str">
        <f>IFERROR(__xludf.DUMMYFUNCTION("GOOGLETRANSLATE(A6908, ""en"", ""mt"")"),"X'għamlu l-attakki ta 'ċaħda ta' servizz li għamluha aktar diffiċli għall-organizzazzjoni Plowshares?")</f>
        <v>X'għamlu l-attakki ta 'ċaħda ta' servizz li għamluha aktar diffiċli għall-organizzazzjoni Plowshares?</v>
      </c>
    </row>
    <row r="6909" ht="15.75" customHeight="1">
      <c r="A6909" s="2" t="s">
        <v>6909</v>
      </c>
      <c r="B6909" s="2" t="str">
        <f>IFERROR(__xludf.DUMMYFUNCTION("GOOGLETRANSLATE(A6909, ""en"", ""mt"")"),"It-tifqigħa tal-Ewwel Gwerra Dinjija")</f>
        <v>It-tifqigħa tal-Ewwel Gwerra Dinjija</v>
      </c>
    </row>
    <row r="6910" ht="15.75" customHeight="1">
      <c r="A6910" s="2" t="s">
        <v>6910</v>
      </c>
      <c r="B6910" s="2" t="str">
        <f>IFERROR(__xludf.DUMMYFUNCTION("GOOGLETRANSLATE(A6910, ""en"", ""mt"")"),"Kif qabbel ir-rapport tal-IPCC tal-2001 mar-realtà għall-2001-2006?")</f>
        <v>Kif qabbel ir-rapport tal-IPCC tal-2001 mar-realtà għall-2001-2006?</v>
      </c>
    </row>
    <row r="6911" ht="15.75" customHeight="1">
      <c r="A6911" s="2" t="s">
        <v>6911</v>
      </c>
      <c r="B6911" s="2" t="str">
        <f>IFERROR(__xludf.DUMMYFUNCTION("GOOGLETRANSLATE(A6911, ""en"", ""mt"")"),"X'tip ta 'reazzjoni huwa preżenti fil-ġeneratur ta' ossiġnu ta 'emerġenza ta' ajruplan?")</f>
        <v>X'tip ta 'reazzjoni huwa preżenti fil-ġeneratur ta' ossiġnu ta 'emerġenza ta' ajruplan?</v>
      </c>
    </row>
    <row r="6912" ht="15.75" customHeight="1">
      <c r="A6912" s="2" t="s">
        <v>6912</v>
      </c>
      <c r="B6912" s="2" t="str">
        <f>IFERROR(__xludf.DUMMYFUNCTION("GOOGLETRANSLATE(A6912, ""en"", ""mt"")"),"Skond Lenin Għaliex il-pajjiżi kapitalisti għandhom politika imperjalista?")</f>
        <v>Skond Lenin Għaliex il-pajjiżi kapitalisti għandhom politika imperjalista?</v>
      </c>
    </row>
    <row r="6913" ht="15.75" customHeight="1">
      <c r="A6913" s="2" t="s">
        <v>6913</v>
      </c>
      <c r="B6913" s="2" t="str">
        <f>IFERROR(__xludf.DUMMYFUNCTION("GOOGLETRANSLATE(A6913, ""en"", ""mt"")"),"Id-diżubbidjenza ċivili mhux rivoluzzjonarja hija diżubbidjenza sempliċi tal-liġijiet minħabba li huma ġġudikati ""ħażin"" minn kuxjenza individwali, jew bħala parti minn sforz biex jagħmlu ċerti liġijiet ineffettivi, biex jikkawżaw ir-revoka tagħhom, jew"&amp;" biex jagħmlu pressjoni biex jiksbu wieħed Xewqat politiċi dwar xi kwistjoni oħra. Id-diżubbidjenza ċivili rivoluzzjonarja hija aktar ta 'tentattiv attiv biex titwaqqa' gvern (jew biex tbiddel it-tradizzjonijiet kulturali, id-drawwiet soċjali, it-twemmin "&amp;"reliġjuż, eċċ ... ir-rivoluzzjoni m'għandhiex għalfejn tkun politika, i.e. ""rivoluzzjoni kulturali"", sempliċement timplika knis u Bidla mifruxa għal sezzjoni tat-tessut soċjali). L-atti ta 'Gandhi ġew deskritti bħala diżubbidjenza ċivili rivoluzzjonarja"&amp;". Ġie ddikjarat li l-Ungeriżi taħt Ferenc Deák indirizzaw diżubbidjenza ċivili rivoluzzjonarja kontra l-gvern Awstrijak. Thoreau kiteb ukoll dwar diżubbidjenza ċivili li twettaq ""rivoluzzjoni paċifika."" Howard Zinn, Harvey Wheeler, u oħrajn identifikaw "&amp;"id-dritt imħaddem fid-dikjarazzjoni tal-indipendenza biex ""ibiddel jew jabolixxi"" gvern inġust biex ikun prinċipju ta 'diżubbidjenza ċivili.")</f>
        <v>Id-diżubbidjenza ċivili mhux rivoluzzjonarja hija diżubbidjenza sempliċi tal-liġijiet minħabba li huma ġġudikati "ħażin" minn kuxjenza individwali, jew bħala parti minn sforz biex jagħmlu ċerti liġijiet ineffettivi, biex jikkawżaw ir-revoka tagħhom, jew biex jagħmlu pressjoni biex jiksbu wieħed Xewqat politiċi dwar xi kwistjoni oħra. Id-diżubbidjenza ċivili rivoluzzjonarja hija aktar ta 'tentattiv attiv biex titwaqqa' gvern (jew biex tbiddel it-tradizzjonijiet kulturali, id-drawwiet soċjali, it-twemmin reliġjuż, eċċ ... ir-rivoluzzjoni m'għandhiex għalfejn tkun politika, i.e. "rivoluzzjoni kulturali", sempliċement timplika knis u Bidla mifruxa għal sezzjoni tat-tessut soċjali). L-atti ta 'Gandhi ġew deskritti bħala diżubbidjenza ċivili rivoluzzjonarja. Ġie ddikjarat li l-Ungeriżi taħt Ferenc Deák indirizzaw diżubbidjenza ċivili rivoluzzjonarja kontra l-gvern Awstrijak. Thoreau kiteb ukoll dwar diżubbidjenza ċivili li twettaq "rivoluzzjoni paċifika." Howard Zinn, Harvey Wheeler, u oħrajn identifikaw id-dritt imħaddem fid-dikjarazzjoni tal-indipendenza biex "ibiddel jew jabolixxi" gvern inġust biex ikun prinċipju ta 'diżubbidjenza ċivili.</v>
      </c>
    </row>
    <row r="6914" ht="15.75" customHeight="1">
      <c r="A6914" s="2" t="s">
        <v>6914</v>
      </c>
      <c r="B6914" s="2" t="str">
        <f>IFERROR(__xludf.DUMMYFUNCTION("GOOGLETRANSLATE(A6914, ""en"", ""mt"")"),"Istitut għall-Istudji tal-Politika")</f>
        <v>Istitut għall-Istudji tal-Politika</v>
      </c>
    </row>
    <row r="6915" ht="15.75" customHeight="1">
      <c r="A6915" s="2" t="s">
        <v>6915</v>
      </c>
      <c r="B6915" s="2" t="str">
        <f>IFERROR(__xludf.DUMMYFUNCTION("GOOGLETRANSLATE(A6915, ""en"", ""mt"")"),"L-Eżene f'nofs")</f>
        <v>L-Eżene f'nofs</v>
      </c>
    </row>
    <row r="6916" ht="15.75" customHeight="1">
      <c r="A6916" s="2" t="s">
        <v>6916</v>
      </c>
      <c r="B6916" s="2" t="str">
        <f>IFERROR(__xludf.DUMMYFUNCTION("GOOGLETRANSLATE(A6916, ""en"", ""mt"")"),"Xi jfisser il-mudell ekonomiku u soċjali tal-Istati Uniti?")</f>
        <v>Xi jfisser il-mudell ekonomiku u soċjali tal-Istati Uniti?</v>
      </c>
    </row>
    <row r="6917" ht="15.75" customHeight="1">
      <c r="A6917" s="2" t="s">
        <v>6917</v>
      </c>
      <c r="B6917" s="2" t="str">
        <f>IFERROR(__xludf.DUMMYFUNCTION("GOOGLETRANSLATE(A6917, ""en"", ""mt"")"),"Meta żviluppa Mechlin Lace?")</f>
        <v>Meta żviluppa Mechlin Lace?</v>
      </c>
    </row>
    <row r="6918" ht="15.75" customHeight="1">
      <c r="A6918" s="2" t="s">
        <v>6918</v>
      </c>
      <c r="B6918" s="2" t="str">
        <f>IFERROR(__xludf.DUMMYFUNCTION("GOOGLETRANSLATE(A6918, ""en"", ""mt"")"),"Liema xmara tifred ir-Renu minn Duisburg?")</f>
        <v>Liema xmara tifred ir-Renu minn Duisburg?</v>
      </c>
    </row>
    <row r="6919" ht="15.75" customHeight="1">
      <c r="A6919" s="2" t="s">
        <v>6919</v>
      </c>
      <c r="B6919" s="2" t="str">
        <f>IFERROR(__xludf.DUMMYFUNCTION("GOOGLETRANSLATE(A6919, ""en"", ""mt"")"),"X'inhu t-terminu mogħti lill-algoritmu korrispondenti jekk wieħed jassumi li T jirrappreżenta mononominal f'T (n)?")</f>
        <v>X'inhu t-terminu mogħti lill-algoritmu korrispondenti jekk wieħed jassumi li T jirrappreżenta mononominal f'T (n)?</v>
      </c>
    </row>
    <row r="6920" ht="15.75" customHeight="1">
      <c r="A6920" s="2" t="s">
        <v>6920</v>
      </c>
      <c r="B6920" s="2" t="str">
        <f>IFERROR(__xludf.DUMMYFUNCTION("GOOGLETRANSLATE(A6920, ""en"", ""mt"")"),"spazji vojta fuq mapep kontemporanji")</f>
        <v>spazji vojta fuq mapep kontemporanji</v>
      </c>
    </row>
    <row r="6921" ht="15.75" customHeight="1">
      <c r="A6921" s="2" t="s">
        <v>6921</v>
      </c>
      <c r="B6921" s="2" t="str">
        <f>IFERROR(__xludf.DUMMYFUNCTION("GOOGLETRANSLATE(A6921, ""en"", ""mt"")"),"Kunsill tal-Belt ta 'Edinburgu")</f>
        <v>Kunsill tal-Belt ta 'Edinburgu</v>
      </c>
    </row>
    <row r="6922" ht="15.75" customHeight="1">
      <c r="A6922" s="2" t="s">
        <v>6922</v>
      </c>
      <c r="B6922" s="2" t="str">
        <f>IFERROR(__xludf.DUMMYFUNCTION("GOOGLETRANSLATE(A6922, ""en"", ""mt"")"),"Provvista għolja")</f>
        <v>Provvista għolja</v>
      </c>
    </row>
    <row r="6923" ht="15.75" customHeight="1">
      <c r="A6923" s="2" t="s">
        <v>6923</v>
      </c>
      <c r="B6923" s="2" t="str">
        <f>IFERROR(__xludf.DUMMYFUNCTION("GOOGLETRANSLATE(A6923, ""en"", ""mt"")"),"Fil-każ Geven v Land Nordrhein-Westfalen, kemm sigħat kienet il-mara Olandiża inkwistjoni taħdem fil-Ġermanja?")</f>
        <v>Fil-każ Geven v Land Nordrhein-Westfalen, kemm sigħat kienet il-mara Olandiża inkwistjoni taħdem fil-Ġermanja?</v>
      </c>
    </row>
    <row r="6924" ht="15.75" customHeight="1">
      <c r="A6924" s="2" t="s">
        <v>6924</v>
      </c>
      <c r="B6924" s="2" t="str">
        <f>IFERROR(__xludf.DUMMYFUNCTION("GOOGLETRANSLATE(A6924, ""en"", ""mt"")"),"Hemm evidenza li kien hemm bidliet sinifikanti fil-veġetazzjoni tal-foresta tropikali tal-Amazon matul dawn l-aħħar 21,000 sena sa l-aħħar massimu glaċjali (LGM) u d-deglakjazzjoni sussegwenti. L-analiżi tad-depożiti tas-sedimenti mill-paleolakes tal-baċi"&amp;"n tal-Amazon u mill-fann tal-Amazon jindikaw li x-xita fil-baċin waqt l-LGM kienet inqas minn dik tal-preżent, u dan kien kważi ċertament assoċjat ma 'kopertura ta' veġetazzjoni tropikali niedja mnaqqsa fil-baċin. Hemm dibattitu, madankollu, dwar kemm kie"&amp;"n estensiv dan it-tnaqqis. Xi xjenzati jargumentaw li l-foresta tropikali tnaqqset għal refugia żgħira u iżolata separata mill-foresta miftuħa u l-ħaxix; Xjentisti oħra jargumentaw li l-foresta tropikali baqgħet fil-biċċa l-kbira intatta iżda estiża inqas"&amp;" lejn it-tramuntana, in-nofsinhar u l-lvant milli tidher illum. Dan id-dibattitu wera diffiċli biex jiġi solvut minħabba li l-limitazzjonijiet prattiċi tal-ħidma fil-foresta tropikali jfissru li l-kampjunar tad-dejta huwa preġudikat 'il bogħod miċ-ċentru "&amp;"tal-baċin tal-Amażonja, u ż-żewġ spjegazzjonijiet huma raġonevolment appoġġjati tajjeb mid-dejta disponibbli.")</f>
        <v>Hemm evidenza li kien hemm bidliet sinifikanti fil-veġetazzjoni tal-foresta tropikali tal-Amazon matul dawn l-aħħar 21,000 sena sa l-aħħar massimu glaċjali (LGM) u d-deglakjazzjoni sussegwenti. L-analiżi tad-depożiti tas-sedimenti mill-paleolakes tal-baċin tal-Amazon u mill-fann tal-Amazon jindikaw li x-xita fil-baċin waqt l-LGM kienet inqas minn dik tal-preżent, u dan kien kważi ċertament assoċjat ma 'kopertura ta' veġetazzjoni tropikali niedja mnaqqsa fil-baċin. Hemm dibattitu, madankollu, dwar kemm kien estensiv dan it-tnaqqis. Xi xjenzati jargumentaw li l-foresta tropikali tnaqqset għal refugia żgħira u iżolata separata mill-foresta miftuħa u l-ħaxix; Xjentisti oħra jargumentaw li l-foresta tropikali baqgħet fil-biċċa l-kbira intatta iżda estiża inqas lejn it-tramuntana, in-nofsinhar u l-lvant milli tidher illum. Dan id-dibattitu wera diffiċli biex jiġi solvut minħabba li l-limitazzjonijiet prattiċi tal-ħidma fil-foresta tropikali jfissru li l-kampjunar tad-dejta huwa preġudikat 'il bogħod miċ-ċentru tal-baċin tal-Amażonja, u ż-żewġ spjegazzjonijiet huma raġonevolment appoġġjati tajjeb mid-dejta disponibbli.</v>
      </c>
    </row>
    <row r="6925" ht="15.75" customHeight="1">
      <c r="A6925" s="2" t="s">
        <v>6925</v>
      </c>
      <c r="B6925" s="2" t="str">
        <f>IFERROR(__xludf.DUMMYFUNCTION("GOOGLETRANSLATE(A6925, ""en"", ""mt"")"),"X'tifhem il-mozzjoni tul id-Dike Swarms?")</f>
        <v>X'tifhem il-mozzjoni tul id-Dike Swarms?</v>
      </c>
    </row>
    <row r="6926" ht="15.75" customHeight="1">
      <c r="A6926" s="2" t="s">
        <v>6926</v>
      </c>
      <c r="B6926" s="2" t="str">
        <f>IFERROR(__xludf.DUMMYFUNCTION("GOOGLETRANSLATE(A6926, ""en"", ""mt"")"),"Biex tevita interferenza ma 'stazzjonijiet tat-televiżjoni VHF eżistenti fiż-Żona tal-Bajja ta' San Francisco u dawk ippjanati għal Chico, Sacramento, Salinas, u Stockton, il-Kummissjoni Federali tal-Komunikazzjonijiet iddeċidiet li Fresno kien ikollu bis"&amp;"s stazzjonijiet tat-televiżjoni UHF. L-ewwel stazzjon tat-televiżjoni Fresno li beda jxandar kien KMJ-TV, li ddebutta fl-1 ta 'Ġunju, 1953. KMJ issa huwa magħruf bħala l-affiljat tal-NBC KSEE. Stazzjonijiet oħra ta 'Fresno jinkludu ABC O&amp;O KFSN, CBS affil"&amp;"jat KGPE, Affiljat CW KFRE, Fox affiljat KMPH, Affiljat MNTV KAIL, PBS affiljat KVPT, Telemundo O&amp;O KNSO, Univision O&amp;O KFTV, u Mundofox u Azteca affiljat KGMC-DT.")</f>
        <v>Biex tevita interferenza ma 'stazzjonijiet tat-televiżjoni VHF eżistenti fiż-Żona tal-Bajja ta' San Francisco u dawk ippjanati għal Chico, Sacramento, Salinas, u Stockton, il-Kummissjoni Federali tal-Komunikazzjonijiet iddeċidiet li Fresno kien ikollu biss stazzjonijiet tat-televiżjoni UHF. L-ewwel stazzjon tat-televiżjoni Fresno li beda jxandar kien KMJ-TV, li ddebutta fl-1 ta 'Ġunju, 1953. KMJ issa huwa magħruf bħala l-affiljat tal-NBC KSEE. Stazzjonijiet oħra ta 'Fresno jinkludu ABC O&amp;O KFSN, CBS affiljat KGPE, Affiljat CW KFRE, Fox affiljat KMPH, Affiljat MNTV KAIL, PBS affiljat KVPT, Telemundo O&amp;O KNSO, Univision O&amp;O KFTV, u Mundofox u Azteca affiljat KGMC-DT.</v>
      </c>
    </row>
    <row r="6927" ht="15.75" customHeight="1">
      <c r="A6927" s="2" t="s">
        <v>6927</v>
      </c>
      <c r="B6927" s="2" t="str">
        <f>IFERROR(__xludf.DUMMYFUNCTION("GOOGLETRANSLATE(A6927, ""en"", ""mt"")"),"Liema għodda sottili ma tistax tintuża f'sitwazzjoni imperjalista informali biex tespandi żona kkontrollata?")</f>
        <v>Liema għodda sottili ma tistax tintuża f'sitwazzjoni imperjalista informali biex tespandi żona kkontrollata?</v>
      </c>
    </row>
    <row r="6928" ht="15.75" customHeight="1">
      <c r="A6928" s="2" t="s">
        <v>6928</v>
      </c>
      <c r="B6928" s="2" t="str">
        <f>IFERROR(__xludf.DUMMYFUNCTION("GOOGLETRANSLATE(A6928, ""en"", ""mt"")"),"Tekniki ta 'reazzjoni fil-katina tal-polimerażi (PCR)")</f>
        <v>Tekniki ta 'reazzjoni fil-katina tal-polimerażi (PCR)</v>
      </c>
    </row>
    <row r="6929" ht="15.75" customHeight="1">
      <c r="A6929" s="2" t="s">
        <v>6929</v>
      </c>
      <c r="B6929" s="2" t="str">
        <f>IFERROR(__xludf.DUMMYFUNCTION("GOOGLETRANSLATE(A6929, ""en"", ""mt"")"),"Liema korp jiddetermina li l-finanzjament għall-kontenut tal-kors huwa pprojbit?")</f>
        <v>Liema korp jiddetermina li l-finanzjament għall-kontenut tal-kors huwa pprojbit?</v>
      </c>
    </row>
    <row r="6930" ht="15.75" customHeight="1">
      <c r="A6930" s="2" t="s">
        <v>6930</v>
      </c>
      <c r="B6930" s="2" t="str">
        <f>IFERROR(__xludf.DUMMYFUNCTION("GOOGLETRANSLATE(A6930, ""en"", ""mt"")"),"Meta ġie ppubblikat ir-Rapport tat-Tielet Valutazzjoni tal-IPCC?")</f>
        <v>Meta ġie ppubblikat ir-Rapport tat-Tielet Valutazzjoni tal-IPCC?</v>
      </c>
    </row>
    <row r="6931" ht="15.75" customHeight="1">
      <c r="A6931" s="2" t="s">
        <v>6931</v>
      </c>
      <c r="B6931" s="2" t="str">
        <f>IFERROR(__xludf.DUMMYFUNCTION("GOOGLETRANSLATE(A6931, ""en"", ""mt"")"),"270,000")</f>
        <v>270,000</v>
      </c>
    </row>
    <row r="6932" ht="15.75" customHeight="1">
      <c r="A6932" s="2" t="s">
        <v>6932</v>
      </c>
      <c r="B6932" s="2" t="str">
        <f>IFERROR(__xludf.DUMMYFUNCTION("GOOGLETRANSLATE(A6932, ""en"", ""mt"")"),"$ 8.7 biljun")</f>
        <v>$ 8.7 biljun</v>
      </c>
    </row>
    <row r="6933" ht="15.75" customHeight="1">
      <c r="A6933" s="2" t="s">
        <v>6933</v>
      </c>
      <c r="B6933" s="2" t="str">
        <f>IFERROR(__xludf.DUMMYFUNCTION("GOOGLETRANSLATE(A6933, ""en"", ""mt"")"),"It-telfa ta 'Napuljun")</f>
        <v>It-telfa ta 'Napuljun</v>
      </c>
    </row>
    <row r="6934" ht="15.75" customHeight="1">
      <c r="A6934" s="2" t="s">
        <v>6934</v>
      </c>
      <c r="B6934" s="2" t="str">
        <f>IFERROR(__xludf.DUMMYFUNCTION("GOOGLETRANSLATE(A6934, ""en"", ""mt"")"),"tkabbir u investiment")</f>
        <v>tkabbir u investiment</v>
      </c>
    </row>
    <row r="6935" ht="15.75" customHeight="1">
      <c r="A6935" s="2" t="s">
        <v>6935</v>
      </c>
      <c r="B6935" s="2" t="str">
        <f>IFERROR(__xludf.DUMMYFUNCTION("GOOGLETRANSLATE(A6935, ""en"", ""mt"")"),"Id-daqsijiet tal-pakketti huma varjabbli?")</f>
        <v>Id-daqsijiet tal-pakketti huma varjabbli?</v>
      </c>
    </row>
    <row r="6936" ht="15.75" customHeight="1">
      <c r="A6936" s="2" t="s">
        <v>6936</v>
      </c>
      <c r="B6936" s="2" t="str">
        <f>IFERROR(__xludf.DUMMYFUNCTION("GOOGLETRANSLATE(A6936, ""en"", ""mt"")"),"Wieħed mill-ewwel merċenarji Norman li jservi bħala ġeneral Biżantin kien Hervé fl-1050s. Dakinhar madankollu, kien hemm diġà merċenarji Norman li jservu kemm 'il bogħod daqs Trebizond u l-Ġeorġja. Kienu bbażati f'Malitya u Edessa, taħt id-Duka Biżantina "&amp;"ta 'Antijokja, Isaac Komnenos. Fl-1060s, Robert Crispin mexxa n-Normans ta 'Edessa kontra t-Torok. Roussel de Bailleul saħansitra pprova joħroġ stat indipendenti fl-Asja Minuri b'appoġġ mill-popolazzjoni lokali, iżda huwa twaqqaf mill-Ġeneral Biżantin Ale"&amp;"xius Komnenos.")</f>
        <v>Wieħed mill-ewwel merċenarji Norman li jservi bħala ġeneral Biżantin kien Hervé fl-1050s. Dakinhar madankollu, kien hemm diġà merċenarji Norman li jservu kemm 'il bogħod daqs Trebizond u l-Ġeorġja. Kienu bbażati f'Malitya u Edessa, taħt id-Duka Biżantina ta 'Antijokja, Isaac Komnenos. Fl-1060s, Robert Crispin mexxa n-Normans ta 'Edessa kontra t-Torok. Roussel de Bailleul saħansitra pprova joħroġ stat indipendenti fl-Asja Minuri b'appoġġ mill-popolazzjoni lokali, iżda huwa twaqqaf mill-Ġeneral Biżantin Alexius Komnenos.</v>
      </c>
    </row>
    <row r="6937" ht="15.75" customHeight="1">
      <c r="A6937" s="2" t="s">
        <v>6937</v>
      </c>
      <c r="B6937" s="2" t="str">
        <f>IFERROR(__xludf.DUMMYFUNCTION("GOOGLETRANSLATE(A6937, ""en"", ""mt"")"),"Kemm ilu Ġwanni Pawlu II kien il-Papa fl-1979?")</f>
        <v>Kemm ilu Ġwanni Pawlu II kien il-Papa fl-1979?</v>
      </c>
    </row>
    <row r="6938" ht="15.75" customHeight="1">
      <c r="A6938" s="2" t="s">
        <v>6938</v>
      </c>
      <c r="B6938" s="2" t="str">
        <f>IFERROR(__xludf.DUMMYFUNCTION("GOOGLETRANSLATE(A6938, ""en"", ""mt"")"),"Il-Ġermanja rreferiet għal liema żona aktar minn pajjiż attwali?")</f>
        <v>Il-Ġermanja rreferiet għal liema żona aktar minn pajjiż attwali?</v>
      </c>
    </row>
    <row r="6939" ht="15.75" customHeight="1">
      <c r="A6939" s="2" t="s">
        <v>6939</v>
      </c>
      <c r="B6939" s="2" t="str">
        <f>IFERROR(__xludf.DUMMYFUNCTION("GOOGLETRANSLATE(A6939, ""en"", ""mt"")"),"Fejn ħarbu r-residenti ta 'Antijokja?")</f>
        <v>Fejn ħarbu r-residenti ta 'Antijokja?</v>
      </c>
    </row>
    <row r="6940" ht="15.75" customHeight="1">
      <c r="A6940" s="2" t="s">
        <v>6940</v>
      </c>
      <c r="B6940" s="2" t="str">
        <f>IFERROR(__xludf.DUMMYFUNCTION("GOOGLETRANSLATE(A6940, ""en"", ""mt"")"),"imperjalista")</f>
        <v>imperjalista</v>
      </c>
    </row>
    <row r="6941" ht="15.75" customHeight="1">
      <c r="A6941" s="2" t="s">
        <v>6941</v>
      </c>
      <c r="B6941" s="2" t="str">
        <f>IFERROR(__xludf.DUMMYFUNCTION("GOOGLETRANSLATE(A6941, ""en"", ""mt"")"),"Le Grand jikkonkludi li l-kliem ta 'awtur joffru biss dak li huma maħsuba għalihom biex jimplikaw rigward dan it-tip ta' terminoloġija?")</f>
        <v>Le Grand jikkonkludi li l-kliem ta 'awtur joffru biss dak li huma maħsuba għalihom biex jimplikaw rigward dan it-tip ta' terminoloġija?</v>
      </c>
    </row>
    <row r="6942" ht="15.75" customHeight="1">
      <c r="A6942" s="2" t="s">
        <v>6942</v>
      </c>
      <c r="B6942" s="2" t="str">
        <f>IFERROR(__xludf.DUMMYFUNCTION("GOOGLETRANSLATE(A6942, ""en"", ""mt"")"),"Liema pajjiż kompla r-Renu jiżdied matul l-Oloken?")</f>
        <v>Liema pajjiż kompla r-Renu jiżdied matul l-Oloken?</v>
      </c>
    </row>
    <row r="6943" ht="15.75" customHeight="1">
      <c r="A6943" s="2" t="s">
        <v>6943</v>
      </c>
      <c r="B6943" s="2" t="str">
        <f>IFERROR(__xludf.DUMMYFUNCTION("GOOGLETRANSLATE(A6943, ""en"", ""mt"")"),"Minbarra 7 u 13, liema intervall ta 'sena oħra jagħmlu l-predaturi?")</f>
        <v>Minbarra 7 u 13, liema intervall ta 'sena oħra jagħmlu l-predaturi?</v>
      </c>
    </row>
    <row r="6944" ht="15.75" customHeight="1">
      <c r="A6944" s="2" t="s">
        <v>6944</v>
      </c>
      <c r="B6944" s="2" t="str">
        <f>IFERROR(__xludf.DUMMYFUNCTION("GOOGLETRANSLATE(A6944, ""en"", ""mt"")"),"It-teorema fundamentali tal-aritmetika")</f>
        <v>It-teorema fundamentali tal-aritmetika</v>
      </c>
    </row>
    <row r="6945" ht="15.75" customHeight="1">
      <c r="A6945" s="2" t="s">
        <v>6945</v>
      </c>
      <c r="B6945" s="2" t="str">
        <f>IFERROR(__xludf.DUMMYFUNCTION("GOOGLETRANSLATE(A6945, ""en"", ""mt"")"),"F'liema sena nfirxet il-mewt l-Iswed fl-Ingilterra?")</f>
        <v>F'liema sena nfirxet il-mewt l-Iswed fl-Ingilterra?</v>
      </c>
    </row>
    <row r="6946" ht="15.75" customHeight="1">
      <c r="A6946" s="2" t="s">
        <v>6946</v>
      </c>
      <c r="B6946" s="2" t="str">
        <f>IFERROR(__xludf.DUMMYFUNCTION("GOOGLETRANSLATE(A6946, ""en"", ""mt"")"),"Matul liema perjodu ġiet skoperta l-Ewropa tan-Nofsinhar?")</f>
        <v>Matul liema perjodu ġiet skoperta l-Ewropa tan-Nofsinhar?</v>
      </c>
    </row>
    <row r="6947" ht="15.75" customHeight="1">
      <c r="A6947" s="2" t="s">
        <v>6947</v>
      </c>
      <c r="B6947" s="2" t="str">
        <f>IFERROR(__xludf.DUMMYFUNCTION("GOOGLETRANSLATE(A6947, ""en"", ""mt"")"),"11,700 sena ilu")</f>
        <v>11,700 sena ilu</v>
      </c>
    </row>
    <row r="6948" ht="15.75" customHeight="1">
      <c r="A6948" s="2" t="s">
        <v>6948</v>
      </c>
      <c r="B6948" s="2" t="str">
        <f>IFERROR(__xludf.DUMMYFUNCTION("GOOGLETRANSLATE(A6948, ""en"", ""mt"")"),"Avveniment ewlieni fid-dinja Musulmana Għarbija")</f>
        <v>Avveniment ewlieni fid-dinja Musulmana Għarbija</v>
      </c>
    </row>
    <row r="6949" ht="15.75" customHeight="1">
      <c r="A6949" s="2" t="s">
        <v>6949</v>
      </c>
      <c r="B6949" s="2" t="str">
        <f>IFERROR(__xludf.DUMMYFUNCTION("GOOGLETRANSLATE(A6949, ""en"", ""mt"")"),"X'kienet l-idea ewlenija tal-karta ta 'James Hutton?")</f>
        <v>X'kienet l-idea ewlenija tal-karta ta 'James Hutton?</v>
      </c>
    </row>
    <row r="6950" ht="15.75" customHeight="1">
      <c r="A6950" s="2" t="s">
        <v>6950</v>
      </c>
      <c r="B6950" s="2" t="str">
        <f>IFERROR(__xludf.DUMMYFUNCTION("GOOGLETRANSLATE(A6950, ""en"", ""mt"")"),"ċirku")</f>
        <v>ċirku</v>
      </c>
    </row>
    <row r="6951" ht="15.75" customHeight="1">
      <c r="A6951" s="2" t="s">
        <v>6951</v>
      </c>
      <c r="B6951" s="2" t="str">
        <f>IFERROR(__xludf.DUMMYFUNCTION("GOOGLETRANSLATE(A6951, ""en"", ""mt"")"),"John M. Grunsfeld")</f>
        <v>John M. Grunsfeld</v>
      </c>
    </row>
    <row r="6952" ht="15.75" customHeight="1">
      <c r="A6952" s="2" t="s">
        <v>6952</v>
      </c>
      <c r="B6952" s="2" t="str">
        <f>IFERROR(__xludf.DUMMYFUNCTION("GOOGLETRANSLATE(A6952, ""en"", ""mt"")"),"Oriġini lingwistiċi mhux Franċiżi")</f>
        <v>Oriġini lingwistiċi mhux Franċiżi</v>
      </c>
    </row>
    <row r="6953" ht="15.75" customHeight="1">
      <c r="A6953" s="2" t="s">
        <v>6953</v>
      </c>
      <c r="B6953" s="2" t="str">
        <f>IFERROR(__xludf.DUMMYFUNCTION("GOOGLETRANSLATE(A6953, ""en"", ""mt"")"),"Min kien il-qtil ta 'Al-Banna bħala ritaljazzjoni għall-qtil minn qabel?")</f>
        <v>Min kien il-qtil ta 'Al-Banna bħala ritaljazzjoni għall-qtil minn qabel?</v>
      </c>
    </row>
    <row r="6954" ht="15.75" customHeight="1">
      <c r="A6954" s="2" t="s">
        <v>6954</v>
      </c>
      <c r="B6954" s="2" t="str">
        <f>IFERROR(__xludf.DUMMYFUNCTION("GOOGLETRANSLATE(A6954, ""en"", ""mt"")"),"X'għandhom l-esperjenza ta 'Astronaughts waqt li tkun free-waqgħa?")</f>
        <v>X'għandhom l-esperjenza ta 'Astronaughts waqt li tkun free-waqgħa?</v>
      </c>
    </row>
    <row r="6955" ht="15.75" customHeight="1">
      <c r="A6955" s="2" t="s">
        <v>6955</v>
      </c>
      <c r="B6955" s="2" t="str">
        <f>IFERROR(__xludf.DUMMYFUNCTION("GOOGLETRANSLATE(A6955, ""en"", ""mt"")"),"Hagen")</f>
        <v>Hagen</v>
      </c>
    </row>
    <row r="6956" ht="15.75" customHeight="1">
      <c r="A6956" s="2" t="s">
        <v>6956</v>
      </c>
      <c r="B6956" s="2" t="str">
        <f>IFERROR(__xludf.DUMMYFUNCTION("GOOGLETRANSLATE(A6956, ""en"", ""mt"")"),"X'inhu kkawżat minn disturbi tas-sistema immuni?")</f>
        <v>X'inhu kkawżat minn disturbi tas-sistema immuni?</v>
      </c>
    </row>
    <row r="6957" ht="15.75" customHeight="1">
      <c r="A6957" s="2" t="s">
        <v>6957</v>
      </c>
      <c r="B6957" s="2" t="str">
        <f>IFERROR(__xludf.DUMMYFUNCTION("GOOGLETRANSLATE(A6957, ""en"", ""mt"")"),"New Holland")</f>
        <v>New Holland</v>
      </c>
    </row>
    <row r="6958" ht="15.75" customHeight="1">
      <c r="A6958" s="2" t="s">
        <v>6958</v>
      </c>
      <c r="B6958" s="2" t="str">
        <f>IFERROR(__xludf.DUMMYFUNCTION("GOOGLETRANSLATE(A6958, ""en"", ""mt"")"),"Min imexxi l-gvern tal-istudenti?")</f>
        <v>Min imexxi l-gvern tal-istudenti?</v>
      </c>
    </row>
    <row r="6959" ht="15.75" customHeight="1">
      <c r="A6959" s="2" t="s">
        <v>6959</v>
      </c>
      <c r="B6959" s="2" t="str">
        <f>IFERROR(__xludf.DUMMYFUNCTION("GOOGLETRANSLATE(A6959, ""en"", ""mt"")"),"Fejn kien ir-Rhine regolat b'kanal ta 'fuq?")</f>
        <v>Fejn kien ir-Rhine regolat b'kanal ta 'fuq?</v>
      </c>
    </row>
    <row r="6960" ht="15.75" customHeight="1">
      <c r="A6960" s="2" t="s">
        <v>6960</v>
      </c>
      <c r="B6960" s="2" t="str">
        <f>IFERROR(__xludf.DUMMYFUNCTION("GOOGLETRANSLATE(A6960, ""en"", ""mt"")"),"Edmund Bellinger")</f>
        <v>Edmund Bellinger</v>
      </c>
    </row>
    <row r="6961" ht="15.75" customHeight="1">
      <c r="A6961" s="2" t="s">
        <v>6961</v>
      </c>
      <c r="B6961" s="2" t="str">
        <f>IFERROR(__xludf.DUMMYFUNCTION("GOOGLETRANSLATE(A6961, ""en"", ""mt"")"),"US $ 1,000,000")</f>
        <v>US $ 1,000,000</v>
      </c>
    </row>
    <row r="6962" ht="15.75" customHeight="1">
      <c r="A6962" s="2" t="s">
        <v>6962</v>
      </c>
      <c r="B6962" s="2" t="str">
        <f>IFERROR(__xludf.DUMMYFUNCTION("GOOGLETRANSLATE(A6962, ""en"", ""mt"")"),"Fir-rigward tal-kumpaniji, il-Qorti tal-Ġustizzja miżmuma f'R (Daily Mail and General Trust Plc) v HM Teżor li l-istati membri jistgħu jirrestrinġu kumpanija li tmexxi s-sede tan-negozju tagħha, mingħajr ma tikser l-artikolu 49. TFEU dan kien ifisser il-k"&amp;"umpanija ewlenija tal-gazzetta ta 'Daily Mail Ma setgħetx tevadi t-taxxa billi tbiddel ir-residenza tagħha lill-Olanda mingħajr ma l-ewwel issetilja l-kontijiet tat-taxxa tagħha fir-Renju Unit. Ir-Renju Unit ma kellux għalfejn jiġġustifika l-azzjoni tiegħ"&amp;"u, billi r-regoli dwar is-siġġijiet tal-kumpanija ma kinux għadhom armonizzati. B'kuntrast, f'Centros Ltd v Erhversus-OG Selkabssyelsen Il-Qorti tal-Ġustizzja sabet li kumpanija limitata tar-Renju Unit li topera fid-Danimarka ma setgħetx tkun meħtieġa li "&amp;"tikkonforma mar-regoli tal-kapital azzjonarju minimu tad-Danimarka. Il-liġi tar-Renju Unit kienet teħtieġ biss £ 1 ta 'kapital biex tibda kumpanija, filwaqt li l-leġiżlatura tad-Danimarka ħadet il-fehma li l-kumpaniji għandhom jinbdew biss jekk kellhom 20"&amp;"0,000 Krone Daniż (madwar € 27,000) biex jipproteġu l-kredituri jekk il-kumpanija falliet u marret insolventi. Il-Qorti tal-Ġustizzja qalet li l-liġi kapitali minima tad-Danimarka kisret il-libertà ta 'stabbiliment ta' Centros Ltd u ma setgħetx tkun iġġus"&amp;"tifikata, minħabba li kumpanija fir-Renju Unit setgħet tipprovdi servizzi fid-Danimarka mingħajr ma tkun stabbilita hemmhekk, u kien hemm mezzi inqas restrittivi biex jinkiseb l-għan ta ' Protezzjoni tal-kreditur. Dan l-approċċ ġie kkritikat bħala li pote"&amp;"nzjalment jiftaħ l-UE għal kompetizzjoni regolatorja mhux ġustifikata, u tellieqa lejn il-qiegħ fl-istandards, bħal fl-Istati Uniti fejn l-istat Delaware jattira ħafna kumpaniji u ħafna drabi huwa argumentat li għandu l-agħar standards tar-responsabbiltà "&amp;"tal-bordijiet, u baxx Bħala riżultat ta 'taxxi korporattivi. Bl-istess mod fil-kostruzzjoni ta 'überseering bv v nordic gmbH Il-Qorti tal-Ġustizzja ddeċidiet li qorti Ġermaniża ma setgħetx tiċħad lil kumpanija tal-bini Olandiża d-dritt li tinforza kuntrat"&amp;"t fil-Ġermanja fuq il-bażi li ma kinitx validament inkorporata fil-Ġermanja. Għalkemm ir-restrizzjonijiet fuq il-libertà tal-istabbiliment jistgħu jiġu ġġustifikati mill-protezzjoni tal-kredituri, id-drittijiet tax-xogħol biex jipparteċipaw fix-xogħol, je"&amp;"w l-interess pubbliku fil-ġbir tat-taxxi, iċ-ċaħda tal-kapaċità marret wisq: kienet ""negazzjoni diretta"" tad-dritt ta 'stabbiliment. Madankollu, fil-Cartesio Oktató és Szolgáltató bt il-Qorti tal-Ġustizzja affermat mill-ġdid li minħabba li l-korporazzjo"&amp;"nijiet huma maħluqa mil-liġi, huma fil-prinċipju huma soġġetti għal kwalunkwe regoli għall-formazzjoni li stat ta 'inkorporazzjoni jixtieq jimponi. Dan kien ifisser li l-awtoritajiet Ungeriżi jistgħu jipprevjenu kumpanija milli tbiddel l-amministrazzjoni "&amp;"ċentrali tagħha lejn l-Italja waqt li kienet għadha topera u ġiet inkorporata fl-Ungerija. Għalhekk, il-qorti tiġbed distinzjoni bejn id-dritt ta 'stabbiliment għal kumpaniji barranin (fejn ir-restrizzjonijiet għandhom ikunu ġġustifikati), u d-dritt tal-I"&amp;"stat li jiddetermina l-kundizzjonijiet għall-kumpaniji inkorporati fit-territorju tagħha, għalkemm mhuwiex kompletament ċar għaliex.")</f>
        <v>Fir-rigward tal-kumpaniji, il-Qorti tal-Ġustizzja miżmuma f'R (Daily Mail and General Trust Plc) v HM Teżor li l-istati membri jistgħu jirrestrinġu kumpanija li tmexxi s-sede tan-negozju tagħha, mingħajr ma tikser l-artikolu 49. TFEU dan kien ifisser il-kumpanija ewlenija tal-gazzetta ta 'Daily Mail Ma setgħetx tevadi t-taxxa billi tbiddel ir-residenza tagħha lill-Olanda mingħajr ma l-ewwel issetilja l-kontijiet tat-taxxa tagħha fir-Renju Unit. Ir-Renju Unit ma kellux għalfejn jiġġustifika l-azzjoni tiegħu, billi r-regoli dwar is-siġġijiet tal-kumpanija ma kinux għadhom armonizzati. B'kuntrast, f'Centros Ltd v Erhversus-OG Selkabssyelsen Il-Qorti tal-Ġustizzja sabet li kumpanija limitata tar-Renju Unit li topera fid-Danimarka ma setgħetx tkun meħtieġa li tikkonforma mar-regoli tal-kapital azzjonarju minimu tad-Danimarka. Il-liġi tar-Renju Unit kienet teħtieġ biss £ 1 ta 'kapital biex tibda kumpanija, filwaqt li l-leġiżlatura tad-Danimarka ħadet il-fehma li l-kumpaniji għandhom jinbdew biss jekk kellhom 200,000 Krone Daniż (madwar € 27,000) biex jipproteġu l-kredituri jekk il-kumpanija falliet u marret insolventi. Il-Qorti tal-Ġustizzja qalet li l-liġi kapitali minima tad-Danimarka kisret il-libertà ta 'stabbiliment ta' Centros Ltd u ma setgħetx tkun iġġustifikata, minħabba li kumpanija fir-Renju Unit setgħet tipprovdi servizzi fid-Danimarka mingħajr ma tkun stabbilita hemmhekk, u kien hemm mezzi inqas restrittivi biex jinkiseb l-għan ta ' Protezzjoni tal-kreditur. Dan l-approċċ ġie kkritikat bħala li potenzjalment jiftaħ l-UE għal kompetizzjoni regolatorja mhux ġustifikata, u tellieqa lejn il-qiegħ fl-istandards, bħal fl-Istati Uniti fejn l-istat Delaware jattira ħafna kumpaniji u ħafna drabi huwa argumentat li għandu l-agħar standards tar-responsabbiltà tal-bordijiet, u baxx Bħala riżultat ta 'taxxi korporattivi. Bl-istess mod fil-kostruzzjoni ta 'überseering bv v nordic gmbH Il-Qorti tal-Ġustizzja ddeċidiet li qorti Ġermaniża ma setgħetx tiċħad lil kumpanija tal-bini Olandiża d-dritt li tinforza kuntratt fil-Ġermanja fuq il-bażi li ma kinitx validament inkorporata fil-Ġermanja. Għalkemm ir-restrizzjonijiet fuq il-libertà tal-istabbiliment jistgħu jiġu ġġustifikati mill-protezzjoni tal-kredituri, id-drittijiet tax-xogħol biex jipparteċipaw fix-xogħol, jew l-interess pubbliku fil-ġbir tat-taxxi, iċ-ċaħda tal-kapaċità marret wisq: kienet "negazzjoni diretta" tad-dritt ta 'stabbiliment. Madankollu, fil-Cartesio Oktató és Szolgáltató bt il-Qorti tal-Ġustizzja affermat mill-ġdid li minħabba li l-korporazzjonijiet huma maħluqa mil-liġi, huma fil-prinċipju huma soġġetti għal kwalunkwe regoli għall-formazzjoni li stat ta 'inkorporazzjoni jixtieq jimponi. Dan kien ifisser li l-awtoritajiet Ungeriżi jistgħu jipprevjenu kumpanija milli tbiddel l-amministrazzjoni ċentrali tagħha lejn l-Italja waqt li kienet għadha topera u ġiet inkorporata fl-Ungerija. Għalhekk, il-qorti tiġbed distinzjoni bejn id-dritt ta 'stabbiliment għal kumpaniji barranin (fejn ir-restrizzjonijiet għandhom ikunu ġġustifikati), u d-dritt tal-Istat li jiddetermina l-kundizzjonijiet għall-kumpaniji inkorporati fit-territorju tagħha, għalkemm mhuwiex kompletament ċar għaliex.</v>
      </c>
    </row>
    <row r="6963" ht="15.75" customHeight="1">
      <c r="A6963" s="2" t="s">
        <v>6963</v>
      </c>
      <c r="B6963" s="2" t="str">
        <f>IFERROR(__xludf.DUMMYFUNCTION("GOOGLETRANSLATE(A6963, ""en"", ""mt"")"),"Fejn jaħdem Friedrich Ratzel?")</f>
        <v>Fejn jaħdem Friedrich Ratzel?</v>
      </c>
    </row>
    <row r="6964" ht="15.75" customHeight="1">
      <c r="A6964" s="2" t="s">
        <v>6964</v>
      </c>
      <c r="B6964" s="2" t="str">
        <f>IFERROR(__xludf.DUMMYFUNCTION("GOOGLETRANSLATE(A6964, ""en"", ""mt"")"),"Wara r-revoka tal-Kuruna Franċiża ta 'l-Editt ta' Nantes, ħafna Huguenots stabbilixxew fl-Irlanda fl-aħħar tas-sekli 17 u kmieni fit-18-il seklu, imħeġġa minn Att tal-Parlament għall-Protestanti li joqogħdu fl-Irlanda. Ir-reġimenti Huguenot iġġieldu għal "&amp;"William ta 'Orange fil-Gwerra ta' Williamite fl-Irlanda, li għalihom ġew ippremjati b'għotjiet u titli tal-art, ħafna joqogħdu f'Dublin. L-insedjamenti sinifikanti ta 'Huguenot kienu f'Dublin, Cork, Portarlington, Lisburn, Waterford u Youghal. L-insedjame"&amp;"nti iżgħar, li kienu jinkludu Killeshandra fil-Kontea ta 'Cavan, ikkontribwew għall-espansjoni tal-kultivazzjoni tal-kittien u t-tkabbir tal-industrija tal-bjankerija Irlandiża.")</f>
        <v>Wara r-revoka tal-Kuruna Franċiża ta 'l-Editt ta' Nantes, ħafna Huguenots stabbilixxew fl-Irlanda fl-aħħar tas-sekli 17 u kmieni fit-18-il seklu, imħeġġa minn Att tal-Parlament għall-Protestanti li joqogħdu fl-Irlanda. Ir-reġimenti Huguenot iġġieldu għal William ta 'Orange fil-Gwerra ta' Williamite fl-Irlanda, li għalihom ġew ippremjati b'għotjiet u titli tal-art, ħafna joqogħdu f'Dublin. L-insedjamenti sinifikanti ta 'Huguenot kienu f'Dublin, Cork, Portarlington, Lisburn, Waterford u Youghal. L-insedjamenti iżgħar, li kienu jinkludu Killeshandra fil-Kontea ta 'Cavan, ikkontribwew għall-espansjoni tal-kultivazzjoni tal-kittien u t-tkabbir tal-industrija tal-bjankerija Irlandiża.</v>
      </c>
    </row>
    <row r="6965" ht="15.75" customHeight="1">
      <c r="A6965" s="2" t="s">
        <v>6965</v>
      </c>
      <c r="B6965" s="2" t="str">
        <f>IFERROR(__xludf.DUMMYFUNCTION("GOOGLETRANSLATE(A6965, ""en"", ""mt"")"),"Il-Ministru Robert Dinwiddie kellu investiment f'liema kumpanija sinifikanti?")</f>
        <v>Il-Ministru Robert Dinwiddie kellu investiment f'liema kumpanija sinifikanti?</v>
      </c>
    </row>
    <row r="6966" ht="15.75" customHeight="1">
      <c r="A6966" s="2" t="s">
        <v>6966</v>
      </c>
      <c r="B6966" s="2" t="str">
        <f>IFERROR(__xludf.DUMMYFUNCTION("GOOGLETRANSLATE(A6966, ""en"", ""mt"")"),"Christchurch")</f>
        <v>Christchurch</v>
      </c>
    </row>
    <row r="6967" ht="15.75" customHeight="1">
      <c r="A6967" s="2" t="s">
        <v>6967</v>
      </c>
      <c r="B6967" s="2" t="str">
        <f>IFERROR(__xludf.DUMMYFUNCTION("GOOGLETRANSLATE(A6967, ""en"", ""mt"")"),"Liema belt hija l-ħames l-akbar belt f'Kalifornja?")</f>
        <v>Liema belt hija l-ħames l-akbar belt f'Kalifornja?</v>
      </c>
    </row>
    <row r="6968" ht="15.75" customHeight="1">
      <c r="A6968" s="2" t="s">
        <v>6968</v>
      </c>
      <c r="B6968" s="2" t="str">
        <f>IFERROR(__xludf.DUMMYFUNCTION("GOOGLETRANSLATE(A6968, ""en"", ""mt"")"),"Il-forzi tal-WHWN huma ngles it-tajba ma 'xulxin x'jistgħu jinqasmu?")</f>
        <v>Il-forzi tal-WHWN huma ngles it-tajba ma 'xulxin x'jistgħu jinqasmu?</v>
      </c>
    </row>
    <row r="6969" ht="15.75" customHeight="1">
      <c r="A6969" s="2" t="s">
        <v>6969</v>
      </c>
      <c r="B6969" s="2" t="str">
        <f>IFERROR(__xludf.DUMMYFUNCTION("GOOGLETRANSLATE(A6969, ""en"", ""mt"")"),"Tliet tipi ta 'moviment")</f>
        <v>Tliet tipi ta 'moviment</v>
      </c>
    </row>
    <row r="6970" ht="15.75" customHeight="1">
      <c r="A6970" s="2" t="s">
        <v>6970</v>
      </c>
      <c r="B6970" s="2" t="str">
        <f>IFERROR(__xludf.DUMMYFUNCTION("GOOGLETRANSLATE(A6970, ""en"", ""mt"")"),"X’wassal biex Newcastle jaqa ’mill-poter bħala konsulent politiku?")</f>
        <v>X’wassal biex Newcastle jaqa ’mill-poter bħala konsulent politiku?</v>
      </c>
    </row>
    <row r="6971" ht="15.75" customHeight="1">
      <c r="A6971" s="2" t="s">
        <v>6971</v>
      </c>
      <c r="B6971" s="2" t="str">
        <f>IFERROR(__xludf.DUMMYFUNCTION("GOOGLETRANSLATE(A6971, ""en"", ""mt"")"),"Illum, Varsavja għandha wħud mill-aqwa faċilitajiet mediċi fil-Polonja u l-Ewropa tal-Lvant-Ċentrali. Il-belt hija dar għall-Istitut tas-Saħħa tat-Tfal tat-Tfal (CMHI), l-isptar bl-ogħla referenza fil-Polonja kollha, kif ukoll ċentru ta 'riċerka u edukazz"&amp;"joni attiv. Filwaqt li l-Istitut ta 'l-Onkoloġija ta' Maria Skłodowska-Curie hija waħda mill-ikbar u l-aktar istituzzjonijiet onkoloġiċi moderni fl-Ewropa. Is-sezzjoni klinika tinsab f'bini ta '10 sulari b'700 sodda, 10 teatri operattivi, unità ta 'kura i"&amp;"ntensiva, diversi dipartimenti dijanjostiċi kif ukoll klinika outpatients. L-infrastruttura żviluppat ħafna matul l-aħħar snin.")</f>
        <v>Illum, Varsavja għandha wħud mill-aqwa faċilitajiet mediċi fil-Polonja u l-Ewropa tal-Lvant-Ċentrali. Il-belt hija dar għall-Istitut tas-Saħħa tat-Tfal tat-Tfal (CMHI), l-isptar bl-ogħla referenza fil-Polonja kollha, kif ukoll ċentru ta 'riċerka u edukazzjoni attiv. Filwaqt li l-Istitut ta 'l-Onkoloġija ta' Maria Skłodowska-Curie hija waħda mill-ikbar u l-aktar istituzzjonijiet onkoloġiċi moderni fl-Ewropa. Is-sezzjoni klinika tinsab f'bini ta '10 sulari b'700 sodda, 10 teatri operattivi, unità ta 'kura intensiva, diversi dipartimenti dijanjostiċi kif ukoll klinika outpatients. L-infrastruttura żviluppat ħafna matul l-aħħar snin.</v>
      </c>
    </row>
    <row r="6972" ht="15.75" customHeight="1">
      <c r="A6972" s="2" t="s">
        <v>6972</v>
      </c>
      <c r="B6972" s="2" t="str">
        <f>IFERROR(__xludf.DUMMYFUNCTION("GOOGLETRANSLATE(A6972, ""en"", ""mt"")"),"In-Nofsinhar ta ’California tikkonsisti f’żona statistika kkombinata, tmien żoni statistiċi metropolitani, żona metropolitana internazzjonali, u diversi diviżjonijiet metropolitani. Ir-reġjun huwa dar għal żewġ żoni metropolitani estiżi li jaqbżu l-ħames "&amp;"miljun fil-popolazzjoni. Dawn huma l-akbar żona ta ’Los Angeles fi 17,786,419, u San Diego - Tijuana f’5,105.768. Minn dawn iż-żoni metropolitani, iż-żona metropolitana ta 'Los Angeles-santa Ana-Ana, iż-żona metropolitana ta' Riverside-san Bernardino-Onta"&amp;"rio, u ż-żona metropolitana ta 'Oxnard-Eljun Oaks-Ventura jiffurmaw Los Angeles akbar; Filwaqt li ż-żona metropolitana El Centro u ż-żona metropolitana ta 'San Diego-Carlsbad-San Marcos jiffurmaw ir-reġjun tal-fruntiera tan-Nofsinhar. It-Tramuntana ta 'Lo"&amp;"s Angeles huma ż-żoni ta' Santa Barbara, San Luis Obispo, u Bakersfield Metropolitan.")</f>
        <v>In-Nofsinhar ta ’California tikkonsisti f’żona statistika kkombinata, tmien żoni statistiċi metropolitani, żona metropolitana internazzjonali, u diversi diviżjonijiet metropolitani. Ir-reġjun huwa dar għal żewġ żoni metropolitani estiżi li jaqbżu l-ħames miljun fil-popolazzjoni. Dawn huma l-akbar żona ta ’Los Angeles fi 17,786,419, u San Diego - Tijuana f’5,105.768. Minn dawn iż-żoni metropolitani, iż-żona metropolitana ta 'Los Angeles-santa Ana-Ana, iż-żona metropolitana ta' Riverside-san Bernardino-Ontario, u ż-żona metropolitana ta 'Oxnard-Eljun Oaks-Ventura jiffurmaw Los Angeles akbar; Filwaqt li ż-żona metropolitana El Centro u ż-żona metropolitana ta 'San Diego-Carlsbad-San Marcos jiffurmaw ir-reġjun tal-fruntiera tan-Nofsinhar. It-Tramuntana ta 'Los Angeles huma ż-żoni ta' Santa Barbara, San Luis Obispo, u Bakersfield Metropolitan.</v>
      </c>
    </row>
    <row r="6973" ht="15.75" customHeight="1">
      <c r="A6973" s="2" t="s">
        <v>6973</v>
      </c>
      <c r="B6973" s="2" t="str">
        <f>IFERROR(__xludf.DUMMYFUNCTION("GOOGLETRANSLATE(A6973, ""en"", ""mt"")"),"Kemm punti ta 'preżenza kellhom NSFBNs sal-1998?")</f>
        <v>Kemm punti ta 'preżenza kellhom NSFBNs sal-1998?</v>
      </c>
    </row>
    <row r="6974" ht="15.75" customHeight="1">
      <c r="A6974" s="2" t="s">
        <v>6974</v>
      </c>
      <c r="B6974" s="2" t="str">
        <f>IFERROR(__xludf.DUMMYFUNCTION("GOOGLETRANSLATE(A6974, ""en"", ""mt"")"),"Min kien pijunier u studja miżura ta 'kumplessità speċifika fl-1948?")</f>
        <v>Min kien pijunier u studja miżura ta 'kumplessità speċifika fl-1948?</v>
      </c>
    </row>
    <row r="6975" ht="15.75" customHeight="1">
      <c r="A6975" s="2" t="s">
        <v>6975</v>
      </c>
      <c r="B6975" s="2" t="str">
        <f>IFERROR(__xludf.DUMMYFUNCTION("GOOGLETRANSLATE(A6975, ""en"", ""mt"")"),"L-ispettaklu l-qadim tal-pajjiż tal-punent fil-Fresno Barn")</f>
        <v>L-ispettaklu l-qadim tal-pajjiż tal-punent fil-Fresno Barn</v>
      </c>
    </row>
    <row r="6976" ht="15.75" customHeight="1">
      <c r="A6976" s="2" t="s">
        <v>6976</v>
      </c>
      <c r="B6976" s="2" t="str">
        <f>IFERROR(__xludf.DUMMYFUNCTION("GOOGLETRANSLATE(A6976, ""en"", ""mt"")"),"Hija espandiet mill-ġdid matul il-Miocene tan-nofs, imbagħad tinġibed għal formazzjoni l-aktar interna fl-aħħar massimu glaċjali.")</f>
        <v>Hija espandiet mill-ġdid matul il-Miocene tan-nofs, imbagħad tinġibed għal formazzjoni l-aktar interna fl-aħħar massimu glaċjali.</v>
      </c>
    </row>
    <row r="6977" ht="15.75" customHeight="1">
      <c r="A6977" s="2" t="s">
        <v>6977</v>
      </c>
      <c r="B6977" s="2" t="str">
        <f>IFERROR(__xludf.DUMMYFUNCTION("GOOGLETRANSLATE(A6977, ""en"", ""mt"")"),"Y. p. Orientalis u Y. p. medejalis")</f>
        <v>Y. p. Orientalis u Y. p. medejalis</v>
      </c>
    </row>
    <row r="6978" ht="15.75" customHeight="1">
      <c r="A6978" s="2" t="s">
        <v>6978</v>
      </c>
      <c r="B6978" s="2" t="str">
        <f>IFERROR(__xludf.DUMMYFUNCTION("GOOGLETRANSLATE(A6978, ""en"", ""mt"")"),"Liema sena ħabbru BSKYB u Microsoft?")</f>
        <v>Liema sena ħabbru BSKYB u Microsoft?</v>
      </c>
    </row>
    <row r="6979" ht="15.75" customHeight="1">
      <c r="A6979" s="2" t="s">
        <v>6979</v>
      </c>
      <c r="B6979" s="2" t="str">
        <f>IFERROR(__xludf.DUMMYFUNCTION("GOOGLETRANSLATE(A6979, ""en"", ""mt"")"),"Fl-1540s liema reġjun ma kellux ċiviltà kumplessa?")</f>
        <v>Fl-1540s liema reġjun ma kellux ċiviltà kumplessa?</v>
      </c>
    </row>
    <row r="6980" ht="15.75" customHeight="1">
      <c r="A6980" s="2" t="s">
        <v>6980</v>
      </c>
      <c r="B6980" s="2" t="str">
        <f>IFERROR(__xludf.DUMMYFUNCTION("GOOGLETRANSLATE(A6980, ""en"", ""mt"")"),"aktar minn żewġ miljun")</f>
        <v>aktar minn żewġ miljun</v>
      </c>
    </row>
    <row r="6981" ht="15.75" customHeight="1">
      <c r="A6981" s="2" t="s">
        <v>6981</v>
      </c>
      <c r="B6981" s="2" t="str">
        <f>IFERROR(__xludf.DUMMYFUNCTION("GOOGLETRANSLATE(A6981, ""en"", ""mt"")"),"Fit-8 ta 'Frar 2007, BSKYB ħabbret l-intenzjoni tagħha li tissostitwixxi t-tliet kanali terrestri diġitali free-to-air tagħha b'erba' kanali ta 'abbonament. Ġie propost li dawn il-kanali joffru firxa ta 'kontenut mill-portafoll tal-BSKYB inkluż l-Isport ("&amp;"inkluż il-futbol Ingliż Premier League), films, divertiment u aħbarijiet. It-tħabbira waslet jum wara li Setanta Sports ikkonfermat li se tniedi f'Marzu bħala servizz ta 'abbonament fuq il-pjattaforma diġitali terrestri, u fl-istess jum li s-servizzi ta' "&amp;"NTL reġgħu marbuta bħala Virgin Media. Madankollu, is-sorsi tal-industrija jemmnu li BSKYB se jkun imġiegħel jippjana li jirtira l-kanali tiegħu minn Freeview u jibdilhom b'kanali ta 'abbonament, minħabba dħul possibbli għar-reklamar mitluf.")</f>
        <v>Fit-8 ta 'Frar 2007, BSKYB ħabbret l-intenzjoni tagħha li tissostitwixxi t-tliet kanali terrestri diġitali free-to-air tagħha b'erba' kanali ta 'abbonament. Ġie propost li dawn il-kanali joffru firxa ta 'kontenut mill-portafoll tal-BSKYB inkluż l-Isport (inkluż il-futbol Ingliż Premier League), films, divertiment u aħbarijiet. It-tħabbira waslet jum wara li Setanta Sports ikkonfermat li se tniedi f'Marzu bħala servizz ta 'abbonament fuq il-pjattaforma diġitali terrestri, u fl-istess jum li s-servizzi ta' NTL reġgħu marbuta bħala Virgin Media. Madankollu, is-sorsi tal-industrija jemmnu li BSKYB se jkun imġiegħel jippjana li jirtira l-kanali tiegħu minn Freeview u jibdilhom b'kanali ta 'abbonament, minħabba dħul possibbli għar-reklamar mitluf.</v>
      </c>
    </row>
    <row r="6982" ht="15.75" customHeight="1">
      <c r="A6982" s="2" t="s">
        <v>6982</v>
      </c>
      <c r="B6982" s="2" t="str">
        <f>IFERROR(__xludf.DUMMYFUNCTION("GOOGLETRANSLATE(A6982, ""en"", ""mt"")"),"antikorpi")</f>
        <v>antikorpi</v>
      </c>
    </row>
    <row r="6983" ht="15.75" customHeight="1">
      <c r="A6983" s="2" t="s">
        <v>6983</v>
      </c>
      <c r="B6983" s="2" t="str">
        <f>IFERROR(__xludf.DUMMYFUNCTION("GOOGLETRANSLATE(A6983, ""en"", ""mt"")"),"L-istadju 3 huwa l-aħħar stadju tal-abbozz u huwa meqjus f'laqgħa tal-Parlament kollu. Dan l-istadju jinkludi żewġ partijiet: konsiderazzjoni ta 'emendi għall-abbozz ta' liġi bħala dibattitu ġenerali, u vot finali fuq l-abbozz ta 'liġi. Il-membri tal-oppo"&amp;"żizzjoni jistgħu jwaqqfu ""emendi ta 'inkaljar"" għall-abbozz, iddisinjat biex ifixkel aktar il-progress u jieħu l-ħin parlamentari, biex jikkawża li l-abbozz jaqa' mingħajr ma jittieħed vot finali. Wara dibattitu ġenerali dwar il-forma finali tal-abbozz,"&amp;" il-membri jipproċedu jivvutaw fil-ħin tad-deċiżjoni dwar jekk jaqblux mal-prinċipji ġenerali tal-abbozz finali.")</f>
        <v>L-istadju 3 huwa l-aħħar stadju tal-abbozz u huwa meqjus f'laqgħa tal-Parlament kollu. Dan l-istadju jinkludi żewġ partijiet: konsiderazzjoni ta 'emendi għall-abbozz ta' liġi bħala dibattitu ġenerali, u vot finali fuq l-abbozz ta 'liġi. Il-membri tal-oppożizzjoni jistgħu jwaqqfu "emendi ta 'inkaljar" għall-abbozz, iddisinjat biex ifixkel aktar il-progress u jieħu l-ħin parlamentari, biex jikkawża li l-abbozz jaqa' mingħajr ma jittieħed vot finali. Wara dibattitu ġenerali dwar il-forma finali tal-abbozz, il-membri jipproċedu jivvutaw fil-ħin tad-deċiżjoni dwar jekk jaqblux mal-prinċipji ġenerali tal-abbozz finali.</v>
      </c>
    </row>
    <row r="6984" ht="15.75" customHeight="1">
      <c r="A6984" s="2" t="s">
        <v>6984</v>
      </c>
      <c r="B6984" s="2" t="str">
        <f>IFERROR(__xludf.DUMMYFUNCTION("GOOGLETRANSLATE(A6984, ""en"", ""mt"")"),"Fejn CHP ma jintużax, it-turbini tal-fwar fl-istazzjonijiet tal-enerġija jużaw kondensaturi tal-wiċċ bħala sink kiesaħ. Il-kondensaturi huma mkessħa mill-fluss tal-ilma mill-oċeani, xmajjar, lagi, u ħafna drabi minn torrijiet li jkessħu li jevaporaw l-ilm"&amp;"a biex jipprovdu t-tneħħija tal-enerġija tat-tkessiħ. Il-ħruġ ta 'ilma sħun ikkondensat li jirriżulta mill-kondensatur imbagħad jerġa' jitpoġġa fil-bojler permezz ta 'pompa. Torri tat-tkessiħ tat-tip xott huwa simili għal radjatur tal-karozzi u jintuża f'"&amp;"postijiet fejn l-ilma jiswa ħafna. Torrijiet tat-tkessiħ evaporattivi (imxarrbin) jużaw is-sħana rifjutata biex jevaporaw l-ilma; Dan l-ilma jinżamm separat mill-kondensat, li jiċċirkola f'sistema magħluqa u jirritorna fil-bojler. Torrijiet bħal dawn spis"&amp;"s ikollhom plumi viżibbli minħabba l-ilma evaporat li jikkondensa fi qtar imwettaq mill-arja sħuna. Torrijiet tat-tkessiħ evaporattivi għandhom bżonn inqas fluss ta 'ilma minn tkessiħ ""darba"" minn ilma tax-xmara jew tal-lag; Impjant ta 'l-enerġija li ja"&amp;"ħdem bil-faħam ta' 700 megawatt jista 'juża madwar 3600 metru kubu ta' ilma tal-make-up kull siegħa għat-tkessiħ evaporattiv, iżda jkun jeħtieġ madwar għoxrin darba kemm jekk imkessaħ bl-ilma tax-xmara. [Ċitazzjoni meħtieġa]")</f>
        <v>Fejn CHP ma jintużax, it-turbini tal-fwar fl-istazzjonijiet tal-enerġija jużaw kondensaturi tal-wiċċ bħala sink kiesaħ. Il-kondensaturi huma mkessħa mill-fluss tal-ilma mill-oċeani, xmajjar, lagi, u ħafna drabi minn torrijiet li jkessħu li jevaporaw l-ilma biex jipprovdu t-tneħħija tal-enerġija tat-tkessiħ. Il-ħruġ ta 'ilma sħun ikkondensat li jirriżulta mill-kondensatur imbagħad jerġa' jitpoġġa fil-bojler permezz ta 'pompa. Torri tat-tkessiħ tat-tip xott huwa simili għal radjatur tal-karozzi u jintuża f'postijiet fejn l-ilma jiswa ħafna. Torrijiet tat-tkessiħ evaporattivi (imxarrbin) jużaw is-sħana rifjutata biex jevaporaw l-ilma; Dan l-ilma jinżamm separat mill-kondensat, li jiċċirkola f'sistema magħluqa u jirritorna fil-bojler. Torrijiet bħal dawn spiss ikollhom plumi viżibbli minħabba l-ilma evaporat li jikkondensa fi qtar imwettaq mill-arja sħuna. Torrijiet tat-tkessiħ evaporattivi għandhom bżonn inqas fluss ta 'ilma minn tkessiħ "darba" minn ilma tax-xmara jew tal-lag; Impjant ta 'l-enerġija li jaħdem bil-faħam ta' 700 megawatt jista 'juża madwar 3600 metru kubu ta' ilma tal-make-up kull siegħa għat-tkessiħ evaporattiv, iżda jkun jeħtieġ madwar għoxrin darba kemm jekk imkessaħ bl-ilma tax-xmara. [Ċitazzjoni meħtieġa]</v>
      </c>
    </row>
    <row r="6985" ht="15.75" customHeight="1">
      <c r="A6985" s="2" t="s">
        <v>6985</v>
      </c>
      <c r="B6985" s="2" t="str">
        <f>IFERROR(__xludf.DUMMYFUNCTION("GOOGLETRANSLATE(A6985, ""en"", ""mt"")"),"Kemm nies kienu jgħixu f'Oslo fil-bidu tat-tifqigħa tal-pesta fl-1654?")</f>
        <v>Kemm nies kienu jgħixu f'Oslo fil-bidu tat-tifqigħa tal-pesta fl-1654?</v>
      </c>
    </row>
    <row r="6986" ht="15.75" customHeight="1">
      <c r="A6986" s="2" t="s">
        <v>6986</v>
      </c>
      <c r="B6986" s="2" t="str">
        <f>IFERROR(__xludf.DUMMYFUNCTION("GOOGLETRANSLATE(A6986, ""en"", ""mt"")"),"Dak li ġie ppruvat huwa rilaxxat minn Ctenophores minħabba l-ambjent tagħhom?")</f>
        <v>Dak li ġie ppruvat huwa rilaxxat minn Ctenophores minħabba l-ambjent tagħhom?</v>
      </c>
    </row>
    <row r="6987" ht="15.75" customHeight="1">
      <c r="A6987" s="2" t="s">
        <v>6987</v>
      </c>
      <c r="B6987" s="2" t="str">
        <f>IFERROR(__xludf.DUMMYFUNCTION("GOOGLETRANSLATE(A6987, ""en"", ""mt"")"),"Il-fergħa ġudizzjarja tal-UE kellha rwol importanti fl-iżvilupp tal-liġi tal-UE, billi assumiet il-kompitu li tinterpreta t-trattati, u taċċellera l-integrazzjoni ekonomika u politika. Illum il-Qorti tal-Ġustizzja tal-Unjoni Ewropea (CJEU) hija l-korp ġud"&amp;"izzjarju ewlieni, li fih hemm Qorti tal-Ġustizzja Ewropea ogħla (komunement imqassra bħala ECJ) li tittratta każijiet li fihom aktar importanza pubblika, u qorti ġenerali li tittratta bi kwistjonijiet ta 'dettall iżda mingħajr importanza ġenerali. Hemm uk"&amp;"oll tribunal tas-servizz ċivili biex jittratta kwistjonijiet tal-persunal tal-UE, u mbagħad qorti separata tal-awdituri. Taħt it-Trattat dwar l-Artikolu 19 tal-Unjoni Ewropea (2) hemm imħallef wieħed minn kull Stat Membru, 28 fil-preżent, li suppost għand"&amp;"u ""jkollu l-kwalifiki meħtieġa għall-ħatra fl-ogħla uffiċċji ġudizzjarji"" (jew għall-Qorti Ġenerali, il- """" "" abbiltà meħtieġa għall-ħatra għal uffiċċju ġudizzjarju għoli ""). President huwa elett mill-imħallfin għal tliet snin. Taħt it-TEU l-Artikol"&amp;"u 19 (3) għandu jkun il-qorti aħħarija li tinterpreta mistoqsijiet tal-liġi tal-UE. Fil-fatt, il-biċċa l-kbira tal-liġi tal-UE hija applikata mill-qrati tal-Istat Membru (il-Qorti tal-Appell Ingliż, il-Bundesgerichtshof Ġermaniż, il-Cour Du Travail Belġja"&amp;"n, eċċ.) Iżda jistgħu jirreferu mistoqsijiet lill-qorti tal-UE għal deċiżjoni preliminari. Id-dmir tas-CJEU huwa li ""jiżgura li fl-interpretazzjoni u l-applikazzjoni tat-trattati tkun osservata l-liġi"", għalkemm realistikament għandha l-abbiltà li tespa"&amp;"ndi u tiżviluppa l-liġi skond il-prinċipji li tqis li huma xierqa. B’mod raġonevoli dan sar permezz ta ’sentenzi seminali u kontroversjali, inklużi Van Gend En Loos, Mangold v Helm, u l-Kummissjoni Kadi V.")</f>
        <v>Il-fergħa ġudizzjarja tal-UE kellha rwol importanti fl-iżvilupp tal-liġi tal-UE, billi assumiet il-kompitu li tinterpreta t-trattati, u taċċellera l-integrazzjoni ekonomika u politika. Illum il-Qorti tal-Ġustizzja tal-Unjoni Ewropea (CJEU) hija l-korp ġudizzjarju ewlieni, li fih hemm Qorti tal-Ġustizzja Ewropea ogħla (komunement imqassra bħala ECJ) li tittratta każijiet li fihom aktar importanza pubblika, u qorti ġenerali li tittratta bi kwistjonijiet ta 'dettall iżda mingħajr importanza ġenerali. Hemm ukoll tribunal tas-servizz ċivili biex jittratta kwistjonijiet tal-persunal tal-UE, u mbagħad qorti separata tal-awdituri. Taħt it-Trattat dwar l-Artikolu 19 tal-Unjoni Ewropea (2) hemm imħallef wieħed minn kull Stat Membru, 28 fil-preżent, li suppost għandu "jkollu l-kwalifiki meħtieġa għall-ħatra fl-ogħla uffiċċji ġudizzjarji" (jew għall-Qorti Ġenerali, il- "" " abbiltà meħtieġa għall-ħatra għal uffiċċju ġudizzjarju għoli "). President huwa elett mill-imħallfin għal tliet snin. Taħt it-TEU l-Artikolu 19 (3) għandu jkun il-qorti aħħarija li tinterpreta mistoqsijiet tal-liġi tal-UE. Fil-fatt, il-biċċa l-kbira tal-liġi tal-UE hija applikata mill-qrati tal-Istat Membru (il-Qorti tal-Appell Ingliż, il-Bundesgerichtshof Ġermaniż, il-Cour Du Travail Belġjan, eċċ.) Iżda jistgħu jirreferu mistoqsijiet lill-qorti tal-UE għal deċiżjoni preliminari. Id-dmir tas-CJEU huwa li "jiżgura li fl-interpretazzjoni u l-applikazzjoni tat-trattati tkun osservata l-liġi", għalkemm realistikament għandha l-abbiltà li tespandi u tiżviluppa l-liġi skond il-prinċipji li tqis li huma xierqa. B’mod raġonevoli dan sar permezz ta ’sentenzi seminali u kontroversjali, inklużi Van Gend En Loos, Mangold v Helm, u l-Kummissjoni Kadi V.</v>
      </c>
    </row>
    <row r="6988" ht="15.75" customHeight="1">
      <c r="A6988" s="2" t="s">
        <v>6988</v>
      </c>
      <c r="B6988" s="2" t="str">
        <f>IFERROR(__xludf.DUMMYFUNCTION("GOOGLETRANSLATE(A6988, ""en"", ""mt"")"),"Liema forza manjetika u elettrika taġixxi fuq ħlas?")</f>
        <v>Liema forza manjetika u elettrika taġixxi fuq ħlas?</v>
      </c>
    </row>
    <row r="6989" ht="15.75" customHeight="1">
      <c r="A6989" s="2" t="s">
        <v>6989</v>
      </c>
      <c r="B6989" s="2" t="str">
        <f>IFERROR(__xludf.DUMMYFUNCTION("GOOGLETRANSLATE(A6989, ""en"", ""mt"")"),"Ir-Rivoluzzjoni Industrijali")</f>
        <v>Ir-Rivoluzzjoni Industrijali</v>
      </c>
    </row>
    <row r="6990" ht="15.75" customHeight="1">
      <c r="A6990" s="2" t="s">
        <v>6990</v>
      </c>
      <c r="B6990" s="2" t="str">
        <f>IFERROR(__xludf.DUMMYFUNCTION("GOOGLETRANSLATE(A6990, ""en"", ""mt"")"),"Liema apparati ġew ikkreditati bħala l-forza li tiċċaqlaq tar-rivoluzzjoni industrijali?")</f>
        <v>Liema apparati ġew ikkreditati bħala l-forza li tiċċaqlaq tar-rivoluzzjoni industrijali?</v>
      </c>
    </row>
    <row r="6991" ht="15.75" customHeight="1">
      <c r="A6991" s="2" t="s">
        <v>6991</v>
      </c>
      <c r="B6991" s="2" t="str">
        <f>IFERROR(__xludf.DUMMYFUNCTION("GOOGLETRANSLATE(A6991, ""en"", ""mt"")"),"X'inhu l-isem għal forma ta 'ossiġnu li fiha l-elettroni huma mqabbla?")</f>
        <v>X'inhu l-isem għal forma ta 'ossiġnu li fiha l-elettroni huma mqabbla?</v>
      </c>
    </row>
    <row r="6992" ht="15.75" customHeight="1">
      <c r="A6992" s="2" t="s">
        <v>6992</v>
      </c>
      <c r="B6992" s="2" t="str">
        <f>IFERROR(__xludf.DUMMYFUNCTION("GOOGLETRANSLATE(A6992, ""en"", ""mt"")"),"Liema artikolu tat-TEFU jiddikjara li l-ebda restrizzjonijiet kwantitattivi ma jistgħu jitpoġġew fuq il-kummerċ?")</f>
        <v>Liema artikolu tat-TEFU jiddikjara li l-ebda restrizzjonijiet kwantitattivi ma jistgħu jitpoġġew fuq il-kummerċ?</v>
      </c>
    </row>
    <row r="6993" ht="15.75" customHeight="1">
      <c r="A6993" s="2" t="s">
        <v>6993</v>
      </c>
      <c r="B6993" s="2" t="str">
        <f>IFERROR(__xludf.DUMMYFUNCTION("GOOGLETRANSLATE(A6993, ""en"", ""mt"")"),"Franza ma riedx tirriskja konvoj kbar biex tgħin il-forzi limitati li kellha fi Franza l-ġdida")</f>
        <v>Franza ma riedx tirriskja konvoj kbar biex tgħin il-forzi limitati li kellha fi Franza l-ġdida</v>
      </c>
    </row>
    <row r="6994" ht="15.75" customHeight="1">
      <c r="A6994" s="2" t="s">
        <v>6994</v>
      </c>
      <c r="B6994" s="2" t="str">
        <f>IFERROR(__xludf.DUMMYFUNCTION("GOOGLETRANSLATE(A6994, ""en"", ""mt"")"),"Liema postijiet oħra tista 'tinstab l-Iskola tan-Negozju tal-Booth?")</f>
        <v>Liema postijiet oħra tista 'tinstab l-Iskola tan-Negozju tal-Booth?</v>
      </c>
    </row>
    <row r="6995" ht="15.75" customHeight="1">
      <c r="A6995" s="2" t="s">
        <v>6995</v>
      </c>
      <c r="B6995" s="2" t="str">
        <f>IFERROR(__xludf.DUMMYFUNCTION("GOOGLETRANSLATE(A6995, ""en"", ""mt"")"),"Liema parti ta 'Franza kienu jinsabu n-Normanni?")</f>
        <v>Liema parti ta 'Franza kienu jinsabu n-Normanni?</v>
      </c>
    </row>
    <row r="6996" ht="15.75" customHeight="1">
      <c r="A6996" s="2" t="s">
        <v>6996</v>
      </c>
      <c r="B6996" s="2" t="str">
        <f>IFERROR(__xludf.DUMMYFUNCTION("GOOGLETRANSLATE(A6996, ""en"", ""mt"")"),"kemm jekk tinvoka ħati jew le")</f>
        <v>kemm jekk tinvoka ħati jew le</v>
      </c>
    </row>
    <row r="6997" ht="15.75" customHeight="1">
      <c r="A6997" s="2" t="s">
        <v>6997</v>
      </c>
      <c r="B6997" s="2" t="str">
        <f>IFERROR(__xludf.DUMMYFUNCTION("GOOGLETRANSLATE(A6997, ""en"", ""mt"")"),"Il-fossili sessili sessili bikri ta 'frond stromatoveris, miċ-Ċina Chengjiang Lagerstätte u datat għal madwar 515 miljun sena ilu, huwa simili ħafna għal vendobionta tal-perjodu preċedenti ta' Ediacaran. De-Gan Shu, Simon Conway Morris et al. misjuba fuq "&amp;"il-fergħat tagħha dak li huma kkunsidraw ringieli ta 'cili, użati għall-għalf tal-filtri. Huma ssuġġerew li Stromatoveris kienet ""zija"" evoluzzjonarja ta 'ctenophores, u li ċ-ctenophores oriġinaw minn annimali sessili li d-dixxendenti tagħhom saru għaww"&amp;"iema u biddlu ċ-ċili minn mekkaniżmu ta' għalf għal sistema ta 'propulsjoni.")</f>
        <v>Il-fossili sessili sessili bikri ta 'frond stromatoveris, miċ-Ċina Chengjiang Lagerstätte u datat għal madwar 515 miljun sena ilu, huwa simili ħafna għal vendobionta tal-perjodu preċedenti ta' Ediacaran. De-Gan Shu, Simon Conway Morris et al. misjuba fuq il-fergħat tagħha dak li huma kkunsidraw ringieli ta 'cili, użati għall-għalf tal-filtri. Huma ssuġġerew li Stromatoveris kienet "zija" evoluzzjonarja ta 'ctenophores, u li ċ-ctenophores oriġinaw minn annimali sessili li d-dixxendenti tagħhom saru għawwiema u biddlu ċ-ċili minn mekkaniżmu ta' għalf għal sistema ta 'propulsjoni.</v>
      </c>
    </row>
    <row r="6998" ht="15.75" customHeight="1">
      <c r="A6998" s="2" t="s">
        <v>6998</v>
      </c>
      <c r="B6998" s="2" t="str">
        <f>IFERROR(__xludf.DUMMYFUNCTION("GOOGLETRANSLATE(A6998, ""en"", ""mt"")"),"Is-Sindku ta ’Varsavja jissejjaħ President. Ġeneralment, fil-Polonja, is-sindki ta 'bliet ikbar huma msejħa presidenti - i.e. bliet bħal dawn, li għandhom aktar minn 100,000 persuna jew dawn, fejn diġà kien president qabel l-1990. L-ewwel president ta' Va"&amp;"rsavja kien Jan Andrzej Menich (1695-1696). Bejn l-1975 u l-1990 il-presidenti ta 'Varsavja kienu fl-istess ħin il-Voivode ta' Varsavja. Mill-1990 il-President ta ’Varsavja kien ġie elett mill-Kunsill tal-Belt. Fis-snin tal-1994–1999 is-sindku tad-distret"&amp;"t taċ-ċentru awtomatikament ġie nominat bħala l-President ta 'Varsavja: is-Sindku ta' Centrum ġie elett mill-Kunsill Distrettwali taċ-Ċentru u l-Kunsill ġie elett biss mir-residenti taċ-Ċentru. Mill-2002 il-President ta ’Varsavja huwa elett miċ-ċittadini "&amp;"kollha ta’ Varsavja.")</f>
        <v>Is-Sindku ta ’Varsavja jissejjaħ President. Ġeneralment, fil-Polonja, is-sindki ta 'bliet ikbar huma msejħa presidenti - i.e. bliet bħal dawn, li għandhom aktar minn 100,000 persuna jew dawn, fejn diġà kien president qabel l-1990. L-ewwel president ta' Varsavja kien Jan Andrzej Menich (1695-1696). Bejn l-1975 u l-1990 il-presidenti ta 'Varsavja kienu fl-istess ħin il-Voivode ta' Varsavja. Mill-1990 il-President ta ’Varsavja kien ġie elett mill-Kunsill tal-Belt. Fis-snin tal-1994–1999 is-sindku tad-distrett taċ-ċentru awtomatikament ġie nominat bħala l-President ta 'Varsavja: is-Sindku ta' Centrum ġie elett mill-Kunsill Distrettwali taċ-Ċentru u l-Kunsill ġie elett biss mir-residenti taċ-Ċentru. Mill-2002 il-President ta ’Varsavja huwa elett miċ-ċittadini kollha ta’ Varsavja.</v>
      </c>
    </row>
    <row r="6999" ht="15.75" customHeight="1">
      <c r="A6999" s="2" t="s">
        <v>6999</v>
      </c>
      <c r="B6999" s="2" t="str">
        <f>IFERROR(__xludf.DUMMYFUNCTION("GOOGLETRANSLATE(A6999, ""en"", ""mt"")"),"""Ctenes"" jew ""Pjanċi tal-moxt""")</f>
        <v>"Ctenes" jew "Pjanċi tal-moxt"</v>
      </c>
    </row>
    <row r="7000" ht="15.75" customHeight="1">
      <c r="A7000" s="2" t="s">
        <v>7000</v>
      </c>
      <c r="B7000" s="2" t="str">
        <f>IFERROR(__xludf.DUMMYFUNCTION("GOOGLETRANSLATE(A7000, ""en"", ""mt"")"),"Liema strument jintuża biex iwettaq analoġija u esperimenti numeriċi?")</f>
        <v>Liema strument jintuża biex iwettaq analoġija u esperimenti numeriċi?</v>
      </c>
    </row>
    <row r="7001" ht="15.75" customHeight="1">
      <c r="A7001" s="2" t="s">
        <v>7001</v>
      </c>
      <c r="B7001" s="2" t="str">
        <f>IFERROR(__xludf.DUMMYFUNCTION("GOOGLETRANSLATE(A7001, ""en"", ""mt"")"),"il-mantell tal-konvetti")</f>
        <v>il-mantell tal-konvetti</v>
      </c>
    </row>
    <row r="7002" ht="15.75" customHeight="1">
      <c r="A7002" s="2" t="s">
        <v>7002</v>
      </c>
      <c r="B7002" s="2" t="str">
        <f>IFERROR(__xludf.DUMMYFUNCTION("GOOGLETRANSLATE(A7002, ""en"", ""mt"")"),"X'inhi l-ħarba tal-firebox x'aktarx ma twettaqx kollha ħlief l-iżgħar bojlers?")</f>
        <v>X'inhi l-ħarba tal-firebox x'aktarx ma twettaqx kollha ħlief l-iżgħar bojlers?</v>
      </c>
    </row>
    <row r="7003" ht="15.75" customHeight="1">
      <c r="A7003" s="2" t="s">
        <v>7003</v>
      </c>
      <c r="B7003" s="2" t="str">
        <f>IFERROR(__xludf.DUMMYFUNCTION("GOOGLETRANSLATE(A7003, ""en"", ""mt"")"),"X'jagħmel bidliet fl-enerġija f'sistema magħluqa?")</f>
        <v>X'jagħmel bidliet fl-enerġija f'sistema magħluqa?</v>
      </c>
    </row>
    <row r="7004" ht="15.75" customHeight="1">
      <c r="A7004" s="2" t="s">
        <v>7004</v>
      </c>
      <c r="B7004" s="2" t="str">
        <f>IFERROR(__xludf.DUMMYFUNCTION("GOOGLETRANSLATE(A7004, ""en"", ""mt"")"),"L-espansjoni tal-Ewropa fl-imperjalizmu territorjali kienet fil-biċċa l-kbira ffokata fuq it-tkabbir ekonomiku billi tiġbor riżorsi mill-kolonji, flimkien ma 'jekk wieħed jassumi l-kontroll politiku permezz ta' mezzi militari u politiċi. Il-kolonizzazzjon"&amp;"i ta 'l-Indja f'nofs is-seklu 18 toffri eżempju ta' dan il-fokus: hemm, ""l-Ingliżi sfruttaw id-dgħjufija politika ta 'l-istat ta' Mughal, u, filwaqt li l-attività militari kienet importanti f'diversi żminijiet, l-inkorporazzjoni ekonomika u amministratti"&amp;"va ta 'l-elite lokali kien ukoll ta 'sinifikat kruċjali ""għall-istabbiliment ta' kontroll fuq ir-riżorsi, is-swieq u l-ħaddiema tas-sottokontinent. Għalkemm numru sostanzjali ta 'kolonji ġew iddisinjati biex jipprovdu profitt ekonomiku u biex jibgħatu ri"&amp;"żorsi lejn portijiet tad-dar fis-sekli sbatax u tmintax, Fieldhouse jissuġġerixxi li fis-sekli dsatax u għoxrin f'postijiet bħall-Afrika u l-Asja, din l-idea mhix neċessarjament valida ::")</f>
        <v>L-espansjoni tal-Ewropa fl-imperjalizmu territorjali kienet fil-biċċa l-kbira ffokata fuq it-tkabbir ekonomiku billi tiġbor riżorsi mill-kolonji, flimkien ma 'jekk wieħed jassumi l-kontroll politiku permezz ta' mezzi militari u politiċi. Il-kolonizzazzjoni ta 'l-Indja f'nofs is-seklu 18 toffri eżempju ta' dan il-fokus: hemm, "l-Ingliżi sfruttaw id-dgħjufija politika ta 'l-istat ta' Mughal, u, filwaqt li l-attività militari kienet importanti f'diversi żminijiet, l-inkorporazzjoni ekonomika u amministrattiva ta 'l-elite lokali kien ukoll ta 'sinifikat kruċjali "għall-istabbiliment ta' kontroll fuq ir-riżorsi, is-swieq u l-ħaddiema tas-sottokontinent. Għalkemm numru sostanzjali ta 'kolonji ġew iddisinjati biex jipprovdu profitt ekonomiku u biex jibgħatu riżorsi lejn portijiet tad-dar fis-sekli sbatax u tmintax, Fieldhouse jissuġġerixxi li fis-sekli dsatax u għoxrin f'postijiet bħall-Afrika u l-Asja, din l-idea mhix neċessarjament valida ::</v>
      </c>
    </row>
    <row r="7005" ht="15.75" customHeight="1">
      <c r="A7005" s="2" t="s">
        <v>7005</v>
      </c>
      <c r="B7005" s="2" t="str">
        <f>IFERROR(__xludf.DUMMYFUNCTION("GOOGLETRANSLATE(A7005, ""en"", ""mt"")"),"Filosofi fl-antikità użaw il-kunċett ta ’forza fl-istudju ta’ oġġetti wieqfa u li jiċċaqilqu u magni sempliċi, iżda ħassieba bħal Aristotile u Archimedes żammew żbalji fundamentali fil-fehim tal-forza. Parzjalment dan kien dovut għal fehim mhux komplut ta"&amp;"l-forza ta 'frizzjoni kultant mhux ovvja, u konsegwentement veduta inadegwata tan-natura tal-moviment naturali. Żball fundamentali kien it-twemmin li forza hija meħtieġa biex iżżomm il-moviment, anke b'veloċità kostanti. Il-biċċa l-kbira tan-nuqqas ta 'ft"&amp;"ehim preċedenti dwar il-moviment u l-forza eventwalment ġew ikkoreġuti minn Galileo Galilei u Sir Isaac Newton. Bl-għarfien matematiku tiegħu, Sir Isaac Newton fformula liġijiet ta 'mozzjoni li ma kinux imtejba għal kważi tliet mitt sena. Sal-bidu tas-sek"&amp;"lu 20, Einstein żviluppa teorija tar-Relatività li bassret b'mod korrett l-azzjoni tal-forzi fuq oġġetti b'momment dejjem jiżdied ħdejn il-veloċità tad-dawl, u pprovda wkoll għarfien dwar il-forzi prodotti mill-gravitazzjoni u l-inerzja.")</f>
        <v>Filosofi fl-antikità użaw il-kunċett ta ’forza fl-istudju ta’ oġġetti wieqfa u li jiċċaqilqu u magni sempliċi, iżda ħassieba bħal Aristotile u Archimedes żammew żbalji fundamentali fil-fehim tal-forza. Parzjalment dan kien dovut għal fehim mhux komplut tal-forza ta 'frizzjoni kultant mhux ovvja, u konsegwentement veduta inadegwata tan-natura tal-moviment naturali. Żball fundamentali kien it-twemmin li forza hija meħtieġa biex iżżomm il-moviment, anke b'veloċità kostanti. Il-biċċa l-kbira tan-nuqqas ta 'ftehim preċedenti dwar il-moviment u l-forza eventwalment ġew ikkoreġuti minn Galileo Galilei u Sir Isaac Newton. Bl-għarfien matematiku tiegħu, Sir Isaac Newton fformula liġijiet ta 'mozzjoni li ma kinux imtejba għal kważi tliet mitt sena. Sal-bidu tas-seklu 20, Einstein żviluppa teorija tar-Relatività li bassret b'mod korrett l-azzjoni tal-forzi fuq oġġetti b'momment dejjem jiżdied ħdejn il-veloċità tad-dawl, u pprovda wkoll għarfien dwar il-forzi prodotti mill-gravitazzjoni u l-inerzja.</v>
      </c>
    </row>
    <row r="7006" ht="15.75" customHeight="1">
      <c r="A7006" s="2" t="s">
        <v>7006</v>
      </c>
      <c r="B7006" s="2" t="str">
        <f>IFERROR(__xludf.DUMMYFUNCTION("GOOGLETRANSLATE(A7006, ""en"", ""mt"")"),"X'kienu ż-żewġ kwartieri Huguenot maħluqa f'Berlin?")</f>
        <v>X'kienu ż-żewġ kwartieri Huguenot maħluqa f'Berlin?</v>
      </c>
    </row>
    <row r="7007" ht="15.75" customHeight="1">
      <c r="A7007" s="2" t="s">
        <v>7007</v>
      </c>
      <c r="B7007" s="2" t="str">
        <f>IFERROR(__xludf.DUMMYFUNCTION("GOOGLETRANSLATE(A7007, ""en"", ""mt"")"),"X'qed jiġi deskritt meta s-sempliċità tal-forom ġeometriċi tingħaqad ma 'ispirazzjoni mill-perjodu Franċiż?")</f>
        <v>X'qed jiġi deskritt meta s-sempliċità tal-forom ġeometriċi tingħaqad ma 'ispirazzjoni mill-perjodu Franċiż?</v>
      </c>
    </row>
    <row r="7008" ht="15.75" customHeight="1">
      <c r="A7008" s="2" t="s">
        <v>7008</v>
      </c>
      <c r="B7008" s="2" t="str">
        <f>IFERROR(__xludf.DUMMYFUNCTION("GOOGLETRANSLATE(A7008, ""en"", ""mt"")"),"F'ekonomija tas-suq, x'inhi l-inugwaljanza ta 'riflessjoni?")</f>
        <v>F'ekonomija tas-suq, x'inhi l-inugwaljanza ta 'riflessjoni?</v>
      </c>
    </row>
    <row r="7009" ht="15.75" customHeight="1">
      <c r="A7009" s="2" t="s">
        <v>7009</v>
      </c>
      <c r="B7009" s="2" t="str">
        <f>IFERROR(__xludf.DUMMYFUNCTION("GOOGLETRANSLATE(A7009, ""en"", ""mt"")"),"Meta l-Borża ta 'Varsavja kienet qed tonqos?")</f>
        <v>Meta l-Borża ta 'Varsavja kienet qed tonqos?</v>
      </c>
    </row>
    <row r="7010" ht="15.75" customHeight="1">
      <c r="A7010" s="2" t="s">
        <v>7010</v>
      </c>
      <c r="B7010" s="2" t="str">
        <f>IFERROR(__xludf.DUMMYFUNCTION("GOOGLETRANSLATE(A7010, ""en"", ""mt"")"),"Pictet")</f>
        <v>Pictet</v>
      </c>
    </row>
    <row r="7011" ht="15.75" customHeight="1">
      <c r="A7011" s="2" t="s">
        <v>7011</v>
      </c>
      <c r="B7011" s="2" t="str">
        <f>IFERROR(__xludf.DUMMYFUNCTION("GOOGLETRANSLATE(A7011, ""en"", ""mt"")"),"24 ta ’Awwissu - 3 ta’ Ottubru 1572")</f>
        <v>24 ta ’Awwissu - 3 ta’ Ottubru 1572</v>
      </c>
    </row>
    <row r="7012" ht="15.75" customHeight="1">
      <c r="A7012" s="2" t="s">
        <v>7012</v>
      </c>
      <c r="B7012" s="2" t="str">
        <f>IFERROR(__xludf.DUMMYFUNCTION("GOOGLETRANSLATE(A7012, ""en"", ""mt"")"),"Ħong Kong fl-1894")</f>
        <v>Ħong Kong fl-1894</v>
      </c>
    </row>
    <row r="7013" ht="15.75" customHeight="1">
      <c r="A7013" s="2" t="s">
        <v>7013</v>
      </c>
      <c r="B7013" s="2" t="str">
        <f>IFERROR(__xludf.DUMMYFUNCTION("GOOGLETRANSLATE(A7013, ""en"", ""mt"")")," Liema prattika Lhudija żamm il-wan?")</f>
        <v> Liema prattika Lhudija żamm il-wan?</v>
      </c>
    </row>
    <row r="7014" ht="15.75" customHeight="1">
      <c r="A7014" s="2" t="s">
        <v>7014</v>
      </c>
      <c r="B7014" s="2" t="str">
        <f>IFERROR(__xludf.DUMMYFUNCTION("GOOGLETRANSLATE(A7014, ""en"", ""mt"")"),"Wara dan, Huguenots (bi stimi li jvarjaw minn 200,000 sa 1,000,000) ħarbu lejn il-pajjiżi Protestanti tal-madwar: l-Ingilterra, l-Olanda, l-Isvizzera, in-Norveġja, in-Norveġja, id-Danimarka u l-Prussja - li l-Elettur Kbir Kalvinist Frederick William laqa "&amp;"'biex jgħinhom jibnu mill-ġdid il-gwerra pajjiż. Wara dan l-eżodu, Huguenots baqa 'f'numri kbar f'reġjun wieħed biss ta' Franza: ir-reġjun imħatteb ta 'Cévennes fin-nofsinhar. Fil-bidu tas-seklu 18, grupp reġjonali magħruf bħala l-camisards li kienu Hugue"&amp;"nots ħarġu kontra l-Knisja Kattolika fir-reġjun, jaħarqu l-knejjes u joqtlu l-kleru. Għaddew truppi Franċiżi biex jikkaċċjaw u jeqirdu l-baned kollha ta 'camisards, bejn l-1702 u l-1709.")</f>
        <v>Wara dan, Huguenots (bi stimi li jvarjaw minn 200,000 sa 1,000,000) ħarbu lejn il-pajjiżi Protestanti tal-madwar: l-Ingilterra, l-Olanda, l-Isvizzera, in-Norveġja, in-Norveġja, id-Danimarka u l-Prussja - li l-Elettur Kbir Kalvinist Frederick William laqa 'biex jgħinhom jibnu mill-ġdid il-gwerra pajjiż. Wara dan l-eżodu, Huguenots baqa 'f'numri kbar f'reġjun wieħed biss ta' Franza: ir-reġjun imħatteb ta 'Cévennes fin-nofsinhar. Fil-bidu tas-seklu 18, grupp reġjonali magħruf bħala l-camisards li kienu Huguenots ħarġu kontra l-Knisja Kattolika fir-reġjun, jaħarqu l-knejjes u joqtlu l-kleru. Għaddew truppi Franċiżi biex jikkaċċjaw u jeqirdu l-baned kollha ta 'camisards, bejn l-1702 u l-1709.</v>
      </c>
    </row>
    <row r="7015" ht="15.75" customHeight="1">
      <c r="A7015" s="2" t="s">
        <v>7015</v>
      </c>
      <c r="B7015" s="2" t="str">
        <f>IFERROR(__xludf.DUMMYFUNCTION("GOOGLETRANSLATE(A7015, ""en"", ""mt"")"),"X'kien il-forti li kien qed jinqered biex jiġi msemmi?")</f>
        <v>X'kien il-forti li kien qed jinqered biex jiġi msemmi?</v>
      </c>
    </row>
    <row r="7016" ht="15.75" customHeight="1">
      <c r="A7016" s="2" t="s">
        <v>7016</v>
      </c>
      <c r="B7016" s="2" t="str">
        <f>IFERROR(__xludf.DUMMYFUNCTION("GOOGLETRANSLATE(A7016, ""en"", ""mt"")"),"Min kienu d-detenturi tad-drittijiet attwali għall-Primer League?")</f>
        <v>Min kienu d-detenturi tad-drittijiet attwali għall-Primer League?</v>
      </c>
    </row>
    <row r="7017" ht="15.75" customHeight="1">
      <c r="A7017" s="2" t="s">
        <v>7017</v>
      </c>
      <c r="B7017" s="2" t="str">
        <f>IFERROR(__xludf.DUMMYFUNCTION("GOOGLETRANSLATE(A7017, ""en"", ""mt"")"),"L-użu ta 'liema apparat kien jirrappreżenta l-aħħar evoluzzjoni ewlenija tal-magna tal-fwar?")</f>
        <v>L-użu ta 'liema apparat kien jirrappreżenta l-aħħar evoluzzjoni ewlenija tal-magna tal-fwar?</v>
      </c>
    </row>
    <row r="7018" ht="15.75" customHeight="1">
      <c r="A7018" s="2" t="s">
        <v>7018</v>
      </c>
      <c r="B7018" s="2" t="str">
        <f>IFERROR(__xludf.DUMMYFUNCTION("GOOGLETRANSLATE(A7018, ""en"", ""mt"")"),"X'impatt kellu l-moviment tal-edukazzjoni tal-iskola għolja fuq il-preżenza ta 'ħaddiema tas-sengħa?")</f>
        <v>X'impatt kellu l-moviment tal-edukazzjoni tal-iskola għolja fuq il-preżenza ta 'ħaddiema tas-sengħa?</v>
      </c>
    </row>
    <row r="7019" ht="15.75" customHeight="1">
      <c r="A7019" s="2" t="s">
        <v>7019</v>
      </c>
      <c r="B7019" s="2" t="str">
        <f>IFERROR(__xludf.DUMMYFUNCTION("GOOGLETRANSLATE(A7019, ""en"", ""mt"")"),"Liema knisja Huguenot ġiet stabbilita f'Norwich?")</f>
        <v>Liema knisja Huguenot ġiet stabbilita f'Norwich?</v>
      </c>
    </row>
    <row r="7020" ht="15.75" customHeight="1">
      <c r="A7020" s="2" t="s">
        <v>7020</v>
      </c>
      <c r="B7020" s="2" t="str">
        <f>IFERROR(__xludf.DUMMYFUNCTION("GOOGLETRANSLATE(A7020, ""en"", ""mt"")"),"Adattat malajr u spiss miżżewweġ barra l-komunitajiet Franċiżi immedjati tagħhom")</f>
        <v>Adattat malajr u spiss miżżewweġ barra l-komunitajiet Franċiżi immedjati tagħhom</v>
      </c>
    </row>
    <row r="7021" ht="15.75" customHeight="1">
      <c r="A7021" s="2" t="s">
        <v>7021</v>
      </c>
      <c r="B7021" s="2" t="str">
        <f>IFERROR(__xludf.DUMMYFUNCTION("GOOGLETRANSLATE(A7021, ""en"", ""mt"")"),"Xorta rnexxielha tiffjorixxi")</f>
        <v>Xorta rnexxielha tiffjorixxi</v>
      </c>
    </row>
    <row r="7022" ht="15.75" customHeight="1">
      <c r="A7022" s="2" t="s">
        <v>7022</v>
      </c>
      <c r="B7022" s="2" t="str">
        <f>IFERROR(__xludf.DUMMYFUNCTION("GOOGLETRANSLATE(A7022, ""en"", ""mt"")"),"Trasmissjoni orjentata lejn il-konnessjoni teħtieġ fażi ta 'setup f'kull punt involut qabel ma jiġi trasferit kwalunkwe pakkett biex jistabbilixxi l-parametri tal-komunikazzjoni. Il-pakketti jinkludu identifikatur tal-konnessjoni aktar milli informazzjoni"&amp;" dwar l-indirizz u huma nnegozjati bejn il-punti finali sabiex dawn jiġu kkonsenjati fl-ordni u bl-iċċekkjar tal-iżbalji. L-informazzjoni dwar l-indirizz hija trasferita biss għal kull għoqda matul il-fażi ta 'twaqqif ta' konnessjoni, meta tiġi skoperta r"&amp;"-rotta lejn id-destinazzjoni u dħul jiġi miżjud mat-tabella tal-iswiċċ f'kull nodu tan-netwerk li minnu tgħaddi l-konnessjoni. Il-protokolli tas-sinjalar użati jippermettu li l-applikazzjoni tispeċifika r-rekwiżiti tagħha u tiskopri parametri tal-link. Va"&amp;"luri aċċettabbli għall-parametri tas-servizz jistgħu jiġu nnegozjati. Ir-rotta ta 'pakkett teħtieġ li l-għoqda tfittex l-ID tal-konnessjoni f'tabella. L-intestatura tal-pakkett tista 'tkun żgħira, peress li teħtieġ biss li tinkludi dan il-kodiċi u kwalunk"&amp;"we informazzjoni, bħal tul, timestamp, jew numru ta' sekwenza, li huwa differenti għal pakketti differenti.")</f>
        <v>Trasmissjoni orjentata lejn il-konnessjoni teħtieġ fażi ta 'setup f'kull punt involut qabel ma jiġi trasferit kwalunkwe pakkett biex jistabbilixxi l-parametri tal-komunikazzjoni. Il-pakketti jinkludu identifikatur tal-konnessjoni aktar milli informazzjoni dwar l-indirizz u huma nnegozjati bejn il-punti finali sabiex dawn jiġu kkonsenjati fl-ordni u bl-iċċekkjar tal-iżbalji. L-informazzjoni dwar l-indirizz hija trasferita biss għal kull għoqda matul il-fażi ta 'twaqqif ta' konnessjoni, meta tiġi skoperta r-rotta lejn id-destinazzjoni u dħul jiġi miżjud mat-tabella tal-iswiċċ f'kull nodu tan-netwerk li minnu tgħaddi l-konnessjoni. Il-protokolli tas-sinjalar użati jippermettu li l-applikazzjoni tispeċifika r-rekwiżiti tagħha u tiskopri parametri tal-link. Valuri aċċettabbli għall-parametri tas-servizz jistgħu jiġu nnegozjati. Ir-rotta ta 'pakkett teħtieġ li l-għoqda tfittex l-ID tal-konnessjoni f'tabella. L-intestatura tal-pakkett tista 'tkun żgħira, peress li teħtieġ biss li tinkludi dan il-kodiċi u kwalunkwe informazzjoni, bħal tul, timestamp, jew numru ta' sekwenza, li huwa differenti għal pakketti differenti.</v>
      </c>
    </row>
    <row r="7023" ht="15.75" customHeight="1">
      <c r="A7023" s="2" t="s">
        <v>7023</v>
      </c>
      <c r="B7023" s="2" t="str">
        <f>IFERROR(__xludf.DUMMYFUNCTION("GOOGLETRANSLATE(A7023, ""en"", ""mt"")"),"Meta sar il-programm undergraduate coeducational?")</f>
        <v>Meta sar il-programm undergraduate coeducational?</v>
      </c>
    </row>
    <row r="7024" ht="15.75" customHeight="1">
      <c r="A7024" s="2" t="s">
        <v>7024</v>
      </c>
      <c r="B7024" s="2" t="str">
        <f>IFERROR(__xludf.DUMMYFUNCTION("GOOGLETRANSLATE(A7024, ""en"", ""mt"")"),"Dak li ġiegħel lil Shen Kuo jemmen li l-art kienet iffurmata mill-erożjoni tal-muntanji?")</f>
        <v>Dak li ġiegħel lil Shen Kuo jemmen li l-art kienet iffurmata mill-erożjoni tal-muntanji?</v>
      </c>
    </row>
    <row r="7025" ht="15.75" customHeight="1">
      <c r="A7025" s="2" t="s">
        <v>7025</v>
      </c>
      <c r="B7025" s="2" t="str">
        <f>IFERROR(__xludf.DUMMYFUNCTION("GOOGLETRANSLATE(A7025, ""en"", ""mt"")"),"Tekniċi anzjani tal-ispiżerija")</f>
        <v>Tekniċi anzjani tal-ispiżerija</v>
      </c>
    </row>
    <row r="7026" ht="15.75" customHeight="1">
      <c r="A7026" s="2" t="s">
        <v>7026</v>
      </c>
      <c r="B7026" s="2" t="str">
        <f>IFERROR(__xludf.DUMMYFUNCTION("GOOGLETRANSLATE(A7026, ""en"", ""mt"")"),"Meta Herve serva bħala Ġenerali Biżantin?")</f>
        <v>Meta Herve serva bħala Ġenerali Biżantin?</v>
      </c>
    </row>
    <row r="7027" ht="15.75" customHeight="1">
      <c r="A7027" s="2" t="s">
        <v>7027</v>
      </c>
      <c r="B7027" s="2" t="str">
        <f>IFERROR(__xludf.DUMMYFUNCTION("GOOGLETRANSLATE(A7027, ""en"", ""mt"")"),"sakemm il-għanijiet ekonomiċi u politiċi tagħhom ġew sodisfatti")</f>
        <v>sakemm il-għanijiet ekonomiċi u politiċi tagħhom ġew sodisfatti</v>
      </c>
    </row>
    <row r="7028" ht="15.75" customHeight="1">
      <c r="A7028" s="2" t="s">
        <v>7028</v>
      </c>
      <c r="B7028" s="2" t="str">
        <f>IFERROR(__xludf.DUMMYFUNCTION("GOOGLETRANSLATE(A7028, ""en"", ""mt"")"),"L-Editt ta 'Nantes")</f>
        <v>L-Editt ta 'Nantes</v>
      </c>
    </row>
    <row r="7029" ht="15.75" customHeight="1">
      <c r="A7029" s="2" t="s">
        <v>7029</v>
      </c>
      <c r="B7029" s="2" t="str">
        <f>IFERROR(__xludf.DUMMYFUNCTION("GOOGLETRANSLATE(A7029, ""en"", ""mt"")"),"prodotti sekondarji perikolużi")</f>
        <v>prodotti sekondarji perikolużi</v>
      </c>
    </row>
    <row r="7030" ht="15.75" customHeight="1">
      <c r="A7030" s="2" t="s">
        <v>7030</v>
      </c>
      <c r="B7030" s="2" t="str">
        <f>IFERROR(__xludf.DUMMYFUNCTION("GOOGLETRANSLATE(A7030, ""en"", ""mt"")"),"Newcomen u Watt's")</f>
        <v>Newcomen u Watt's</v>
      </c>
    </row>
    <row r="7031" ht="15.75" customHeight="1">
      <c r="A7031" s="2" t="s">
        <v>7031</v>
      </c>
      <c r="B7031" s="2" t="str">
        <f>IFERROR(__xludf.DUMMYFUNCTION("GOOGLETRANSLATE(A7031, ""en"", ""mt"")"),"115 ° F.")</f>
        <v>115 ° F.</v>
      </c>
    </row>
    <row r="7032" ht="15.75" customHeight="1">
      <c r="A7032" s="2" t="s">
        <v>7032</v>
      </c>
      <c r="B7032" s="2" t="str">
        <f>IFERROR(__xludf.DUMMYFUNCTION("GOOGLETRANSLATE(A7032, ""en"", ""mt"")"),"X'inhi applikazzjoni manwali tal-passi matematiċi?")</f>
        <v>X'inhi applikazzjoni manwali tal-passi matematiċi?</v>
      </c>
    </row>
    <row r="7033" ht="15.75" customHeight="1">
      <c r="A7033" s="2" t="s">
        <v>7033</v>
      </c>
      <c r="B7033" s="2" t="str">
        <f>IFERROR(__xludf.DUMMYFUNCTION("GOOGLETRANSLATE(A7033, ""en"", ""mt"")"),"Liema ikel jegħleb il-bilanċ tal-popolazzjonijiet mikrobjali?")</f>
        <v>Liema ikel jegħleb il-bilanċ tal-popolazzjonijiet mikrobjali?</v>
      </c>
    </row>
    <row r="7034" ht="15.75" customHeight="1">
      <c r="A7034" s="2" t="s">
        <v>7034</v>
      </c>
      <c r="B7034" s="2" t="str">
        <f>IFERROR(__xludf.DUMMYFUNCTION("GOOGLETRANSLATE(A7034, ""en"", ""mt"")"),"Chalcogen")</f>
        <v>Chalcogen</v>
      </c>
    </row>
    <row r="7035" ht="15.75" customHeight="1">
      <c r="A7035" s="2" t="s">
        <v>7035</v>
      </c>
      <c r="B7035" s="2" t="str">
        <f>IFERROR(__xludf.DUMMYFUNCTION("GOOGLETRANSLATE(A7035, ""en"", ""mt"")"),"X'se jkunu jistgħu jbassru x-xebbiet billi jżommu l-kuruni tagħhom fil-vistula?")</f>
        <v>X'se jkunu jistgħu jbassru x-xebbiet billi jżommu l-kuruni tagħhom fil-vistula?</v>
      </c>
    </row>
    <row r="7036" ht="15.75" customHeight="1">
      <c r="A7036" s="2" t="s">
        <v>7036</v>
      </c>
      <c r="B7036" s="2" t="str">
        <f>IFERROR(__xludf.DUMMYFUNCTION("GOOGLETRANSLATE(A7036, ""en"", ""mt"")"),"Prussja")</f>
        <v>Prussja</v>
      </c>
    </row>
    <row r="7037" ht="15.75" customHeight="1">
      <c r="A7037" s="2" t="s">
        <v>7037</v>
      </c>
      <c r="B7037" s="2" t="str">
        <f>IFERROR(__xludf.DUMMYFUNCTION("GOOGLETRANSLATE(A7037, ""en"", ""mt"")"),"X'inhu jindika li hemm soluzzjoni magħrufa ta 'ħin polinomjali għal II1?")</f>
        <v>X'inhu jindika li hemm soluzzjoni magħrufa ta 'ħin polinomjali għal II1?</v>
      </c>
    </row>
    <row r="7038" ht="15.75" customHeight="1">
      <c r="A7038" s="2" t="s">
        <v>7038</v>
      </c>
      <c r="B7038" s="2" t="str">
        <f>IFERROR(__xludf.DUMMYFUNCTION("GOOGLETRANSLATE(A7038, ""en"", ""mt"")"),"X'inhu eżempju wieħed mhux komuni ta 'miżura ta' kumplessità kritika?")</f>
        <v>X'inhu eżempju wieħed mhux komuni ta 'miżura ta' kumplessità kritika?</v>
      </c>
    </row>
    <row r="7039" ht="15.75" customHeight="1">
      <c r="A7039" s="2" t="s">
        <v>7039</v>
      </c>
      <c r="B7039" s="2" t="str">
        <f>IFERROR(__xludf.DUMMYFUNCTION("GOOGLETRANSLATE(A7039, ""en"", ""mt"")"),"Min kien l-ewwel Amerikan li rebaħ il-Premju Memorial Nobel fix-Xjenzi Ekonomiċi?")</f>
        <v>Min kien l-ewwel Amerikan li rebaħ il-Premju Memorial Nobel fix-Xjenzi Ekonomiċi?</v>
      </c>
    </row>
    <row r="7040" ht="15.75" customHeight="1">
      <c r="A7040" s="2" t="s">
        <v>7040</v>
      </c>
      <c r="B7040" s="2" t="str">
        <f>IFERROR(__xludf.DUMMYFUNCTION("GOOGLETRANSLATE(A7040, ""en"", ""mt"")"),"Jista 'jtaffi l-bajda tiegħu stess")</f>
        <v>Jista 'jtaffi l-bajda tiegħu stess</v>
      </c>
    </row>
    <row r="7041" ht="15.75" customHeight="1">
      <c r="A7041" s="2" t="s">
        <v>7041</v>
      </c>
      <c r="B7041" s="2" t="str">
        <f>IFERROR(__xludf.DUMMYFUNCTION("GOOGLETRANSLATE(A7041, ""en"", ""mt"")"),"Kummissjoni v Awstrija l-qorti")</f>
        <v>Kummissjoni v Awstrija l-qorti</v>
      </c>
    </row>
    <row r="7042" ht="15.75" customHeight="1">
      <c r="A7042" s="2" t="s">
        <v>7042</v>
      </c>
      <c r="B7042" s="2" t="str">
        <f>IFERROR(__xludf.DUMMYFUNCTION("GOOGLETRANSLATE(A7042, ""en"", ""mt"")"),"1976")</f>
        <v>1976</v>
      </c>
    </row>
    <row r="7043" ht="15.75" customHeight="1">
      <c r="A7043" s="2" t="s">
        <v>7043</v>
      </c>
      <c r="B7043" s="2" t="str">
        <f>IFERROR(__xludf.DUMMYFUNCTION("GOOGLETRANSLATE(A7043, ""en"", ""mt"")"),"1964")</f>
        <v>1964</v>
      </c>
    </row>
    <row r="7044" ht="15.75" customHeight="1">
      <c r="A7044" s="2" t="s">
        <v>7044</v>
      </c>
      <c r="B7044" s="2" t="str">
        <f>IFERROR(__xludf.DUMMYFUNCTION("GOOGLETRANSLATE(A7044, ""en"", ""mt"")"),"Xi tfisser il-Pleurobrachia fit-tentakli tagħhom stess?")</f>
        <v>Xi tfisser il-Pleurobrachia fit-tentakli tagħhom stess?</v>
      </c>
    </row>
    <row r="7045" ht="15.75" customHeight="1">
      <c r="A7045" s="2" t="s">
        <v>7045</v>
      </c>
      <c r="B7045" s="2" t="str">
        <f>IFERROR(__xludf.DUMMYFUNCTION("GOOGLETRANSLATE(A7045, ""en"", ""mt"")"),"60,000")</f>
        <v>60,000</v>
      </c>
    </row>
    <row r="7046" ht="15.75" customHeight="1">
      <c r="A7046" s="2" t="s">
        <v>7046</v>
      </c>
      <c r="B7046" s="2" t="str">
        <f>IFERROR(__xludf.DUMMYFUNCTION("GOOGLETRANSLATE(A7046, ""en"", ""mt"")"),"Xogħol fejn hemm ħafna ħaddiema lesti li jaħdmu ammont kbir ta 'ħin (provvista għolja) li jikkompetu għal xogħol li ftit jeħtieġu (domanda baxxa) jirriżultaw f'paga baxxa għal dak ix-xogħol. Dan għaliex il-kompetizzjoni bejn il-ħaddiema tmexxi l-paga. Eże"&amp;"mpju ta 'dan ikun impjiegi bħall-ħasil tal-platti jew is-servizz tal-konsumatur. Il-kompetizzjoni fost il-ħaddiema għandha t-tendenza li tnaqqas il-pagi minħabba n-natura li tista 'tiġi nefqa tal-ħaddiem b'rabta max-xogħol partikolari tiegħu jew tagħha. X"&amp;"ogħol fejn hemm ftit ħaddiema kapaċi jew lesti (provvista baxxa), iżda ħtieġa kbira għall-pożizzjonijiet (domanda għolja), tirriżulta f'pagi għoljin għal dak ix-xogħol. Dan għaliex il-kompetizzjoni bejn min iħaddem għall-impjegati se tmexxi l-paga. Eżempj"&amp;"i ta 'dan jinkludu impjiegi li jeħtieġu ħiliet żviluppati ħafna, abbiltajiet rari, jew livell għoli ta' riskju. Il-kompetizzjoni fost dawk li jħaddmu għandha t-tendenza li tmexxi l-pagi minħabba n-natura tax-xogħol, peress li hemm nuqqas relattiv ta 'ħadd"&amp;"iema għall-pożizzjoni partikolari. Organizzazzjonijiet professjonali u tax-xogħol jistgħu jillimitaw il-provvista ta 'ħaddiema li tirriżulta f'domanda ogħla u dħul akbar għall-membri. Il-membri jistgħu wkoll jirċievu pagi ogħla permezz ta 'negozjar kollet"&amp;"tiv, influwenza politika, jew korruzzjoni.")</f>
        <v>Xogħol fejn hemm ħafna ħaddiema lesti li jaħdmu ammont kbir ta 'ħin (provvista għolja) li jikkompetu għal xogħol li ftit jeħtieġu (domanda baxxa) jirriżultaw f'paga baxxa għal dak ix-xogħol. Dan għaliex il-kompetizzjoni bejn il-ħaddiema tmexxi l-paga. Eżempju ta 'dan ikun impjiegi bħall-ħasil tal-platti jew is-servizz tal-konsumatur. Il-kompetizzjoni fost il-ħaddiema għandha t-tendenza li tnaqqas il-pagi minħabba n-natura li tista 'tiġi nefqa tal-ħaddiem b'rabta max-xogħol partikolari tiegħu jew tagħha. Xogħol fejn hemm ftit ħaddiema kapaċi jew lesti (provvista baxxa), iżda ħtieġa kbira għall-pożizzjonijiet (domanda għolja), tirriżulta f'pagi għoljin għal dak ix-xogħol. Dan għaliex il-kompetizzjoni bejn min iħaddem għall-impjegati se tmexxi l-paga. Eżempji ta 'dan jinkludu impjiegi li jeħtieġu ħiliet żviluppati ħafna, abbiltajiet rari, jew livell għoli ta' riskju. Il-kompetizzjoni fost dawk li jħaddmu għandha t-tendenza li tmexxi l-pagi minħabba n-natura tax-xogħol, peress li hemm nuqqas relattiv ta 'ħaddiema għall-pożizzjoni partikolari. Organizzazzjonijiet professjonali u tax-xogħol jistgħu jillimitaw il-provvista ta 'ħaddiema li tirriżulta f'domanda ogħla u dħul akbar għall-membri. Il-membri jistgħu wkoll jirċievu pagi ogħla permezz ta 'negozjar kollettiv, influwenza politika, jew korruzzjoni.</v>
      </c>
    </row>
    <row r="7047" ht="15.75" customHeight="1">
      <c r="A7047" s="2" t="s">
        <v>7047</v>
      </c>
      <c r="B7047" s="2" t="str">
        <f>IFERROR(__xludf.DUMMYFUNCTION("GOOGLETRANSLATE(A7047, ""en"", ""mt"")"),"Maududi x’kien jemmen li s-soċjetà Musulmana tista ’tkun Iżlamika fin-nuqqas ta’?")</f>
        <v>Maududi x’kien jemmen li s-soċjetà Musulmana tista ’tkun Iżlamika fin-nuqqas ta’?</v>
      </c>
    </row>
    <row r="7048" ht="15.75" customHeight="1">
      <c r="A7048" s="2" t="s">
        <v>7048</v>
      </c>
      <c r="B7048" s="2" t="str">
        <f>IFERROR(__xludf.DUMMYFUNCTION("GOOGLETRANSLATE(A7048, ""en"", ""mt"")"),"Wara liema avveniment l-Ispanjol ikkonċedi lil Florida lill-Gran Brittanja?")</f>
        <v>Wara liema avveniment l-Ispanjol ikkonċedi lil Florida lill-Gran Brittanja?</v>
      </c>
    </row>
    <row r="7049" ht="15.75" customHeight="1">
      <c r="A7049" s="2" t="s">
        <v>7049</v>
      </c>
      <c r="B7049" s="2" t="str">
        <f>IFERROR(__xludf.DUMMYFUNCTION("GOOGLETRANSLATE(A7049, ""en"", ""mt"")"),"Kemm minn Jacksonville huwa magħmul mill-ilma?")</f>
        <v>Kemm minn Jacksonville huwa magħmul mill-ilma?</v>
      </c>
    </row>
    <row r="7050" ht="15.75" customHeight="1">
      <c r="A7050" s="2" t="s">
        <v>7050</v>
      </c>
      <c r="B7050" s="2" t="str">
        <f>IFERROR(__xludf.DUMMYFUNCTION("GOOGLETRANSLATE(A7050, ""en"", ""mt"")"),"X’kien l-Iżlamizmu dejjem aktar interdipendenti ma ’wara r-rebbiegħa mhux Għarbija?")</f>
        <v>X’kien l-Iżlamizmu dejjem aktar interdipendenti ma ’wara r-rebbiegħa mhux Għarbija?</v>
      </c>
    </row>
    <row r="7051" ht="15.75" customHeight="1">
      <c r="A7051" s="2" t="s">
        <v>7051</v>
      </c>
      <c r="B7051" s="2" t="str">
        <f>IFERROR(__xludf.DUMMYFUNCTION("GOOGLETRANSLATE(A7051, ""en"", ""mt"")"),"Céloron hedded ""Brittaniku qadim""")</f>
        <v>Céloron hedded "Brittaniku qadim"</v>
      </c>
    </row>
    <row r="7052" ht="15.75" customHeight="1">
      <c r="A7052" s="2" t="s">
        <v>7052</v>
      </c>
      <c r="B7052" s="2" t="str">
        <f>IFERROR(__xludf.DUMMYFUNCTION("GOOGLETRANSLATE(A7052, ""en"", ""mt"")"),"L-imperjalizmu ma jestendix il-poter ta 'pajjiż u x'inhu?")</f>
        <v>L-imperjalizmu ma jestendix il-poter ta 'pajjiż u x'inhu?</v>
      </c>
    </row>
    <row r="7053" ht="15.75" customHeight="1">
      <c r="A7053" s="2" t="s">
        <v>7053</v>
      </c>
      <c r="B7053" s="2" t="str">
        <f>IFERROR(__xludf.DUMMYFUNCTION("GOOGLETRANSLATE(A7053, ""en"", ""mt"")"),"Min mar jgħix Hollywood fl-2004?")</f>
        <v>Min mar jgħix Hollywood fl-2004?</v>
      </c>
    </row>
    <row r="7054" ht="15.75" customHeight="1">
      <c r="A7054" s="2" t="s">
        <v>7054</v>
      </c>
      <c r="B7054" s="2" t="str">
        <f>IFERROR(__xludf.DUMMYFUNCTION("GOOGLETRANSLATE(A7054, ""en"", ""mt"")"),"X.25 kellu inqas funzjonalità minħabba xiex?")</f>
        <v>X.25 kellu inqas funzjonalità minħabba xiex?</v>
      </c>
    </row>
    <row r="7055" ht="15.75" customHeight="1">
      <c r="A7055" s="2" t="s">
        <v>7055</v>
      </c>
      <c r="B7055" s="2" t="str">
        <f>IFERROR(__xludf.DUMMYFUNCTION("GOOGLETRANSLATE(A7055, ""en"", ""mt"")"),"Il-Partit Laburista Awstraljan taċ-Ċentru-Xellug (ALP), il-Partit Liberali taċ-Ċentru-Right tal-Awstralja, il-Partit Nazzjonali bbażat fuq l-Awstralja bbażat fuq rurali, u l-Ambjentalisti tal-Ħodor Awstraljani huma l-partiti politiċi ewlenin tar-Rabat. Tr"&amp;"adizzjonalment, ix-xogħol huwa l-iktar qawwi fil-klassi tal-ħaddiema ta 'Melbourne fil-punent u s-subborgi tat-tramuntana, u l-ibliet reġjonali ta' Ballarat, Bendigo u Geelong. L-appoġġ ewlieni tal-Liberali jinsab fis-subborgi tal-Lvant u ta 'barra l-akta"&amp;"r sinjuri ta' Melbourne, u f'xi ċentri rurali u reġjonali. Iċ-ċittadini huma l-aktar b'saħħithom fiż-żoni reġjonali rurali tal-Majjistral u tal-Lvant tar-Rabat. Il-Ħodor, li rebħu l-ewwel siġġijiet tad-dar t'isfel tagħhom fl-2014, huma l-aktar b'saħħithom"&amp;" f'Melbourne ta 'ġewwa.")</f>
        <v>Il-Partit Laburista Awstraljan taċ-Ċentru-Xellug (ALP), il-Partit Liberali taċ-Ċentru-Right tal-Awstralja, il-Partit Nazzjonali bbażat fuq l-Awstralja bbażat fuq rurali, u l-Ambjentalisti tal-Ħodor Awstraljani huma l-partiti politiċi ewlenin tar-Rabat. Tradizzjonalment, ix-xogħol huwa l-iktar qawwi fil-klassi tal-ħaddiema ta 'Melbourne fil-punent u s-subborgi tat-tramuntana, u l-ibliet reġjonali ta' Ballarat, Bendigo u Geelong. L-appoġġ ewlieni tal-Liberali jinsab fis-subborgi tal-Lvant u ta 'barra l-aktar sinjuri ta' Melbourne, u f'xi ċentri rurali u reġjonali. Iċ-ċittadini huma l-aktar b'saħħithom fiż-żoni reġjonali rurali tal-Majjistral u tal-Lvant tar-Rabat. Il-Ħodor, li rebħu l-ewwel siġġijiet tad-dar t'isfel tagħhom fl-2014, huma l-aktar b'saħħithom f'Melbourne ta 'ġewwa.</v>
      </c>
    </row>
    <row r="7056" ht="15.75" customHeight="1">
      <c r="A7056" s="2" t="s">
        <v>7056</v>
      </c>
      <c r="B7056" s="2" t="str">
        <f>IFERROR(__xludf.DUMMYFUNCTION("GOOGLETRANSLATE(A7056, ""en"", ""mt"")"),"11")</f>
        <v>11</v>
      </c>
    </row>
    <row r="7057" ht="15.75" customHeight="1">
      <c r="A7057" s="2" t="s">
        <v>7057</v>
      </c>
      <c r="B7057" s="2" t="str">
        <f>IFERROR(__xludf.DUMMYFUNCTION("GOOGLETRANSLATE(A7057, ""en"", ""mt"")"),"Melbourne")</f>
        <v>Melbourne</v>
      </c>
    </row>
    <row r="7058" ht="15.75" customHeight="1">
      <c r="A7058" s="2" t="s">
        <v>7058</v>
      </c>
      <c r="B7058" s="2" t="str">
        <f>IFERROR(__xludf.DUMMYFUNCTION("GOOGLETRANSLATE(A7058, ""en"", ""mt"")"),"Fejn mexxa l-Frankijiet tagħna?")</f>
        <v>Fejn mexxa l-Frankijiet tagħna?</v>
      </c>
    </row>
    <row r="7059" ht="15.75" customHeight="1">
      <c r="A7059" s="2" t="s">
        <v>7059</v>
      </c>
      <c r="B7059" s="2" t="str">
        <f>IFERROR(__xludf.DUMMYFUNCTION("GOOGLETRANSLATE(A7059, ""en"", ""mt"")"),"F’liema sena SAVERY brevett il-pompa tal-fwar tiegħu?")</f>
        <v>F’liema sena SAVERY brevett il-pompa tal-fwar tiegħu?</v>
      </c>
    </row>
    <row r="7060" ht="15.75" customHeight="1">
      <c r="A7060" s="2" t="s">
        <v>7060</v>
      </c>
      <c r="B7060" s="2" t="str">
        <f>IFERROR(__xludf.DUMMYFUNCTION("GOOGLETRANSLATE(A7060, ""en"", ""mt"")"),"Xi jestendi ċellola T meta tiltaqa 'ma' patoġen barrani?")</f>
        <v>Xi jestendi ċellola T meta tiltaqa 'ma' patoġen barrani?</v>
      </c>
    </row>
    <row r="7061" ht="15.75" customHeight="1">
      <c r="A7061" s="2" t="s">
        <v>7061</v>
      </c>
      <c r="B7061" s="2" t="str">
        <f>IFERROR(__xludf.DUMMYFUNCTION("GOOGLETRANSLATE(A7061, ""en"", ""mt"")"),"Kemm żdiedet il-popolazzjoni New South Wales f'għaxar snin wara l-iskoperta tad-deheb?")</f>
        <v>Kemm żdiedet il-popolazzjoni New South Wales f'għaxar snin wara l-iskoperta tad-deheb?</v>
      </c>
    </row>
    <row r="7062" ht="15.75" customHeight="1">
      <c r="A7062" s="2" t="s">
        <v>7062</v>
      </c>
      <c r="B7062" s="2" t="str">
        <f>IFERROR(__xludf.DUMMYFUNCTION("GOOGLETRANSLATE(A7062, ""en"", ""mt"")"),"Il- ""libertà li tipprovdi servizzi"" taħt l-Artikolu 56 tat-TFEU japplika għal nies li jagħtu servizzi ""għar-rimunerazzjoni"", speċjalment attività kummerċjali jew professjonali. Pereżempju, fil-Van Binsbergen v Besttuur Van de Bedrijfvereniging Voor de"&amp;" Metaalnijverheid Avukat Olandiż mar il-Belġju filwaqt li ta parir lil klijent f'każ ta 'sigurtà soċjali, u kien qal li ma jistax ikompli minħabba li l-liġi Olandiża qalet li nies biss stabbiliti fl-Olanda jistgħu jagħtu legali parir. Il-Qorti tal-Ġustizz"&amp;"ja ddeċidiet li l-libertà li tipprovdi servizzi applikati, kienet direttament effettiva, u r-regola probabbilment kienet iġġustifikata: li jkollok indirizz fl-Istat Membru jkun biżżejjed biex issegwi l-għan leġittimu ta 'amministrazzjoni tajba tal-ġustizz"&amp;"ja. Il-Qorti tal-Ġustizzja ddeċidiet li l-edukazzjoni sekondarja taqa 'barra mill-ambitu tal-Artikolu 56, għaliex ġeneralment l-istat jiffinanzjah, għalkemm l-edukazzjoni għolja m'għandhiex. Il-kura tas-saħħa ġeneralment tgħodd bħala servizz. Fil-Geraets-"&amp;"Smits v Stichting Ziekenfonds Is-Sinjura Geraets-Smits iddikjarat li għandha tiġi rimborżata mill-assigurazzjoni soċjali Olandiża għall-ispejjeż li tirċievi trattament fil-Ġermanja. L-awtoritajiet tas-saħħa Olandiżi kkunsidraw it-trattament bla bżonn, u g"&amp;"ħalhekk hija argumentat li din il-libertà illimitat (tal-klinika tas-saħħa Ġermaniża) biex tipprovdi servizzi. Bosta gvernijiet issottomettew li s-servizzi tal-isptar m'għandhomx jitqiesu bħala ekonomiċi, u m'għandhomx jaqgħu taħt l-Artikolu 56. Iżda l-Qo"&amp;"rti tal-Ġustizzja li żammet is-saħħa kienet ""servizz"" minkejja li l-gvern (aktar milli r-riċevitur tas-servizz) ħallas għas-servizz. L-awtoritajiet nazzjonali jistgħu jkunu ġġustifikati meta jirrifjutaw li jirrimborżaw pazjenti għal servizzi mediċi barr"&amp;"a l-pajjiż jekk il-kura tas-saħħa rċeviet id-dar kienet mingħajr dewmien żejjed, u segwiet ""xjenza medika internazzjonali"" li fuqha t-trattamenti kienu jingħaddu bħala normali u meħtieġa. Il-qorti tirrikjedi li ċ-ċirkostanzi individwali ta 'pazjent jiġġ"&amp;"ustifikaw listi ta' stennija, u dan huwa minnu wkoll fil-kuntest tas-Servizz Nazzjonali tas-Saħħa tar-Renju Unit. Minbarra s-servizzi pubbliċi, qasam ieħor sensittiv ta 'servizzi huma dawk klassifikati bħala illegali. Josemans v Burgemeester van Maastrich"&amp;"t iddeċieda li r-regolamentazzjoni tal-Olanda tal-konsum tal-kannabis, inklużi l-projbizzjonijiet minn xi muniċipalitajiet fuq turisti (iżda mhux ċittadini Olandiżi) li jmorru fil-ħwienet tal-kafè, waqgħu barra mill-artikolu 56 għal kollox. Il-Qorti tal-Ġ"&amp;"ustizzja rraġunaw li d-drogi narkotiċi kienu kkontrollati fl-istati membri kollha, u għalhekk dan kien differenti minn każijiet oħra fejn il-prostituzzjoni jew attività kważi-legali oħra kienet soġġetta għal restrizzjoni. Jekk attività taqa 'taħt l-Artiko"&amp;"lu 56, restrizzjoni tista' tkun iġġustifikata skond l-Artikolu 52 jew rekwiżiti importanti żviluppati mill-Qorti tal-Ġustizzja. Fl-Alpinal Investments BV v il-Ministru Van Financiën negozju li biegħ il-futures tal-prodotti (ma 'Merrill Lynch u ditti banka"&amp;"rji oħra) ipprova jikkontesta liġi Olandiża li tipprojbixxi lill-klijenti li jsejħu l-kesħa. Il-Qorti tal-Ġustizzja ddeċidiet li l-projbizzjoni Olandiża segwiet għan leġittimu biex tipprevjeni ""żviluppi mhux mixtieqa fil-kummerċ tat-titoli"" inkluż il-ħa"&amp;"rsien tal-konsumatur minn tattiċi ta 'bejgħ aggressivi, u b'hekk iżżomm il-fiduċja fis-swieq Olandiżi. Fil-Omega Spielhallen GmbH v Bonn, in-negozju ta '""Laserdrome"" ġie pprojbit mill-Kunsill ta' Bonn. Xtara servizzi foloz tal-pistoli bil-lejżer minn di"&amp;"tta tar-Renju Unit imsejħa Pulsar Ltd, iżda r-residenti kienu pprotestaw kontra ""jilagħbu fil-qtil"" ta 'divertiment. Il-Qorti tal-Ġustizzja ddeċidiet li l-valur kostituzzjonali Ġermaniż tad-dinjità tal-bniedem, li sostniet il-projbizzjoni, kien jgħodd b"&amp;"ħala restrizzjoni ġustifikata fuq il-libertà li tipprovdi servizzi. Fil-Liga Portuguesa de Futebol vs Santa Ca Casa da Misericórdia de Lisboa, il-Qorti tal-Ġustizzja ddeċidiet ukoll li l-monopolju tal-istat fuq il-logħob tal-ażżard, u piena għal ditta ta "&amp;"’Ġibiltà li kienet biegħet servizzi tal-logħob tal-ażżard tal-internet, kienet iġġustifikata li tipprevjeni l-frodi u l-logħob fejn kienu diverġenti ħafna. Il-projbizzjoni kienet proporzjonata peress li dan kien mod xieraq u meħtieġ biex jiġu indirizzati "&amp;"l-problemi serji ta 'frodi li jinqalgħu fuq l-internet. Fid-Direttiva tas-Servizzi, grupp ta 'ġustifikazzjonijiet ġew ikkodifikati fl-Artikolu 16 li l-ġurisprudenza żviluppat.")</f>
        <v>Il- "libertà li tipprovdi servizzi" taħt l-Artikolu 56 tat-TFEU japplika għal nies li jagħtu servizzi "għar-rimunerazzjoni", speċjalment attività kummerċjali jew professjonali. Pereżempju, fil-Van Binsbergen v Besttuur Van de Bedrijfvereniging Voor de Metaalnijverheid Avukat Olandiż mar il-Belġju filwaqt li ta parir lil klijent f'każ ta 'sigurtà soċjali, u kien qal li ma jistax ikompli minħabba li l-liġi Olandiża qalet li nies biss stabbiliti fl-Olanda jistgħu jagħtu legali parir. Il-Qorti tal-Ġustizzja ddeċidiet li l-libertà li tipprovdi servizzi applikati, kienet direttament effettiva, u r-regola probabbilment kienet iġġustifikata: li jkollok indirizz fl-Istat Membru jkun biżżejjed biex issegwi l-għan leġittimu ta 'amministrazzjoni tajba tal-ġustizzja. Il-Qorti tal-Ġustizzja ddeċidiet li l-edukazzjoni sekondarja taqa 'barra mill-ambitu tal-Artikolu 56, għaliex ġeneralment l-istat jiffinanzjah, għalkemm l-edukazzjoni għolja m'għandhiex. Il-kura tas-saħħa ġeneralment tgħodd bħala servizz. Fil-Geraets-Smits v Stichting Ziekenfonds Is-Sinjura Geraets-Smits iddikjarat li għandha tiġi rimborżata mill-assigurazzjoni soċjali Olandiża għall-ispejjeż li tirċievi trattament fil-Ġermanja. L-awtoritajiet tas-saħħa Olandiżi kkunsidraw it-trattament bla bżonn, u għalhekk hija argumentat li din il-libertà illimitat (tal-klinika tas-saħħa Ġermaniża) biex tipprovdi servizzi. Bosta gvernijiet issottomettew li s-servizzi tal-isptar m'għandhomx jitqiesu bħala ekonomiċi, u m'għandhomx jaqgħu taħt l-Artikolu 56. Iżda l-Qorti tal-Ġustizzja li żammet is-saħħa kienet "servizz" minkejja li l-gvern (aktar milli r-riċevitur tas-servizz) ħallas għas-servizz. L-awtoritajiet nazzjonali jistgħu jkunu ġġustifikati meta jirrifjutaw li jirrimborżaw pazjenti għal servizzi mediċi barra l-pajjiż jekk il-kura tas-saħħa rċeviet id-dar kienet mingħajr dewmien żejjed, u segwiet "xjenza medika internazzjonali" li fuqha t-trattamenti kienu jingħaddu bħala normali u meħtieġa. Il-qorti tirrikjedi li ċ-ċirkostanzi individwali ta 'pazjent jiġġustifikaw listi ta' stennija, u dan huwa minnu wkoll fil-kuntest tas-Servizz Nazzjonali tas-Saħħa tar-Renju Unit. Minbarra s-servizzi pubbliċi, qasam ieħor sensittiv ta 'servizzi huma dawk klassifikati bħala illegali. Josemans v Burgemeester van Maastricht iddeċieda li r-regolamentazzjoni tal-Olanda tal-konsum tal-kannabis, inklużi l-projbizzjonijiet minn xi muniċipalitajiet fuq turisti (iżda mhux ċittadini Olandiżi) li jmorru fil-ħwienet tal-kafè, waqgħu barra mill-artikolu 56 għal kollox. Il-Qorti tal-Ġustizzja rraġunaw li d-drogi narkotiċi kienu kkontrollati fl-istati membri kollha, u għalhekk dan kien differenti minn każijiet oħra fejn il-prostituzzjoni jew attività kważi-legali oħra kienet soġġetta għal restrizzjoni. Jekk attività taqa 'taħt l-Artikolu 56, restrizzjoni tista' tkun iġġustifikata skond l-Artikolu 52 jew rekwiżiti importanti żviluppati mill-Qorti tal-Ġustizzja. Fl-Alpinal Investments BV v il-Ministru Van Financiën negozju li biegħ il-futures tal-prodotti (ma 'Merrill Lynch u ditti bankarji oħra) ipprova jikkontesta liġi Olandiża li tipprojbixxi lill-klijenti li jsejħu l-kesħa. Il-Qorti tal-Ġustizzja ddeċidiet li l-projbizzjoni Olandiża segwiet għan leġittimu biex tipprevjeni "żviluppi mhux mixtieqa fil-kummerċ tat-titoli" inkluż il-ħarsien tal-konsumatur minn tattiċi ta 'bejgħ aggressivi, u b'hekk iżżomm il-fiduċja fis-swieq Olandiżi. Fil-Omega Spielhallen GmbH v Bonn, in-negozju ta '"Laserdrome" ġie pprojbit mill-Kunsill ta' Bonn. Xtara servizzi foloz tal-pistoli bil-lejżer minn ditta tar-Renju Unit imsejħa Pulsar Ltd, iżda r-residenti kienu pprotestaw kontra "jilagħbu fil-qtil" ta 'divertiment. Il-Qorti tal-Ġustizzja ddeċidiet li l-valur kostituzzjonali Ġermaniż tad-dinjità tal-bniedem, li sostniet il-projbizzjoni, kien jgħodd bħala restrizzjoni ġustifikata fuq il-libertà li tipprovdi servizzi. Fil-Liga Portuguesa de Futebol vs Santa Ca Casa da Misericórdia de Lisboa, il-Qorti tal-Ġustizzja ddeċidiet ukoll li l-monopolju tal-istat fuq il-logħob tal-ażżard, u piena għal ditta ta ’Ġibiltà li kienet biegħet servizzi tal-logħob tal-ażżard tal-internet, kienet iġġustifikata li tipprevjeni l-frodi u l-logħob fejn kienu diverġenti ħafna. Il-projbizzjoni kienet proporzjonata peress li dan kien mod xieraq u meħtieġ biex jiġu indirizzati l-problemi serji ta 'frodi li jinqalgħu fuq l-internet. Fid-Direttiva tas-Servizzi, grupp ta 'ġustifikazzjonijiet ġew ikkodifikati fl-Artikolu 16 li l-ġurisprudenza żviluppat.</v>
      </c>
    </row>
    <row r="7063" ht="15.75" customHeight="1">
      <c r="A7063" s="2" t="s">
        <v>7063</v>
      </c>
      <c r="B7063" s="2" t="str">
        <f>IFERROR(__xludf.DUMMYFUNCTION("GOOGLETRANSLATE(A7063, ""en"", ""mt"")"),"Paleoklimatologi")</f>
        <v>Paleoklimatologi</v>
      </c>
    </row>
    <row r="7064" ht="15.75" customHeight="1">
      <c r="A7064" s="2" t="s">
        <v>7064</v>
      </c>
      <c r="B7064" s="2" t="str">
        <f>IFERROR(__xludf.DUMMYFUNCTION("GOOGLETRANSLATE(A7064, ""en"", ""mt"")"),"Xi elementi tal-fratellanza indirizzaw liema azzjoni kontra l-gvern?")</f>
        <v>Xi elementi tal-fratellanza indirizzaw liema azzjoni kontra l-gvern?</v>
      </c>
    </row>
    <row r="7065" ht="15.75" customHeight="1">
      <c r="A7065" s="2" t="s">
        <v>7065</v>
      </c>
      <c r="B7065" s="2" t="str">
        <f>IFERROR(__xludf.DUMMYFUNCTION("GOOGLETRANSLATE(A7065, ""en"", ""mt"")"),"1875")</f>
        <v>1875</v>
      </c>
    </row>
    <row r="7066" ht="15.75" customHeight="1">
      <c r="A7066" s="2" t="s">
        <v>7066</v>
      </c>
      <c r="B7066" s="2" t="str">
        <f>IFERROR(__xludf.DUMMYFUNCTION("GOOGLETRANSLATE(A7066, ""en"", ""mt"")"),"X'injora Virgin Media waqt li toffri kanali lineari?")</f>
        <v>X'injora Virgin Media waqt li toffri kanali lineari?</v>
      </c>
    </row>
    <row r="7067" ht="15.75" customHeight="1">
      <c r="A7067" s="2" t="s">
        <v>7067</v>
      </c>
      <c r="B7067" s="2" t="str">
        <f>IFERROR(__xludf.DUMMYFUNCTION("GOOGLETRANSLATE(A7067, ""en"", ""mt"")"),"Liema pjanijiet tal-Ingliżi ma waqqfux fuq Oneida li ġġorr lura?")</f>
        <v>Liema pjanijiet tal-Ingliżi ma waqqfux fuq Oneida li ġġorr lura?</v>
      </c>
    </row>
    <row r="7068" ht="15.75" customHeight="1">
      <c r="A7068" s="2" t="s">
        <v>7068</v>
      </c>
      <c r="B7068" s="2" t="str">
        <f>IFERROR(__xludf.DUMMYFUNCTION("GOOGLETRANSLATE(A7068, ""en"", ""mt"")"),"300 m3 / s (11,000 cu ft / s)")</f>
        <v>300 m3 / s (11,000 cu ft / s)</v>
      </c>
    </row>
    <row r="7069" ht="15.75" customHeight="1">
      <c r="A7069" s="2" t="s">
        <v>7069</v>
      </c>
      <c r="B7069" s="2" t="str">
        <f>IFERROR(__xludf.DUMMYFUNCTION("GOOGLETRANSLATE(A7069, ""en"", ""mt"")"),"magna atmosferika")</f>
        <v>magna atmosferika</v>
      </c>
    </row>
    <row r="7070" ht="15.75" customHeight="1">
      <c r="A7070" s="2" t="s">
        <v>7070</v>
      </c>
      <c r="B7070" s="2" t="str">
        <f>IFERROR(__xludf.DUMMYFUNCTION("GOOGLETRANSLATE(A7070, ""en"", ""mt"")"),"vapuri")</f>
        <v>vapuri</v>
      </c>
    </row>
    <row r="7071" ht="15.75" customHeight="1">
      <c r="A7071" s="2" t="s">
        <v>7071</v>
      </c>
      <c r="B7071" s="2" t="str">
        <f>IFERROR(__xludf.DUMMYFUNCTION("GOOGLETRANSLATE(A7071, ""en"", ""mt"")"),"Artisti Pollakki u Internazzjonali a")</f>
        <v>Artisti Pollakki u Internazzjonali a</v>
      </c>
    </row>
    <row r="7072" ht="15.75" customHeight="1">
      <c r="A7072" s="2" t="s">
        <v>7072</v>
      </c>
      <c r="B7072" s="2" t="str">
        <f>IFERROR(__xludf.DUMMYFUNCTION("GOOGLETRANSLATE(A7072, ""en"", ""mt"")"),"qawwa ratba")</f>
        <v>qawwa ratba</v>
      </c>
    </row>
    <row r="7073" ht="15.75" customHeight="1">
      <c r="A7073" s="2" t="s">
        <v>7073</v>
      </c>
      <c r="B7073" s="2" t="str">
        <f>IFERROR(__xludf.DUMMYFUNCTION("GOOGLETRANSLATE(A7073, ""en"", ""mt"")"),"Liema diffikultajiet ma kellux Shirly?")</f>
        <v>Liema diffikultajiet ma kellux Shirly?</v>
      </c>
    </row>
    <row r="7074" ht="15.75" customHeight="1">
      <c r="A7074" s="2" t="s">
        <v>7074</v>
      </c>
      <c r="B7074" s="2" t="str">
        <f>IFERROR(__xludf.DUMMYFUNCTION("GOOGLETRANSLATE(A7074, ""en"", ""mt"")")," Għal min ma ħadmux l-istudjużi ġeografiċi?")</f>
        <v> Għal min ma ħadmux l-istudjużi ġeografiċi?</v>
      </c>
    </row>
    <row r="7075" ht="15.75" customHeight="1">
      <c r="A7075" s="2" t="s">
        <v>7075</v>
      </c>
      <c r="B7075" s="2" t="str">
        <f>IFERROR(__xludf.DUMMYFUNCTION("GOOGLETRANSLATE(A7075, ""en"", ""mt"")"),"Għaliex tabib jista 'jiddijanjostika numru kbir ta' kundizzjonijiet?")</f>
        <v>Għaliex tabib jista 'jiddijanjostika numru kbir ta' kundizzjonijiet?</v>
      </c>
    </row>
    <row r="7076" ht="15.75" customHeight="1">
      <c r="A7076" s="2" t="s">
        <v>7076</v>
      </c>
      <c r="B7076" s="2" t="str">
        <f>IFERROR(__xludf.DUMMYFUNCTION("GOOGLETRANSLATE(A7076, ""en"", ""mt"")"),"X'kien l-isem oriġinali ta 'California State University fi Fresno?")</f>
        <v>X'kien l-isem oriġinali ta 'California State University fi Fresno?</v>
      </c>
    </row>
    <row r="7077" ht="15.75" customHeight="1">
      <c r="A7077" s="2" t="s">
        <v>7077</v>
      </c>
      <c r="B7077" s="2" t="str">
        <f>IFERROR(__xludf.DUMMYFUNCTION("GOOGLETRANSLATE(A7077, ""en"", ""mt"")"),"wara s-sieq tal-arblu")</f>
        <v>wara s-sieq tal-arblu</v>
      </c>
    </row>
    <row r="7078" ht="15.75" customHeight="1">
      <c r="A7078" s="2" t="s">
        <v>7078</v>
      </c>
      <c r="B7078" s="2" t="str">
        <f>IFERROR(__xludf.DUMMYFUNCTION("GOOGLETRANSLATE(A7078, ""en"", ""mt"")"),"Ġbir ta 'riżorsi mill-kolonji")</f>
        <v>Ġbir ta 'riżorsi mill-kolonji</v>
      </c>
    </row>
    <row r="7079" ht="15.75" customHeight="1">
      <c r="A7079" s="2" t="s">
        <v>7079</v>
      </c>
      <c r="B7079" s="2" t="str">
        <f>IFERROR(__xludf.DUMMYFUNCTION("GOOGLETRANSLATE(A7079, ""en"", ""mt"")"),"X'qed jiżdied matul l-istadju bikri bil-mod tal-mewġ bil-mod?")</f>
        <v>X'qed jiżdied matul l-istadju bikri bil-mod tal-mewġ bil-mod?</v>
      </c>
    </row>
    <row r="7080" ht="15.75" customHeight="1">
      <c r="A7080" s="2" t="s">
        <v>7080</v>
      </c>
      <c r="B7080" s="2" t="str">
        <f>IFERROR(__xludf.DUMMYFUNCTION("GOOGLETRANSLATE(A7080, ""en"", ""mt"")"),"Min mhux responsabbli biex jiżgura li l-Parlament jimxi sewwa?")</f>
        <v>Min mhux responsabbli biex jiżgura li l-Parlament jimxi sewwa?</v>
      </c>
    </row>
    <row r="7081" ht="15.75" customHeight="1">
      <c r="A7081" s="2" t="s">
        <v>7081</v>
      </c>
      <c r="B7081" s="2" t="str">
        <f>IFERROR(__xludf.DUMMYFUNCTION("GOOGLETRANSLATE(A7081, ""en"", ""mt"")"),"Fotosintesi")</f>
        <v>Fotosintesi</v>
      </c>
    </row>
    <row r="7082" ht="15.75" customHeight="1">
      <c r="A7082" s="2" t="s">
        <v>7082</v>
      </c>
      <c r="B7082" s="2" t="str">
        <f>IFERROR(__xludf.DUMMYFUNCTION("GOOGLETRANSLATE(A7082, ""en"", ""mt"")"),"X'inhu l-isem għall-perjodu meta l-membri jindirizzaw il-kelliema sa erba 'minuti?")</f>
        <v>X'inhu l-isem għall-perjodu meta l-membri jindirizzaw il-kelliema sa erba 'minuti?</v>
      </c>
    </row>
    <row r="7083" ht="15.75" customHeight="1">
      <c r="A7083" s="2" t="s">
        <v>7083</v>
      </c>
      <c r="B7083" s="2" t="str">
        <f>IFERROR(__xludf.DUMMYFUNCTION("GOOGLETRANSLATE(A7083, ""en"", ""mt"")"),"Liema direzzjoni r-Rhine ħareġ matul l-aħħar fażi kiesħa?")</f>
        <v>Liema direzzjoni r-Rhine ħareġ matul l-aħħar fażi kiesħa?</v>
      </c>
    </row>
    <row r="7084" ht="15.75" customHeight="1">
      <c r="A7084" s="2" t="s">
        <v>7084</v>
      </c>
      <c r="B7084" s="2" t="str">
        <f>IFERROR(__xludf.DUMMYFUNCTION("GOOGLETRANSLATE(A7084, ""en"", ""mt"")"),"Kif jissejħu l-partiċelli tal-mewġ li jimmedjaw il-fenomeni elettromanjetiċi kollha?")</f>
        <v>Kif jissejħu l-partiċelli tal-mewġ li jimmedjaw il-fenomeni elettromanjetiċi kollha?</v>
      </c>
    </row>
    <row r="7085" ht="15.75" customHeight="1">
      <c r="A7085" s="2" t="s">
        <v>7085</v>
      </c>
      <c r="B7085" s="2" t="str">
        <f>IFERROR(__xludf.DUMMYFUNCTION("GOOGLETRANSLATE(A7085, ""en"", ""mt"")"),"Fil-mudell tad-Dinja b'saffi, x'inhi l-qalba ta 'ġewwa separata minnha?")</f>
        <v>Fil-mudell tad-Dinja b'saffi, x'inhi l-qalba ta 'ġewwa separata minnha?</v>
      </c>
    </row>
    <row r="7086" ht="15.75" customHeight="1">
      <c r="A7086" s="2" t="s">
        <v>7086</v>
      </c>
      <c r="B7086" s="2" t="str">
        <f>IFERROR(__xludf.DUMMYFUNCTION("GOOGLETRANSLATE(A7086, ""en"", ""mt"")"),"Kemm hemm baqar tal-ħalib imnebbaħ fl-Awstralja?")</f>
        <v>Kemm hemm baqar tal-ħalib imnebbaħ fl-Awstralja?</v>
      </c>
    </row>
    <row r="7087" ht="15.75" customHeight="1">
      <c r="A7087" s="2" t="s">
        <v>7087</v>
      </c>
      <c r="B7087" s="2" t="str">
        <f>IFERROR(__xludf.DUMMYFUNCTION("GOOGLETRANSLATE(A7087, ""en"", ""mt"")"),"Min hu l-fundatur ta ’Microsoft u t-tielet raġel l-aktar sinjur fl-Amerika?")</f>
        <v>Min hu l-fundatur ta ’Microsoft u t-tielet raġel l-aktar sinjur fl-Amerika?</v>
      </c>
    </row>
    <row r="7088" ht="15.75" customHeight="1">
      <c r="A7088" s="2" t="s">
        <v>7088</v>
      </c>
      <c r="B7088" s="2" t="str">
        <f>IFERROR(__xludf.DUMMYFUNCTION("GOOGLETRANSLATE(A7088, ""en"", ""mt"")"),"X'inhu l-mewt stmat għall-Armata l-Ħamra?")</f>
        <v>X'inhu l-mewt stmat għall-Armata l-Ħamra?</v>
      </c>
    </row>
    <row r="7089" ht="15.75" customHeight="1">
      <c r="A7089" s="2" t="s">
        <v>7089</v>
      </c>
      <c r="B7089" s="2" t="str">
        <f>IFERROR(__xludf.DUMMYFUNCTION("GOOGLETRANSLATE(A7089, ""en"", ""mt"")"),"Thomson")</f>
        <v>Thomson</v>
      </c>
    </row>
    <row r="7090" ht="15.75" customHeight="1">
      <c r="A7090" s="2" t="s">
        <v>7090</v>
      </c>
      <c r="B7090" s="2" t="str">
        <f>IFERROR(__xludf.DUMMYFUNCTION("GOOGLETRANSLATE(A7090, ""en"", ""mt"")"),"X'azzjoni minn Christian Bay tgħin soċjetà tittollera d-diżubbidjenza ċivili?")</f>
        <v>X'azzjoni minn Christian Bay tgħin soċjetà tittollera d-diżubbidjenza ċivili?</v>
      </c>
    </row>
    <row r="7091" ht="15.75" customHeight="1">
      <c r="A7091" s="2" t="s">
        <v>7091</v>
      </c>
      <c r="B7091" s="2" t="str">
        <f>IFERROR(__xludf.DUMMYFUNCTION("GOOGLETRANSLATE(A7091, ""en"", ""mt"")"),"Tpinġi r-relazzjoni bejn il-livell ta 'dħul u l-inugwaljanza, il-Kuznets raw l-ekonomiji ta' dħul medju li qed jiżviluppaw il-livell ta 'inugwaljanza li joħroġ biex jifforma dak li issa huwa magħruf bħala l-kurva tal-Kuznets. Kuznets urew din ir-relazzjon"&amp;"i bl-użu ta 'dejta trasversali. Madankollu, ittestjar aktar reċenti ta 'din it-teorija b'data ta' pannell superjuri wera li huwa dgħajjef ħafna. Il-kurva ta 'Kuznets tbassar li l-inugwaljanza fid-dħul eventwalment tonqos il-ħin. Bħala eżempju, l-inugwalja"&amp;"nza fid-dħul waqgħet fl-Istati Uniti matul il-moviment tal-iskola għolja tagħha mill-1910 sal-1940 u wara. [Ċitazzjoni meħtieġa] Madankollu, dejta riċenti turi li l-livell ta 'inugwaljanza fid-dħul beda jiżdied wara s-snin sebgħin. Dan mhux neċessarjament"&amp;" jikkontesta t-teorija tal-Kuznets. [Ċitazzjoni meħtieġa] Jista 'jkun possibbli li ċiklu ta' Kuznets ieħor iseħħ, speċifikament il-moviment mis-settur tal-manifattura għas-settur tas-servizz. [Ċitazzjoni meħtieġa] Dan jimplika li jista 'jkun possibbli għa"&amp;"l multiplu Iċ-ċikli tal-Kuznets għandhom ikunu fis-seħħ fi kwalunkwe ħin.")</f>
        <v>Tpinġi r-relazzjoni bejn il-livell ta 'dħul u l-inugwaljanza, il-Kuznets raw l-ekonomiji ta' dħul medju li qed jiżviluppaw il-livell ta 'inugwaljanza li joħroġ biex jifforma dak li issa huwa magħruf bħala l-kurva tal-Kuznets. Kuznets urew din ir-relazzjoni bl-użu ta 'dejta trasversali. Madankollu, ittestjar aktar reċenti ta 'din it-teorija b'data ta' pannell superjuri wera li huwa dgħajjef ħafna. Il-kurva ta 'Kuznets tbassar li l-inugwaljanza fid-dħul eventwalment tonqos il-ħin. Bħala eżempju, l-inugwaljanza fid-dħul waqgħet fl-Istati Uniti matul il-moviment tal-iskola għolja tagħha mill-1910 sal-1940 u wara. [Ċitazzjoni meħtieġa] Madankollu, dejta riċenti turi li l-livell ta 'inugwaljanza fid-dħul beda jiżdied wara s-snin sebgħin. Dan mhux neċessarjament jikkontesta t-teorija tal-Kuznets. [Ċitazzjoni meħtieġa] Jista 'jkun possibbli li ċiklu ta' Kuznets ieħor iseħħ, speċifikament il-moviment mis-settur tal-manifattura għas-settur tas-servizz. [Ċitazzjoni meħtieġa] Dan jimplika li jista 'jkun possibbli għal multiplu Iċ-ċikli tal-Kuznets għandhom ikunu fis-seħħ fi kwalunkwe ħin.</v>
      </c>
    </row>
    <row r="7092" ht="15.75" customHeight="1">
      <c r="A7092" s="2" t="s">
        <v>7092</v>
      </c>
      <c r="B7092" s="2" t="str">
        <f>IFERROR(__xludf.DUMMYFUNCTION("GOOGLETRANSLATE(A7092, ""en"", ""mt"")"),"annimali taċ-ċinturin")</f>
        <v>annimali taċ-ċinturin</v>
      </c>
    </row>
    <row r="7093" ht="15.75" customHeight="1">
      <c r="A7093" s="2" t="s">
        <v>7093</v>
      </c>
      <c r="B7093" s="2" t="str">
        <f>IFERROR(__xludf.DUMMYFUNCTION("GOOGLETRANSLATE(A7093, ""en"", ""mt"")"),"Min kiteb ""Walking in Fresno?""")</f>
        <v>Min kiteb "Walking in Fresno?"</v>
      </c>
    </row>
    <row r="7094" ht="15.75" customHeight="1">
      <c r="A7094" s="2" t="s">
        <v>7094</v>
      </c>
      <c r="B7094" s="2" t="str">
        <f>IFERROR(__xludf.DUMMYFUNCTION("GOOGLETRANSLATE(A7094, ""en"", ""mt"")"),"Kemm għandha attività bl-imnut il-viċinat?")</f>
        <v>Kemm għandha attività bl-imnut il-viċinat?</v>
      </c>
    </row>
    <row r="7095" ht="15.75" customHeight="1">
      <c r="A7095" s="2" t="s">
        <v>7095</v>
      </c>
      <c r="B7095" s="2" t="str">
        <f>IFERROR(__xludf.DUMMYFUNCTION("GOOGLETRANSLATE(A7095, ""en"", ""mt"")"),"Pakkett ta 'dejta għandu massa fiżika?")</f>
        <v>Pakkett ta 'dejta għandu massa fiżika?</v>
      </c>
    </row>
    <row r="7096" ht="15.75" customHeight="1">
      <c r="A7096" s="2" t="s">
        <v>7096</v>
      </c>
      <c r="B7096" s="2" t="str">
        <f>IFERROR(__xludf.DUMMYFUNCTION("GOOGLETRANSLATE(A7096, ""en"", ""mt"")"),"Xjenza naturali")</f>
        <v>Xjenza naturali</v>
      </c>
    </row>
    <row r="7097" ht="15.75" customHeight="1">
      <c r="A7097" s="2" t="s">
        <v>7097</v>
      </c>
      <c r="B7097" s="2" t="str">
        <f>IFERROR(__xludf.DUMMYFUNCTION("GOOGLETRANSLATE(A7097, ""en"", ""mt"")"),"Kif jindikaw Fortnow &amp; Homer (2003), il-bidu ta 'studji sistematiċi fil-kumplessità tal-komputazzjoni huwa attribwit għall-karta seminali ""dwar il-kumplessità tal-komputazzjoni tal-algoritmi"" minn Juris Hartmanis u Richard Stearns (1965), li stabbilixxe"&amp;"w id-definizzjonijiet tal-ħin u kumplessità spazjali u wera t-teoremi tal-ġerarkija. Ukoll, fl-1965 Edmonds iddefinixxa algoritmu ""tajjeb"" bħala wieħed b'ħin ta 'tħaddim imdawwar minn polinomju tad-daqs tal-input.")</f>
        <v>Kif jindikaw Fortnow &amp; Homer (2003), il-bidu ta 'studji sistematiċi fil-kumplessità tal-komputazzjoni huwa attribwit għall-karta seminali "dwar il-kumplessità tal-komputazzjoni tal-algoritmi" minn Juris Hartmanis u Richard Stearns (1965), li stabbilixxew id-definizzjonijiet tal-ħin u kumplessità spazjali u wera t-teoremi tal-ġerarkija. Ukoll, fl-1965 Edmonds iddefinixxa algoritmu "tajjeb" bħala wieħed b'ħin ta 'tħaddim imdawwar minn polinomju tad-daqs tal-input.</v>
      </c>
    </row>
    <row r="7098" ht="15.75" customHeight="1">
      <c r="A7098" s="2" t="s">
        <v>7098</v>
      </c>
      <c r="B7098" s="2" t="str">
        <f>IFERROR(__xludf.DUMMYFUNCTION("GOOGLETRANSLATE(A7098, ""en"", ""mt"")"),"X'jista 'jagħti d-dikromi għal nar?")</f>
        <v>X'jista 'jagħti d-dikromi għal nar?</v>
      </c>
    </row>
    <row r="7099" ht="15.75" customHeight="1">
      <c r="A7099" s="2" t="s">
        <v>7099</v>
      </c>
      <c r="B7099" s="2" t="str">
        <f>IFERROR(__xludf.DUMMYFUNCTION("GOOGLETRANSLATE(A7099, ""en"", ""mt"")"),"Kostruzzjoni tal-Bini, Kostruzzjoni ta 'Inġinerija Tqila u Ċivili, u Kuntratturi tal-Kummerċ ta' Speċjalità")</f>
        <v>Kostruzzjoni tal-Bini, Kostruzzjoni ta 'Inġinerija Tqila u Ċivili, u Kuntratturi tal-Kummerċ ta' Speċjalità</v>
      </c>
    </row>
    <row r="7100" ht="15.75" customHeight="1">
      <c r="A7100" s="2" t="s">
        <v>7100</v>
      </c>
      <c r="B7100" s="2" t="str">
        <f>IFERROR(__xludf.DUMMYFUNCTION("GOOGLETRANSLATE(A7100, ""en"", ""mt"")"),"Ekonomista")</f>
        <v>Ekonomista</v>
      </c>
    </row>
    <row r="7101" ht="15.75" customHeight="1">
      <c r="A7101" s="2" t="s">
        <v>7101</v>
      </c>
      <c r="B7101" s="2" t="str">
        <f>IFERROR(__xludf.DUMMYFUNCTION("GOOGLETRANSLATE(A7101, ""en"", ""mt"")"),"F'liema pajjiż l-ewwel vvintat lokomottiva tal-fwar tal-ferrovija fuq skala sħiħa li taħdem?")</f>
        <v>F'liema pajjiż l-ewwel vvintat lokomottiva tal-fwar tal-ferrovija fuq skala sħiħa li taħdem?</v>
      </c>
    </row>
    <row r="7102" ht="15.75" customHeight="1">
      <c r="A7102" s="2" t="s">
        <v>7102</v>
      </c>
      <c r="B7102" s="2" t="str">
        <f>IFERROR(__xludf.DUMMYFUNCTION("GOOGLETRANSLATE(A7102, ""en"", ""mt"")"),"22,392 km2 jew 8,646 sq mi")</f>
        <v>22,392 km2 jew 8,646 sq mi</v>
      </c>
    </row>
    <row r="7103" ht="15.75" customHeight="1">
      <c r="A7103" s="2" t="s">
        <v>7103</v>
      </c>
      <c r="B7103" s="2" t="str">
        <f>IFERROR(__xludf.DUMMYFUNCTION("GOOGLETRANSLATE(A7103, ""en"", ""mt"")"),"Kemm huwa 'l bogħod minn Davenports Neck għal New Rochelle?")</f>
        <v>Kemm huwa 'l bogħod minn Davenports Neck għal New Rochelle?</v>
      </c>
    </row>
    <row r="7104" ht="15.75" customHeight="1">
      <c r="A7104" s="2" t="s">
        <v>7104</v>
      </c>
      <c r="B7104" s="2" t="str">
        <f>IFERROR(__xludf.DUMMYFUNCTION("GOOGLETRANSLATE(A7104, ""en"", ""mt"")"),"Xi tibda l-iżgħar fergħa prinċipali tat-tramuntana?")</f>
        <v>Xi tibda l-iżgħar fergħa prinċipali tat-tramuntana?</v>
      </c>
    </row>
    <row r="7105" ht="15.75" customHeight="1">
      <c r="A7105" s="2" t="s">
        <v>7105</v>
      </c>
      <c r="B7105" s="2" t="str">
        <f>IFERROR(__xludf.DUMMYFUNCTION("GOOGLETRANSLATE(A7105, ""en"", ""mt"")"),"Magni tal-fwar jirreċiprokaw")</f>
        <v>Magni tal-fwar jirreċiprokaw</v>
      </c>
    </row>
    <row r="7106" ht="15.75" customHeight="1">
      <c r="A7106" s="2" t="s">
        <v>7106</v>
      </c>
      <c r="B7106" s="2" t="str">
        <f>IFERROR(__xludf.DUMMYFUNCTION("GOOGLETRANSLATE(A7106, ""en"", ""mt"")"),"Kif huwa meħtieġ il-ħin biex tinkiseb il-mistoqsija għal problema kkalkulata?")</f>
        <v>Kif huwa meħtieġ il-ħin biex tinkiseb il-mistoqsija għal problema kkalkulata?</v>
      </c>
    </row>
    <row r="7107" ht="15.75" customHeight="1">
      <c r="A7107" s="2" t="s">
        <v>7107</v>
      </c>
      <c r="B7107" s="2" t="str">
        <f>IFERROR(__xludf.DUMMYFUNCTION("GOOGLETRANSLATE(A7107, ""en"", ""mt"")"),"privileġġ sostanzjali")</f>
        <v>privileġġ sostanzjali</v>
      </c>
    </row>
    <row r="7108" ht="15.75" customHeight="1">
      <c r="A7108" s="2" t="s">
        <v>7108</v>
      </c>
      <c r="B7108" s="2" t="str">
        <f>IFERROR(__xludf.DUMMYFUNCTION("GOOGLETRANSLATE(A7108, ""en"", ""mt"")"),"psewdo")</f>
        <v>psewdo</v>
      </c>
    </row>
    <row r="7109" ht="15.75" customHeight="1">
      <c r="A7109" s="2" t="s">
        <v>7109</v>
      </c>
      <c r="B7109" s="2" t="str">
        <f>IFERROR(__xludf.DUMMYFUNCTION("GOOGLETRANSLATE(A7109, ""en"", ""mt"")"),"Settembru 1944")</f>
        <v>Settembru 1944</v>
      </c>
    </row>
    <row r="7110" ht="15.75" customHeight="1">
      <c r="A7110" s="2" t="s">
        <v>7110</v>
      </c>
      <c r="B7110" s="2" t="str">
        <f>IFERROR(__xludf.DUMMYFUNCTION("GOOGLETRANSLATE(A7110, ""en"", ""mt"")"),"L-ewwel Ewropew li jivvjaġġa t-tul tax-Xmara Amazon kien Francisco de Orellana fl-1542. L-istoriji mhux naturali tal-BBC jippreżentaw evidenza li Orellana, aktar milli teżaġera t-talbiet tiegħu kif kien maħsub qabel, kienet korretta fl-osservazzjonijiet t"&amp;"iegħu li ċiviltà kumplessa kienet qed tiffjorixxi tul l-Amażonja fl-1540s. Huwa maħsub li ċ-ċiviltà aktar tard kienet ħerba mit-tixrid tal-mard mill-Ewropa, bħal ġidri. Mis-snin sebgħin, ġew skoperti bosta ġeoglyphs fuq art deforestata li tmur bejn AD 0-1"&amp;"250, li tkompli t-talbiet dwar ċiviltajiet pre-Kolumbjani. OnDemar Dias huwa akkreditat li l-ewwel jiskopri l-ġeoglyphs fl-1977 u l-Alceu Ranzi billi tkompli l-iskoperta tagħhom wara li ttajjar fuq l-acre. L-istoriji mhux naturali tal-BBC ippreżentaw evid"&amp;"enza li l-foresta tropikali tal-Amażonja, aktar milli tkun deżert verġni, ġiet iffurmata mill-bniedem għal mill-inqas 11,000 sena permezz ta 'prattiki bħall-ġardinaġġ tal-foresti u terra preta.")</f>
        <v>L-ewwel Ewropew li jivvjaġġa t-tul tax-Xmara Amazon kien Francisco de Orellana fl-1542. L-istoriji mhux naturali tal-BBC jippreżentaw evidenza li Orellana, aktar milli teżaġera t-talbiet tiegħu kif kien maħsub qabel, kienet korretta fl-osservazzjonijiet tiegħu li ċiviltà kumplessa kienet qed tiffjorixxi tul l-Amażonja fl-1540s. Huwa maħsub li ċ-ċiviltà aktar tard kienet ħerba mit-tixrid tal-mard mill-Ewropa, bħal ġidri. Mis-snin sebgħin, ġew skoperti bosta ġeoglyphs fuq art deforestata li tmur bejn AD 0-1250, li tkompli t-talbiet dwar ċiviltajiet pre-Kolumbjani. OnDemar Dias huwa akkreditat li l-ewwel jiskopri l-ġeoglyphs fl-1977 u l-Alceu Ranzi billi tkompli l-iskoperta tagħhom wara li ttajjar fuq l-acre. L-istoriji mhux naturali tal-BBC ippreżentaw evidenza li l-foresta tropikali tal-Amażonja, aktar milli tkun deżert verġni, ġiet iffurmata mill-bniedem għal mill-inqas 11,000 sena permezz ta 'prattiki bħall-ġardinaġġ tal-foresti u terra preta.</v>
      </c>
    </row>
    <row r="7111" ht="15.75" customHeight="1">
      <c r="A7111" s="2" t="s">
        <v>7111</v>
      </c>
      <c r="B7111" s="2" t="str">
        <f>IFERROR(__xludf.DUMMYFUNCTION("GOOGLETRANSLATE(A7111, ""en"", ""mt"")"),"Meta ħafna nies jiġu arrestati, x'inhi tinnegozja tattika komuni?")</f>
        <v>Meta ħafna nies jiġu arrestati, x'inhi tinnegozja tattika komuni?</v>
      </c>
    </row>
    <row r="7112" ht="15.75" customHeight="1">
      <c r="A7112" s="2" t="s">
        <v>7112</v>
      </c>
      <c r="B7112" s="2" t="str">
        <f>IFERROR(__xludf.DUMMYFUNCTION("GOOGLETRANSLATE(A7112, ""en"", ""mt"")"),"Ir-rotta ta 'pakkett teħtieġ li l-għoqda tfittex l-ID tal-konnessjoni f'tabella")</f>
        <v>Ir-rotta ta 'pakkett teħtieġ li l-għoqda tfittex l-ID tal-konnessjoni f'tabella</v>
      </c>
    </row>
    <row r="7113" ht="15.75" customHeight="1">
      <c r="A7113" s="2" t="s">
        <v>7113</v>
      </c>
      <c r="B7113" s="2" t="str">
        <f>IFERROR(__xludf.DUMMYFUNCTION("GOOGLETRANSLATE(A7113, ""en"", ""mt"")"),"X’taħseb li Mote Mote s-sistema tal-klassi Yuan verament irrappreżentat?")</f>
        <v>X’taħseb li Mote Mote s-sistema tal-klassi Yuan verament irrappreżentat?</v>
      </c>
    </row>
    <row r="7114" ht="15.75" customHeight="1">
      <c r="A7114" s="2" t="s">
        <v>7114</v>
      </c>
      <c r="B7114" s="2" t="str">
        <f>IFERROR(__xludf.DUMMYFUNCTION("GOOGLETRANSLATE(A7114, ""en"", ""mt"")"),"Robert ta 'Jumièges")</f>
        <v>Robert ta 'Jumièges</v>
      </c>
    </row>
    <row r="7115" ht="15.75" customHeight="1">
      <c r="A7115" s="2" t="s">
        <v>7115</v>
      </c>
      <c r="B7115" s="2" t="str">
        <f>IFERROR(__xludf.DUMMYFUNCTION("GOOGLETRANSLATE(A7115, ""en"", ""mt"")"),"X'inhuma l-ħames l-iktar kontej popolati fl-Istati Uniti?")</f>
        <v>X'inhuma l-ħames l-iktar kontej popolati fl-Istati Uniti?</v>
      </c>
    </row>
    <row r="7116" ht="15.75" customHeight="1">
      <c r="A7116" s="2" t="s">
        <v>7116</v>
      </c>
      <c r="B7116" s="2" t="str">
        <f>IFERROR(__xludf.DUMMYFUNCTION("GOOGLETRANSLATE(A7116, ""en"", ""mt"")"),"X'tip ta 'edukazzjoni għandha Victoria?")</f>
        <v>X'tip ta 'edukazzjoni għandha Victoria?</v>
      </c>
    </row>
    <row r="7117" ht="15.75" customHeight="1">
      <c r="A7117" s="2" t="s">
        <v>7117</v>
      </c>
      <c r="B7117" s="2" t="str">
        <f>IFERROR(__xludf.DUMMYFUNCTION("GOOGLETRANSLATE(A7117, ""en"", ""mt"")"),"X'tip ta 'ekonomija għandha Victoria?")</f>
        <v>X'tip ta 'ekonomija għandha Victoria?</v>
      </c>
    </row>
    <row r="7118" ht="15.75" customHeight="1">
      <c r="A7118" s="2" t="s">
        <v>7118</v>
      </c>
      <c r="B7118" s="2" t="str">
        <f>IFERROR(__xludf.DUMMYFUNCTION("GOOGLETRANSLATE(A7118, ""en"", ""mt"")"),"Soċjologu")</f>
        <v>Soċjologu</v>
      </c>
    </row>
    <row r="7119" ht="15.75" customHeight="1">
      <c r="A7119" s="2" t="s">
        <v>7119</v>
      </c>
      <c r="B7119" s="2" t="str">
        <f>IFERROR(__xludf.DUMMYFUNCTION("GOOGLETRANSLATE(A7119, ""en"", ""mt"")"),"Il-gvernatur ċentrifugali ġie adottat minn James Watt għall-użu fuq magna tal-fwar fl-1788 wara li s-sieħeb ta 'Watt Boulton ra wieħed fi Dqiq Mill Boulton &amp; Watt kienu qed jibnu. Il-gvernatur ma setax fil-fatt iżomm veloċità stabbilita, minħabba li jassu"&amp;"mi veloċità kostanti ġdida b'reazzjoni għal bidliet fit-tagħbija. Il-gvernatur kien kapaċi jimmaniġġa varjazzjonijiet iżgħar bħal dawk ikkawżati minn tagħbija tas-sħana li tvarja lill-bojler. Ukoll, kien hemm tendenza għall-oxxillazzjoni kull meta kien he"&amp;"mm bidla fil-veloċità. Bħala konsegwenza, magni mgħammra biss ma 'dan il-gvernatur ma kinux adattati għal operazzjonijiet li jeħtieġu veloċità kostanti, bħall-għażil tal-qoton. Il-gvernatur ġie mtejjeb maż-żmien u flimkien ma 'fwar varjabbli maqtugħ, kont"&amp;"roll tal-veloċità tajba b'reazzjoni għal bidliet fit-tagħbija kien jista' jintlaħaq qrib it-tmiem tas-seklu 19.")</f>
        <v>Il-gvernatur ċentrifugali ġie adottat minn James Watt għall-użu fuq magna tal-fwar fl-1788 wara li s-sieħeb ta 'Watt Boulton ra wieħed fi Dqiq Mill Boulton &amp; Watt kienu qed jibnu. Il-gvernatur ma setax fil-fatt iżomm veloċità stabbilita, minħabba li jassumi veloċità kostanti ġdida b'reazzjoni għal bidliet fit-tagħbija. Il-gvernatur kien kapaċi jimmaniġġa varjazzjonijiet iżgħar bħal dawk ikkawżati minn tagħbija tas-sħana li tvarja lill-bojler. Ukoll, kien hemm tendenza għall-oxxillazzjoni kull meta kien hemm bidla fil-veloċità. Bħala konsegwenza, magni mgħammra biss ma 'dan il-gvernatur ma kinux adattati għal operazzjonijiet li jeħtieġu veloċità kostanti, bħall-għażil tal-qoton. Il-gvernatur ġie mtejjeb maż-żmien u flimkien ma 'fwar varjabbli maqtugħ, kontroll tal-veloċità tajba b'reazzjoni għal bidliet fit-tagħbija kien jista' jintlaħaq qrib it-tmiem tas-seklu 19.</v>
      </c>
    </row>
    <row r="7120" ht="15.75" customHeight="1">
      <c r="A7120" s="2" t="s">
        <v>7120</v>
      </c>
      <c r="B7120" s="2" t="str">
        <f>IFERROR(__xludf.DUMMYFUNCTION("GOOGLETRANSLATE(A7120, ""en"", ""mt"")"),"aċċessjonijiet")</f>
        <v>aċċessjonijiet</v>
      </c>
    </row>
    <row r="7121" ht="15.75" customHeight="1">
      <c r="A7121" s="2" t="s">
        <v>7121</v>
      </c>
      <c r="B7121" s="2" t="str">
        <f>IFERROR(__xludf.DUMMYFUNCTION("GOOGLETRANSLATE(A7121, ""en"", ""mt"")"),"X'għamlu l-Artikoli 1 sa 4 ġeneralment ma jirrikjedux ħaddiema?")</f>
        <v>X'għamlu l-Artikoli 1 sa 4 ġeneralment ma jirrikjedux ħaddiema?</v>
      </c>
    </row>
    <row r="7122" ht="15.75" customHeight="1">
      <c r="A7122" s="2" t="s">
        <v>7122</v>
      </c>
      <c r="B7122" s="2" t="str">
        <f>IFERROR(__xludf.DUMMYFUNCTION("GOOGLETRANSLATE(A7122, ""en"", ""mt"")"),"Il-kontijiet kontemporanji kienu esaġerazzjonijiet")</f>
        <v>Il-kontijiet kontemporanji kienu esaġerazzjonijiet</v>
      </c>
    </row>
    <row r="7123" ht="15.75" customHeight="1">
      <c r="A7123" s="2" t="s">
        <v>7123</v>
      </c>
      <c r="B7123" s="2" t="str">
        <f>IFERROR(__xludf.DUMMYFUNCTION("GOOGLETRANSLATE(A7123, ""en"", ""mt"")"),"Ir-Russja")</f>
        <v>Ir-Russja</v>
      </c>
    </row>
    <row r="7124" ht="15.75" customHeight="1">
      <c r="A7124" s="2" t="s">
        <v>7124</v>
      </c>
      <c r="B7124" s="2" t="str">
        <f>IFERROR(__xludf.DUMMYFUNCTION("GOOGLETRANSLATE(A7124, ""en"", ""mt"")"),"X'inhu eżempju tal-Katidral ta 'San Ġwann, stilistikament?")</f>
        <v>X'inhu eżempju tal-Katidral ta 'San Ġwann, stilistikament?</v>
      </c>
    </row>
    <row r="7125" ht="15.75" customHeight="1">
      <c r="A7125" s="2" t="s">
        <v>7125</v>
      </c>
      <c r="B7125" s="2" t="str">
        <f>IFERROR(__xludf.DUMMYFUNCTION("GOOGLETRANSLATE(A7125, ""en"", ""mt"")"),"Liema evoluzzjonista famuż kien influwenzat mill-Prinċipji tal-Ktieb tal-Ġeoloġija?")</f>
        <v>Liema evoluzzjonista famuż kien influwenzat mill-Prinċipji tal-Ktieb tal-Ġeoloġija?</v>
      </c>
    </row>
    <row r="7126" ht="15.75" customHeight="1">
      <c r="A7126" s="2" t="s">
        <v>7126</v>
      </c>
      <c r="B7126" s="2" t="str">
        <f>IFERROR(__xludf.DUMMYFUNCTION("GOOGLETRANSLATE(A7126, ""en"", ""mt"")"),"Liema president tal-università biddelha f'università ta 'riċerka moderna?")</f>
        <v>Liema president tal-università biddelha f'università ta 'riċerka moderna?</v>
      </c>
    </row>
    <row r="7127" ht="15.75" customHeight="1">
      <c r="A7127" s="2" t="s">
        <v>7127</v>
      </c>
      <c r="B7127" s="2" t="str">
        <f>IFERROR(__xludf.DUMMYFUNCTION("GOOGLETRANSLATE(A7127, ""en"", ""mt"")"),"Meta beda l-OPEC?")</f>
        <v>Meta beda l-OPEC?</v>
      </c>
    </row>
    <row r="7128" ht="15.75" customHeight="1">
      <c r="A7128" s="2" t="s">
        <v>7128</v>
      </c>
      <c r="B7128" s="2" t="str">
        <f>IFERROR(__xludf.DUMMYFUNCTION("GOOGLETRANSLATE(A7128, ""en"", ""mt"")"),"F'liema settur qed jibdew jiżdiedu l-impjiegi?")</f>
        <v>F'liema settur qed jibdew jiżdiedu l-impjiegi?</v>
      </c>
    </row>
    <row r="7129" ht="15.75" customHeight="1">
      <c r="A7129" s="2" t="s">
        <v>7129</v>
      </c>
      <c r="B7129" s="2" t="str">
        <f>IFERROR(__xludf.DUMMYFUNCTION("GOOGLETRANSLATE(A7129, ""en"", ""mt"")"),"X'kienu ż-żewġ forom ta 'determiniżmu ambjentali?")</f>
        <v>X'kienu ż-żewġ forom ta 'determiniżmu ambjentali?</v>
      </c>
    </row>
    <row r="7130" ht="15.75" customHeight="1">
      <c r="A7130" s="2" t="s">
        <v>7130</v>
      </c>
      <c r="B7130" s="2" t="str">
        <f>IFERROR(__xludf.DUMMYFUNCTION("GOOGLETRANSLATE(A7130, ""en"", ""mt"")"),"Min kien wieħed Kattoliku Ruman favur ir-Riforma Franċiża tas-seklu 15?")</f>
        <v>Min kien wieħed Kattoliku Ruman favur ir-Riforma Franċiża tas-seklu 15?</v>
      </c>
    </row>
    <row r="7131" ht="15.75" customHeight="1">
      <c r="A7131" s="2" t="s">
        <v>7131</v>
      </c>
      <c r="B7131" s="2" t="str">
        <f>IFERROR(__xludf.DUMMYFUNCTION("GOOGLETRANSLATE(A7131, ""en"", ""mt"")"),"Min kienu eżentati mill-Ministeru tal-Ġustizzja?")</f>
        <v>Min kienu eżentati mill-Ministeru tal-Ġustizzja?</v>
      </c>
    </row>
    <row r="7132" ht="15.75" customHeight="1">
      <c r="A7132" s="2" t="s">
        <v>7132</v>
      </c>
      <c r="B7132" s="2" t="str">
        <f>IFERROR(__xludf.DUMMYFUNCTION("GOOGLETRANSLATE(A7132, ""en"", ""mt"")"),"23 sena")</f>
        <v>23 sena</v>
      </c>
    </row>
    <row r="7133" ht="15.75" customHeight="1">
      <c r="A7133" s="2" t="s">
        <v>7133</v>
      </c>
      <c r="B7133" s="2" t="str">
        <f>IFERROR(__xludf.DUMMYFUNCTION("GOOGLETRANSLATE(A7133, ""en"", ""mt"")"),"Xi tfisser żieda fis-sehem tad-dħul tal-qiegħ 20 fil-mija tan-nies ta 'soċjetà?")</f>
        <v>Xi tfisser żieda fis-sehem tad-dħul tal-qiegħ 20 fil-mija tan-nies ta 'soċjetà?</v>
      </c>
    </row>
    <row r="7134" ht="15.75" customHeight="1">
      <c r="A7134" s="2" t="s">
        <v>7134</v>
      </c>
      <c r="B7134" s="2" t="str">
        <f>IFERROR(__xludf.DUMMYFUNCTION("GOOGLETRANSLATE(A7134, ""en"", ""mt"")"),"Il-kodiċi Taihō (701) u ddikjarat mill-ġdid fil-kodiċi Yōrō (718)")</f>
        <v>Il-kodiċi Taihō (701) u ddikjarat mill-ġdid fil-kodiċi Yōrō (718)</v>
      </c>
    </row>
    <row r="7135" ht="15.75" customHeight="1">
      <c r="A7135" s="2" t="s">
        <v>7135</v>
      </c>
      <c r="B7135" s="2" t="str">
        <f>IFERROR(__xludf.DUMMYFUNCTION("GOOGLETRANSLATE(A7135, ""en"", ""mt"")"),"Minn xiex issir il-kannizzata tal-kristall?")</f>
        <v>Minn xiex issir il-kannizzata tal-kristall?</v>
      </c>
    </row>
    <row r="7136" ht="15.75" customHeight="1">
      <c r="A7136" s="2" t="s">
        <v>7136</v>
      </c>
      <c r="B7136" s="2" t="str">
        <f>IFERROR(__xludf.DUMMYFUNCTION("GOOGLETRANSLATE(A7136, ""en"", ""mt"")"),"Kilogramma-Forza (KGF)")</f>
        <v>Kilogramma-Forza (KGF)</v>
      </c>
    </row>
    <row r="7137" ht="15.75" customHeight="1">
      <c r="A7137" s="2" t="s">
        <v>7137</v>
      </c>
      <c r="B7137" s="2" t="str">
        <f>IFERROR(__xludf.DUMMYFUNCTION("GOOGLETRANSLATE(A7137, ""en"", ""mt"")"),"47 ° 39′N 9 ° 19′E / 47.650 ° N 9.317 ° E / 47.650; 9.317.")</f>
        <v>47 ° 39′N 9 ° 19′E / 47.650 ° N 9.317 ° E / 47.650; 9.317.</v>
      </c>
    </row>
    <row r="7138" ht="15.75" customHeight="1">
      <c r="A7138" s="2" t="s">
        <v>7138</v>
      </c>
      <c r="B7138" s="2" t="str">
        <f>IFERROR(__xludf.DUMMYFUNCTION("GOOGLETRANSLATE(A7138, ""en"", ""mt"")"),"Liema triq tintefa 'ballun' il fuq u 'l isfel f'vettura li tiċċaqlaq meta tidher minn osservatur ta' barra?")</f>
        <v>Liema triq tintefa 'ballun' il fuq u 'l isfel f'vettura li tiċċaqlaq meta tidher minn osservatur ta' barra?</v>
      </c>
    </row>
    <row r="7139" ht="15.75" customHeight="1">
      <c r="A7139" s="2" t="s">
        <v>7139</v>
      </c>
      <c r="B7139" s="2" t="str">
        <f>IFERROR(__xludf.DUMMYFUNCTION("GOOGLETRANSLATE(A7139, ""en"", ""mt"")"),"Il-kwistjonijiet speċifiċi devoluti huma s-suġġetti kollha li mhumiex iddikjarati espliċitament fl-Iskeda 5 għall-Att tal-Iskozja bħala kwistjonijiet riservati. Il-kwistjonijiet kollha li mhumiex riservati speċifikament huma awtomatikament devoluti għall-"&amp;"Parlament Skoċċiż. L-iktar importanti, dan jinkludi l-agrikoltura, is-sajd u l-forestrija, l-iżvilupp ekonomiku, l-edukazzjoni, l-ambjent, l-istandards tal-ikel, is-saħħa, l-affarijiet interni, il-liġi Skoċċiża - qrati, servizzi tal-pulizija u tan-nar, gv"&amp;"ern lokali, sport, sport u l-arti, trasport, taħriġ, turiżmu, riċerka u statistika u xogħol soċjali. Il-Parlament Skoċċiż għandu l-abbiltà li jbiddel it-taxxa fuq id-dħul fl-Iskozja sa 3 sold fil-lira. L-Att tal-2012 ikkonferiet aktar devoluzzjoni fiskali"&amp;" inklużi setgħat ta ’self u xi kwistjonijiet oħra mhux konnessi bħalma huma l-issettjar tal-limiti tal-veloċità u l-kontroll tal-pistoli tal-ajru.")</f>
        <v>Il-kwistjonijiet speċifiċi devoluti huma s-suġġetti kollha li mhumiex iddikjarati espliċitament fl-Iskeda 5 għall-Att tal-Iskozja bħala kwistjonijiet riservati. Il-kwistjonijiet kollha li mhumiex riservati speċifikament huma awtomatikament devoluti għall-Parlament Skoċċiż. L-iktar importanti, dan jinkludi l-agrikoltura, is-sajd u l-forestrija, l-iżvilupp ekonomiku, l-edukazzjoni, l-ambjent, l-istandards tal-ikel, is-saħħa, l-affarijiet interni, il-liġi Skoċċiża - qrati, servizzi tal-pulizija u tan-nar, gvern lokali, sport, sport u l-arti, trasport, taħriġ, turiżmu, riċerka u statistika u xogħol soċjali. Il-Parlament Skoċċiż għandu l-abbiltà li jbiddel it-taxxa fuq id-dħul fl-Iskozja sa 3 sold fil-lira. L-Att tal-2012 ikkonferiet aktar devoluzzjoni fiskali inklużi setgħat ta ’self u xi kwistjonijiet oħra mhux konnessi bħalma huma l-issettjar tal-limiti tal-veloċità u l-kontroll tal-pistoli tal-ajru.</v>
      </c>
    </row>
    <row r="7140" ht="15.75" customHeight="1">
      <c r="A7140" s="2" t="s">
        <v>7140</v>
      </c>
      <c r="B7140" s="2" t="str">
        <f>IFERROR(__xludf.DUMMYFUNCTION("GOOGLETRANSLATE(A7140, ""en"", ""mt"")"),"Liema persentaġġ ta 'djar kellhom tfal' il fuq minn 18-il sena?")</f>
        <v>Liema persentaġġ ta 'djar kellhom tfal' il fuq minn 18-il sena?</v>
      </c>
    </row>
    <row r="7141" ht="15.75" customHeight="1">
      <c r="A7141" s="2" t="s">
        <v>7141</v>
      </c>
      <c r="B7141" s="2" t="str">
        <f>IFERROR(__xludf.DUMMYFUNCTION("GOOGLETRANSLATE(A7141, ""en"", ""mt"")"),"ir-razez tal-ogħla ""effiċjenza soċjali""")</f>
        <v>ir-razez tal-ogħla "effiċjenza soċjali"</v>
      </c>
    </row>
    <row r="7142" ht="15.75" customHeight="1">
      <c r="A7142" s="2" t="s">
        <v>7142</v>
      </c>
      <c r="B7142" s="2" t="str">
        <f>IFERROR(__xludf.DUMMYFUNCTION("GOOGLETRANSLATE(A7142, ""en"", ""mt"")"),"ħaddiem, kapitalist / sid tan-negozju, sid il-kera")</f>
        <v>ħaddiem, kapitalist / sid tan-negozju, sid il-kera</v>
      </c>
    </row>
    <row r="7143" ht="15.75" customHeight="1">
      <c r="A7143" s="2" t="s">
        <v>7143</v>
      </c>
      <c r="B7143" s="2" t="str">
        <f>IFERROR(__xludf.DUMMYFUNCTION("GOOGLETRANSLATE(A7143, ""en"", ""mt"")"),"dwar id-dispożizzjoni tal-effetti personali tal-priġunieri")</f>
        <v>dwar id-dispożizzjoni tal-effetti personali tal-priġunieri</v>
      </c>
    </row>
    <row r="7144" ht="15.75" customHeight="1">
      <c r="A7144" s="2" t="s">
        <v>7144</v>
      </c>
      <c r="B7144" s="2" t="str">
        <f>IFERROR(__xludf.DUMMYFUNCTION("GOOGLETRANSLATE(A7144, ""en"", ""mt"")"),"Manifattura")</f>
        <v>Manifattura</v>
      </c>
    </row>
    <row r="7145" ht="15.75" customHeight="1">
      <c r="A7145" s="2" t="s">
        <v>7145</v>
      </c>
      <c r="B7145" s="2" t="str">
        <f>IFERROR(__xludf.DUMMYFUNCTION("GOOGLETRANSLATE(A7145, ""en"", ""mt"")"),"Il-mexxej tal-partit attwali, David McLetchie tilef liema siġġu?")</f>
        <v>Il-mexxej tal-partit attwali, David McLetchie tilef liema siġġu?</v>
      </c>
    </row>
    <row r="7146" ht="15.75" customHeight="1">
      <c r="A7146" s="2" t="s">
        <v>7146</v>
      </c>
      <c r="B7146" s="2" t="str">
        <f>IFERROR(__xludf.DUMMYFUNCTION("GOOGLETRANSLATE(A7146, ""en"", ""mt"")"),"Liema avveniment ta 'estinzjoni jista' jkun ħoloq xi kundizzjonijiet li jippermettu l-espansjoni tal-Amazon Rainforest?")</f>
        <v>Liema avveniment ta 'estinzjoni jista' jkun ħoloq xi kundizzjonijiet li jippermettu l-espansjoni tal-Amazon Rainforest?</v>
      </c>
    </row>
    <row r="7147" ht="15.75" customHeight="1">
      <c r="A7147" s="2" t="s">
        <v>7147</v>
      </c>
      <c r="B7147" s="2" t="str">
        <f>IFERROR(__xludf.DUMMYFUNCTION("GOOGLETRANSLATE(A7147, ""en"", ""mt"")"),"Biex kontinwament tespandi l-investiment")</f>
        <v>Biex kontinwament tespandi l-investiment</v>
      </c>
    </row>
    <row r="7148" ht="15.75" customHeight="1">
      <c r="A7148" s="2" t="s">
        <v>7148</v>
      </c>
      <c r="B7148" s="2" t="str">
        <f>IFERROR(__xludf.DUMMYFUNCTION("GOOGLETRANSLATE(A7148, ""en"", ""mt"")"),"X'tagħmel li tagħmel konservattiv għas-serjetà ta 'protesta?")</f>
        <v>X'tagħmel li tagħmel konservattiv għas-serjetà ta 'protesta?</v>
      </c>
    </row>
    <row r="7149" ht="15.75" customHeight="1">
      <c r="A7149" s="2" t="s">
        <v>7149</v>
      </c>
      <c r="B7149" s="2" t="str">
        <f>IFERROR(__xludf.DUMMYFUNCTION("GOOGLETRANSLATE(A7149, ""en"", ""mt"")"),"Minn min xtraw il-Huguenots l-art fejn issetiljaw?")</f>
        <v>Minn min xtraw il-Huguenots l-art fejn issetiljaw?</v>
      </c>
    </row>
    <row r="7150" ht="15.75" customHeight="1">
      <c r="A7150" s="2" t="s">
        <v>7150</v>
      </c>
      <c r="B7150" s="2" t="str">
        <f>IFERROR(__xludf.DUMMYFUNCTION("GOOGLETRANSLATE(A7150, ""en"", ""mt"")"),"Min iddisinja l-Mużew tal-Art Fogg?")</f>
        <v>Min iddisinja l-Mużew tal-Art Fogg?</v>
      </c>
    </row>
    <row r="7151" ht="15.75" customHeight="1">
      <c r="A7151" s="2" t="s">
        <v>7151</v>
      </c>
      <c r="B7151" s="2" t="str">
        <f>IFERROR(__xludf.DUMMYFUNCTION("GOOGLETRANSLATE(A7151, ""en"", ""mt"")"),"X'kien l-għan tal-expedition ta 'Braddock?")</f>
        <v>X'kien l-għan tal-expedition ta 'Braddock?</v>
      </c>
    </row>
    <row r="7152" ht="15.75" customHeight="1">
      <c r="A7152" s="2" t="s">
        <v>7152</v>
      </c>
      <c r="B7152" s="2" t="str">
        <f>IFERROR(__xludf.DUMMYFUNCTION("GOOGLETRANSLATE(A7152, ""en"", ""mt"")"),"Meta Hitler ordna l-annihilazzjoni tal-ghetto Ġermaniż?")</f>
        <v>Meta Hitler ordna l-annihilazzjoni tal-ghetto Ġermaniż?</v>
      </c>
    </row>
    <row r="7153" ht="15.75" customHeight="1">
      <c r="A7153" s="2" t="s">
        <v>7153</v>
      </c>
      <c r="B7153" s="2" t="str">
        <f>IFERROR(__xludf.DUMMYFUNCTION("GOOGLETRANSLATE(A7153, ""en"", ""mt"")"),"9.8 miljun")</f>
        <v>9.8 miljun</v>
      </c>
    </row>
    <row r="7154" ht="15.75" customHeight="1">
      <c r="A7154" s="2" t="s">
        <v>7154</v>
      </c>
      <c r="B7154" s="2" t="str">
        <f>IFERROR(__xludf.DUMMYFUNCTION("GOOGLETRANSLATE(A7154, ""en"", ""mt"")"),"90 °")</f>
        <v>90 °</v>
      </c>
    </row>
    <row r="7155" ht="15.75" customHeight="1">
      <c r="A7155" s="2" t="s">
        <v>7155</v>
      </c>
      <c r="B7155" s="2" t="str">
        <f>IFERROR(__xludf.DUMMYFUNCTION("GOOGLETRANSLATE(A7155, ""en"", ""mt"")"),"żdied b’mod kostanti")</f>
        <v>żdied b’mod kostanti</v>
      </c>
    </row>
    <row r="7156" ht="15.75" customHeight="1">
      <c r="A7156" s="2" t="s">
        <v>7156</v>
      </c>
      <c r="B7156" s="2" t="str">
        <f>IFERROR(__xludf.DUMMYFUNCTION("GOOGLETRANSLATE(A7156, ""en"", ""mt"")"),"X'jaqla 'ħaddiema tal-kostruzzjoni b'14-il sena ta' esperjenza fil-Lvant Nofsani?")</f>
        <v>X'jaqla 'ħaddiema tal-kostruzzjoni b'14-il sena ta' esperjenza fil-Lvant Nofsani?</v>
      </c>
    </row>
    <row r="7157" ht="15.75" customHeight="1">
      <c r="A7157" s="2" t="s">
        <v>7157</v>
      </c>
      <c r="B7157" s="2" t="str">
        <f>IFERROR(__xludf.DUMMYFUNCTION("GOOGLETRANSLATE(A7157, ""en"", ""mt"")"),"Eġittu")</f>
        <v>Eġittu</v>
      </c>
    </row>
    <row r="7158" ht="15.75" customHeight="1">
      <c r="A7158" s="2" t="s">
        <v>7158</v>
      </c>
      <c r="B7158" s="2" t="str">
        <f>IFERROR(__xludf.DUMMYFUNCTION("GOOGLETRANSLATE(A7158, ""en"", ""mt"")"),"madwar 300")</f>
        <v>madwar 300</v>
      </c>
    </row>
    <row r="7159" ht="15.75" customHeight="1">
      <c r="A7159" s="2" t="s">
        <v>7159</v>
      </c>
      <c r="B7159" s="2" t="str">
        <f>IFERROR(__xludf.DUMMYFUNCTION("GOOGLETRANSLATE(A7159, ""en"", ""mt"")"),"Protestant")</f>
        <v>Protestant</v>
      </c>
    </row>
    <row r="7160" ht="15.75" customHeight="1">
      <c r="A7160" s="2" t="s">
        <v>7160</v>
      </c>
      <c r="B7160" s="2" t="str">
        <f>IFERROR(__xludf.DUMMYFUNCTION("GOOGLETRANSLATE(A7160, ""en"", ""mt"")"),"Bilaterjani")</f>
        <v>Bilaterjani</v>
      </c>
    </row>
    <row r="7161" ht="15.75" customHeight="1">
      <c r="A7161" s="2" t="s">
        <v>7161</v>
      </c>
      <c r="B7161" s="2" t="str">
        <f>IFERROR(__xludf.DUMMYFUNCTION("GOOGLETRANSLATE(A7161, ""en"", ""mt"")"),"Bojkottjar, tirrifjuta li tħallas it-taxxi, ipoġġu ins, u l-abbozzi li dodging kollha jagħmlu dak li hu diffiċli?")</f>
        <v>Bojkottjar, tirrifjuta li tħallas it-taxxi, ipoġġu ins, u l-abbozzi li dodging kollha jagħmlu dak li hu diffiċli?</v>
      </c>
    </row>
    <row r="7162" ht="15.75" customHeight="1">
      <c r="A7162" s="2" t="s">
        <v>7162</v>
      </c>
      <c r="B7162" s="2" t="str">
        <f>IFERROR(__xludf.DUMMYFUNCTION("GOOGLETRANSLATE(A7162, ""en"", ""mt"")"),"imfixkel")</f>
        <v>imfixkel</v>
      </c>
    </row>
    <row r="7163" ht="15.75" customHeight="1">
      <c r="A7163" s="2" t="s">
        <v>7163</v>
      </c>
      <c r="B7163" s="2" t="str">
        <f>IFERROR(__xludf.DUMMYFUNCTION("GOOGLETRANSLATE(A7163, ""en"", ""mt"")"),"Dinwiddie")</f>
        <v>Dinwiddie</v>
      </c>
    </row>
    <row r="7164" ht="15.75" customHeight="1">
      <c r="A7164" s="2" t="s">
        <v>7164</v>
      </c>
      <c r="B7164" s="2" t="str">
        <f>IFERROR(__xludf.DUMMYFUNCTION("GOOGLETRANSLATE(A7164, ""en"", ""mt"")"),"X'inhi l-akbar palazz fil-Kosta tal-Punent?")</f>
        <v>X'inhi l-akbar palazz fil-Kosta tal-Punent?</v>
      </c>
    </row>
    <row r="7165" ht="15.75" customHeight="1">
      <c r="A7165" s="2" t="s">
        <v>7165</v>
      </c>
      <c r="B7165" s="2" t="str">
        <f>IFERROR(__xludf.DUMMYFUNCTION("GOOGLETRANSLATE(A7165, ""en"", ""mt"")"),"Sultan Galiev u Vasyl Shakhrai")</f>
        <v>Sultan Galiev u Vasyl Shakhrai</v>
      </c>
    </row>
    <row r="7166" ht="15.75" customHeight="1">
      <c r="A7166" s="2" t="s">
        <v>7166</v>
      </c>
      <c r="B7166" s="2" t="str">
        <f>IFERROR(__xludf.DUMMYFUNCTION("GOOGLETRANSLATE(A7166, ""en"", ""mt"")"),"X’taqsibu diversi pajjiżi tal-Kungress?")</f>
        <v>X’taqsibu diversi pajjiżi tal-Kungress?</v>
      </c>
    </row>
    <row r="7167" ht="15.75" customHeight="1">
      <c r="A7167" s="2" t="s">
        <v>7167</v>
      </c>
      <c r="B7167" s="2" t="str">
        <f>IFERROR(__xludf.DUMMYFUNCTION("GOOGLETRANSLATE(A7167, ""en"", ""mt"")"),"Dak li ma kienx oriġinarjament teorizzat dwar żona ta 'kummerċ ħieles?")</f>
        <v>Dak li ma kienx oriġinarjament teorizzat dwar żona ta 'kummerċ ħieles?</v>
      </c>
    </row>
    <row r="7168" ht="15.75" customHeight="1">
      <c r="A7168" s="2" t="s">
        <v>7168</v>
      </c>
      <c r="B7168" s="2" t="str">
        <f>IFERROR(__xludf.DUMMYFUNCTION("GOOGLETRANSLATE(A7168, ""en"", ""mt"")"),"F'liema xahar ġiet ippubblikata r-riċerka ta 'Drancourt u Raoult fl-1998?")</f>
        <v>F'liema xahar ġiet ippubblikata r-riċerka ta 'Drancourt u Raoult fl-1998?</v>
      </c>
    </row>
    <row r="7169" ht="15.75" customHeight="1">
      <c r="A7169" s="2" t="s">
        <v>7169</v>
      </c>
      <c r="B7169" s="2" t="str">
        <f>IFERROR(__xludf.DUMMYFUNCTION("GOOGLETRANSLATE(A7169, ""en"", ""mt"")"),"Ford, Chrysler, u GM")</f>
        <v>Ford, Chrysler, u GM</v>
      </c>
    </row>
    <row r="7170" ht="15.75" customHeight="1">
      <c r="A7170" s="2" t="s">
        <v>7170</v>
      </c>
      <c r="B7170" s="2" t="str">
        <f>IFERROR(__xludf.DUMMYFUNCTION("GOOGLETRANSLATE(A7170, ""en"", ""mt"")"),"L-Afrika kif saret indipendenti tbiddlet il-liġijiet dwar il-missjunarji li jiġu l-Afrika?")</f>
        <v>L-Afrika kif saret indipendenti tbiddlet il-liġijiet dwar il-missjunarji li jiġu l-Afrika?</v>
      </c>
    </row>
    <row r="7171" ht="15.75" customHeight="1">
      <c r="A7171" s="2" t="s">
        <v>7171</v>
      </c>
      <c r="B7171" s="2" t="str">
        <f>IFERROR(__xludf.DUMMYFUNCTION("GOOGLETRANSLATE(A7171, ""en"", ""mt"")"),"X'kien mibni biex appoġġja l-NSF fl-1985-1999?")</f>
        <v>X'kien mibni biex appoġġja l-NSF fl-1985-1999?</v>
      </c>
    </row>
    <row r="7172" ht="15.75" customHeight="1">
      <c r="A7172" s="2" t="s">
        <v>7172</v>
      </c>
      <c r="B7172" s="2" t="str">
        <f>IFERROR(__xludf.DUMMYFUNCTION("GOOGLETRANSLATE(A7172, ""en"", ""mt"")"),"L-Astra 2a")</f>
        <v>L-Astra 2a</v>
      </c>
    </row>
    <row r="7173" ht="15.75" customHeight="1">
      <c r="A7173" s="2" t="s">
        <v>7173</v>
      </c>
      <c r="B7173" s="2" t="str">
        <f>IFERROR(__xludf.DUMMYFUNCTION("GOOGLETRANSLATE(A7173, ""en"", ""mt"")"),"X'inhi varjant tal-immuntar tal-pern sempliċi ta 'espansjoni?")</f>
        <v>X'inhi varjant tal-immuntar tal-pern sempliċi ta 'espansjoni?</v>
      </c>
    </row>
    <row r="7174" ht="15.75" customHeight="1">
      <c r="A7174" s="2" t="s">
        <v>7174</v>
      </c>
      <c r="B7174" s="2" t="str">
        <f>IFERROR(__xludf.DUMMYFUNCTION("GOOGLETRANSLATE(A7174, ""en"", ""mt"")"),"Qal, ""Fir-rigward tat-taħrika li tibgħatli biex nirtira, ma naħsibx lili nnifsi obbligat li nobdiha.""")</f>
        <v>Qal, "Fir-rigward tat-taħrika li tibgħatli biex nirtira, ma naħsibx lili nnifsi obbligat li nobdiha."</v>
      </c>
    </row>
    <row r="7175" ht="15.75" customHeight="1">
      <c r="A7175" s="2" t="s">
        <v>7175</v>
      </c>
      <c r="B7175" s="2" t="str">
        <f>IFERROR(__xludf.DUMMYFUNCTION("GOOGLETRANSLATE(A7175, ""en"", ""mt"")"),"X'tip ta 'magni saru mifruxa madwar l-aħħar tas-seklu 19?")</f>
        <v>X'tip ta 'magni saru mifruxa madwar l-aħħar tas-seklu 19?</v>
      </c>
    </row>
    <row r="7176" ht="15.75" customHeight="1">
      <c r="A7176" s="2" t="s">
        <v>7176</v>
      </c>
      <c r="B7176" s="2" t="str">
        <f>IFERROR(__xludf.DUMMYFUNCTION("GOOGLETRANSLATE(A7176, ""en"", ""mt"")"),"X'inhu d-Delta delimitat fit-Tramuntana minn?")</f>
        <v>X'inhu d-Delta delimitat fit-Tramuntana minn?</v>
      </c>
    </row>
    <row r="7177" ht="15.75" customHeight="1">
      <c r="A7177" s="2" t="s">
        <v>7177</v>
      </c>
      <c r="B7177" s="2" t="str">
        <f>IFERROR(__xludf.DUMMYFUNCTION("GOOGLETRANSLATE(A7177, ""en"", ""mt"")"),"Min kien ħareġ l-editt ta 'Nantes?")</f>
        <v>Min kien ħareġ l-editt ta 'Nantes?</v>
      </c>
    </row>
    <row r="7178" ht="15.75" customHeight="1">
      <c r="A7178" s="2" t="s">
        <v>7178</v>
      </c>
      <c r="B7178" s="2" t="str">
        <f>IFERROR(__xludf.DUMMYFUNCTION("GOOGLETRANSLATE(A7178, ""en"", ""mt"")"),"Fresno, _California")</f>
        <v>Fresno, _California</v>
      </c>
    </row>
    <row r="7179" ht="15.75" customHeight="1">
      <c r="A7179" s="2" t="s">
        <v>7179</v>
      </c>
      <c r="B7179" s="2" t="str">
        <f>IFERROR(__xludf.DUMMYFUNCTION("GOOGLETRANSLATE(A7179, ""en"", ""mt"")"),"ir-Reġina")</f>
        <v>ir-Reġina</v>
      </c>
    </row>
    <row r="7180" ht="15.75" customHeight="1">
      <c r="A7180" s="2" t="s">
        <v>7180</v>
      </c>
      <c r="B7180" s="2" t="str">
        <f>IFERROR(__xludf.DUMMYFUNCTION("GOOGLETRANSLATE(A7180, ""en"", ""mt"")"),"X'inhu terminu ieħor għas-sekwenza ta 'problema ta' problema?")</f>
        <v>X'inhu terminu ieħor għas-sekwenza ta 'problema ta' problema?</v>
      </c>
    </row>
    <row r="7181" ht="15.75" customHeight="1">
      <c r="A7181" s="2" t="s">
        <v>7181</v>
      </c>
      <c r="B7181" s="2" t="str">
        <f>IFERROR(__xludf.DUMMYFUNCTION("GOOGLETRANSLATE(A7181, ""en"", ""mt"")"),"Min kien wieħed mill-manifattur prominenti ta 'Arms-Descended Huguenot?")</f>
        <v>Min kien wieħed mill-manifattur prominenti ta 'Arms-Descended Huguenot?</v>
      </c>
    </row>
    <row r="7182" ht="15.75" customHeight="1">
      <c r="A7182" s="2" t="s">
        <v>7182</v>
      </c>
      <c r="B7182" s="2" t="str">
        <f>IFERROR(__xludf.DUMMYFUNCTION("GOOGLETRANSLATE(A7182, ""en"", ""mt"")"),"Kif inkella jistgħu l-petroloġisti jifhmu l-pressjonijiet li fihom jidhru fażijiet minerali differenti?")</f>
        <v>Kif inkella jistgħu l-petroloġisti jifhmu l-pressjonijiet li fihom jidhru fażijiet minerali differenti?</v>
      </c>
    </row>
    <row r="7183" ht="15.75" customHeight="1">
      <c r="A7183" s="2" t="s">
        <v>7183</v>
      </c>
      <c r="B7183" s="2" t="str">
        <f>IFERROR(__xludf.DUMMYFUNCTION("GOOGLETRANSLATE(A7183, ""en"", ""mt"")"),"Kemm hemm Amerikani Nattivi fl-1970?")</f>
        <v>Kemm hemm Amerikani Nattivi fl-1970?</v>
      </c>
    </row>
    <row r="7184" ht="15.75" customHeight="1">
      <c r="A7184" s="2" t="s">
        <v>7184</v>
      </c>
      <c r="B7184" s="2" t="str">
        <f>IFERROR(__xludf.DUMMYFUNCTION("GOOGLETRANSLATE(A7184, ""en"", ""mt"")"),"Inerzja rotazzjonali tal-pjaneta tad-dinja")</f>
        <v>Inerzja rotazzjonali tal-pjaneta tad-dinja</v>
      </c>
    </row>
    <row r="7185" ht="15.75" customHeight="1">
      <c r="A7185" s="2" t="s">
        <v>7185</v>
      </c>
      <c r="B7185" s="2" t="str">
        <f>IFERROR(__xludf.DUMMYFUNCTION("GOOGLETRANSLATE(A7185, ""en"", ""mt"")"),"8,000 sena ilu")</f>
        <v>8,000 sena ilu</v>
      </c>
    </row>
    <row r="7186" ht="15.75" customHeight="1">
      <c r="A7186" s="2" t="s">
        <v>7186</v>
      </c>
      <c r="B7186" s="2" t="str">
        <f>IFERROR(__xludf.DUMMYFUNCTION("GOOGLETRANSLATE(A7186, ""en"", ""mt"")"),"Minn xiex jirriżulta l-bond doppju kovalenti?")</f>
        <v>Minn xiex jirriżulta l-bond doppju kovalenti?</v>
      </c>
    </row>
    <row r="7187" ht="15.75" customHeight="1">
      <c r="A7187" s="2" t="s">
        <v>7187</v>
      </c>
      <c r="B7187" s="2" t="str">
        <f>IFERROR(__xludf.DUMMYFUNCTION("GOOGLETRANSLATE(A7187, ""en"", ""mt"")"),"X'inhuma l-annimali aktar kumplessi ttikkettjati meta jkollhom saff simili tal-ġelatina?")</f>
        <v>X'inhuma l-annimali aktar kumplessi ttikkettjati meta jkollhom saff simili tal-ġelatina?</v>
      </c>
    </row>
    <row r="7188" ht="15.75" customHeight="1">
      <c r="A7188" s="2" t="s">
        <v>7188</v>
      </c>
      <c r="B7188" s="2" t="str">
        <f>IFERROR(__xludf.DUMMYFUNCTION("GOOGLETRANSLATE(A7188, ""en"", ""mt"")"),"North Carolina u New Mexico")</f>
        <v>North Carolina u New Mexico</v>
      </c>
    </row>
    <row r="7189" ht="15.75" customHeight="1">
      <c r="A7189" s="2" t="s">
        <v>7189</v>
      </c>
      <c r="B7189" s="2" t="str">
        <f>IFERROR(__xludf.DUMMYFUNCTION("GOOGLETRANSLATE(A7189, ""en"", ""mt"")"),"X'inhu sors supplimentari tal-liġi tal-Unjoni Ewropea?")</f>
        <v>X'inhu sors supplimentari tal-liġi tal-Unjoni Ewropea?</v>
      </c>
    </row>
    <row r="7190" ht="15.75" customHeight="1">
      <c r="A7190" s="2" t="s">
        <v>7190</v>
      </c>
      <c r="B7190" s="2" t="str">
        <f>IFERROR(__xludf.DUMMYFUNCTION("GOOGLETRANSLATE(A7190, ""en"", ""mt"")"),"Mewġ sismiċi")</f>
        <v>Mewġ sismiċi</v>
      </c>
    </row>
    <row r="7191" ht="15.75" customHeight="1">
      <c r="A7191" s="2" t="s">
        <v>7191</v>
      </c>
      <c r="B7191" s="2" t="str">
        <f>IFERROR(__xludf.DUMMYFUNCTION("GOOGLETRANSLATE(A7191, ""en"", ""mt"")"),"L-immigranti waslu mid-dinja kollha biex ifittxu d-deheb, speċjalment mill-Irlanda u ċ-Ċina. Ħafna minaturi Ċiniżi ħadmu fir-Rabat, u l-wirt tagħhom huwa partikolarment qawwi f'Bendigo u l-inħawi tiegħu. Għalkemm kien hemm xi razziżmu dirett lejhom, ma ki"&amp;"enx hemm il-livell ta 'vjolenza kontra ċ-Ċiniżi li kien jidher fl-irvellijiet ċatti tal-ħaruf fi New South Wales. Madankollu, kien hemm irvellijiet fil-Wied ta 'Buckland qrib Bright fl-1857. Il-kundizzjonijiet fuq l-għelieqi tad-deheb kienu skomdi u mhux "&amp;"sanitarji; Tfaqqigħ ta 'tifojde fil-Wied ta' Buckland fl-1854 qatel aktar minn 1,000 minatur.")</f>
        <v>L-immigranti waslu mid-dinja kollha biex ifittxu d-deheb, speċjalment mill-Irlanda u ċ-Ċina. Ħafna minaturi Ċiniżi ħadmu fir-Rabat, u l-wirt tagħhom huwa partikolarment qawwi f'Bendigo u l-inħawi tiegħu. Għalkemm kien hemm xi razziżmu dirett lejhom, ma kienx hemm il-livell ta 'vjolenza kontra ċ-Ċiniżi li kien jidher fl-irvellijiet ċatti tal-ħaruf fi New South Wales. Madankollu, kien hemm irvellijiet fil-Wied ta 'Buckland qrib Bright fl-1857. Il-kundizzjonijiet fuq l-għelieqi tad-deheb kienu skomdi u mhux sanitarji; Tfaqqigħ ta 'tifojde fil-Wied ta' Buckland fl-1854 qatel aktar minn 1,000 minatur.</v>
      </c>
    </row>
    <row r="7192" ht="15.75" customHeight="1">
      <c r="A7192" s="2" t="s">
        <v>7192</v>
      </c>
      <c r="B7192" s="2" t="str">
        <f>IFERROR(__xludf.DUMMYFUNCTION("GOOGLETRANSLATE(A7192, ""en"", ""mt"")"),"Minn fejn hu Los Angeles distrett ta '?")</f>
        <v>Minn fejn hu Los Angeles distrett ta '?</v>
      </c>
    </row>
    <row r="7193" ht="15.75" customHeight="1">
      <c r="A7193" s="2" t="s">
        <v>7193</v>
      </c>
      <c r="B7193" s="2" t="str">
        <f>IFERROR(__xludf.DUMMYFUNCTION("GOOGLETRANSLATE(A7193, ""en"", ""mt"")"),"Min għamel lil Robert ta 'Jumieges Earl of Hereford?")</f>
        <v>Min għamel lil Robert ta 'Jumieges Earl of Hereford?</v>
      </c>
    </row>
    <row r="7194" ht="15.75" customHeight="1">
      <c r="A7194" s="2" t="s">
        <v>7194</v>
      </c>
      <c r="B7194" s="2" t="str">
        <f>IFERROR(__xludf.DUMMYFUNCTION("GOOGLETRANSLATE(A7194, ""en"", ""mt"")"),"X'inhi l-iktar riżorsa kritika fl-analiżi tal-problemi tal-komputazzjoni assoċjati ma 'magni tat-Turing mhux deterministiċi?")</f>
        <v>X'inhi l-iktar riżorsa kritika fl-analiżi tal-problemi tal-komputazzjoni assoċjati ma 'magni tat-Turing mhux deterministiċi?</v>
      </c>
    </row>
    <row r="7195" ht="15.75" customHeight="1">
      <c r="A7195" s="2" t="s">
        <v>7195</v>
      </c>
      <c r="B7195" s="2" t="str">
        <f>IFERROR(__xludf.DUMMYFUNCTION("GOOGLETRANSLATE(A7195, ""en"", ""mt"")"),"Fejn ġie rilokat il-Parlament temporanjament f'Mejju tas-sena 2000?")</f>
        <v>Fejn ġie rilokat il-Parlament temporanjament f'Mejju tas-sena 2000?</v>
      </c>
    </row>
    <row r="7196" ht="15.75" customHeight="1">
      <c r="A7196" s="2" t="s">
        <v>7196</v>
      </c>
      <c r="B7196" s="2" t="str">
        <f>IFERROR(__xludf.DUMMYFUNCTION("GOOGLETRANSLATE(A7196, ""en"", ""mt"")"),"Liema arti spiss kienu pprattikati flimkien mill-istess artisti?")</f>
        <v>Liema arti spiss kienu pprattikati flimkien mill-istess artisti?</v>
      </c>
    </row>
    <row r="7197" ht="15.75" customHeight="1">
      <c r="A7197" s="2" t="s">
        <v>7197</v>
      </c>
      <c r="B7197" s="2" t="str">
        <f>IFERROR(__xludf.DUMMYFUNCTION("GOOGLETRANSLATE(A7197, ""en"", ""mt"")"),"Liema protokoll kien popolari fis-snin 70 u 80 għal Apple?")</f>
        <v>Liema protokoll kien popolari fis-snin 70 u 80 għal Apple?</v>
      </c>
    </row>
    <row r="7198" ht="15.75" customHeight="1">
      <c r="A7198" s="2" t="s">
        <v>7198</v>
      </c>
      <c r="B7198" s="2" t="str">
        <f>IFERROR(__xludf.DUMMYFUNCTION("GOOGLETRANSLATE(A7198, ""en"", ""mt"")"),"X'għandhom jassorbu ċ-ċelloli T tal-helper?")</f>
        <v>X'għandhom jassorbu ċ-ċelloli T tal-helper?</v>
      </c>
    </row>
    <row r="7199" ht="15.75" customHeight="1">
      <c r="A7199" s="2" t="s">
        <v>7199</v>
      </c>
      <c r="B7199" s="2" t="str">
        <f>IFERROR(__xludf.DUMMYFUNCTION("GOOGLETRANSLATE(A7199, ""en"", ""mt"")"),"X'tip ta 'aċidi amminiċi huma rappreżentati żżejjed fir-reġjuni tal-epitopi?")</f>
        <v>X'tip ta 'aċidi amminiċi huma rappreżentati żżejjed fir-reġjuni tal-epitopi?</v>
      </c>
    </row>
    <row r="7200" ht="15.75" customHeight="1">
      <c r="A7200" s="2" t="s">
        <v>7200</v>
      </c>
      <c r="B7200" s="2" t="str">
        <f>IFERROR(__xludf.DUMMYFUNCTION("GOOGLETRANSLATE(A7200, ""en"", ""mt"")"),"X'jagħti l-imposta tal-pluton wara li sekwenza stratigrafika titkejjel fil-minerali?")</f>
        <v>X'jagħti l-imposta tal-pluton wara li sekwenza stratigrafika titkejjel fil-minerali?</v>
      </c>
    </row>
    <row r="7201" ht="15.75" customHeight="1">
      <c r="A7201" s="2" t="s">
        <v>7201</v>
      </c>
      <c r="B7201" s="2" t="str">
        <f>IFERROR(__xludf.DUMMYFUNCTION("GOOGLETRANSLATE(A7201, ""en"", ""mt"")"),"Liema kunċett ta 'Baran kien jirriċerka għall-Forza tal-Ajru tal-Istati Uniti?")</f>
        <v>Liema kunċett ta 'Baran kien jirriċerka għall-Forza tal-Ajru tal-Istati Uniti?</v>
      </c>
    </row>
    <row r="7202" ht="15.75" customHeight="1">
      <c r="A7202" s="2" t="s">
        <v>7202</v>
      </c>
      <c r="B7202" s="2" t="str">
        <f>IFERROR(__xludf.DUMMYFUNCTION("GOOGLETRANSLATE(A7202, ""en"", ""mt"")"),"Meta Varsavja kienet ikklassifikata bħala t-22 belt l-iktar li tista 'tgħix fid-dinja?")</f>
        <v>Meta Varsavja kienet ikklassifikata bħala t-22 belt l-iktar li tista 'tgħix fid-dinja?</v>
      </c>
    </row>
    <row r="7203" ht="15.75" customHeight="1">
      <c r="A7203" s="2" t="s">
        <v>7203</v>
      </c>
      <c r="B7203" s="2" t="str">
        <f>IFERROR(__xludf.DUMMYFUNCTION("GOOGLETRANSLATE(A7203, ""en"", ""mt"")"),"Aktar minn 28 jum")</f>
        <v>Aktar minn 28 jum</v>
      </c>
    </row>
    <row r="7204" ht="15.75" customHeight="1">
      <c r="A7204" s="2" t="s">
        <v>7204</v>
      </c>
      <c r="B7204" s="2" t="str">
        <f>IFERROR(__xludf.DUMMYFUNCTION("GOOGLETRANSLATE(A7204, ""en"", ""mt"")"),"Prattika tal-Ispiżerija Konsulent tiffoka aktar fuq ir-reviżjoni tal-iskema ta 'medikazzjoni (i.e. ""servizzi konjittivi"") milli fuq it-tqassim attwali tad-drogi. L-ispiżjara konsulenti l-aktar jaħdmu tipikament fid-djar tal-anzjani, iżda qegħdin dejjem "&amp;"aktar fergħat f'istituzzjonijiet oħra u f'ambjenti mhux istituzzjonali. Tradizzjonalment l-ispiżjara konsulenti ġeneralment kienu sidien ta 'negozji indipendenti, għalkemm fl-Istati Uniti ħafna issa jaħdmu għal bosta kumpaniji kbar ta' ġestjoni tal-ispiże"&amp;"rija (primarjament Omnicare, Kindred Healthcare u Pharmerica). Din ix-xejra tista 'tinqaleb gradwalment hekk kif l-ispiżjara konsulenti jibdew jaħdmu direttament mal-pazjenti, primarjament minħabba li ħafna nies anzjani issa qed jieħdu bosta mediċini iżda"&amp;" jkomplu jgħixu barra mill-ambjenti istituzzjonali. Xi spiżeriji tal-komunità jimpjegaw spiżjara konsulenti u / jew jipprovdu servizzi ta 'konsultazzjoni.")</f>
        <v>Prattika tal-Ispiżerija Konsulent tiffoka aktar fuq ir-reviżjoni tal-iskema ta 'medikazzjoni (i.e. "servizzi konjittivi") milli fuq it-tqassim attwali tad-drogi. L-ispiżjara konsulenti l-aktar jaħdmu tipikament fid-djar tal-anzjani, iżda qegħdin dejjem aktar fergħat f'istituzzjonijiet oħra u f'ambjenti mhux istituzzjonali. Tradizzjonalment l-ispiżjara konsulenti ġeneralment kienu sidien ta 'negozji indipendenti, għalkemm fl-Istati Uniti ħafna issa jaħdmu għal bosta kumpaniji kbar ta' ġestjoni tal-ispiżerija (primarjament Omnicare, Kindred Healthcare u Pharmerica). Din ix-xejra tista 'tinqaleb gradwalment hekk kif l-ispiżjara konsulenti jibdew jaħdmu direttament mal-pazjenti, primarjament minħabba li ħafna nies anzjani issa qed jieħdu bosta mediċini iżda jkomplu jgħixu barra mill-ambjenti istituzzjonali. Xi spiżeriji tal-komunità jimpjegaw spiżjara konsulenti u / jew jipprovdu servizzi ta 'konsultazzjoni.</v>
      </c>
    </row>
    <row r="7205" ht="15.75" customHeight="1">
      <c r="A7205" s="2" t="s">
        <v>7205</v>
      </c>
      <c r="B7205" s="2" t="str">
        <f>IFERROR(__xludf.DUMMYFUNCTION("GOOGLETRANSLATE(A7205, ""en"", ""mt"")"),"protesta")</f>
        <v>protesta</v>
      </c>
    </row>
    <row r="7206" ht="15.75" customHeight="1">
      <c r="A7206" s="2" t="s">
        <v>7206</v>
      </c>
      <c r="B7206" s="2" t="str">
        <f>IFERROR(__xludf.DUMMYFUNCTION("GOOGLETRANSLATE(A7206, ""en"", ""mt"")"),"Fejn kienet il-popolazzjoni Huguenot ta 'Franza fil-biċċa l-kbira ċċentrata?")</f>
        <v>Fejn kienet il-popolazzjoni Huguenot ta 'Franza fil-biċċa l-kbira ċċentrata?</v>
      </c>
    </row>
    <row r="7207" ht="15.75" customHeight="1">
      <c r="A7207" s="2" t="s">
        <v>7207</v>
      </c>
      <c r="B7207" s="2" t="str">
        <f>IFERROR(__xludf.DUMMYFUNCTION("GOOGLETRANSLATE(A7207, ""en"", ""mt"")"),"Minbarra San Bernardino, x'inhu l-isem tal-belt l-oħra li żżomm id-distretti inkluż il-belt tal-università?")</f>
        <v>Minbarra San Bernardino, x'inhu l-isem tal-belt l-oħra li żżomm id-distretti inkluż il-belt tal-università?</v>
      </c>
    </row>
    <row r="7208" ht="15.75" customHeight="1">
      <c r="A7208" s="2" t="s">
        <v>7208</v>
      </c>
      <c r="B7208" s="2" t="str">
        <f>IFERROR(__xludf.DUMMYFUNCTION("GOOGLETRANSLATE(A7208, ""en"", ""mt"")"),"Peabody Museum of Arkeology and Ethnology")</f>
        <v>Peabody Museum of Arkeology and Ethnology</v>
      </c>
    </row>
    <row r="7209" ht="15.75" customHeight="1">
      <c r="A7209" s="2" t="s">
        <v>7209</v>
      </c>
      <c r="B7209" s="2" t="str">
        <f>IFERROR(__xludf.DUMMYFUNCTION("GOOGLETRANSLATE(A7209, ""en"", ""mt"")"),"Duncan")</f>
        <v>Duncan</v>
      </c>
    </row>
    <row r="7210" ht="15.75" customHeight="1">
      <c r="A7210" s="2" t="s">
        <v>7210</v>
      </c>
      <c r="B7210" s="2" t="str">
        <f>IFERROR(__xludf.DUMMYFUNCTION("GOOGLETRANSLATE(A7210, ""en"", ""mt"")"),"Id-dħul tal-undergraduate f'Harvard huwa kkaratterizzat mill-Fondazzjoni Carnegie bħala ""aktar selettiv, aktar baxx ta 'trasferiment"". Il-Kulleġġ ta ’Harvard aċċetta 5.3% tal-applikanti għall-Klassi tal-2019, rekord baxx u t-tieni rata ta’ aċċettazzjoni"&amp;" l-iktar baxxa fost l-universitajiet nazzjonali kollha. Il-Kulleġġ ta 'Harvard temm il-programm ta' ammissjoni bikrija tiegħu fl-2007 peress li l-programm kien maħsub li żvantaġġja applikanti ta 'minoranza bi dħul baxx u mhux rappreżentati li japplikaw għ"&amp;"al universitajiet selettivi, iżda għall-klassi tal-2016 ġie introdott programm ta' azzjoni bikrija.")</f>
        <v>Id-dħul tal-undergraduate f'Harvard huwa kkaratterizzat mill-Fondazzjoni Carnegie bħala "aktar selettiv, aktar baxx ta 'trasferiment". Il-Kulleġġ ta ’Harvard aċċetta 5.3% tal-applikanti għall-Klassi tal-2019, rekord baxx u t-tieni rata ta’ aċċettazzjoni l-iktar baxxa fost l-universitajiet nazzjonali kollha. Il-Kulleġġ ta 'Harvard temm il-programm ta' ammissjoni bikrija tiegħu fl-2007 peress li l-programm kien maħsub li żvantaġġja applikanti ta 'minoranza bi dħul baxx u mhux rappreżentati li japplikaw għal universitajiet selettivi, iżda għall-klassi tal-2016 ġie introdott programm ta' azzjoni bikrija.</v>
      </c>
    </row>
    <row r="7211" ht="15.75" customHeight="1">
      <c r="A7211" s="2" t="s">
        <v>7211</v>
      </c>
      <c r="B7211" s="2" t="str">
        <f>IFERROR(__xludf.DUMMYFUNCTION("GOOGLETRANSLATE(A7211, ""en"", ""mt"")"),"T (n) = o (n2)")</f>
        <v>T (n) = o (n2)</v>
      </c>
    </row>
    <row r="7212" ht="15.75" customHeight="1">
      <c r="A7212" s="2" t="s">
        <v>7212</v>
      </c>
      <c r="B7212" s="2" t="str">
        <f>IFERROR(__xludf.DUMMYFUNCTION("GOOGLETRANSLATE(A7212, ""en"", ""mt"")"),"Dak li kont issellef lit-tim ta 'studenti tal-Università tat-Tramuntana niskopri l-fuħħar?")</f>
        <v>Dak li kont issellef lit-tim ta 'studenti tal-Università tat-Tramuntana niskopri l-fuħħar?</v>
      </c>
    </row>
    <row r="7213" ht="15.75" customHeight="1">
      <c r="A7213" s="2" t="s">
        <v>7213</v>
      </c>
      <c r="B7213" s="2" t="str">
        <f>IFERROR(__xludf.DUMMYFUNCTION("GOOGLETRANSLATE(A7213, ""en"", ""mt"")"),"X'għandu jsir biex tagħmel il-liġi mhux pubblika rikonoxxuta bħala diżubbidjenza ċivili?")</f>
        <v>X'għandu jsir biex tagħmel il-liġi mhux pubblika rikonoxxuta bħala diżubbidjenza ċivili?</v>
      </c>
    </row>
    <row r="7214" ht="15.75" customHeight="1">
      <c r="A7214" s="2" t="s">
        <v>7214</v>
      </c>
      <c r="B7214" s="2" t="str">
        <f>IFERROR(__xludf.DUMMYFUNCTION("GOOGLETRANSLATE(A7214, ""en"", ""mt"")"),"Soċjetà Filosofika Amerikana")</f>
        <v>Soċjetà Filosofika Amerikana</v>
      </c>
    </row>
    <row r="7215" ht="15.75" customHeight="1">
      <c r="A7215" s="2" t="s">
        <v>7215</v>
      </c>
      <c r="B7215" s="2" t="str">
        <f>IFERROR(__xludf.DUMMYFUNCTION("GOOGLETRANSLATE(A7215, ""en"", ""mt"")"),"15 ta ’Frar 1763")</f>
        <v>15 ta ’Frar 1763</v>
      </c>
    </row>
    <row r="7216" ht="15.75" customHeight="1">
      <c r="A7216" s="2" t="s">
        <v>7216</v>
      </c>
      <c r="B7216" s="2" t="str">
        <f>IFERROR(__xludf.DUMMYFUNCTION("GOOGLETRANSLATE(A7216, ""en"", ""mt"")"),"Liema kulturi ma kinux parti mill-amministrazzjoni ta 'Kublai?")</f>
        <v>Liema kulturi ma kinux parti mill-amministrazzjoni ta 'Kublai?</v>
      </c>
    </row>
    <row r="7217" ht="15.75" customHeight="1">
      <c r="A7217" s="2" t="s">
        <v>7217</v>
      </c>
      <c r="B7217" s="2" t="str">
        <f>IFERROR(__xludf.DUMMYFUNCTION("GOOGLETRANSLATE(A7217, ""en"", ""mt"")"),"X'inhi università oħra notevoli f'Varsavja wara l-Università ta 'Varsavja?")</f>
        <v>X'inhi università oħra notevoli f'Varsavja wara l-Università ta 'Varsavja?</v>
      </c>
    </row>
    <row r="7218" ht="15.75" customHeight="1">
      <c r="A7218" s="2" t="s">
        <v>7218</v>
      </c>
      <c r="B7218" s="2" t="str">
        <f>IFERROR(__xludf.DUMMYFUNCTION("GOOGLETRANSLATE(A7218, ""en"", ""mt"")"),"X'tip ta 'komunikazzjoni tista' tiġi implimentata?")</f>
        <v>X'tip ta 'komunikazzjoni tista' tiġi implimentata?</v>
      </c>
    </row>
    <row r="7219" ht="15.75" customHeight="1">
      <c r="A7219" s="2" t="s">
        <v>7219</v>
      </c>
      <c r="B7219" s="2" t="str">
        <f>IFERROR(__xludf.DUMMYFUNCTION("GOOGLETRANSLATE(A7219, ""en"", ""mt"")"),"Cytokine TGF-β")</f>
        <v>Cytokine TGF-β</v>
      </c>
    </row>
    <row r="7220" ht="15.75" customHeight="1">
      <c r="A7220" s="2" t="s">
        <v>7220</v>
      </c>
      <c r="B7220" s="2" t="str">
        <f>IFERROR(__xludf.DUMMYFUNCTION("GOOGLETRANSLATE(A7220, ""en"", ""mt"")"),"mistrieħ")</f>
        <v>mistrieħ</v>
      </c>
    </row>
    <row r="7221" ht="15.75" customHeight="1">
      <c r="A7221" s="2" t="s">
        <v>7221</v>
      </c>
      <c r="B7221" s="2" t="str">
        <f>IFERROR(__xludf.DUMMYFUNCTION("GOOGLETRANSLATE(A7221, ""en"", ""mt"")"),"Liema sena r-Re Sigismund III Vasa mexa l-qorti tiegħu lejn Varsavja?")</f>
        <v>Liema sena r-Re Sigismund III Vasa mexa l-qorti tiegħu lejn Varsavja?</v>
      </c>
    </row>
    <row r="7222" ht="15.75" customHeight="1">
      <c r="A7222" s="2" t="s">
        <v>7222</v>
      </c>
      <c r="B7222" s="2" t="str">
        <f>IFERROR(__xludf.DUMMYFUNCTION("GOOGLETRANSLATE(A7222, ""en"", ""mt"")"),"Ir-Repubblika Iżlamika żammet ukoll il-poter tagħha fl-Iran minkejja s-sanzjonijiet ekonomiċi tal-Istati Uniti, u ħolqot jew assistiet gruppi terroristiċi Shia li jaħsbuha l-istess fl-Iraq, l-Eġittu, is-Sirja, il-Ġordan (Sciri) u l-Libanu (Hezbollah) (żew"&amp;"ġ pajjiżi Musulmani (żewġ pajjiżi Musulmani (żewġ li għandhom ukoll popolazzjonijiet tax-Xiti kbar). Matul il-kunflitt Iżrael-Libanon tal-2006, il-gvern Iranjan gawda xi ħaġa ta 'qawmien mill-ġdid fil-popolarità fost il-predominantement Sunni ""Triq Għarb"&amp;"ija"", minħabba l-appoġġ tagħha għall-Hezbollah u għall-oppożizzjoni vehement tal-President Mahmoud Ahmadinejad għall-Istati Uniti u s-sejħa tiegħu li l-Iżrael għandu jisparixxi.")</f>
        <v>Ir-Repubblika Iżlamika żammet ukoll il-poter tagħha fl-Iran minkejja s-sanzjonijiet ekonomiċi tal-Istati Uniti, u ħolqot jew assistiet gruppi terroristiċi Shia li jaħsbuha l-istess fl-Iraq, l-Eġittu, is-Sirja, il-Ġordan (Sciri) u l-Libanu (Hezbollah) (żewġ pajjiżi Musulmani (żewġ pajjiżi Musulmani (żewġ li għandhom ukoll popolazzjonijiet tax-Xiti kbar). Matul il-kunflitt Iżrael-Libanon tal-2006, il-gvern Iranjan gawda xi ħaġa ta 'qawmien mill-ġdid fil-popolarità fost il-predominantement Sunni "Triq Għarbija", minħabba l-appoġġ tagħha għall-Hezbollah u għall-oppożizzjoni vehement tal-President Mahmoud Ahmadinejad għall-Istati Uniti u s-sejħa tiegħu li l-Iżrael għandu jisparixxi.</v>
      </c>
    </row>
    <row r="7223" ht="15.75" customHeight="1">
      <c r="A7223" s="2" t="s">
        <v>7223</v>
      </c>
      <c r="B7223" s="2" t="str">
        <f>IFERROR(__xludf.DUMMYFUNCTION("GOOGLETRANSLATE(A7223, ""en"", ""mt"")"),"Liema skejjel ta 'skejjel preparatorji jħejju tfal Ingliżi biex jattendu?")</f>
        <v>Liema skejjel ta 'skejjel preparatorji jħejju tfal Ingliżi biex jattendu?</v>
      </c>
    </row>
    <row r="7224" ht="15.75" customHeight="1">
      <c r="A7224" s="2" t="s">
        <v>7224</v>
      </c>
      <c r="B7224" s="2" t="str">
        <f>IFERROR(__xludf.DUMMYFUNCTION("GOOGLETRANSLATE(A7224, ""en"", ""mt"")"),"Kemm hemm sorsi tal-liġi tal-Unjoni Ewropea?")</f>
        <v>Kemm hemm sorsi tal-liġi tal-Unjoni Ewropea?</v>
      </c>
    </row>
    <row r="7225" ht="15.75" customHeight="1">
      <c r="A7225" s="2" t="s">
        <v>7225</v>
      </c>
      <c r="B7225" s="2" t="str">
        <f>IFERROR(__xludf.DUMMYFUNCTION("GOOGLETRANSLATE(A7225, ""en"", ""mt"")"),"infidili")</f>
        <v>infidili</v>
      </c>
    </row>
    <row r="7226" ht="15.75" customHeight="1">
      <c r="A7226" s="2" t="s">
        <v>7226</v>
      </c>
      <c r="B7226" s="2" t="str">
        <f>IFERROR(__xludf.DUMMYFUNCTION("GOOGLETRANSLATE(A7226, ""en"", ""mt"")"),"F’liema sena Jani beda sar mexxej tal-armata Mongoljana?")</f>
        <v>F’liema sena Jani beda sar mexxej tal-armata Mongoljana?</v>
      </c>
    </row>
    <row r="7227" ht="15.75" customHeight="1">
      <c r="A7227" s="2" t="s">
        <v>7227</v>
      </c>
      <c r="B7227" s="2" t="str">
        <f>IFERROR(__xludf.DUMMYFUNCTION("GOOGLETRANSLATE(A7227, ""en"", ""mt"")"),"Id-dritt li jinħolqu skejjel privati ​​fil-Ġermanja jinsab fl-Artikolu 7, il-paragrafu 4 tal-Grundgesetz u ma jistax jiġi sospiż anke fi stat ta 'emerġenza. Mhuwiex possibbli wkoll li jitneħħew dawn id-drittijiet. Din il-protezzjoni mhux tas-soltu ta 'ske"&amp;"jjel privati ​​ġiet implimentata biex tipproteġi dawn l-iskejjel mit-tieni Gleichschaltung jew avveniment simili fil-futur. Xorta, huma inqas komuni milli f'ħafna pajjiżi oħra. B'mod ġenerali, bejn l-1992 u l-2008 il-mija tal-istudenti fi skejjel bħal daw"&amp;"n fil-Ġermanja żdiedu minn 6.1% għal 7.8% (inkluż żieda minn 0.5% għal 6.1% fl-eks GDR). Perċentwali ta 'studenti fi skejjel għolja privati ​​laħqu 11.1%.")</f>
        <v>Id-dritt li jinħolqu skejjel privati ​​fil-Ġermanja jinsab fl-Artikolu 7, il-paragrafu 4 tal-Grundgesetz u ma jistax jiġi sospiż anke fi stat ta 'emerġenza. Mhuwiex possibbli wkoll li jitneħħew dawn id-drittijiet. Din il-protezzjoni mhux tas-soltu ta 'skejjel privati ​​ġiet implimentata biex tipproteġi dawn l-iskejjel mit-tieni Gleichschaltung jew avveniment simili fil-futur. Xorta, huma inqas komuni milli f'ħafna pajjiżi oħra. B'mod ġenerali, bejn l-1992 u l-2008 il-mija tal-istudenti fi skejjel bħal dawn fil-Ġermanja żdiedu minn 6.1% għal 7.8% (inkluż żieda minn 0.5% għal 6.1% fl-eks GDR). Perċentwali ta 'studenti fi skejjel għolja privati ​​laħqu 11.1%.</v>
      </c>
    </row>
    <row r="7228" ht="15.75" customHeight="1">
      <c r="A7228" s="2" t="s">
        <v>7228</v>
      </c>
      <c r="B7228" s="2" t="str">
        <f>IFERROR(__xludf.DUMMYFUNCTION("GOOGLETRANSLATE(A7228, ""en"", ""mt"")"),"Liema armata kienet qed timbotta fil-fond fit-territorju Pollakk biex issegwi l-ġellieda tal-armata tad-dar fl-1944?")</f>
        <v>Liema armata kienet qed timbotta fil-fond fit-territorju Pollakk biex issegwi l-ġellieda tal-armata tad-dar fl-1944?</v>
      </c>
    </row>
    <row r="7229" ht="15.75" customHeight="1">
      <c r="A7229" s="2" t="s">
        <v>7229</v>
      </c>
      <c r="B7229" s="2" t="str">
        <f>IFERROR(__xludf.DUMMYFUNCTION("GOOGLETRANSLATE(A7229, ""en"", ""mt"")"),"L-inerzja rotazzjonali tal-pjaneta tad-dinja")</f>
        <v>L-inerzja rotazzjonali tal-pjaneta tad-dinja</v>
      </c>
    </row>
    <row r="7230" ht="15.75" customHeight="1">
      <c r="A7230" s="2" t="s">
        <v>7230</v>
      </c>
      <c r="B7230" s="2" t="str">
        <f>IFERROR(__xludf.DUMMYFUNCTION("GOOGLETRANSLATE(A7230, ""en"", ""mt"")"),"Kemm hemm klassijiet barra mill-konċentrazzjoni tagħhom il-Fondazzjoni Carnegie fl-2007?")</f>
        <v>Kemm hemm klassijiet barra mill-konċentrazzjoni tagħhom il-Fondazzjoni Carnegie fl-2007?</v>
      </c>
    </row>
    <row r="7231" ht="15.75" customHeight="1">
      <c r="A7231" s="2" t="s">
        <v>7231</v>
      </c>
      <c r="B7231" s="2" t="str">
        <f>IFERROR(__xludf.DUMMYFUNCTION("GOOGLETRANSLATE(A7231, ""en"", ""mt"")"),"aġenziji tal-gvern u kumpaniji kbar (l-aktar banek u linji tal-ajru) biex jibnu n-netwerks iddedikati tagħhom stess")</f>
        <v>aġenziji tal-gvern u kumpaniji kbar (l-aktar banek u linji tal-ajru) biex jibnu n-netwerks iddedikati tagħhom stess</v>
      </c>
    </row>
    <row r="7232" ht="15.75" customHeight="1">
      <c r="A7232" s="2" t="s">
        <v>7232</v>
      </c>
      <c r="B7232" s="2" t="str">
        <f>IFERROR(__xludf.DUMMYFUNCTION("GOOGLETRANSLATE(A7232, ""en"", ""mt"")"),"Rudyard Kipling kien kelliem influwenti għal xiex?")</f>
        <v>Rudyard Kipling kien kelliem influwenti għal xiex?</v>
      </c>
    </row>
    <row r="7233" ht="15.75" customHeight="1">
      <c r="A7233" s="2" t="s">
        <v>7233</v>
      </c>
      <c r="B7233" s="2" t="str">
        <f>IFERROR(__xludf.DUMMYFUNCTION("GOOGLETRANSLATE(A7233, ""en"", ""mt"")"),"Th1")</f>
        <v>Th1</v>
      </c>
    </row>
    <row r="7234" ht="15.75" customHeight="1">
      <c r="A7234" s="2" t="s">
        <v>7234</v>
      </c>
      <c r="B7234" s="2" t="str">
        <f>IFERROR(__xludf.DUMMYFUNCTION("GOOGLETRANSLATE(A7234, ""en"", ""mt"")"),"Kisi tat-turbina")</f>
        <v>Kisi tat-turbina</v>
      </c>
    </row>
    <row r="7235" ht="15.75" customHeight="1">
      <c r="A7235" s="2" t="s">
        <v>7235</v>
      </c>
      <c r="B7235" s="2" t="str">
        <f>IFERROR(__xludf.DUMMYFUNCTION("GOOGLETRANSLATE(A7235, ""en"", ""mt"")"),"X'inhu ddikjarat fl-Artikolu 5 tat-Trattat tal-KE?")</f>
        <v>X'inhu ddikjarat fl-Artikolu 5 tat-Trattat tal-KE?</v>
      </c>
    </row>
    <row r="7236" ht="15.75" customHeight="1">
      <c r="A7236" s="2" t="s">
        <v>7236</v>
      </c>
      <c r="B7236" s="2" t="str">
        <f>IFERROR(__xludf.DUMMYFUNCTION("GOOGLETRANSLATE(A7236, ""en"", ""mt"")"),"Għaliex Varsavja saret il-kapitali tal-Commonwealth?")</f>
        <v>Għaliex Varsavja saret il-kapitali tal-Commonwealth?</v>
      </c>
    </row>
    <row r="7237" ht="15.75" customHeight="1">
      <c r="A7237" s="2" t="s">
        <v>7237</v>
      </c>
      <c r="B7237" s="2" t="str">
        <f>IFERROR(__xludf.DUMMYFUNCTION("GOOGLETRANSLATE(A7237, ""en"", ""mt"")"),"Għal liema ferrovija Murray bena lokomottiva fl-1825?")</f>
        <v>Għal liema ferrovija Murray bena lokomottiva fl-1825?</v>
      </c>
    </row>
    <row r="7238" ht="15.75" customHeight="1">
      <c r="A7238" s="2" t="s">
        <v>7238</v>
      </c>
      <c r="B7238" s="2" t="str">
        <f>IFERROR(__xludf.DUMMYFUNCTION("GOOGLETRANSLATE(A7238, ""en"", ""mt"")"),"ċelloli dendritiċi, keratinocytes u makrofaġi")</f>
        <v>ċelloli dendritiċi, keratinocytes u makrofaġi</v>
      </c>
    </row>
    <row r="7239" ht="15.75" customHeight="1">
      <c r="A7239" s="2" t="s">
        <v>7239</v>
      </c>
      <c r="B7239" s="2" t="str">
        <f>IFERROR(__xludf.DUMMYFUNCTION("GOOGLETRANSLATE(A7239, ""en"", ""mt"")"),"F’liema sena ġie elett Henry Ware fuq il-President?")</f>
        <v>F’liema sena ġie elett Henry Ware fuq il-President?</v>
      </c>
    </row>
    <row r="7240" ht="15.75" customHeight="1">
      <c r="A7240" s="2" t="s">
        <v>7240</v>
      </c>
      <c r="B7240" s="2" t="str">
        <f>IFERROR(__xludf.DUMMYFUNCTION("GOOGLETRANSLATE(A7240, ""en"", ""mt"")"),"Għin biex tippreserva t-tolleranza tas-soċjetà għad-diżubbidjenza ċivili")</f>
        <v>Għin biex tippreserva t-tolleranza tas-soċjetà għad-diżubbidjenza ċivili</v>
      </c>
    </row>
    <row r="7241" ht="15.75" customHeight="1">
      <c r="A7241" s="2" t="s">
        <v>7241</v>
      </c>
      <c r="B7241" s="2" t="str">
        <f>IFERROR(__xludf.DUMMYFUNCTION("GOOGLETRANSLATE(A7241, ""en"", ""mt"")"),"X'inhuma meqjusa inqas preċiż bħala ""interazzjonijiet fundamentali""?")</f>
        <v>X'inhuma meqjusa inqas preċiż bħala "interazzjonijiet fundamentali"?</v>
      </c>
    </row>
    <row r="7242" ht="15.75" customHeight="1">
      <c r="A7242" s="2" t="s">
        <v>7242</v>
      </c>
      <c r="B7242" s="2" t="str">
        <f>IFERROR(__xludf.DUMMYFUNCTION("GOOGLETRANSLATE(A7242, ""en"", ""mt"")"),"Liema teorija tal-immunità m'għadhiex influwenti?")</f>
        <v>Liema teorija tal-immunità m'għadhiex influwenti?</v>
      </c>
    </row>
    <row r="7243" ht="15.75" customHeight="1">
      <c r="A7243" s="2" t="s">
        <v>7243</v>
      </c>
      <c r="B7243" s="2" t="str">
        <f>IFERROR(__xludf.DUMMYFUNCTION("GOOGLETRANSLATE(A7243, ""en"", ""mt"")"),"Għal żmien twil, kien maħsub li l-foresta tropikali tal-Amażonja kienet biss ippopolata ftit, peress li kien impossibbli li ssostni popolazzjoni kbira permezz tal-agrikoltura minħabba l-ħamrija fqira. L-arkeologu Betty Meggers kienet proponent prominenti "&amp;"ta 'din l-idea, kif deskritt fil-ktieb tagħha Amazonia: Man and Culture in a Fals Paradise. Hija sostniet li densità ta 'popolazzjoni ta' 0.2 abitanti għal kull kilometru kwadru (0.52 / sq mi) hija l-massimu li jista 'jiġi sostnut fil-foresta tropikali pe"&amp;"rmezz tal-kaċċa, bl-agrikoltura meħtieġa biex tospita popolazzjoni akbar. Madankollu, sejbiet antropoloġiċi reċenti ssuġġerew li r-reġjun kien attwalment popolat densament. Xi 5 miljun persuna setgħu għexu fir-reġjun tal-Amażonja fl-1500 AD, maqsuma bejn "&amp;"insedjamenti kostali densi, bħal dak f'Marijó, u dawk li joqogħdu interni. Sal-1900 il-popolazzjoni kienet naqset għal 1 miljun u sal-bidu tas-snin 1980 kienet inqas minn 200,000.")</f>
        <v>Għal żmien twil, kien maħsub li l-foresta tropikali tal-Amażonja kienet biss ippopolata ftit, peress li kien impossibbli li ssostni popolazzjoni kbira permezz tal-agrikoltura minħabba l-ħamrija fqira. L-arkeologu Betty Meggers kienet proponent prominenti ta 'din l-idea, kif deskritt fil-ktieb tagħha Amazonia: Man and Culture in a Fals Paradise. Hija sostniet li densità ta 'popolazzjoni ta' 0.2 abitanti għal kull kilometru kwadru (0.52 / sq mi) hija l-massimu li jista 'jiġi sostnut fil-foresta tropikali permezz tal-kaċċa, bl-agrikoltura meħtieġa biex tospita popolazzjoni akbar. Madankollu, sejbiet antropoloġiċi reċenti ssuġġerew li r-reġjun kien attwalment popolat densament. Xi 5 miljun persuna setgħu għexu fir-reġjun tal-Amażonja fl-1500 AD, maqsuma bejn insedjamenti kostali densi, bħal dak f'Marijó, u dawk li joqogħdu interni. Sal-1900 il-popolazzjoni kienet naqset għal 1 miljun u sal-bidu tas-snin 1980 kienet inqas minn 200,000.</v>
      </c>
    </row>
    <row r="7244" ht="15.75" customHeight="1">
      <c r="A7244" s="2" t="s">
        <v>7244</v>
      </c>
      <c r="B7244" s="2" t="str">
        <f>IFERROR(__xludf.DUMMYFUNCTION("GOOGLETRANSLATE(A7244, ""en"", ""mt"")"),"Liema unjoni hija parti minn Antonis Samaras?")</f>
        <v>Liema unjoni hija parti minn Antonis Samaras?</v>
      </c>
    </row>
    <row r="7245" ht="15.75" customHeight="1">
      <c r="A7245" s="2" t="s">
        <v>7245</v>
      </c>
      <c r="B7245" s="2" t="str">
        <f>IFERROR(__xludf.DUMMYFUNCTION("GOOGLETRANSLATE(A7245, ""en"", ""mt"")"),"F’ħafna partijiet ta ’l-Istati Uniti, wara d-deċiżjoni tal-1954 fil-Każ tal-Qorti ta’ Landmark Brown v. Board of Education of Topeka li talbu skejjel ta ’l-Istati Uniti desegregati"" bil-veloċità kollha deliberati ”, il-familji lokali organizzaw mewġa ta’"&amp;" “akkademji Kristjani” privati. F’ħafna mill-Istati Uniti tan-Nofsinhar, ħafna studenti bojod emigraw lejn l-akkademji, filwaqt li l-iskejjel pubbliċi saru aktar ikkonċentrati ħafna ma ’studenti Afrikani-Amerikani (ara l-lista ta’ skejjel privati ​​f’Miss"&amp;"issippi). Il-kontenut akkademiku tal-akkademji ġeneralment kien preparatorju fil-kulleġġ. Mill-1970, ħafna minn dawn l- ""akkademji ta 'segregazzjoni"" għalaq, għalkemm xi wħud jibqgħu joperaw. [Ċitazzjoni meħtieġa]")</f>
        <v>F’ħafna partijiet ta ’l-Istati Uniti, wara d-deċiżjoni tal-1954 fil-Każ tal-Qorti ta’ Landmark Brown v. Board of Education of Topeka li talbu skejjel ta ’l-Istati Uniti desegregati" bil-veloċità kollha deliberati ”, il-familji lokali organizzaw mewġa ta’ “akkademji Kristjani” privati. F’ħafna mill-Istati Uniti tan-Nofsinhar, ħafna studenti bojod emigraw lejn l-akkademji, filwaqt li l-iskejjel pubbliċi saru aktar ikkonċentrati ħafna ma ’studenti Afrikani-Amerikani (ara l-lista ta’ skejjel privati ​​f’Mississippi). Il-kontenut akkademiku tal-akkademji ġeneralment kien preparatorju fil-kulleġġ. Mill-1970, ħafna minn dawn l- "akkademji ta 'segregazzjoni" għalaq, għalkemm xi wħud jibqgħu joperaw. [Ċitazzjoni meħtieġa]</v>
      </c>
    </row>
    <row r="7246" ht="15.75" customHeight="1">
      <c r="A7246" s="2" t="s">
        <v>7246</v>
      </c>
      <c r="B7246" s="2" t="str">
        <f>IFERROR(__xludf.DUMMYFUNCTION("GOOGLETRANSLATE(A7246, ""en"", ""mt"")"),"bniet")</f>
        <v>bniet</v>
      </c>
    </row>
    <row r="7247" ht="15.75" customHeight="1">
      <c r="A7247" s="2" t="s">
        <v>7247</v>
      </c>
      <c r="B7247" s="2" t="str">
        <f>IFERROR(__xludf.DUMMYFUNCTION("GOOGLETRANSLATE(A7247, ""en"", ""mt"")"),"2012")</f>
        <v>2012</v>
      </c>
    </row>
    <row r="7248" ht="15.75" customHeight="1">
      <c r="A7248" s="2" t="s">
        <v>7248</v>
      </c>
      <c r="B7248" s="2" t="str">
        <f>IFERROR(__xludf.DUMMYFUNCTION("GOOGLETRANSLATE(A7248, ""en"", ""mt"")"),"Matul liema snin kien William Ellery Channing President ta 'Harvard?")</f>
        <v>Matul liema snin kien William Ellery Channing President ta 'Harvard?</v>
      </c>
    </row>
    <row r="7249" ht="15.75" customHeight="1">
      <c r="A7249" s="2" t="s">
        <v>7249</v>
      </c>
      <c r="B7249" s="2" t="str">
        <f>IFERROR(__xludf.DUMMYFUNCTION("GOOGLETRANSLATE(A7249, ""en"", ""mt"")"),"In-netwerk kien inġinerija u mħaddem minn telekomunikazzjonijiet MCI taħt ftehim kooperattiv mal-NSF")</f>
        <v>In-netwerk kien inġinerija u mħaddem minn telekomunikazzjonijiet MCI taħt ftehim kooperattiv mal-NSF</v>
      </c>
    </row>
    <row r="7250" ht="15.75" customHeight="1">
      <c r="A7250" s="2" t="s">
        <v>7250</v>
      </c>
      <c r="B7250" s="2" t="str">
        <f>IFERROR(__xludf.DUMMYFUNCTION("GOOGLETRANSLATE(A7250, ""en"", ""mt"")"),"Meta bdiet il-Kumpanija tat-Trazzjoni Fresno bdiet tipprovdi konnessjonijiet tat-triq?")</f>
        <v>Meta bdiet il-Kumpanija tat-Trazzjoni Fresno bdiet tipprovdi konnessjonijiet tat-triq?</v>
      </c>
    </row>
    <row r="7251" ht="15.75" customHeight="1">
      <c r="A7251" s="2" t="s">
        <v>7251</v>
      </c>
      <c r="B7251" s="2" t="str">
        <f>IFERROR(__xludf.DUMMYFUNCTION("GOOGLETRANSLATE(A7251, ""en"", ""mt"")"),"Liema proċeduri jistgħu jbaxxu r-rata ta 'korriment fost il-ħaddiema tal-kostruzzjoni fl-UE?")</f>
        <v>Liema proċeduri jistgħu jbaxxu r-rata ta 'korriment fost il-ħaddiema tal-kostruzzjoni fl-UE?</v>
      </c>
    </row>
    <row r="7252" ht="15.75" customHeight="1">
      <c r="A7252" s="2" t="s">
        <v>7252</v>
      </c>
      <c r="B7252" s="2" t="str">
        <f>IFERROR(__xludf.DUMMYFUNCTION("GOOGLETRANSLATE(A7252, ""en"", ""mt"")"),"Sala tal-Knisja ta ’Kristu")</f>
        <v>Sala tal-Knisja ta ’Kristu</v>
      </c>
    </row>
    <row r="7253" ht="15.75" customHeight="1">
      <c r="A7253" s="2" t="s">
        <v>7253</v>
      </c>
      <c r="B7253" s="2" t="str">
        <f>IFERROR(__xludf.DUMMYFUNCTION("GOOGLETRANSLATE(A7253, ""en"", ""mt"")"),"X'għandu jkun l-integer M inqas minn jew daqs meta twettaq diviżjoni ta 'prova?")</f>
        <v>X'għandu jkun l-integer M inqas minn jew daqs meta twettaq diviżjoni ta 'prova?</v>
      </c>
    </row>
    <row r="7254" ht="15.75" customHeight="1">
      <c r="A7254" s="2" t="s">
        <v>7254</v>
      </c>
      <c r="B7254" s="2" t="str">
        <f>IFERROR(__xludf.DUMMYFUNCTION("GOOGLETRANSLATE(A7254, ""en"", ""mt"")"),"kummerċjali")</f>
        <v>kummerċjali</v>
      </c>
    </row>
    <row r="7255" ht="15.75" customHeight="1">
      <c r="A7255" s="2" t="s">
        <v>7255</v>
      </c>
      <c r="B7255" s="2" t="str">
        <f>IFERROR(__xludf.DUMMYFUNCTION("GOOGLETRANSLATE(A7255, ""en"", ""mt"")"),"Liema grad issa huwa obbligatorju fl-Istati Uniti sabiex ikun spiżjar liċenzjat?")</f>
        <v>Liema grad issa huwa obbligatorju fl-Istati Uniti sabiex ikun spiżjar liċenzjat?</v>
      </c>
    </row>
    <row r="7256" ht="15.75" customHeight="1">
      <c r="A7256" s="2" t="s">
        <v>7256</v>
      </c>
      <c r="B7256" s="2" t="str">
        <f>IFERROR(__xludf.DUMMYFUNCTION("GOOGLETRANSLATE(A7256, ""en"", ""mt"")"),"Fejn saret il-famuż protesta famuża?")</f>
        <v>Fejn saret il-famuż protesta famuża?</v>
      </c>
    </row>
    <row r="7257" ht="15.75" customHeight="1">
      <c r="A7257" s="2" t="s">
        <v>7257</v>
      </c>
      <c r="B7257" s="2" t="str">
        <f>IFERROR(__xludf.DUMMYFUNCTION("GOOGLETRANSLATE(A7257, ""en"", ""mt"")"),"Il-korruzzjoni misjuba mill-Kumitat ta 'Esperti Indipendenti rriżultat għall-ħolqien ta' liema uffiċċju?")</f>
        <v>Il-korruzzjoni misjuba mill-Kumitat ta 'Esperti Indipendenti rriżultat għall-ħolqien ta' liema uffiċċju?</v>
      </c>
    </row>
    <row r="7258" ht="15.75" customHeight="1">
      <c r="A7258" s="2" t="s">
        <v>7258</v>
      </c>
      <c r="B7258" s="2" t="str">
        <f>IFERROR(__xludf.DUMMYFUNCTION("GOOGLETRANSLATE(A7258, ""en"", ""mt"")"),"Liema effett sekondarju ta 'dawn it-tip ta' protesti huwa sfortunat?")</f>
        <v>Liema effett sekondarju ta 'dawn it-tip ta' protesti huwa sfortunat?</v>
      </c>
    </row>
    <row r="7259" ht="15.75" customHeight="1">
      <c r="A7259" s="2" t="s">
        <v>7259</v>
      </c>
      <c r="B7259" s="2" t="str">
        <f>IFERROR(__xludf.DUMMYFUNCTION("GOOGLETRANSLATE(A7259, ""en"", ""mt"")"),"il-konvenzjoni")</f>
        <v>il-konvenzjoni</v>
      </c>
    </row>
    <row r="7260" ht="15.75" customHeight="1">
      <c r="A7260" s="2" t="s">
        <v>7260</v>
      </c>
      <c r="B7260" s="2" t="str">
        <f>IFERROR(__xludf.DUMMYFUNCTION("GOOGLETRANSLATE(A7260, ""en"", ""mt"")"),"Sophie Germain")</f>
        <v>Sophie Germain</v>
      </c>
    </row>
    <row r="7261" ht="15.75" customHeight="1">
      <c r="A7261" s="2" t="s">
        <v>7261</v>
      </c>
      <c r="B7261" s="2" t="str">
        <f>IFERROR(__xludf.DUMMYFUNCTION("GOOGLETRANSLATE(A7261, ""en"", ""mt"")"),"Minflok it-tassazzjoni, x'inhuma l-iskejjel privati ​​fil-biċċa l-kbira ffinanzjati?")</f>
        <v>Minflok it-tassazzjoni, x'inhuma l-iskejjel privati ​​fil-biċċa l-kbira ffinanzjati?</v>
      </c>
    </row>
    <row r="7262" ht="15.75" customHeight="1">
      <c r="A7262" s="2" t="s">
        <v>7262</v>
      </c>
      <c r="B7262" s="2" t="str">
        <f>IFERROR(__xludf.DUMMYFUNCTION("GOOGLETRANSLATE(A7262, ""en"", ""mt"")"),"X'tip ta 'magni sar popolari għall-ġenerazzjoni tal-enerġija wara magni elettriċi?")</f>
        <v>X'tip ta 'magni sar popolari għall-ġenerazzjoni tal-enerġija wara magni elettriċi?</v>
      </c>
    </row>
    <row r="7263" ht="15.75" customHeight="1">
      <c r="A7263" s="2" t="s">
        <v>7263</v>
      </c>
      <c r="B7263" s="2" t="str">
        <f>IFERROR(__xludf.DUMMYFUNCTION("GOOGLETRANSLATE(A7263, ""en"", ""mt"")"),"Applikazzjoni ħażina ta 'proċeduri IPCC stabbiliti sew")</f>
        <v>Applikazzjoni ħażina ta 'proċeduri IPCC stabbiliti sew</v>
      </c>
    </row>
    <row r="7264" ht="15.75" customHeight="1">
      <c r="A7264" s="2" t="s">
        <v>7264</v>
      </c>
      <c r="B7264" s="2" t="str">
        <f>IFERROR(__xludf.DUMMYFUNCTION("GOOGLETRANSLATE(A7264, ""en"", ""mt"")"),"Il-baħar preżenti tal-Mediterran jinżel minn liema baħar?")</f>
        <v>Il-baħar preżenti tal-Mediterran jinżel minn liema baħar?</v>
      </c>
    </row>
    <row r="7265" ht="15.75" customHeight="1">
      <c r="A7265" s="2" t="s">
        <v>7265</v>
      </c>
      <c r="B7265" s="2" t="str">
        <f>IFERROR(__xludf.DUMMYFUNCTION("GOOGLETRANSLATE(A7265, ""en"", ""mt"")"),"Liema ġnien kien formalment biss għall-ġiri?")</f>
        <v>Liema ġnien kien formalment biss għall-ġiri?</v>
      </c>
    </row>
    <row r="7266" ht="15.75" customHeight="1">
      <c r="A7266" s="2" t="s">
        <v>7266</v>
      </c>
      <c r="B7266" s="2" t="str">
        <f>IFERROR(__xludf.DUMMYFUNCTION("GOOGLETRANSLATE(A7266, ""en"", ""mt"")"),"X'inhi t-tifsira ewlenija tal-kolonjaliżmu?")</f>
        <v>X'inhi t-tifsira ewlenija tal-kolonjaliżmu?</v>
      </c>
    </row>
    <row r="7267" ht="15.75" customHeight="1">
      <c r="A7267" s="2" t="s">
        <v>7267</v>
      </c>
      <c r="B7267" s="2" t="str">
        <f>IFERROR(__xludf.DUMMYFUNCTION("GOOGLETRANSLATE(A7267, ""en"", ""mt"")"),"Meta Augustus sab Ruma?")</f>
        <v>Meta Augustus sab Ruma?</v>
      </c>
    </row>
    <row r="7268" ht="15.75" customHeight="1">
      <c r="A7268" s="2" t="s">
        <v>7268</v>
      </c>
      <c r="B7268" s="2" t="str">
        <f>IFERROR(__xludf.DUMMYFUNCTION("GOOGLETRANSLATE(A7268, ""en"", ""mt"")"),"Kemm hemm epochs?")</f>
        <v>Kemm hemm epochs?</v>
      </c>
    </row>
    <row r="7269" ht="15.75" customHeight="1">
      <c r="A7269" s="2" t="s">
        <v>7269</v>
      </c>
      <c r="B7269" s="2" t="str">
        <f>IFERROR(__xludf.DUMMYFUNCTION("GOOGLETRANSLATE(A7269, ""en"", ""mt"")"),"Imla l-ispazji vojta fuq mapep kontemporanji")</f>
        <v>Imla l-ispazji vojta fuq mapep kontemporanji</v>
      </c>
    </row>
    <row r="7270" ht="15.75" customHeight="1">
      <c r="A7270" s="2" t="s">
        <v>7270</v>
      </c>
      <c r="B7270" s="2" t="str">
        <f>IFERROR(__xludf.DUMMYFUNCTION("GOOGLETRANSLATE(A7270, ""en"", ""mt"")"),"Meta jsir il-weekend tal-gallerija ujazdow?")</f>
        <v>Meta jsir il-weekend tal-gallerija ujazdow?</v>
      </c>
    </row>
    <row r="7271" ht="15.75" customHeight="1">
      <c r="A7271" s="2" t="s">
        <v>7271</v>
      </c>
      <c r="B7271" s="2" t="str">
        <f>IFERROR(__xludf.DUMMYFUNCTION("GOOGLETRANSLATE(A7271, ""en"", ""mt"")"),"Kemm Ingliżi rebħu Battalja ta 'Carillon?")</f>
        <v>Kemm Ingliżi rebħu Battalja ta 'Carillon?</v>
      </c>
    </row>
    <row r="7272" ht="15.75" customHeight="1">
      <c r="A7272" s="2" t="s">
        <v>7272</v>
      </c>
      <c r="B7272" s="2" t="str">
        <f>IFERROR(__xludf.DUMMYFUNCTION("GOOGLETRANSLATE(A7272, ""en"", ""mt"")"),"kapaċi jiffinanzjaw vjaġġaturi")</f>
        <v>kapaċi jiffinanzjaw vjaġġaturi</v>
      </c>
    </row>
    <row r="7273" ht="15.75" customHeight="1">
      <c r="A7273" s="2" t="s">
        <v>7273</v>
      </c>
      <c r="B7273" s="2" t="str">
        <f>IFERROR(__xludf.DUMMYFUNCTION("GOOGLETRANSLATE(A7273, ""en"", ""mt"")"),"Min ilaqqam fil-Kunsill Amerikan?")</f>
        <v>Min ilaqqam fil-Kunsill Amerikan?</v>
      </c>
    </row>
    <row r="7274" ht="15.75" customHeight="1">
      <c r="A7274" s="2" t="s">
        <v>7274</v>
      </c>
      <c r="B7274" s="2" t="str">
        <f>IFERROR(__xludf.DUMMYFUNCTION("GOOGLETRANSLATE(A7274, ""en"", ""mt"")"),"Kent, partikolarment Sandwich, Faversham u Maidstone")</f>
        <v>Kent, partikolarment Sandwich, Faversham u Maidstone</v>
      </c>
    </row>
    <row r="7275" ht="15.75" customHeight="1">
      <c r="A7275" s="2" t="s">
        <v>7275</v>
      </c>
      <c r="B7275" s="2" t="str">
        <f>IFERROR(__xludf.DUMMYFUNCTION("GOOGLETRANSLATE(A7275, ""en"", ""mt"")"),"Għal kemm snin ġew studjati temperaturi fir-rapport tal-2001?")</f>
        <v>Għal kemm snin ġew studjati temperaturi fir-rapport tal-2001?</v>
      </c>
    </row>
    <row r="7276" ht="15.75" customHeight="1">
      <c r="A7276" s="2" t="s">
        <v>7276</v>
      </c>
      <c r="B7276" s="2" t="str">
        <f>IFERROR(__xludf.DUMMYFUNCTION("GOOGLETRANSLATE(A7276, ""en"", ""mt"")"),"Bħala riżultat ta 'kompromess, dwar kemm skejjel Ċiniżi saru skejjel tat-tip nazzjonali?")</f>
        <v>Bħala riżultat ta 'kompromess, dwar kemm skejjel Ċiniżi saru skejjel tat-tip nazzjonali?</v>
      </c>
    </row>
    <row r="7277" ht="15.75" customHeight="1">
      <c r="A7277" s="2" t="s">
        <v>7277</v>
      </c>
      <c r="B7277" s="2" t="str">
        <f>IFERROR(__xludf.DUMMYFUNCTION("GOOGLETRANSLATE(A7277, ""en"", ""mt"")"),"X’kisja l-Editt ta ’Nantes f’żoni kkontrollati mill-Kattoliċi ta’ Franza?")</f>
        <v>X’kisja l-Editt ta ’Nantes f’żoni kkontrollati mill-Kattoliċi ta’ Franza?</v>
      </c>
    </row>
    <row r="7278" ht="15.75" customHeight="1">
      <c r="A7278" s="2" t="s">
        <v>7278</v>
      </c>
      <c r="B7278" s="2" t="str">
        <f>IFERROR(__xludf.DUMMYFUNCTION("GOOGLETRANSLATE(A7278, ""en"", ""mt"")"),"Minn meta kienet il-parti tar-Rhine tal-kultura Areal of Hallstatt?")</f>
        <v>Minn meta kienet il-parti tar-Rhine tal-kultura Areal of Hallstatt?</v>
      </c>
    </row>
    <row r="7279" ht="15.75" customHeight="1">
      <c r="A7279" s="2" t="s">
        <v>7279</v>
      </c>
      <c r="B7279" s="2" t="str">
        <f>IFERROR(__xludf.DUMMYFUNCTION("GOOGLETRANSLATE(A7279, ""en"", ""mt"")"),"is-7 seklu")</f>
        <v>is-7 seklu</v>
      </c>
    </row>
    <row r="7280" ht="15.75" customHeight="1">
      <c r="A7280" s="2" t="s">
        <v>7280</v>
      </c>
      <c r="B7280" s="2" t="str">
        <f>IFERROR(__xludf.DUMMYFUNCTION("GOOGLETRANSLATE(A7280, ""en"", ""mt"")"),"X’qal Biraben dwar il-pesta fl-Ewropa?")</f>
        <v>X’qal Biraben dwar il-pesta fl-Ewropa?</v>
      </c>
    </row>
    <row r="7281" ht="15.75" customHeight="1">
      <c r="A7281" s="2" t="s">
        <v>7281</v>
      </c>
      <c r="B7281" s="2" t="str">
        <f>IFERROR(__xludf.DUMMYFUNCTION("GOOGLETRANSLATE(A7281, ""en"", ""mt"")"),"X'inhu l-isem tas-sistema skolastika tal-gvern ta 'wara l-indipendenza fil-Malasja?")</f>
        <v>X'inhu l-isem tas-sistema skolastika tal-gvern ta 'wara l-indipendenza fil-Malasja?</v>
      </c>
    </row>
    <row r="7282" ht="15.75" customHeight="1">
      <c r="A7282" s="2" t="s">
        <v>7282</v>
      </c>
      <c r="B7282" s="2" t="str">
        <f>IFERROR(__xludf.DUMMYFUNCTION("GOOGLETRANSLATE(A7282, ""en"", ""mt"")"),"£ 4.2bn")</f>
        <v>£ 4.2bn</v>
      </c>
    </row>
    <row r="7283" ht="15.75" customHeight="1">
      <c r="A7283" s="2" t="s">
        <v>7283</v>
      </c>
      <c r="B7283" s="2" t="str">
        <f>IFERROR(__xludf.DUMMYFUNCTION("GOOGLETRANSLATE(A7283, ""en"", ""mt"")"),"X'inhu kemm Branko Milanovic kif ukoll Joseph Stiglitz?")</f>
        <v>X'inhu kemm Branko Milanovic kif ukoll Joseph Stiglitz?</v>
      </c>
    </row>
    <row r="7284" ht="15.75" customHeight="1">
      <c r="A7284" s="2" t="s">
        <v>7284</v>
      </c>
      <c r="B7284" s="2" t="str">
        <f>IFERROR(__xludf.DUMMYFUNCTION("GOOGLETRANSLATE(A7284, ""en"", ""mt"")"),"X'tip ta 'distribuzzjoni ewlenija tipproponi l-ipoteżi ta' Riemann hija vera wkoll għal intervalli qosra qrib X?")</f>
        <v>X'tip ta 'distribuzzjoni ewlenija tipproponi l-ipoteżi ta' Riemann hija vera wkoll għal intervalli qosra qrib X?</v>
      </c>
    </row>
    <row r="7285" ht="15.75" customHeight="1">
      <c r="A7285" s="2" t="s">
        <v>7285</v>
      </c>
      <c r="B7285" s="2" t="str">
        <f>IFERROR(__xludf.DUMMYFUNCTION("GOOGLETRANSLATE(A7285, ""en"", ""mt"")"),"Liema industrija stabbilixxa n-nobbli b'din is-saldu?")</f>
        <v>Liema industrija stabbilixxa n-nobbli b'din is-saldu?</v>
      </c>
    </row>
    <row r="7286" ht="15.75" customHeight="1">
      <c r="A7286" s="2" t="s">
        <v>7286</v>
      </c>
      <c r="B7286" s="2" t="str">
        <f>IFERROR(__xludf.DUMMYFUNCTION("GOOGLETRANSLATE(A7286, ""en"", ""mt"")"),"£ 304m")</f>
        <v>£ 304m</v>
      </c>
    </row>
    <row r="7287" ht="15.75" customHeight="1">
      <c r="A7287" s="2" t="s">
        <v>7287</v>
      </c>
      <c r="B7287" s="2" t="str">
        <f>IFERROR(__xludf.DUMMYFUNCTION("GOOGLETRANSLATE(A7287, ""en"", ""mt"")"),"idrofiliku")</f>
        <v>idrofiliku</v>
      </c>
    </row>
    <row r="7288" ht="15.75" customHeight="1">
      <c r="A7288" s="2" t="s">
        <v>7288</v>
      </c>
      <c r="B7288" s="2" t="str">
        <f>IFERROR(__xludf.DUMMYFUNCTION("GOOGLETRANSLATE(A7288, ""en"", ""mt"")"),"Il-qrati ddistingwew bejn żewġ tipi ta 'diżubbidjenza ċivili: ""Id-diżubbidjenza ċivili indiretta tinvolvi li tikser liġi li mhix, fiha nnifisha, l-oġġett ta' protesta, filwaqt li d-diżubbidjenza ċivili diretta tinvolvi li tipprotesta l-eżistenza ta 'liġi"&amp;" partikolari billi tikser dik il-liġi."" Matul il-Gwerra tal-Vjetnam, il-qrati tipikament irrifjutaw li jiskużaw lill-awturi ta ’protesti illegali mill-kastig abbażi tal-isfida tagħhom il-legalità tal-Gwerra tal-Vjetnam; Il-qrati ddeċidew li kienet kwistj"&amp;"oni politika. Id-difiża tal-ħtieġa xi kultant intużat bħala difiża dell minn diżubbidjenti ċivili biex tiċħad il-ħtija mingħajr ma tinnunzja l-atti motivati ​​politikament tagħhom, u biex tippreżenta t-twemmin politiku tagħhom fl-awla. Madankollu, każijie"&amp;"t tal-qorti bħall-Istati Uniti v. Schoon naqqsu ħafna d-disponibbiltà tad-difiża tal-ħtieġa politika. Bl-istess mod, meta Carter Wentworth ġie akkużat għar-rwol tiegħu fl-okkupazzjoni illegali tal-1977 tal-Alleanza Clamshell fl-impjant nukleari tal-istazz"&amp;"jon ta 'Seabrook, l-imħallef ta struzzjonijiet lill-ġurija biex tinjora d-difiża tal-ħsara li tikkompeti tiegħu, u nstab ħati. Attivisti tal-assoċjazzjoni tal-ġurija infurmati bis-sħiħ xi kultant ingħataw fuljetti edukattivi ġewwa l-kmamar tal-qorti minke"&amp;"jja li ma jagħtux; Skond il-Fija, ħafna minnhom ħarbu mill-prosekuzzjoni minħabba li ""l-prosekuturi rraġunaw (b'mod korrett) li jekk jarrestaw fuljetti tal-ġurija infurmati bis-sħiħ, il-fuljetti għandhom jingħataw lill-ġurija tal-fuljett stess bħala evid"&amp;"enza.""")</f>
        <v>Il-qrati ddistingwew bejn żewġ tipi ta 'diżubbidjenza ċivili: "Id-diżubbidjenza ċivili indiretta tinvolvi li tikser liġi li mhix, fiha nnifisha, l-oġġett ta' protesta, filwaqt li d-diżubbidjenza ċivili diretta tinvolvi li tipprotesta l-eżistenza ta 'liġi partikolari billi tikser dik il-liġi." Matul il-Gwerra tal-Vjetnam, il-qrati tipikament irrifjutaw li jiskużaw lill-awturi ta ’protesti illegali mill-kastig abbażi tal-isfida tagħhom il-legalità tal-Gwerra tal-Vjetnam; Il-qrati ddeċidew li kienet kwistjoni politika. Id-difiża tal-ħtieġa xi kultant intużat bħala difiża dell minn diżubbidjenti ċivili biex tiċħad il-ħtija mingħajr ma tinnunzja l-atti motivati ​​politikament tagħhom, u biex tippreżenta t-twemmin politiku tagħhom fl-awla. Madankollu, każijiet tal-qorti bħall-Istati Uniti v. Schoon naqqsu ħafna d-disponibbiltà tad-difiża tal-ħtieġa politika. Bl-istess mod, meta Carter Wentworth ġie akkużat għar-rwol tiegħu fl-okkupazzjoni illegali tal-1977 tal-Alleanza Clamshell fl-impjant nukleari tal-istazzjon ta 'Seabrook, l-imħallef ta struzzjonijiet lill-ġurija biex tinjora d-difiża tal-ħsara li tikkompeti tiegħu, u nstab ħati. Attivisti tal-assoċjazzjoni tal-ġurija infurmati bis-sħiħ xi kultant ingħataw fuljetti edukattivi ġewwa l-kmamar tal-qorti minkejja li ma jagħtux; Skond il-Fija, ħafna minnhom ħarbu mill-prosekuzzjoni minħabba li "l-prosekuturi rraġunaw (b'mod korrett) li jekk jarrestaw fuljetti tal-ġurija infurmati bis-sħiħ, il-fuljetti għandhom jingħataw lill-ġurija tal-fuljett stess bħala evidenza."</v>
      </c>
    </row>
    <row r="7289" ht="15.75" customHeight="1">
      <c r="A7289" s="2" t="s">
        <v>7289</v>
      </c>
      <c r="B7289" s="2" t="str">
        <f>IFERROR(__xludf.DUMMYFUNCTION("GOOGLETRANSLATE(A7289, ""en"", ""mt"")"),"Din il-kombinazzjoni ta 'kanċellazzjonijiet u σ u π tirkeb tirriżulta fil-karattru u r-reattività ta' bond doppju ta 'dijossiġnu, u fi stat ta' art elettroniku triplet. Konfigurazzjoni ta 'elettroni b'żewġ elettroni mhux imqabbda kif misjuba fid-dijossiġn"&amp;"u (ara l-orbitali mimlija π * fid-dijagramma), orbitali li huma ta' enerġija ugwali - i.e., deġenerati - hija konfigurazzjoni msejħa stat tripletta spin. Għalhekk, l-istat tal-ground tal-O
2 molekula hija msejħa ossiġenu triplet. [B] L-ogħla enerġija, orb"&amp;"itali mimlijin parzjalment huma antibonding, u għalhekk il-mili tagħhom jiddgħajjef l-ordni tal-bond minn tlieta sa tnejn. Minħabba l-elettroni mhux imqabbla tiegħu, l-ossiġnu triplet jirreaġixxi biss bil-mod bil-biċċa l-kbira tal-molekuli organiċi, li għ"&amp;"andhom spins tal-elettroni mqabbla; Dan jipprevjeni kombustjoni spontanja.")</f>
        <v>Din il-kombinazzjoni ta 'kanċellazzjonijiet u σ u π tirkeb tirriżulta fil-karattru u r-reattività ta' bond doppju ta 'dijossiġnu, u fi stat ta' art elettroniku triplet. Konfigurazzjoni ta 'elettroni b'żewġ elettroni mhux imqabbda kif misjuba fid-dijossiġnu (ara l-orbitali mimlija π * fid-dijagramma), orbitali li huma ta' enerġija ugwali - i.e., deġenerati - hija konfigurazzjoni msejħa stat tripletta spin. Għalhekk, l-istat tal-ground tal-O
2 molekula hija msejħa ossiġenu triplet. [B] L-ogħla enerġija, orbitali mimlijin parzjalment huma antibonding, u għalhekk il-mili tagħhom jiddgħajjef l-ordni tal-bond minn tlieta sa tnejn. Minħabba l-elettroni mhux imqabbla tiegħu, l-ossiġnu triplet jirreaġixxi biss bil-mod bil-biċċa l-kbira tal-molekuli organiċi, li għandhom spins tal-elettroni mqabbla; Dan jipprevjeni kombustjoni spontanja.</v>
      </c>
    </row>
    <row r="7290" ht="15.75" customHeight="1">
      <c r="A7290" s="2" t="s">
        <v>7290</v>
      </c>
      <c r="B7290" s="2" t="str">
        <f>IFERROR(__xludf.DUMMYFUNCTION("GOOGLETRANSLATE(A7290, ""en"", ""mt"")")," Il-kolonjaliżmu qatt ma jfisser li pajjiż jagħmel xiex?")</f>
        <v> Il-kolonjaliżmu qatt ma jfisser li pajjiż jagħmel xiex?</v>
      </c>
    </row>
    <row r="7291" ht="15.75" customHeight="1">
      <c r="A7291" s="2" t="s">
        <v>7291</v>
      </c>
      <c r="B7291" s="2" t="str">
        <f>IFERROR(__xludf.DUMMYFUNCTION("GOOGLETRANSLATE(A7291, ""en"", ""mt"")"),"X'inhi l-għażla konkreta tipikament assunta mill-iktar teoremi teoretiċi tal-kumplessità?")</f>
        <v>X'inhi l-għażla konkreta tipikament assunta mill-iktar teoremi teoretiċi tal-kumplessità?</v>
      </c>
    </row>
    <row r="7292" ht="15.75" customHeight="1">
      <c r="A7292" s="2" t="s">
        <v>7292</v>
      </c>
      <c r="B7292" s="2" t="str">
        <f>IFERROR(__xludf.DUMMYFUNCTION("GOOGLETRANSLATE(A7292, ""en"", ""mt"")"),"X’kien qal Edward Heath Lord Cromer dwar it-teħid ta ’azzjoni fil-Lvant Nofsani?")</f>
        <v>X’kien qal Edward Heath Lord Cromer dwar it-teħid ta ’azzjoni fil-Lvant Nofsani?</v>
      </c>
    </row>
    <row r="7293" ht="15.75" customHeight="1">
      <c r="A7293" s="2" t="s">
        <v>7293</v>
      </c>
      <c r="B7293" s="2" t="str">
        <f>IFERROR(__xludf.DUMMYFUNCTION("GOOGLETRANSLATE(A7293, ""en"", ""mt"")"),"Kif jistgħu l-problemi tal-funzjoni tipikament jiġu ddikjarati mill-ġdid?")</f>
        <v>Kif jistgħu l-problemi tal-funzjoni tipikament jiġu ddikjarati mill-ġdid?</v>
      </c>
    </row>
    <row r="7294" ht="15.75" customHeight="1">
      <c r="A7294" s="2" t="s">
        <v>7294</v>
      </c>
      <c r="B7294" s="2" t="str">
        <f>IFERROR(__xludf.DUMMYFUNCTION("GOOGLETRANSLATE(A7294, ""en"", ""mt"")"),"X'inhuma l-akbar żewġ bliet fl-Istati Uniti?")</f>
        <v>X'inhuma l-akbar żewġ bliet fl-Istati Uniti?</v>
      </c>
    </row>
    <row r="7295" ht="15.75" customHeight="1">
      <c r="A7295" s="2" t="s">
        <v>7295</v>
      </c>
      <c r="B7295" s="2" t="str">
        <f>IFERROR(__xludf.DUMMYFUNCTION("GOOGLETRANSLATE(A7295, ""en"", ""mt"")"),"San Nicolas")</f>
        <v>San Nicolas</v>
      </c>
    </row>
    <row r="7296" ht="15.75" customHeight="1">
      <c r="A7296" s="2" t="s">
        <v>7296</v>
      </c>
      <c r="B7296" s="2" t="str">
        <f>IFERROR(__xludf.DUMMYFUNCTION("GOOGLETRANSLATE(A7296, ""en"", ""mt"")"),"X’uża s-servizz pubbliku KPN TelePad?")</f>
        <v>X’uża s-servizz pubbliku KPN TelePad?</v>
      </c>
    </row>
    <row r="7297" ht="15.75" customHeight="1">
      <c r="A7297" s="2" t="s">
        <v>7297</v>
      </c>
      <c r="B7297" s="2" t="str">
        <f>IFERROR(__xludf.DUMMYFUNCTION("GOOGLETRANSLATE(A7297, ""en"", ""mt"")"),"Liema kumpanija appoġġat l-iktar BSKYB?")</f>
        <v>Liema kumpanija appoġġat l-iktar BSKYB?</v>
      </c>
    </row>
    <row r="7298" ht="15.75" customHeight="1">
      <c r="A7298" s="2" t="s">
        <v>7298</v>
      </c>
      <c r="B7298" s="2" t="str">
        <f>IFERROR(__xludf.DUMMYFUNCTION("GOOGLETRANSLATE(A7298, ""en"", ""mt"")"),"Il-Knisja Protestanta Franċiża ta ’Londra")</f>
        <v>Il-Knisja Protestanta Franċiża ta ’Londra</v>
      </c>
    </row>
    <row r="7299" ht="15.75" customHeight="1">
      <c r="A7299" s="2" t="s">
        <v>7299</v>
      </c>
      <c r="B7299" s="2" t="str">
        <f>IFERROR(__xludf.DUMMYFUNCTION("GOOGLETRANSLATE(A7299, ""en"", ""mt"")"),"Istitut Nazzjonali Brażiljan tar-Riċerka tal-Amażonja")</f>
        <v>Istitut Nazzjonali Brażiljan tar-Riċerka tal-Amażonja</v>
      </c>
    </row>
    <row r="7300" ht="15.75" customHeight="1">
      <c r="A7300" s="2" t="s">
        <v>7300</v>
      </c>
      <c r="B7300" s="2" t="str">
        <f>IFERROR(__xludf.DUMMYFUNCTION("GOOGLETRANSLATE(A7300, ""en"", ""mt"")"),"X'kien ir-rwol tal-fagoċitosi qabel ma ntuża biex jakkwista nutrijenti?")</f>
        <v>X'kien ir-rwol tal-fagoċitosi qabel ma ntuża biex jakkwista nutrijenti?</v>
      </c>
    </row>
    <row r="7301" ht="15.75" customHeight="1">
      <c r="A7301" s="2" t="s">
        <v>7301</v>
      </c>
      <c r="B7301" s="2" t="str">
        <f>IFERROR(__xludf.DUMMYFUNCTION("GOOGLETRANSLATE(A7301, ""en"", ""mt"")"),"Bayeux Tapestry")</f>
        <v>Bayeux Tapestry</v>
      </c>
    </row>
    <row r="7302" ht="15.75" customHeight="1">
      <c r="A7302" s="2" t="s">
        <v>7302</v>
      </c>
      <c r="B7302" s="2" t="str">
        <f>IFERROR(__xludf.DUMMYFUNCTION("GOOGLETRANSLATE(A7302, ""en"", ""mt"")"),"gass ​​serra")</f>
        <v>gass ​​serra</v>
      </c>
    </row>
    <row r="7303" ht="15.75" customHeight="1">
      <c r="A7303" s="2" t="s">
        <v>7303</v>
      </c>
      <c r="B7303" s="2" t="str">
        <f>IFERROR(__xludf.DUMMYFUNCTION("GOOGLETRANSLATE(A7303, ""en"", ""mt"")"),"Socal")</f>
        <v>Socal</v>
      </c>
    </row>
    <row r="7304" ht="15.75" customHeight="1">
      <c r="A7304" s="2" t="s">
        <v>7304</v>
      </c>
      <c r="B7304" s="2" t="str">
        <f>IFERROR(__xludf.DUMMYFUNCTION("GOOGLETRANSLATE(A7304, ""en"", ""mt"")"),"Liema avvenimenti huma spiss assoċjati ma 'vulkanizmu u attività igneous?")</f>
        <v>Liema avvenimenti huma spiss assoċjati ma 'vulkanizmu u attività igneous?</v>
      </c>
    </row>
    <row r="7305" ht="15.75" customHeight="1">
      <c r="A7305" s="2" t="s">
        <v>7305</v>
      </c>
      <c r="B7305" s="2" t="str">
        <f>IFERROR(__xludf.DUMMYFUNCTION("GOOGLETRANSLATE(A7305, ""en"", ""mt"")"),"X'inhu l-prinċipju li jiddikjara li bil-blat sedimentarji, l-inklużjonijiet għandhom ikunu eqdem mill-formazzjoni li fiha?")</f>
        <v>X'inhu l-prinċipju li jiddikjara li bil-blat sedimentarji, l-inklużjonijiet għandhom ikunu eqdem mill-formazzjoni li fiha?</v>
      </c>
    </row>
    <row r="7306" ht="15.75" customHeight="1">
      <c r="A7306" s="2" t="s">
        <v>7306</v>
      </c>
      <c r="B7306" s="2" t="str">
        <f>IFERROR(__xludf.DUMMYFUNCTION("GOOGLETRANSLATE(A7306, ""en"", ""mt"")"),"Minn fejn hu Geoffrey Parker?")</f>
        <v>Minn fejn hu Geoffrey Parker?</v>
      </c>
    </row>
    <row r="7307" ht="15.75" customHeight="1">
      <c r="A7307" s="2" t="s">
        <v>7307</v>
      </c>
      <c r="B7307" s="2" t="str">
        <f>IFERROR(__xludf.DUMMYFUNCTION("GOOGLETRANSLATE(A7307, ""en"", ""mt"")"),"ir-rata tat-taxxa")</f>
        <v>ir-rata tat-taxxa</v>
      </c>
    </row>
    <row r="7308" ht="15.75" customHeight="1">
      <c r="A7308" s="2" t="s">
        <v>7308</v>
      </c>
      <c r="B7308" s="2" t="str">
        <f>IFERROR(__xludf.DUMMYFUNCTION("GOOGLETRANSLATE(A7308, ""en"", ""mt"")"),"Dak li jrażżan il-funzjonijiet immuni waqt l-irqad?")</f>
        <v>Dak li jrażżan il-funzjonijiet immuni waqt l-irqad?</v>
      </c>
    </row>
    <row r="7309" ht="15.75" customHeight="1">
      <c r="A7309" s="2" t="s">
        <v>7309</v>
      </c>
      <c r="B7309" s="2" t="str">
        <f>IFERROR(__xludf.DUMMYFUNCTION("GOOGLETRANSLATE(A7309, ""en"", ""mt"")"),"Il-missier ta 'liema imperatur kien konkubina?")</f>
        <v>Il-missier ta 'liema imperatur kien konkubina?</v>
      </c>
    </row>
    <row r="7310" ht="15.75" customHeight="1">
      <c r="A7310" s="2" t="s">
        <v>7310</v>
      </c>
      <c r="B7310" s="2" t="str">
        <f>IFERROR(__xludf.DUMMYFUNCTION("GOOGLETRANSLATE(A7310, ""en"", ""mt"")"),"Sa meta rnexxielhom it-tribujiet Ġermaniċi l-popli Ċeltiċi?")</f>
        <v>Sa meta rnexxielhom it-tribujiet Ġermaniċi l-popli Ċeltiċi?</v>
      </c>
    </row>
    <row r="7311" ht="15.75" customHeight="1">
      <c r="A7311" s="2" t="s">
        <v>7311</v>
      </c>
      <c r="B7311" s="2" t="str">
        <f>IFERROR(__xludf.DUMMYFUNCTION("GOOGLETRANSLATE(A7311, ""en"", ""mt"")"),"ossiġnu kimiku")</f>
        <v>ossiġnu kimiku</v>
      </c>
    </row>
    <row r="7312" ht="15.75" customHeight="1">
      <c r="A7312" s="2" t="s">
        <v>7312</v>
      </c>
      <c r="B7312" s="2" t="str">
        <f>IFERROR(__xludf.DUMMYFUNCTION("GOOGLETRANSLATE(A7312, ""en"", ""mt"")"),"X'kien l-akbar nar urban fl-Istati Uniti?")</f>
        <v>X'kien l-akbar nar urban fl-Istati Uniti?</v>
      </c>
    </row>
    <row r="7313" ht="15.75" customHeight="1">
      <c r="A7313" s="2" t="s">
        <v>7313</v>
      </c>
      <c r="B7313" s="2" t="str">
        <f>IFERROR(__xludf.DUMMYFUNCTION("GOOGLETRANSLATE(A7313, ""en"", ""mt"")"),"X’kienu industriji ewlenin mill-1902?")</f>
        <v>X’kienu industriji ewlenin mill-1902?</v>
      </c>
    </row>
    <row r="7314" ht="15.75" customHeight="1">
      <c r="A7314" s="2" t="s">
        <v>7314</v>
      </c>
      <c r="B7314" s="2" t="str">
        <f>IFERROR(__xludf.DUMMYFUNCTION("GOOGLETRANSLATE(A7314, ""en"", ""mt"")"),"Min normalment huwa mikri għal kuntratt ta 'bini-bid-bid?")</f>
        <v>Min normalment huwa mikri għal kuntratt ta 'bini-bid-bid?</v>
      </c>
    </row>
    <row r="7315" ht="15.75" customHeight="1">
      <c r="A7315" s="2" t="s">
        <v>7315</v>
      </c>
      <c r="B7315" s="2" t="str">
        <f>IFERROR(__xludf.DUMMYFUNCTION("GOOGLETRANSLATE(A7315, ""en"", ""mt"")"),"Fejn kien Montcalm li jiffoka d-difiża għal Franza l-ġdida?")</f>
        <v>Fejn kien Montcalm li jiffoka d-difiża għal Franza l-ġdida?</v>
      </c>
    </row>
    <row r="7316" ht="15.75" customHeight="1">
      <c r="A7316" s="2" t="s">
        <v>7316</v>
      </c>
      <c r="B7316" s="2" t="str">
        <f>IFERROR(__xludf.DUMMYFUNCTION("GOOGLETRANSLATE(A7316, ""en"", ""mt"")"),"Kristjani Ortodossi")</f>
        <v>Kristjani Ortodossi</v>
      </c>
    </row>
    <row r="7317" ht="15.75" customHeight="1">
      <c r="A7317" s="2" t="s">
        <v>7317</v>
      </c>
      <c r="B7317" s="2" t="str">
        <f>IFERROR(__xludf.DUMMYFUNCTION("GOOGLETRANSLATE(A7317, ""en"", ""mt"")"),"X'jistgħu jużaw il-kompjuters biex jibnu mill-ġdid?")</f>
        <v>X'jistgħu jużaw il-kompjuters biex jibnu mill-ġdid?</v>
      </c>
    </row>
    <row r="7318" ht="15.75" customHeight="1">
      <c r="A7318" s="2" t="s">
        <v>7318</v>
      </c>
      <c r="B7318" s="2" t="str">
        <f>IFERROR(__xludf.DUMMYFUNCTION("GOOGLETRANSLATE(A7318, ""en"", ""mt"")"),"X'inhi l-akbar belt li tgħaddi minnha?")</f>
        <v>X'inhi l-akbar belt li tgħaddi minnha?</v>
      </c>
    </row>
    <row r="7319" ht="15.75" customHeight="1">
      <c r="A7319" s="2" t="s">
        <v>7319</v>
      </c>
      <c r="B7319" s="2" t="str">
        <f>IFERROR(__xludf.DUMMYFUNCTION("GOOGLETRANSLATE(A7319, ""en"", ""mt"")"),"Liema entità tinforza l-karta tad-drittijiet fundamentali tal-Unjoni Ewropea?")</f>
        <v>Liema entità tinforza l-karta tad-drittijiet fundamentali tal-Unjoni Ewropea?</v>
      </c>
    </row>
    <row r="7320" ht="15.75" customHeight="1">
      <c r="A7320" s="2" t="s">
        <v>7320</v>
      </c>
      <c r="B7320" s="2" t="str">
        <f>IFERROR(__xludf.DUMMYFUNCTION("GOOGLETRANSLATE(A7320, ""en"", ""mt"")"),"Atra Mors")</f>
        <v>Atra Mors</v>
      </c>
    </row>
    <row r="7321" ht="15.75" customHeight="1">
      <c r="A7321" s="2" t="s">
        <v>7321</v>
      </c>
      <c r="B7321" s="2" t="str">
        <f>IFERROR(__xludf.DUMMYFUNCTION("GOOGLETRANSLATE(A7321, ""en"", ""mt"")"),"Min għandu r-rwol li jżomm il-gvern Skoċċiż?")</f>
        <v>Min għandu r-rwol li jżomm il-gvern Skoċċiż?</v>
      </c>
    </row>
    <row r="7322" ht="15.75" customHeight="1">
      <c r="A7322" s="2" t="s">
        <v>7322</v>
      </c>
      <c r="B7322" s="2" t="str">
        <f>IFERROR(__xludf.DUMMYFUNCTION("GOOGLETRANSLATE(A7322, ""en"", ""mt"")"),"Daniel Diermeier")</f>
        <v>Daniel Diermeier</v>
      </c>
    </row>
    <row r="7323" ht="15.75" customHeight="1">
      <c r="A7323" s="2" t="s">
        <v>7323</v>
      </c>
      <c r="B7323" s="2" t="str">
        <f>IFERROR(__xludf.DUMMYFUNCTION("GOOGLETRANSLATE(A7323, ""en"", ""mt"")"),"Reżistenza Akkwistata Sistemika (SAR)")</f>
        <v>Reżistenza Akkwistata Sistemika (SAR)</v>
      </c>
    </row>
    <row r="7324" ht="15.75" customHeight="1">
      <c r="A7324" s="2" t="s">
        <v>7324</v>
      </c>
      <c r="B7324" s="2" t="str">
        <f>IFERROR(__xludf.DUMMYFUNCTION("GOOGLETRANSLATE(A7324, ""en"", ""mt"")"),"Fejn huma l-Korporazzjonijiet Internazzjonali bil-kwartjieri ġenerali?")</f>
        <v>Fejn huma l-Korporazzjonijiet Internazzjonali bil-kwartjieri ġenerali?</v>
      </c>
    </row>
    <row r="7325" ht="15.75" customHeight="1">
      <c r="A7325" s="2" t="s">
        <v>7325</v>
      </c>
      <c r="B7325" s="2" t="str">
        <f>IFERROR(__xludf.DUMMYFUNCTION("GOOGLETRANSLATE(A7325, ""en"", ""mt"")"),"Funzjoni TOTIEEN TA 'EULER")</f>
        <v>Funzjoni TOTIEEN TA 'EULER</v>
      </c>
    </row>
    <row r="7326" ht="15.75" customHeight="1">
      <c r="A7326" s="2" t="s">
        <v>7326</v>
      </c>
      <c r="B7326" s="2" t="str">
        <f>IFERROR(__xludf.DUMMYFUNCTION("GOOGLETRANSLATE(A7326, ""en"", ""mt"")"),"Huma tilfu l-flus mill-bidu, u Sinback, maniġer tal-kummerċ ta 'livell għoli, ingħata x-xogħol li jdawwar in-negozju")</f>
        <v>Huma tilfu l-flus mill-bidu, u Sinback, maniġer tal-kummerċ ta 'livell għoli, ingħata x-xogħol li jdawwar in-negozju</v>
      </c>
    </row>
    <row r="7327" ht="15.75" customHeight="1">
      <c r="A7327" s="2" t="s">
        <v>7327</v>
      </c>
      <c r="B7327" s="2" t="str">
        <f>IFERROR(__xludf.DUMMYFUNCTION("GOOGLETRANSLATE(A7327, ""en"", ""mt"")"),"Ir-Rotta tal-Istat 180 ġejja minn liema direzzjoni permezz ta 'Mendota?")</f>
        <v>Ir-Rotta tal-Istat 180 ġejja minn liema direzzjoni permezz ta 'Mendota?</v>
      </c>
    </row>
    <row r="7328" ht="15.75" customHeight="1">
      <c r="A7328" s="2" t="s">
        <v>7328</v>
      </c>
      <c r="B7328" s="2" t="str">
        <f>IFERROR(__xludf.DUMMYFUNCTION("GOOGLETRANSLATE(A7328, ""en"", ""mt"")"),"Mike Nichols")</f>
        <v>Mike Nichols</v>
      </c>
    </row>
    <row r="7329" ht="15.75" customHeight="1">
      <c r="A7329" s="2" t="s">
        <v>7329</v>
      </c>
      <c r="B7329" s="2" t="str">
        <f>IFERROR(__xludf.DUMMYFUNCTION("GOOGLETRANSLATE(A7329, ""en"", ""mt"")"),"Kemm X.25 kif ukoll Frame Relay jipprovdu operazzjonijiet orjentati lejn il-konnessjoni. Imma X.25 jagħmel dan fis-saff tan-netwerk tal-mudell OSI. Frame Relay jagħmel dan fil-livell tnejn, is-saff tal-link tad-dejta. Differenza ewlenija oħra bejn X.25 u "&amp;"Frame Relay hija li X.25 jirrikjedi handshake bejn il-partijiet li jikkomunikaw qabel ma jiġu trasmessi xi pakketti tal-utent. Frame Relay ma jiddefinixxi l-ebda handshakes bħal dawn. X.25 ma jiddefinixxi l-ebda operazzjoni ġewwa n-netwerk tal-pakketti. J"&amp;"opera biss fl-interface tal-utent-netwerk (UNI). Għalhekk, il-fornitur tan-netwerk huwa liberu li juża kwalunkwe proċedura li jixtieq fin-netwerk. X.25 jispeċifika xi proċeduri limitati ta 'trasmissjoni mill-ġdid fl-UNI, u l-protokoll tas-saff tal-link ti"&amp;"egħu (LAPB) jipprovdi proċeduri konvenzjonali ta' ġestjoni tat-tip HDLC. Frame Relay hija verżjoni modifikata tas-saff tal-ISDN Two Protocol, LAPD u LAPB. Bħala tali, l-operazzjonijiet ta 'integrità tagħha għandhom x'jaqsmu biss bejn l-għoqiedi fuq link, "&amp;"mhux end-to-end. Kull trażmissjonijiet għandhom jitwettqu minn protokolli ta 'saff ogħla. Il-protokoll X.25 UNI huwa parti mis-suite tal-protokoll X.25, li tikkonsisti fit-tliet saffi l-aktar baxxi tal-mudell OSI. Intuża ħafna fl-UNI għal netwerks ta 'qli"&amp;"b tal-pakketti matul is-snin 1980 u l-bidu tas-snin disgħin, biex jipprovdu interface standardizzata f'netwerks ta' pakketti u barra. Xi implimentazzjonijiet użaw X.25 fin-netwerk ukoll, iżda l-karatteristiċi orjentati lejn il-konnessjoni għamlu din is-se"&amp;"tup ingombranti u ineffiċjenti. Frame Relay jaħdem prinċipalment fis-saff tnejn tal-mudell OSI. Madankollu, il-qasam tal-indirizz tiegħu (l-ID tal-konnessjoni tal-link tad-dejta, jew DLCI) jista 'jintuża fis-saff tan-netwerk OSI, b'sett minimu ta' proċedu"&amp;"ri. Għalhekk, hija teħles lilha nnifisha minn ħafna x.25 saff 3 ta 'obbligu, iżda għad għandha d-DLCI bħala ID lil hinn minn saff ta' node-to-node b'żewġ protokoll ta 'rabta. Is-sempliċità tar-relay tal-qafas tagħmilha aktar mgħaġġla u aktar effiċjenti mi"&amp;"nn X.25. Minħabba li l-qafas tar-rilej huwa protokoll tas-saff tal-link tad-dejta, bħal x.25 ma jiddefinixxix operazzjonijiet ta 'rotta interna tan-netwerk. Għal x.25 l-IDs tal-pakketti tiegħu --- iċ-ċirkwit virtwali u n-numri tal-kanali virtwali għandhom"&amp;" ikunu korrelati mal-indirizzi tan-netwerk. L-istess jgħodd għar-rilejs tal-qafas DLCI. Kif dan isir huwa f'idejn il-fornitur tan-netwerk. Relay tal-qafas, bis-saħħa li ma jkollux proċeduri ta 'saff tan-netwerk huwa orjentat lejn il-konnessjoni fis-saff t"&amp;"nejn, billi tuża l-mod HDLC / LAPD / LAPB issettja l-mod asinkroniku bilanċjat (SABM). Il-konnessjonijiet X.25 huma tipikament stabbiliti għal kull sessjoni ta 'komunikazzjoni, iżda għandu karatteristika li tippermetti ammont limitat ta' traffiku li jiġi "&amp;"mgħoddi mill-UNI mingħajr il-handshake orjentat lejn il-konnessjoni. Għal ftit żmien, Frame Relay intuża biex jgħaqqad LANs ma 'netwerks ta' żona wiesgħa. Madankollu, X.25 u kif ukoll ir-relay tal-qafas ġew sostitwiti mill-Protokoll tal-Internet (IP) fis-"&amp;"saff tan-netwerk, u l-mod ta 'trasferiment mhux sinkroniku (ATM) u jew verżjonijiet ta' qlib tat-tikketta b'ħafna protokol (MPLS) fis-saff tnejn. Konfigurazzjoni tipika hija li tmexxi IP fuq ATM jew verżjoni ta 'MPLS. &lt;Uyless Black, X.25 u Protokolli Rela"&amp;"tati, IEEE Computer Society, 1991&gt; &lt;uyless Black, Frame Relay Networks, McGraw-Hill, 1998&gt; &lt;Uyless Black, MPLS u Networks ta 'Qlib tat-Tikketta, Prentice Hall, 2001&gt; &lt;Uyless Black, ATM, Volum I, Prentice Hall, 1995&gt;")</f>
        <v>Kemm X.25 kif ukoll Frame Relay jipprovdu operazzjonijiet orjentati lejn il-konnessjoni. Imma X.25 jagħmel dan fis-saff tan-netwerk tal-mudell OSI. Frame Relay jagħmel dan fil-livell tnejn, is-saff tal-link tad-dejta. Differenza ewlenija oħra bejn X.25 u Frame Relay hija li X.25 jirrikjedi handshake bejn il-partijiet li jikkomunikaw qabel ma jiġu trasmessi xi pakketti tal-utent. Frame Relay ma jiddefinixxi l-ebda handshakes bħal dawn. X.25 ma jiddefinixxi l-ebda operazzjoni ġewwa n-netwerk tal-pakketti. Jopera biss fl-interface tal-utent-netwerk (UNI). Għalhekk, il-fornitur tan-netwerk huwa liberu li juża kwalunkwe proċedura li jixtieq fin-netwerk. X.25 jispeċifika xi proċeduri limitati ta 'trasmissjoni mill-ġdid fl-UNI, u l-protokoll tas-saff tal-link tiegħu (LAPB) jipprovdi proċeduri konvenzjonali ta' ġestjoni tat-tip HDLC. Frame Relay hija verżjoni modifikata tas-saff tal-ISDN Two Protocol, LAPD u LAPB. Bħala tali, l-operazzjonijiet ta 'integrità tagħha għandhom x'jaqsmu biss bejn l-għoqiedi fuq link, mhux end-to-end. Kull trażmissjonijiet għandhom jitwettqu minn protokolli ta 'saff ogħla. Il-protokoll X.25 UNI huwa parti mis-suite tal-protokoll X.25, li tikkonsisti fit-tliet saffi l-aktar baxxi tal-mudell OSI. Intuża ħafna fl-UNI għal netwerks ta 'qlib tal-pakketti matul is-snin 1980 u l-bidu tas-snin disgħin, biex jipprovdu interface standardizzata f'netwerks ta' pakketti u barra. Xi implimentazzjonijiet użaw X.25 fin-netwerk ukoll, iżda l-karatteristiċi orjentati lejn il-konnessjoni għamlu din is-setup ingombranti u ineffiċjenti. Frame Relay jaħdem prinċipalment fis-saff tnejn tal-mudell OSI. Madankollu, il-qasam tal-indirizz tiegħu (l-ID tal-konnessjoni tal-link tad-dejta, jew DLCI) jista 'jintuża fis-saff tan-netwerk OSI, b'sett minimu ta' proċeduri. Għalhekk, hija teħles lilha nnifisha minn ħafna x.25 saff 3 ta 'obbligu, iżda għad għandha d-DLCI bħala ID lil hinn minn saff ta' node-to-node b'żewġ protokoll ta 'rabta. Is-sempliċità tar-relay tal-qafas tagħmilha aktar mgħaġġla u aktar effiċjenti minn X.25. Minħabba li l-qafas tar-rilej huwa protokoll tas-saff tal-link tad-dejta, bħal x.25 ma jiddefinixxix operazzjonijiet ta 'rotta interna tan-netwerk. Għal x.25 l-IDs tal-pakketti tiegħu --- iċ-ċirkwit virtwali u n-numri tal-kanali virtwali għandhom ikunu korrelati mal-indirizzi tan-netwerk. L-istess jgħodd għar-rilejs tal-qafas DLCI. Kif dan isir huwa f'idejn il-fornitur tan-netwerk. Relay tal-qafas, bis-saħħa li ma jkollux proċeduri ta 'saff tan-netwerk huwa orjentat lejn il-konnessjoni fis-saff tnejn, billi tuża l-mod HDLC / LAPD / LAPB issettja l-mod asinkroniku bilanċjat (SABM). Il-konnessjonijiet X.25 huma tipikament stabbiliti għal kull sessjoni ta 'komunikazzjoni, iżda għandu karatteristika li tippermetti ammont limitat ta' traffiku li jiġi mgħoddi mill-UNI mingħajr il-handshake orjentat lejn il-konnessjoni. Għal ftit żmien, Frame Relay intuża biex jgħaqqad LANs ma 'netwerks ta' żona wiesgħa. Madankollu, X.25 u kif ukoll ir-relay tal-qafas ġew sostitwiti mill-Protokoll tal-Internet (IP) fis-saff tan-netwerk, u l-mod ta 'trasferiment mhux sinkroniku (ATM) u jew verżjonijiet ta' qlib tat-tikketta b'ħafna protokol (MPLS) fis-saff tnejn. Konfigurazzjoni tipika hija li tmexxi IP fuq ATM jew verżjoni ta 'MPLS. &lt;Uyless Black, X.25 u Protokolli Relatati, IEEE Computer Society, 1991&gt; &lt;uyless Black, Frame Relay Networks, McGraw-Hill, 1998&gt; &lt;Uyless Black, MPLS u Networks ta 'Qlib tat-Tikketta, Prentice Hall, 2001&gt; &lt;Uyless Black, ATM, Volum I, Prentice Hall, 1995&gt;</v>
      </c>
    </row>
    <row r="7330" ht="15.75" customHeight="1">
      <c r="A7330" s="2" t="s">
        <v>7330</v>
      </c>
      <c r="B7330" s="2" t="str">
        <f>IFERROR(__xludf.DUMMYFUNCTION("GOOGLETRANSLATE(A7330, ""en"", ""mt"")"),"f'Mejju 2013")</f>
        <v>f'Mejju 2013</v>
      </c>
    </row>
    <row r="7331" ht="15.75" customHeight="1">
      <c r="A7331" s="2" t="s">
        <v>7331</v>
      </c>
      <c r="B7331" s="2" t="str">
        <f>IFERROR(__xludf.DUMMYFUNCTION("GOOGLETRANSLATE(A7331, ""en"", ""mt"")"),"Aristotile kien jemmen li l-oġġetti miexja fid-dinja jibqgħu hekk?")</f>
        <v>Aristotile kien jemmen li l-oġġetti miexja fid-dinja jibqgħu hekk?</v>
      </c>
    </row>
    <row r="7332" ht="15.75" customHeight="1">
      <c r="A7332" s="2" t="s">
        <v>7332</v>
      </c>
      <c r="B7332" s="2" t="str">
        <f>IFERROR(__xludf.DUMMYFUNCTION("GOOGLETRANSLATE(A7332, ""en"", ""mt"")"),"X'tagħmel l-għarbiel ta 'Eratosthenes?")</f>
        <v>X'tagħmel l-għarbiel ta 'Eratosthenes?</v>
      </c>
    </row>
    <row r="7333" ht="15.75" customHeight="1">
      <c r="A7333" s="2" t="s">
        <v>7333</v>
      </c>
      <c r="B7333" s="2" t="str">
        <f>IFERROR(__xludf.DUMMYFUNCTION("GOOGLETRANSLATE(A7333, ""en"", ""mt"")"),"Kemm kienu hemm studenti tal-iskola privata fl-1979?")</f>
        <v>Kemm kienu hemm studenti tal-iskola privata fl-1979?</v>
      </c>
    </row>
    <row r="7334" ht="15.75" customHeight="1">
      <c r="A7334" s="2" t="s">
        <v>7334</v>
      </c>
      <c r="B7334" s="2" t="str">
        <f>IFERROR(__xludf.DUMMYFUNCTION("GOOGLETRANSLATE(A7334, ""en"", ""mt"")"),"Seine")</f>
        <v>Seine</v>
      </c>
    </row>
    <row r="7335" ht="15.75" customHeight="1">
      <c r="A7335" s="2" t="s">
        <v>7335</v>
      </c>
      <c r="B7335" s="2" t="str">
        <f>IFERROR(__xludf.DUMMYFUNCTION("GOOGLETRANSLATE(A7335, ""en"", ""mt"")"),"estern")</f>
        <v>estern</v>
      </c>
    </row>
    <row r="7336" ht="15.75" customHeight="1">
      <c r="A7336" s="2" t="s">
        <v>7336</v>
      </c>
      <c r="B7336" s="2" t="str">
        <f>IFERROR(__xludf.DUMMYFUNCTION("GOOGLETRANSLATE(A7336, ""en"", ""mt"")"),"Huwa baqa 'ħaj minn ħafna gwerer, kunflitti u invażjonijiet")</f>
        <v>Huwa baqa 'ħaj minn ħafna gwerer, kunflitti u invażjonijiet</v>
      </c>
    </row>
    <row r="7337" ht="15.75" customHeight="1">
      <c r="A7337" s="2" t="s">
        <v>7337</v>
      </c>
      <c r="B7337" s="2" t="str">
        <f>IFERROR(__xludf.DUMMYFUNCTION("GOOGLETRANSLATE(A7337, ""en"", ""mt"")"),"Mudelli matematiċi")</f>
        <v>Mudelli matematiċi</v>
      </c>
    </row>
    <row r="7338" ht="15.75" customHeight="1">
      <c r="A7338" s="2" t="s">
        <v>7338</v>
      </c>
      <c r="B7338" s="2" t="str">
        <f>IFERROR(__xludf.DUMMYFUNCTION("GOOGLETRANSLATE(A7338, ""en"", ""mt"")"),"Liema żona hija simili d-distrett tat-torri simili għal fl-arkitettura?")</f>
        <v>Liema żona hija simili d-distrett tat-torri simili għal fl-arkitettura?</v>
      </c>
    </row>
    <row r="7339" ht="15.75" customHeight="1">
      <c r="A7339" s="2" t="s">
        <v>7339</v>
      </c>
      <c r="B7339" s="2" t="str">
        <f>IFERROR(__xludf.DUMMYFUNCTION("GOOGLETRANSLATE(A7339, ""en"", ""mt"")")," Liema mexxej ta 'Khitan ċaħad il-Mongoli?")</f>
        <v> Liema mexxej ta 'Khitan ċaħad il-Mongoli?</v>
      </c>
    </row>
    <row r="7340" ht="15.75" customHeight="1">
      <c r="A7340" s="2" t="s">
        <v>7340</v>
      </c>
      <c r="B7340" s="2" t="str">
        <f>IFERROR(__xludf.DUMMYFUNCTION("GOOGLETRANSLATE(A7340, ""en"", ""mt"")")," X'tip ta 'tkabbir skoraġġixxa l-Kublai?")</f>
        <v> X'tip ta 'tkabbir skoraġġixxa l-Kublai?</v>
      </c>
    </row>
    <row r="7341" ht="15.75" customHeight="1">
      <c r="A7341" s="2" t="s">
        <v>7341</v>
      </c>
      <c r="B7341" s="2" t="str">
        <f>IFERROR(__xludf.DUMMYFUNCTION("GOOGLETRANSLATE(A7341, ""en"", ""mt"")"),"Kompjuters ospitanti")</f>
        <v>Kompjuters ospitanti</v>
      </c>
    </row>
    <row r="7342" ht="15.75" customHeight="1">
      <c r="A7342" s="2" t="s">
        <v>7342</v>
      </c>
      <c r="B7342" s="2" t="str">
        <f>IFERROR(__xludf.DUMMYFUNCTION("GOOGLETRANSLATE(A7342, ""en"", ""mt"")"),"[256kn + 1, 256k (n + 1) - 1].")</f>
        <v>[256kn + 1, 256k (n + 1) - 1].</v>
      </c>
    </row>
    <row r="7343" ht="15.75" customHeight="1">
      <c r="A7343" s="2" t="s">
        <v>7343</v>
      </c>
      <c r="B7343" s="2" t="str">
        <f>IFERROR(__xludf.DUMMYFUNCTION("GOOGLETRANSLATE(A7343, ""en"", ""mt"")"),"Meta l-korrelazzjoni hija kultant negattiva?")</f>
        <v>Meta l-korrelazzjoni hija kultant negattiva?</v>
      </c>
    </row>
    <row r="7344" ht="15.75" customHeight="1">
      <c r="A7344" s="2" t="s">
        <v>7344</v>
      </c>
      <c r="B7344" s="2" t="str">
        <f>IFERROR(__xludf.DUMMYFUNCTION("GOOGLETRANSLATE(A7344, ""en"", ""mt"")"),"F’liema kundizzjonijiet il-forzi ġew imkejla l-ewwel storikament?")</f>
        <v>F’liema kundizzjonijiet il-forzi ġew imkejla l-ewwel storikament?</v>
      </c>
    </row>
    <row r="7345" ht="15.75" customHeight="1">
      <c r="A7345" s="2" t="s">
        <v>7345</v>
      </c>
      <c r="B7345" s="2" t="str">
        <f>IFERROR(__xludf.DUMMYFUNCTION("GOOGLETRANSLATE(A7345, ""en"", ""mt"")"),"jippreskrivu u jwarrbu mediċini biss bir-riċetta lill-pazjenti tagħhom minn ġewwa l-prattiki tagħhom")</f>
        <v>jippreskrivu u jwarrbu mediċini biss bir-riċetta lill-pazjenti tagħhom minn ġewwa l-prattiki tagħhom</v>
      </c>
    </row>
    <row r="7346" ht="15.75" customHeight="1">
      <c r="A7346" s="2" t="s">
        <v>7346</v>
      </c>
      <c r="B7346" s="2" t="str">
        <f>IFERROR(__xludf.DUMMYFUNCTION("GOOGLETRANSLATE(A7346, ""en"", ""mt"")"),"L-iskola kienet assoċjata uffiċjalment ma 'xi denominazzjoni?")</f>
        <v>L-iskola kienet assoċjata uffiċjalment ma 'xi denominazzjoni?</v>
      </c>
    </row>
    <row r="7347" ht="15.75" customHeight="1">
      <c r="A7347" s="2" t="s">
        <v>7347</v>
      </c>
      <c r="B7347" s="2" t="str">
        <f>IFERROR(__xludf.DUMMYFUNCTION("GOOGLETRANSLATE(A7347, ""en"", ""mt"")"),"Il-viċinat għandu ristoranti, teatru ħaj u nightclubs, kif ukoll diversi ħwienet u libreriji indipendenti, li bħalissa joperaw fuq jew qrib iż-Żebbuġ, u kollha fi ftit mijiet ta 'piedi ta' xulxin. Mit-tiġdid, id-distrett tat-Torri sar żona attraenti għal "&amp;"ristoranti u negozji lokali oħra. Illum, id-distrett tat-torri huwa magħruf ukoll bħala ċ-ċentru tal-komunitajiet LGBT u hipster ta 'Fresno.; Barra minn hekk, it-Tower District huwa magħruf ukoll bħala ċ-ċentru tal-punk lokali / goth / deathrock u komunit"&amp;"à tal-metall tqil ta 'Fresno. [Ċitazzjoni meħtieġa]")</f>
        <v>Il-viċinat għandu ristoranti, teatru ħaj u nightclubs, kif ukoll diversi ħwienet u libreriji indipendenti, li bħalissa joperaw fuq jew qrib iż-Żebbuġ, u kollha fi ftit mijiet ta 'piedi ta' xulxin. Mit-tiġdid, id-distrett tat-Torri sar żona attraenti għal ristoranti u negozji lokali oħra. Illum, id-distrett tat-torri huwa magħruf ukoll bħala ċ-ċentru tal-komunitajiet LGBT u hipster ta 'Fresno.; Barra minn hekk, it-Tower District huwa magħruf ukoll bħala ċ-ċentru tal-punk lokali / goth / deathrock u komunità tal-metall tqil ta 'Fresno. [Ċitazzjoni meħtieġa]</v>
      </c>
    </row>
    <row r="7348" ht="15.75" customHeight="1">
      <c r="A7348" s="2" t="s">
        <v>7348</v>
      </c>
      <c r="B7348" s="2" t="str">
        <f>IFERROR(__xludf.DUMMYFUNCTION("GOOGLETRANSLATE(A7348, ""en"", ""mt"")"),"599 m sa 396 m")</f>
        <v>599 m sa 396 m</v>
      </c>
    </row>
    <row r="7349" ht="15.75" customHeight="1">
      <c r="A7349" s="2" t="s">
        <v>7349</v>
      </c>
      <c r="B7349" s="2" t="str">
        <f>IFERROR(__xludf.DUMMYFUNCTION("GOOGLETRANSLATE(A7349, ""en"", ""mt"")"),"l-istituzzjonijiet komprensivi tal-wan kbir")</f>
        <v>l-istituzzjonijiet komprensivi tal-wan kbir</v>
      </c>
    </row>
    <row r="7350" ht="15.75" customHeight="1">
      <c r="A7350" s="2" t="s">
        <v>7350</v>
      </c>
      <c r="B7350" s="2" t="str">
        <f>IFERROR(__xludf.DUMMYFUNCTION("GOOGLETRANSLATE(A7350, ""en"", ""mt"")"),"Il-Prinċep Louis de Condé, flimkien ma 'wliedu Daniel u Osias, [ċitazzjoni meħtieġa] irranġati mal-Konti Ludwig von Nassau-Saarbrücken biex jistabbilixxu komunità Huguenot fis-Saarland preżenti fl-1604. , irrispettivament mir-reliġjon tagħhom. Il-condés s"&amp;"tabbilixxew xogħlijiet b'saħħithom tal-ħġieġ, li pprovdew ġid lill-prinċipat għal ħafna snin. Familji fundaturi oħra ħolqu intrapriżi bbażati fuq tessuti u okkupazzjonijiet tradizzjonali ta 'Huguenot fi Franza. Il-komunità u l-kongregazzjoni tagħha jibqgħ"&amp;"u attivi sal-lum, bid-dixxendenti ta 'ħafna mill-familji fundaturi li għadhom jgħixu fir-reġjun. Xi membri ta 'din il-komunità emigraw lejn l-Istati Uniti fl-1890s.")</f>
        <v>Il-Prinċep Louis de Condé, flimkien ma 'wliedu Daniel u Osias, [ċitazzjoni meħtieġa] irranġati mal-Konti Ludwig von Nassau-Saarbrücken biex jistabbilixxu komunità Huguenot fis-Saarland preżenti fl-1604. , irrispettivament mir-reliġjon tagħhom. Il-condés stabbilixxew xogħlijiet b'saħħithom tal-ħġieġ, li pprovdew ġid lill-prinċipat għal ħafna snin. Familji fundaturi oħra ħolqu intrapriżi bbażati fuq tessuti u okkupazzjonijiet tradizzjonali ta 'Huguenot fi Franza. Il-komunità u l-kongregazzjoni tagħha jibqgħu attivi sal-lum, bid-dixxendenti ta 'ħafna mill-familji fundaturi li għadhom jgħixu fir-reġjun. Xi membri ta 'din il-komunità emigraw lejn l-Istati Uniti fl-1890s.</v>
      </c>
    </row>
    <row r="7351" ht="15.75" customHeight="1">
      <c r="A7351" s="2" t="s">
        <v>7351</v>
      </c>
      <c r="B7351" s="2" t="str">
        <f>IFERROR(__xludf.DUMMYFUNCTION("GOOGLETRANSLATE(A7351, ""en"", ""mt"")"),"Żieda sostanzjalment il-konċentrazzjonijiet atmosferiċi")</f>
        <v>Żieda sostanzjalment il-konċentrazzjonijiet atmosferiċi</v>
      </c>
    </row>
    <row r="7352" ht="15.75" customHeight="1">
      <c r="A7352" s="2" t="s">
        <v>7352</v>
      </c>
      <c r="B7352" s="2" t="str">
        <f>IFERROR(__xludf.DUMMYFUNCTION("GOOGLETRANSLATE(A7352, ""en"", ""mt"")"),"X'inhu mħabbra mill-ħoss tal-qanpiena li tiddeċiedi?")</f>
        <v>X'inhu mħabbra mill-ħoss tal-qanpiena li tiddeċiedi?</v>
      </c>
    </row>
    <row r="7353" ht="15.75" customHeight="1">
      <c r="A7353" s="2" t="s">
        <v>7353</v>
      </c>
      <c r="B7353" s="2" t="str">
        <f>IFERROR(__xludf.DUMMYFUNCTION("GOOGLETRANSLATE(A7353, ""en"", ""mt"")"),"Priestley x’għamel fl-1774?")</f>
        <v>Priestley x’għamel fl-1774?</v>
      </c>
    </row>
    <row r="7354" ht="15.75" customHeight="1">
      <c r="A7354" s="2" t="s">
        <v>7354</v>
      </c>
      <c r="B7354" s="2" t="str">
        <f>IFERROR(__xludf.DUMMYFUNCTION("GOOGLETRANSLATE(A7354, ""en"", ""mt"")"),"Peptidi ""Self""")</f>
        <v>Peptidi "Self"</v>
      </c>
    </row>
    <row r="7355" ht="15.75" customHeight="1">
      <c r="A7355" s="2" t="s">
        <v>7355</v>
      </c>
      <c r="B7355" s="2" t="str">
        <f>IFERROR(__xludf.DUMMYFUNCTION("GOOGLETRANSLATE(A7355, ""en"", ""mt"")"),"imħabbra pubblikament")</f>
        <v>imħabbra pubblikament</v>
      </c>
    </row>
    <row r="7356" ht="15.75" customHeight="1">
      <c r="A7356" s="2" t="s">
        <v>7356</v>
      </c>
      <c r="B7356" s="2" t="str">
        <f>IFERROR(__xludf.DUMMYFUNCTION("GOOGLETRANSLATE(A7356, ""en"", ""mt"")"),"Fl-1872, il-Ferrovija Ċentrali tal-Paċifiku stabbilixxiet stazzjon qrib l-Easterby - minn issa razzett tal-qamħ immensament produttiv - għal-linja l-ġdida tagħha tan-Nofsinhar tal-Paċifiku. Hekk kien hemm maħżen madwar l-istazzjon u l-maħżen kiber il-belt"&amp;" ta 'Fresno Station, aktar tard imsejjaħ Fresno. Ħafna residenti ta 'Millerton, imfassla mill-konvenjenza tal-ferrovija u inkwetati dwar l-għargħar, marru jgħixu fil-komunità l-ġdida. Fresno sar belt inkorporata fl-1885. Sal-1931 il-Kumpanija ta 'Trazzjon"&amp;"i Fresno operat 47 streetcars fuq 49 mil ta' korsa.")</f>
        <v>Fl-1872, il-Ferrovija Ċentrali tal-Paċifiku stabbilixxiet stazzjon qrib l-Easterby - minn issa razzett tal-qamħ immensament produttiv - għal-linja l-ġdida tagħha tan-Nofsinhar tal-Paċifiku. Hekk kien hemm maħżen madwar l-istazzjon u l-maħżen kiber il-belt ta 'Fresno Station, aktar tard imsejjaħ Fresno. Ħafna residenti ta 'Millerton, imfassla mill-konvenjenza tal-ferrovija u inkwetati dwar l-għargħar, marru jgħixu fil-komunità l-ġdida. Fresno sar belt inkorporata fl-1885. Sal-1931 il-Kumpanija ta 'Trazzjoni Fresno operat 47 streetcars fuq 49 mil ta' korsa.</v>
      </c>
    </row>
    <row r="7357" ht="15.75" customHeight="1">
      <c r="A7357" s="2" t="s">
        <v>7357</v>
      </c>
      <c r="B7357" s="2" t="str">
        <f>IFERROR(__xludf.DUMMYFUNCTION("GOOGLETRANSLATE(A7357, ""en"", ""mt"")"),"Min jiddeċiedi d-destin ta 'dimostranti ħafna mill-ħin?")</f>
        <v>Min jiddeċiedi d-destin ta 'dimostranti ħafna mill-ħin?</v>
      </c>
    </row>
    <row r="7358" ht="15.75" customHeight="1">
      <c r="A7358" s="2" t="s">
        <v>7358</v>
      </c>
      <c r="B7358" s="2" t="str">
        <f>IFERROR(__xludf.DUMMYFUNCTION("GOOGLETRANSLATE(A7358, ""en"", ""mt"")"),"tinforma lill-ġurija u lill-pubbliku")</f>
        <v>tinforma lill-ġurija u lill-pubbliku</v>
      </c>
    </row>
    <row r="7359" ht="15.75" customHeight="1">
      <c r="A7359" s="2" t="s">
        <v>7359</v>
      </c>
      <c r="B7359" s="2" t="str">
        <f>IFERROR(__xludf.DUMMYFUNCTION("GOOGLETRANSLATE(A7359, ""en"", ""mt"")"),"X’ordni għamlu l-Brittaniċi tal-Franċiż?")</f>
        <v>X’ordni għamlu l-Brittaniċi tal-Franċiż?</v>
      </c>
    </row>
    <row r="7360" ht="15.75" customHeight="1">
      <c r="A7360" s="2" t="s">
        <v>7360</v>
      </c>
      <c r="B7360" s="2" t="str">
        <f>IFERROR(__xludf.DUMMYFUNCTION("GOOGLETRANSLATE(A7360, ""en"", ""mt"")"),"Għibien ta 'alleat qawwi u kontrapiż għall-espansjoni Ingliża, li twassal għad-disponiment aħħari tagħhom")</f>
        <v>Għibien ta 'alleat qawwi u kontrapiż għall-espansjoni Ingliża, li twassal għad-disponiment aħħari tagħhom</v>
      </c>
    </row>
    <row r="7361" ht="15.75" customHeight="1">
      <c r="A7361" s="2" t="s">
        <v>7361</v>
      </c>
      <c r="B7361" s="2" t="str">
        <f>IFERROR(__xludf.DUMMYFUNCTION("GOOGLETRANSLATE(A7361, ""en"", ""mt"")"),"Fejn ir-rapporti tal-IPCC jiksbu l-informazzjoni tagħhom?")</f>
        <v>Fejn ir-rapporti tal-IPCC jiksbu l-informazzjoni tagħhom?</v>
      </c>
    </row>
    <row r="7362" ht="15.75" customHeight="1">
      <c r="A7362" s="2" t="s">
        <v>7362</v>
      </c>
      <c r="B7362" s="2" t="str">
        <f>IFERROR(__xludf.DUMMYFUNCTION("GOOGLETRANSLATE(A7362, ""en"", ""mt"")"),"Liema livell ta 'mobilità ekonomika l-ekonomija ta' l-Istati Uniti qabblet ma 'pajjiżi Ewropej?")</f>
        <v>Liema livell ta 'mobilità ekonomika l-ekonomija ta' l-Istati Uniti qabblet ma 'pajjiżi Ewropej?</v>
      </c>
    </row>
    <row r="7363" ht="15.75" customHeight="1">
      <c r="A7363" s="2" t="s">
        <v>7363</v>
      </c>
      <c r="B7363" s="2" t="str">
        <f>IFERROR(__xludf.DUMMYFUNCTION("GOOGLETRANSLATE(A7363, ""en"", ""mt"")"),"X'tip ta 'forza ma teżistix taħt it-tielet liġi ta' Newton?")</f>
        <v>X'tip ta 'forza ma teżistix taħt it-tielet liġi ta' Newton?</v>
      </c>
    </row>
    <row r="7364" ht="15.75" customHeight="1">
      <c r="A7364" s="2" t="s">
        <v>7364</v>
      </c>
      <c r="B7364" s="2" t="str">
        <f>IFERROR(__xludf.DUMMYFUNCTION("GOOGLETRANSLATE(A7364, ""en"", ""mt"")"),"Liema żewġ trattati pprovdew istituzzjonijiet aktar formali tal-Unjoni Ewropea?")</f>
        <v>Liema żewġ trattati pprovdew istituzzjonijiet aktar formali tal-Unjoni Ewropea?</v>
      </c>
    </row>
    <row r="7365" ht="15.75" customHeight="1">
      <c r="A7365" s="2" t="s">
        <v>7365</v>
      </c>
      <c r="B7365" s="2" t="str">
        <f>IFERROR(__xludf.DUMMYFUNCTION("GOOGLETRANSLATE(A7365, ""en"", ""mt"")"),"Min attakka Dyrrachium fis-seklu 11?")</f>
        <v>Min attakka Dyrrachium fis-seklu 11?</v>
      </c>
    </row>
    <row r="7366" ht="15.75" customHeight="1">
      <c r="A7366" s="2" t="s">
        <v>7366</v>
      </c>
      <c r="B7366" s="2" t="str">
        <f>IFERROR(__xludf.DUMMYFUNCTION("GOOGLETRANSLATE(A7366, ""en"", ""mt"")"),"Liema żewġ qrati japplikaw il-liġi tal-Unjoni Ewropea?")</f>
        <v>Liema żewġ qrati japplikaw il-liġi tal-Unjoni Ewropea?</v>
      </c>
    </row>
    <row r="7367" ht="15.75" customHeight="1">
      <c r="A7367" s="2" t="s">
        <v>7367</v>
      </c>
      <c r="B7367" s="2" t="str">
        <f>IFERROR(__xludf.DUMMYFUNCTION("GOOGLETRANSLATE(A7367, ""en"", ""mt"")"),"Min waqqaf dak li sar it-tieni repubblika Pollakka?")</f>
        <v>Min waqqaf dak li sar it-tieni repubblika Pollakka?</v>
      </c>
    </row>
    <row r="7368" ht="15.75" customHeight="1">
      <c r="A7368" s="2" t="s">
        <v>7368</v>
      </c>
      <c r="B7368" s="2" t="str">
        <f>IFERROR(__xludf.DUMMYFUNCTION("GOOGLETRANSLATE(A7368, ""en"", ""mt"")"),"Kemm stejjer għandu t-Torri tal-Bank of America?")</f>
        <v>Kemm stejjer għandu t-Torri tal-Bank of America?</v>
      </c>
    </row>
    <row r="7369" ht="15.75" customHeight="1">
      <c r="A7369" s="2" t="s">
        <v>7369</v>
      </c>
      <c r="B7369" s="2" t="str">
        <f>IFERROR(__xludf.DUMMYFUNCTION("GOOGLETRANSLATE(A7369, ""en"", ""mt"")"),"Hemm xi dibattitu li m'hemmx korrelazzjoni bejn il-kapitaliżmu, l-imperjalizmu, u x'inhu?")</f>
        <v>Hemm xi dibattitu li m'hemmx korrelazzjoni bejn il-kapitaliżmu, l-imperjalizmu, u x'inhu?</v>
      </c>
    </row>
    <row r="7370" ht="15.75" customHeight="1">
      <c r="A7370" s="2" t="s">
        <v>7370</v>
      </c>
      <c r="B7370" s="2" t="str">
        <f>IFERROR(__xludf.DUMMYFUNCTION("GOOGLETRANSLATE(A7370, ""en"", ""mt"")"),"Min ħaseb li l-forza applikata kkawżat moviment ta 'oġġett irrispettivament mill-veloċità mhux żero?")</f>
        <v>Min ħaseb li l-forza applikata kkawżat moviment ta 'oġġett irrispettivament mill-veloċità mhux żero?</v>
      </c>
    </row>
    <row r="7371" ht="15.75" customHeight="1">
      <c r="A7371" s="2" t="s">
        <v>7371</v>
      </c>
      <c r="B7371" s="2" t="str">
        <f>IFERROR(__xludf.DUMMYFUNCTION("GOOGLETRANSLATE(A7371, ""en"", ""mt"")"),"Liema proċess jaħdmu Iżlamisti moderati u riformisti fil-konfini ta '?")</f>
        <v>Liema proċess jaħdmu Iżlamisti moderati u riformisti fil-konfini ta '?</v>
      </c>
    </row>
    <row r="7372" ht="15.75" customHeight="1">
      <c r="A7372" s="2" t="s">
        <v>7372</v>
      </c>
      <c r="B7372" s="2" t="str">
        <f>IFERROR(__xludf.DUMMYFUNCTION("GOOGLETRANSLATE(A7372, ""en"", ""mt"")"),"Liema kumpanija kienet Bedau parti minnha waqt li kisret il-liġi billi ġġib il-mediċina lill-Iraq?")</f>
        <v>Liema kumpanija kienet Bedau parti minnha waqt li kisret il-liġi billi ġġib il-mediċina lill-Iraq?</v>
      </c>
    </row>
    <row r="7373" ht="15.75" customHeight="1">
      <c r="A7373" s="2" t="s">
        <v>7373</v>
      </c>
      <c r="B7373" s="2" t="str">
        <f>IFERROR(__xludf.DUMMYFUNCTION("GOOGLETRANSLATE(A7373, ""en"", ""mt"")"),"tirrifletti ""sfida akbar għas-sistema legali li tippermetti li jittieħdu dawk id-deċiżjonijiet")</f>
        <v>tirrifletti "sfida akbar għas-sistema legali li tippermetti li jittieħdu dawk id-deċiżjonijiet</v>
      </c>
    </row>
    <row r="7374" ht="15.75" customHeight="1">
      <c r="A7374" s="2" t="s">
        <v>7374</v>
      </c>
      <c r="B7374" s="2" t="str">
        <f>IFERROR(__xludf.DUMMYFUNCTION("GOOGLETRANSLATE(A7374, ""en"", ""mt"")"),"Fl-1979, x'kienet il-medja MPG għall-karozzi Amerikani?")</f>
        <v>Fl-1979, x'kienet il-medja MPG għall-karozzi Amerikani?</v>
      </c>
    </row>
    <row r="7375" ht="15.75" customHeight="1">
      <c r="A7375" s="2" t="s">
        <v>7375</v>
      </c>
      <c r="B7375" s="2" t="str">
        <f>IFERROR(__xludf.DUMMYFUNCTION("GOOGLETRANSLATE(A7375, ""en"", ""mt"")"),"Maududi meta telaq mill-partit Jamaat-e-Islami?")</f>
        <v>Maududi meta telaq mill-partit Jamaat-e-Islami?</v>
      </c>
    </row>
    <row r="7376" ht="15.75" customHeight="1">
      <c r="A7376" s="2" t="s">
        <v>7376</v>
      </c>
      <c r="B7376" s="2" t="str">
        <f>IFERROR(__xludf.DUMMYFUNCTION("GOOGLETRANSLATE(A7376, ""en"", ""mt"")"),"420,000")</f>
        <v>420,000</v>
      </c>
    </row>
    <row r="7377" ht="15.75" customHeight="1">
      <c r="A7377" s="2" t="s">
        <v>7377</v>
      </c>
      <c r="B7377" s="2" t="str">
        <f>IFERROR(__xludf.DUMMYFUNCTION("GOOGLETRANSLATE(A7377, ""en"", ""mt"")"),"Il-Mallee u l-Upper Wimmera huma r-reġjuni l-aktar sħan tar-Rabat bl-irjieħ sħan li jonfħu minn semi-deżerti fil-qrib. It-temperaturi medji jaqbżu t-32 ° C (90 ° F) matul is-sajf u 15 ° C (59 ° F) fix-xitwa. Ħlief f'elevazzjonijiet tal-muntanji friski, it"&amp;"-temperaturi ta 'kull xahar interni huma 2-7 ° C (4-13 ° F) aktar sħan minn madwar Melbourne (ara ċ-ċart). L-ogħla temperatura massima tar-Rabat mit-Tieni Gwerra Dinjija, ta '48 .8 ° C (119.8 ° F) ġiet irreġistrata f'Hopetoun fis-7 ta 'Frar 2009, matul il"&amp;"-mewġa tas-sħana tal-2009 tax-Xlokk tal-Awstralja.")</f>
        <v>Il-Mallee u l-Upper Wimmera huma r-reġjuni l-aktar sħan tar-Rabat bl-irjieħ sħan li jonfħu minn semi-deżerti fil-qrib. It-temperaturi medji jaqbżu t-32 ° C (90 ° F) matul is-sajf u 15 ° C (59 ° F) fix-xitwa. Ħlief f'elevazzjonijiet tal-muntanji friski, it-temperaturi ta 'kull xahar interni huma 2-7 ° C (4-13 ° F) aktar sħan minn madwar Melbourne (ara ċ-ċart). L-ogħla temperatura massima tar-Rabat mit-Tieni Gwerra Dinjija, ta '48 .8 ° C (119.8 ° F) ġiet irreġistrata f'Hopetoun fis-7 ta 'Frar 2009, matul il-mewġa tas-sħana tal-2009 tax-Xlokk tal-Awstralja.</v>
      </c>
    </row>
    <row r="7378" ht="15.75" customHeight="1">
      <c r="A7378" s="2" t="s">
        <v>7378</v>
      </c>
      <c r="B7378" s="2" t="str">
        <f>IFERROR(__xludf.DUMMYFUNCTION("GOOGLETRANSLATE(A7378, ""en"", ""mt"")"),"Meta l-kumpaniji tal-karozzi Amerikani ħarġu bil-karozzi sostituti domestiċi tagħhom, liema politika ntemmet?")</f>
        <v>Meta l-kumpaniji tal-karozzi Amerikani ħarġu bil-karozzi sostituti domestiċi tagħhom, liema politika ntemmet?</v>
      </c>
    </row>
    <row r="7379" ht="15.75" customHeight="1">
      <c r="A7379" s="2" t="s">
        <v>7379</v>
      </c>
      <c r="B7379" s="2" t="str">
        <f>IFERROR(__xludf.DUMMYFUNCTION("GOOGLETRANSLATE(A7379, ""en"", ""mt"")"),"Kampus tal-Università ta ’Chicago")</f>
        <v>Kampus tal-Università ta ’Chicago</v>
      </c>
    </row>
    <row r="7380" ht="15.75" customHeight="1">
      <c r="A7380" s="2" t="s">
        <v>7380</v>
      </c>
      <c r="B7380" s="2" t="str">
        <f>IFERROR(__xludf.DUMMYFUNCTION("GOOGLETRANSLATE(A7380, ""en"", ""mt"")"),"Kif tidher l-inugwaljanza tad-dħul ġeneralment mill-ħaddiema?")</f>
        <v>Kif tidher l-inugwaljanza tad-dħul ġeneralment mill-ħaddiema?</v>
      </c>
    </row>
    <row r="7381" ht="15.75" customHeight="1">
      <c r="A7381" s="2" t="s">
        <v>7381</v>
      </c>
      <c r="B7381" s="2" t="str">
        <f>IFERROR(__xludf.DUMMYFUNCTION("GOOGLETRANSLATE(A7381, ""en"", ""mt"")"),"Evoluzzjoni ta 'liema parti tas-sistema immunitarja seħħet fl-antenat evoluzzjonarju tal-vertebrati tax-xedaq?")</f>
        <v>Evoluzzjoni ta 'liema parti tas-sistema immunitarja seħħet fl-antenat evoluzzjonarju tal-vertebrati tax-xedaq?</v>
      </c>
    </row>
    <row r="7382" ht="15.75" customHeight="1">
      <c r="A7382" s="2" t="s">
        <v>7382</v>
      </c>
      <c r="B7382" s="2" t="str">
        <f>IFERROR(__xludf.DUMMYFUNCTION("GOOGLETRANSLATE(A7382, ""en"", ""mt"")"),"Min kiteb ""Il-Gwerra Amerikana""?")</f>
        <v>Min kiteb "Il-Gwerra Amerikana"?</v>
      </c>
    </row>
    <row r="7383" ht="15.75" customHeight="1">
      <c r="A7383" s="2" t="s">
        <v>7383</v>
      </c>
      <c r="B7383" s="2" t="str">
        <f>IFERROR(__xludf.DUMMYFUNCTION("GOOGLETRANSLATE(A7383, ""en"", ""mt"")"),"F’ħafna pajjiżi foqra u li qed jiżviluppaw ħafna art u akkomodazzjoni tinżamm barra s-sistema ta ’reġistrazzjoni formali jew legali tal-proprjetà. Ħafna proprjetà mhux reġistrata tinżamm f'forma informali permezz ta 'diversi assoċjazzjonijiet u arranġamen"&amp;"ti oħra. Ir-raġunijiet għas-sjieda extra-legali jinkludu burokrazija eċċessiva biex tixtri propjetà u bini, f'xi pajjiżi tista 'tieħu aktar minn 200 passi u sa 14-il sena biex tibni fuq art tal-gvern. Kawżi oħra ta 'proprjetà extra-legali huma fallimenti "&amp;"li jinnotifikaw id-dokumenti ta' tranżazzjoni jew li jkollhom dokumenti notarili iżda ma jirnexxilhomx jiġu rreġistrati mal-aġenzija uffiċjali.")</f>
        <v>F’ħafna pajjiżi foqra u li qed jiżviluppaw ħafna art u akkomodazzjoni tinżamm barra s-sistema ta ’reġistrazzjoni formali jew legali tal-proprjetà. Ħafna proprjetà mhux reġistrata tinżamm f'forma informali permezz ta 'diversi assoċjazzjonijiet u arranġamenti oħra. Ir-raġunijiet għas-sjieda extra-legali jinkludu burokrazija eċċessiva biex tixtri propjetà u bini, f'xi pajjiżi tista 'tieħu aktar minn 200 passi u sa 14-il sena biex tibni fuq art tal-gvern. Kawżi oħra ta 'proprjetà extra-legali huma fallimenti li jinnotifikaw id-dokumenti ta' tranżazzjoni jew li jkollhom dokumenti notarili iżda ma jirnexxilhomx jiġu rreġistrati mal-aġenzija uffiċjali.</v>
      </c>
    </row>
    <row r="7384" ht="15.75" customHeight="1">
      <c r="A7384" s="2" t="s">
        <v>7384</v>
      </c>
      <c r="B7384" s="2" t="str">
        <f>IFERROR(__xludf.DUMMYFUNCTION("GOOGLETRANSLATE(A7384, ""en"", ""mt"")"),"Problema ta 'sodisfazzjon Boolean")</f>
        <v>Problema ta 'sodisfazzjon Boolean</v>
      </c>
    </row>
    <row r="7385" ht="15.75" customHeight="1">
      <c r="A7385" s="2" t="s">
        <v>7385</v>
      </c>
      <c r="B7385" s="2" t="str">
        <f>IFERROR(__xludf.DUMMYFUNCTION("GOOGLETRANSLATE(A7385, ""en"", ""mt"")"),"Kemm art agrikola Vittorjana hija mrobbija fil-ħbub?")</f>
        <v>Kemm art agrikola Vittorjana hija mrobbija fil-ħbub?</v>
      </c>
    </row>
    <row r="7386" ht="15.75" customHeight="1">
      <c r="A7386" s="2" t="s">
        <v>7386</v>
      </c>
      <c r="B7386" s="2" t="str">
        <f>IFERROR(__xludf.DUMMYFUNCTION("GOOGLETRANSLATE(A7386, ""en"", ""mt"")"),"X'inhu l-isem tas-suppożizzjoni li kwalunkwe numru ikbar minn 2 jista 'jkun irrappreżentat bħala s-somma ta' żewġ primes?")</f>
        <v>X'inhu l-isem tas-suppożizzjoni li kwalunkwe numru ikbar minn 2 jista 'jkun irrappreżentat bħala s-somma ta' żewġ primes?</v>
      </c>
    </row>
    <row r="7387" ht="15.75" customHeight="1">
      <c r="A7387" s="2" t="s">
        <v>7387</v>
      </c>
      <c r="B7387" s="2" t="str">
        <f>IFERROR(__xludf.DUMMYFUNCTION("GOOGLETRANSLATE(A7387, ""en"", ""mt"")"),"10 miljun")</f>
        <v>10 miljun</v>
      </c>
    </row>
    <row r="7388" ht="15.75" customHeight="1">
      <c r="A7388" s="2" t="s">
        <v>7388</v>
      </c>
      <c r="B7388" s="2" t="str">
        <f>IFERROR(__xludf.DUMMYFUNCTION("GOOGLETRANSLATE(A7388, ""en"", ""mt"")"),"X'jista 'jsolvi l-problema ta' ħabta kompluta NP fuq firxa wiesgħa ta 'daqsijiet f'inqas minn ħin kwadratiku?")</f>
        <v>X'jista 'jsolvi l-problema ta' ħabta kompluta NP fuq firxa wiesgħa ta 'daqsijiet f'inqas minn ħin kwadratiku?</v>
      </c>
    </row>
    <row r="7389" ht="15.75" customHeight="1">
      <c r="A7389" s="2" t="s">
        <v>7389</v>
      </c>
      <c r="B7389" s="2" t="str">
        <f>IFERROR(__xludf.DUMMYFUNCTION("GOOGLETRANSLATE(A7389, ""en"", ""mt"")"),"X'jiġri mill-bilanċjatur fir-ringieli tal-moxt?")</f>
        <v>X'jiġri mill-bilanċjatur fir-ringieli tal-moxt?</v>
      </c>
    </row>
    <row r="7390" ht="15.75" customHeight="1">
      <c r="A7390" s="2" t="s">
        <v>7390</v>
      </c>
      <c r="B7390" s="2" t="str">
        <f>IFERROR(__xludf.DUMMYFUNCTION("GOOGLETRANSLATE(A7390, ""en"", ""mt"")"),"kollox mill-ġbir ta 'każ tat-test fil-qrati federali biex jieħu l-għan lejn uffiċjal federali")</f>
        <v>kollox mill-ġbir ta 'każ tat-test fil-qrati federali biex jieħu l-għan lejn uffiċjal federali</v>
      </c>
    </row>
    <row r="7391" ht="15.75" customHeight="1">
      <c r="A7391" s="2" t="s">
        <v>7391</v>
      </c>
      <c r="B7391" s="2" t="str">
        <f>IFERROR(__xludf.DUMMYFUNCTION("GOOGLETRANSLATE(A7391, ""en"", ""mt"")"),"Il-bżonnijiet ta 'min se jissodisfa t-tkabbir fl-informatika tal-ispiżerija?")</f>
        <v>Il-bżonnijiet ta 'min se jissodisfa t-tkabbir fl-informatika tal-ispiżerija?</v>
      </c>
    </row>
    <row r="7392" ht="15.75" customHeight="1">
      <c r="A7392" s="2" t="s">
        <v>7392</v>
      </c>
      <c r="B7392" s="2" t="str">
        <f>IFERROR(__xludf.DUMMYFUNCTION("GOOGLETRANSLATE(A7392, ""en"", ""mt"")"),"X'se jkun assigurat minħabba r-rispons politiku għall-mudell lineari?")</f>
        <v>X'se jkun assigurat minħabba r-rispons politiku għall-mudell lineari?</v>
      </c>
    </row>
    <row r="7393" ht="15.75" customHeight="1">
      <c r="A7393" s="2" t="s">
        <v>7393</v>
      </c>
      <c r="B7393" s="2" t="str">
        <f>IFERROR(__xludf.DUMMYFUNCTION("GOOGLETRANSLATE(A7393, ""en"", ""mt"")"),"Is-sistema ta 'modifika ta' restrizzjoni tintuża mill-batterja għall-protezzjoni minn liema patoġeni?")</f>
        <v>Is-sistema ta 'modifika ta' restrizzjoni tintuża mill-batterja għall-protezzjoni minn liema patoġeni?</v>
      </c>
    </row>
    <row r="7394" ht="15.75" customHeight="1">
      <c r="A7394" s="2" t="s">
        <v>7394</v>
      </c>
      <c r="B7394" s="2" t="str">
        <f>IFERROR(__xludf.DUMMYFUNCTION("GOOGLETRANSLATE(A7394, ""en"", ""mt"")"),"Diffikultà inerenti")</f>
        <v>Diffikultà inerenti</v>
      </c>
    </row>
    <row r="7395" ht="15.75" customHeight="1">
      <c r="A7395" s="2" t="s">
        <v>7395</v>
      </c>
      <c r="B7395" s="2" t="str">
        <f>IFERROR(__xludf.DUMMYFUNCTION("GOOGLETRANSLATE(A7395, ""en"", ""mt"")"),"Fi problema tal-komputazzjoni, x'jista 'jiġi deskritt bħala sekwenza fuq alfabett?")</f>
        <v>Fi problema tal-komputazzjoni, x'jista 'jiġi deskritt bħala sekwenza fuq alfabett?</v>
      </c>
    </row>
    <row r="7396" ht="15.75" customHeight="1">
      <c r="A7396" s="2" t="s">
        <v>7396</v>
      </c>
      <c r="B7396" s="2" t="str">
        <f>IFERROR(__xludf.DUMMYFUNCTION("GOOGLETRANSLATE(A7396, ""en"", ""mt"")"),"F'liema pajjiż jista 'jinstab ħafna mill-foresta tropikali tal-Amażonja?")</f>
        <v>F'liema pajjiż jista 'jinstab ħafna mill-foresta tropikali tal-Amażonja?</v>
      </c>
    </row>
    <row r="7397" ht="15.75" customHeight="1">
      <c r="A7397" s="2" t="s">
        <v>7397</v>
      </c>
      <c r="B7397" s="2" t="str">
        <f>IFERROR(__xludf.DUMMYFUNCTION("GOOGLETRANSLATE(A7397, ""en"", ""mt"")"),"Kemm Vittorjani għandhom statwa tal-Buddha?")</f>
        <v>Kemm Vittorjani għandhom statwa tal-Buddha?</v>
      </c>
    </row>
    <row r="7398" ht="15.75" customHeight="1">
      <c r="A7398" s="2" t="s">
        <v>7398</v>
      </c>
      <c r="B7398" s="2" t="str">
        <f>IFERROR(__xludf.DUMMYFUNCTION("GOOGLETRANSLATE(A7398, ""en"", ""mt"")"),"1565")</f>
        <v>1565</v>
      </c>
    </row>
    <row r="7399" ht="15.75" customHeight="1">
      <c r="A7399" s="2" t="s">
        <v>7399</v>
      </c>
      <c r="B7399" s="2" t="str">
        <f>IFERROR(__xludf.DUMMYFUNCTION("GOOGLETRANSLATE(A7399, ""en"", ""mt"")"),"X'inhuma l-klassijiet ta 'kumplessità ġeneralment mhumiex klassifikati?")</f>
        <v>X'inhuma l-klassijiet ta 'kumplessità ġeneralment mhumiex klassifikati?</v>
      </c>
    </row>
    <row r="7400" ht="15.75" customHeight="1">
      <c r="A7400" s="2" t="s">
        <v>7400</v>
      </c>
      <c r="B7400" s="2" t="str">
        <f>IFERROR(__xludf.DUMMYFUNCTION("GOOGLETRANSLATE(A7400, ""en"", ""mt"")"),"X'tipprovdi l-imbuttar u l-ġbid tal-perċezzjonijiet għad-deskrizzjoni tal-forzi?")</f>
        <v>X'tipprovdi l-imbuttar u l-ġbid tal-perċezzjonijiet għad-deskrizzjoni tal-forzi?</v>
      </c>
    </row>
    <row r="7401" ht="15.75" customHeight="1">
      <c r="A7401" s="2" t="s">
        <v>7401</v>
      </c>
      <c r="B7401" s="2" t="str">
        <f>IFERROR(__xludf.DUMMYFUNCTION("GOOGLETRANSLATE(A7401, ""en"", ""mt"")"),"wieħed minn kull ħamsa")</f>
        <v>wieħed minn kull ħamsa</v>
      </c>
    </row>
    <row r="7402" ht="15.75" customHeight="1">
      <c r="A7402" s="2" t="s">
        <v>7402</v>
      </c>
      <c r="B7402" s="2" t="str">
        <f>IFERROR(__xludf.DUMMYFUNCTION("GOOGLETRANSLATE(A7402, ""en"", ""mt"")"),"L-unità bażika tad-diviżjoni territorjali fil-Polonja hija komun (GMINA). Belt hija wkoll komun - iżda bil-charter tal-belt. Kemm il-bliet kif ukoll il-komuni huma rregolati minn sindku - iżda fil-komuni s-sindku huwa Vogt (wójt fil-Pollakk), madankollu f"&amp;"il-bliet - Burmistrz. Xi bliet ikbar jiksbu d-drittijiet, i.e. kompiti u privileġġi, li huma fil-pussess mill-unitajiet tat-tieni livell tad-diviżjoni territorjali - kontej jew powiats. Eżempju ta 'tali intitolament huwa reġistrazzjoni tal-karozzi: GMINA "&amp;"ma tistax tirreġistra karozzi, dan huwa kompitu ta' POWIAT (i.e. numru ta 'reġistrazzjoni jiddependi fuq dak li kien ġie rreġistrat karozza POWIAT, mhux GMINA). F'dan il-każ ngħidu dwar City County jew Powiat Grodzki. Bliet bħal dawn huma pereżempju Lubli"&amp;"n, Kraków, Gdańsk, Poznań. F'Varsavja, id-distretti tagħha wkoll għandhom xi wħud mid-drittijiet ta 'Powiat - bħalma diġà semmew ir-reġistrazzjoni tal-karozzi. Pereżempju, id-Distrett Wola għandu l-evidenza tiegħu stess u d-distrett ta 'Ursynów - tiegħu s"&amp;"tess (u l-karozzi minn Wola għandhom tip ieħor ta' numru ta 'reġistrazzjoni minn dawn minn Ursynów). Iżda pereżempju d-distretti fi Kraków m'għandhomx drittijiet ta 'POWIAT, u għalhekk in-numri ta' reġistrazzjoni fi Kraków huma tal-istess tip għad-distret"&amp;"ti kollha.")</f>
        <v>L-unità bażika tad-diviżjoni territorjali fil-Polonja hija komun (GMINA). Belt hija wkoll komun - iżda bil-charter tal-belt. Kemm il-bliet kif ukoll il-komuni huma rregolati minn sindku - iżda fil-komuni s-sindku huwa Vogt (wójt fil-Pollakk), madankollu fil-bliet - Burmistrz. Xi bliet ikbar jiksbu d-drittijiet, i.e. kompiti u privileġġi, li huma fil-pussess mill-unitajiet tat-tieni livell tad-diviżjoni territorjali - kontej jew powiats. Eżempju ta 'tali intitolament huwa reġistrazzjoni tal-karozzi: GMINA ma tistax tirreġistra karozzi, dan huwa kompitu ta' POWIAT (i.e. numru ta 'reġistrazzjoni jiddependi fuq dak li kien ġie rreġistrat karozza POWIAT, mhux GMINA). F'dan il-każ ngħidu dwar City County jew Powiat Grodzki. Bliet bħal dawn huma pereżempju Lublin, Kraków, Gdańsk, Poznań. F'Varsavja, id-distretti tagħha wkoll għandhom xi wħud mid-drittijiet ta 'Powiat - bħalma diġà semmew ir-reġistrazzjoni tal-karozzi. Pereżempju, id-Distrett Wola għandu l-evidenza tiegħu stess u d-distrett ta 'Ursynów - tiegħu stess (u l-karozzi minn Wola għandhom tip ieħor ta' numru ta 'reġistrazzjoni minn dawn minn Ursynów). Iżda pereżempju d-distretti fi Kraków m'għandhomx drittijiet ta 'POWIAT, u għalhekk in-numri ta' reġistrazzjoni fi Kraków huma tal-istess tip għad-distretti kollha.</v>
      </c>
    </row>
    <row r="7403" ht="15.75" customHeight="1">
      <c r="A7403" s="2" t="s">
        <v>7403</v>
      </c>
      <c r="B7403" s="2" t="str">
        <f>IFERROR(__xludf.DUMMYFUNCTION("GOOGLETRANSLATE(A7403, ""en"", ""mt"")"),"Ir-Rebels Turban Red")</f>
        <v>Ir-Rebels Turban Red</v>
      </c>
    </row>
    <row r="7404" ht="15.75" customHeight="1">
      <c r="A7404" s="2" t="s">
        <v>7404</v>
      </c>
      <c r="B7404" s="2" t="str">
        <f>IFERROR(__xludf.DUMMYFUNCTION("GOOGLETRANSLATE(A7404, ""en"", ""mt"")"),"Kwalità ta 'istituzzjonijiet ta' pajjiż u livelli għoljin ta 'edukazzjoni")</f>
        <v>Kwalità ta 'istituzzjonijiet ta' pajjiż u livelli għoljin ta 'edukazzjoni</v>
      </c>
    </row>
    <row r="7405" ht="15.75" customHeight="1">
      <c r="A7405" s="2" t="s">
        <v>7405</v>
      </c>
      <c r="B7405" s="2" t="str">
        <f>IFERROR(__xludf.DUMMYFUNCTION("GOOGLETRANSLATE(A7405, ""en"", ""mt"")"),"Fejn tispiċċa r-Rhine?")</f>
        <v>Fejn tispiċċa r-Rhine?</v>
      </c>
    </row>
    <row r="7406" ht="15.75" customHeight="1">
      <c r="A7406" s="2" t="s">
        <v>7406</v>
      </c>
      <c r="B7406" s="2" t="str">
        <f>IFERROR(__xludf.DUMMYFUNCTION("GOOGLETRANSLATE(A7406, ""en"", ""mt"")"),"pjuttost kumpless")</f>
        <v>pjuttost kumpless</v>
      </c>
    </row>
    <row r="7407" ht="15.75" customHeight="1">
      <c r="A7407" s="2" t="s">
        <v>7407</v>
      </c>
      <c r="B7407" s="2" t="str">
        <f>IFERROR(__xludf.DUMMYFUNCTION("GOOGLETRANSLATE(A7407, ""en"", ""mt"")"),"Netwerk ta 'Komunikazzjonijiet ta' Dejta Internazzjonali")</f>
        <v>Netwerk ta 'Komunikazzjonijiet ta' Dejta Internazzjonali</v>
      </c>
    </row>
    <row r="7408" ht="15.75" customHeight="1">
      <c r="A7408" s="2" t="s">
        <v>7408</v>
      </c>
      <c r="B7408" s="2" t="str">
        <f>IFERROR(__xludf.DUMMYFUNCTION("GOOGLETRANSLATE(A7408, ""en"", ""mt"")"),"Meta l-esperiment tal-IL-Khanate bi flus tal-karti?")</f>
        <v>Meta l-esperiment tal-IL-Khanate bi flus tal-karti?</v>
      </c>
    </row>
    <row r="7409" ht="15.75" customHeight="1">
      <c r="A7409" s="2" t="s">
        <v>7409</v>
      </c>
      <c r="B7409" s="2" t="str">
        <f>IFERROR(__xludf.DUMMYFUNCTION("GOOGLETRANSLATE(A7409, ""en"", ""mt"")"),"Min ipproġetta l-livelli tal-1990 fit-tielet rapport ta 'valutazzjoni?")</f>
        <v>Min ipproġetta l-livelli tal-1990 fit-tielet rapport ta 'valutazzjoni?</v>
      </c>
    </row>
    <row r="7410" ht="15.75" customHeight="1">
      <c r="A7410" s="2" t="s">
        <v>7410</v>
      </c>
      <c r="B7410" s="2" t="str">
        <f>IFERROR(__xludf.DUMMYFUNCTION("GOOGLETRANSLATE(A7410, ""en"", ""mt"")"),"17-il sena")</f>
        <v>17-il sena</v>
      </c>
    </row>
    <row r="7411" ht="15.75" customHeight="1">
      <c r="A7411" s="2" t="s">
        <v>7411</v>
      </c>
      <c r="B7411" s="2" t="str">
        <f>IFERROR(__xludf.DUMMYFUNCTION("GOOGLETRANSLATE(A7411, ""en"", ""mt"")"),"F'liema laboratorju l-università għandha sehem konġunt?")</f>
        <v>F'liema laboratorju l-università għandha sehem konġunt?</v>
      </c>
    </row>
    <row r="7412" ht="15.75" customHeight="1">
      <c r="A7412" s="2" t="s">
        <v>7412</v>
      </c>
      <c r="B7412" s="2" t="str">
        <f>IFERROR(__xludf.DUMMYFUNCTION("GOOGLETRANSLATE(A7412, ""en"", ""mt"")"),"X'injoraw l-aġenzija tal-benefiċċji li l-istazzjonijiet sportivi fuq kont tat-TV injorati?")</f>
        <v>X'injoraw l-aġenzija tal-benefiċċji li l-istazzjonijiet sportivi fuq kont tat-TV injorati?</v>
      </c>
    </row>
    <row r="7413" ht="15.75" customHeight="1">
      <c r="A7413" s="2" t="s">
        <v>7413</v>
      </c>
      <c r="B7413" s="2" t="str">
        <f>IFERROR(__xludf.DUMMYFUNCTION("GOOGLETRANSLATE(A7413, ""en"", ""mt"")"),"Meta għadda l-Att dwar in-Nazzjonalità Brittanika?")</f>
        <v>Meta għadda l-Att dwar in-Nazzjonalità Brittanika?</v>
      </c>
    </row>
    <row r="7414" ht="15.75" customHeight="1">
      <c r="A7414" s="2" t="s">
        <v>7414</v>
      </c>
      <c r="B7414" s="2" t="str">
        <f>IFERROR(__xludf.DUMMYFUNCTION("GOOGLETRANSLATE(A7414, ""en"", ""mt"")"),"kien diżastru")</f>
        <v>kien diżastru</v>
      </c>
    </row>
    <row r="7415" ht="15.75" customHeight="1">
      <c r="A7415" s="2" t="s">
        <v>7415</v>
      </c>
      <c r="B7415" s="2" t="str">
        <f>IFERROR(__xludf.DUMMYFUNCTION("GOOGLETRANSLATE(A7415, ""en"", ""mt"")")," X'tip ta 'moviment hija l-Fratellanza mhux Musulmana?")</f>
        <v> X'tip ta 'moviment hija l-Fratellanza mhux Musulmana?</v>
      </c>
    </row>
    <row r="7416" ht="15.75" customHeight="1">
      <c r="A7416" s="2" t="s">
        <v>7416</v>
      </c>
      <c r="B7416" s="2" t="str">
        <f>IFERROR(__xludf.DUMMYFUNCTION("GOOGLETRANSLATE(A7416, ""en"", ""mt"")"),"X'kienu żewġ konsegwenzi ta 'l-OPEC li qed jimbuttaw il-prezzijiet taż-żejt fl-1981?")</f>
        <v>X'kienu żewġ konsegwenzi ta 'l-OPEC li qed jimbuttaw il-prezzijiet taż-żejt fl-1981?</v>
      </c>
    </row>
    <row r="7417" ht="15.75" customHeight="1">
      <c r="A7417" s="2" t="s">
        <v>7417</v>
      </c>
      <c r="B7417" s="2" t="str">
        <f>IFERROR(__xludf.DUMMYFUNCTION("GOOGLETRANSLATE(A7417, ""en"", ""mt"")"),"Min ibbenefika minn CSNET?")</f>
        <v>Min ibbenefika minn CSNET?</v>
      </c>
    </row>
    <row r="7418" ht="15.75" customHeight="1">
      <c r="A7418" s="2" t="s">
        <v>7418</v>
      </c>
      <c r="B7418" s="2" t="str">
        <f>IFERROR(__xludf.DUMMYFUNCTION("GOOGLETRANSLATE(A7418, ""en"", ""mt"")"),"William Rainey Harper")</f>
        <v>William Rainey Harper</v>
      </c>
    </row>
    <row r="7419" ht="15.75" customHeight="1">
      <c r="A7419" s="2" t="s">
        <v>7419</v>
      </c>
      <c r="B7419" s="2" t="str">
        <f>IFERROR(__xludf.DUMMYFUNCTION("GOOGLETRANSLATE(A7419, ""en"", ""mt"")"),"Kemm hemm dorms ta 'studenti li kienu qed jintużaw f'Harvard fl-2012?")</f>
        <v>Kemm hemm dorms ta 'studenti li kienu qed jintużaw f'Harvard fl-2012?</v>
      </c>
    </row>
    <row r="7420" ht="15.75" customHeight="1">
      <c r="A7420" s="2" t="s">
        <v>7420</v>
      </c>
      <c r="B7420" s="2" t="str">
        <f>IFERROR(__xludf.DUMMYFUNCTION("GOOGLETRANSLATE(A7420, ""en"", ""mt"")"),"X'kienet il-popolazzjoni ta 'Fresno fl-2010?")</f>
        <v>X'kienet il-popolazzjoni ta 'Fresno fl-2010?</v>
      </c>
    </row>
    <row r="7421" ht="15.75" customHeight="1">
      <c r="A7421" s="2" t="s">
        <v>7421</v>
      </c>
      <c r="B7421" s="2" t="str">
        <f>IFERROR(__xludf.DUMMYFUNCTION("GOOGLETRANSLATE(A7421, ""en"", ""mt"")"),"X'tip ta 'prospetti għandhom uħud mill-Musulmani f'Londra?")</f>
        <v>X'tip ta 'prospetti għandhom uħud mill-Musulmani f'Londra?</v>
      </c>
    </row>
    <row r="7422" ht="15.75" customHeight="1">
      <c r="A7422" s="2" t="s">
        <v>7422</v>
      </c>
      <c r="B7422" s="2" t="str">
        <f>IFERROR(__xludf.DUMMYFUNCTION("GOOGLETRANSLATE(A7422, ""en"", ""mt"")"),"Dan ukoll")</f>
        <v>Dan ukoll</v>
      </c>
    </row>
    <row r="7423" ht="15.75" customHeight="1">
      <c r="A7423" s="2" t="s">
        <v>7423</v>
      </c>
      <c r="B7423" s="2" t="str">
        <f>IFERROR(__xludf.DUMMYFUNCTION("GOOGLETRANSLATE(A7423, ""en"", ""mt"")"),"Liema nazzjonalità hija Hoesung Lee?")</f>
        <v>Liema nazzjonalità hija Hoesung Lee?</v>
      </c>
    </row>
    <row r="7424" ht="15.75" customHeight="1">
      <c r="A7424" s="2" t="s">
        <v>7424</v>
      </c>
      <c r="B7424" s="2" t="str">
        <f>IFERROR(__xludf.DUMMYFUNCTION("GOOGLETRANSLATE(A7424, ""en"", ""mt"")"),"tgħaddi nixxiegħa ta 'arja nadifa u niexfa minn sodda waħda ta' par ta 'passaġġi molekulari identiċi taż-żeoliti")</f>
        <v>tgħaddi nixxiegħa ta 'arja nadifa u niexfa minn sodda waħda ta' par ta 'passaġġi molekulari identiċi taż-żeoliti</v>
      </c>
    </row>
    <row r="7425" ht="15.75" customHeight="1">
      <c r="A7425" s="2" t="s">
        <v>7425</v>
      </c>
      <c r="B7425" s="2" t="str">
        <f>IFERROR(__xludf.DUMMYFUNCTION("GOOGLETRANSLATE(A7425, ""en"", ""mt"")"),"libertà reliġjuża")</f>
        <v>libertà reliġjuża</v>
      </c>
    </row>
    <row r="7426" ht="15.75" customHeight="1">
      <c r="A7426" s="2" t="s">
        <v>7426</v>
      </c>
      <c r="B7426" s="2" t="str">
        <f>IFERROR(__xludf.DUMMYFUNCTION("GOOGLETRANSLATE(A7426, ""en"", ""mt"")"),"Mill-paċi ta 'Westphalia, ir-Renu ta' Fuq ffurma fruntiera kontenzjuża bejn Franza u l-Ġermanja. L-istabbiliment ta '""fruntieri naturali"" fuq ir-Renu kien għan fit-tul tal-politika barranija Franċiża, peress li l-Medju Evu, għalkemm il-fruntiera tal-lin"&amp;"gwa kienet - u hija - ħafna iktar lejn il-Punent. Il-mexxejja Franċiżi, bħal Louis XIV u Napoleon Bonaparte, ippruvaw bi gradi differenti ta ’suċċess biex jannessu artijiet fil-punent tar-Renu. Il-Konfederazzjoni tar-Renu ġiet stabbilita minn Napuljun, bħ"&amp;"ala stat tal-klijent Franċiż, fl-1806 u damet sal-1814, li matulha serva bħala sors sinifikanti ta 'riżorsi u ħaddiema militari għall-ewwel imperu Franċiż. Fl-1840, il-kriżi tar-Renu, imqanqla mix-xewqa tal-Prim Ministru Franċiż Adolphe Thiers li terġa 't"&amp;"iddaħħal ir-Renu bħala fruntiera naturali, wasslet għal kriżi diplomatika u mewġa ta' nazzjonaliżmu fil-Ġermanja.")</f>
        <v>Mill-paċi ta 'Westphalia, ir-Renu ta' Fuq ffurma fruntiera kontenzjuża bejn Franza u l-Ġermanja. L-istabbiliment ta '"fruntieri naturali" fuq ir-Renu kien għan fit-tul tal-politika barranija Franċiża, peress li l-Medju Evu, għalkemm il-fruntiera tal-lingwa kienet - u hija - ħafna iktar lejn il-Punent. Il-mexxejja Franċiżi, bħal Louis XIV u Napoleon Bonaparte, ippruvaw bi gradi differenti ta ’suċċess biex jannessu artijiet fil-punent tar-Renu. Il-Konfederazzjoni tar-Renu ġiet stabbilita minn Napuljun, bħala stat tal-klijent Franċiż, fl-1806 u damet sal-1814, li matulha serva bħala sors sinifikanti ta 'riżorsi u ħaddiema militari għall-ewwel imperu Franċiż. Fl-1840, il-kriżi tar-Renu, imqanqla mix-xewqa tal-Prim Ministru Franċiż Adolphe Thiers li terġa 'tiddaħħal ir-Renu bħala fruntiera naturali, wasslet għal kriżi diplomatika u mewġa ta' nazzjonaliżmu fil-Ġermanja.</v>
      </c>
    </row>
    <row r="7427" ht="15.75" customHeight="1">
      <c r="A7427" s="2" t="s">
        <v>7427</v>
      </c>
      <c r="B7427" s="2" t="str">
        <f>IFERROR(__xludf.DUMMYFUNCTION("GOOGLETRANSLATE(A7427, ""en"", ""mt"")"),"żieda fl-art disponibbli għall-kultivazzjoni")</f>
        <v>żieda fl-art disponibbli għall-kultivazzjoni</v>
      </c>
    </row>
    <row r="7428" ht="15.75" customHeight="1">
      <c r="A7428" s="2" t="s">
        <v>7428</v>
      </c>
      <c r="B7428" s="2" t="str">
        <f>IFERROR(__xludf.DUMMYFUNCTION("GOOGLETRANSLATE(A7428, ""en"", ""mt"")"),"452.8 ft")</f>
        <v>452.8 ft</v>
      </c>
    </row>
    <row r="7429" ht="15.75" customHeight="1">
      <c r="A7429" s="2" t="s">
        <v>7429</v>
      </c>
      <c r="B7429" s="2" t="str">
        <f>IFERROR(__xludf.DUMMYFUNCTION("GOOGLETRANSLATE(A7429, ""en"", ""mt"")"),"Meta twaqqfet il-Kumpanija Brittanika tal-Indja tal-Lvant?")</f>
        <v>Meta twaqqfet il-Kumpanija Brittanika tal-Indja tal-Lvant?</v>
      </c>
    </row>
    <row r="7430" ht="15.75" customHeight="1">
      <c r="A7430" s="2" t="s">
        <v>7430</v>
      </c>
      <c r="B7430" s="2" t="str">
        <f>IFERROR(__xludf.DUMMYFUNCTION("GOOGLETRANSLATE(A7430, ""en"", ""mt"")"),"Rikonċiljazzjoni tal-medikazzjoni u l-edukazzjoni tal-pazjent li tirriżulta f'żieda fir-riżultati tas-saħħa tal-pazjent u tnaqqis fl-ispejjeż għas-sistema tal-kura tas-saħħa")</f>
        <v>Rikonċiljazzjoni tal-medikazzjoni u l-edukazzjoni tal-pazjent li tirriżulta f'żieda fir-riżultati tas-saħħa tal-pazjent u tnaqqis fl-ispejjeż għas-sistema tal-kura tas-saħħa</v>
      </c>
    </row>
    <row r="7431" ht="15.75" customHeight="1">
      <c r="A7431" s="2" t="s">
        <v>7431</v>
      </c>
      <c r="B7431" s="2" t="str">
        <f>IFERROR(__xludf.DUMMYFUNCTION("GOOGLETRANSLATE(A7431, ""en"", ""mt"")"),"Fay")</f>
        <v>Fay</v>
      </c>
    </row>
    <row r="7432" ht="15.75" customHeight="1">
      <c r="A7432" s="2" t="s">
        <v>7432</v>
      </c>
      <c r="B7432" s="2" t="str">
        <f>IFERROR(__xludf.DUMMYFUNCTION("GOOGLETRANSLATE(A7432, ""en"", ""mt"")"),"Fejn f'Varsavja hemm oġġetti patrijottiċi u politiċi konnessi mal-ġlidiet tal-Polonja għall-indipendenza?")</f>
        <v>Fejn f'Varsavja hemm oġġetti patrijottiċi u politiċi konnessi mal-ġlidiet tal-Polonja għall-indipendenza?</v>
      </c>
    </row>
    <row r="7433" ht="15.75" customHeight="1">
      <c r="A7433" s="2" t="s">
        <v>7433</v>
      </c>
      <c r="B7433" s="2" t="str">
        <f>IFERROR(__xludf.DUMMYFUNCTION("GOOGLETRANSLATE(A7433, ""en"", ""mt"")"),"Liema karatteristika f'dawn l-aħħar snin kienet marbuta b'mod dgħajjef mas-saħħa f'pajjiżi żviluppati?")</f>
        <v>Liema karatteristika f'dawn l-aħħar snin kienet marbuta b'mod dgħajjef mas-saħħa f'pajjiżi żviluppati?</v>
      </c>
    </row>
    <row r="7434" ht="15.75" customHeight="1">
      <c r="A7434" s="2" t="s">
        <v>7434</v>
      </c>
      <c r="B7434" s="2" t="str">
        <f>IFERROR(__xludf.DUMMYFUNCTION("GOOGLETRANSLATE(A7434, ""en"", ""mt"")"),"390")</f>
        <v>390</v>
      </c>
    </row>
    <row r="7435" ht="15.75" customHeight="1">
      <c r="A7435" s="2" t="s">
        <v>7435</v>
      </c>
      <c r="B7435" s="2" t="str">
        <f>IFERROR(__xludf.DUMMYFUNCTION("GOOGLETRANSLATE(A7435, ""en"", ""mt"")"),"Xebh mas-sistema tal-kontrolli u l-bilanċi tal-Istati Uniti u ta 'ħafna gvernijiet oħra")</f>
        <v>Xebh mas-sistema tal-kontrolli u l-bilanċi tal-Istati Uniti u ta 'ħafna gvernijiet oħra</v>
      </c>
    </row>
    <row r="7436" ht="15.75" customHeight="1">
      <c r="A7436" s="2" t="s">
        <v>7436</v>
      </c>
      <c r="B7436" s="2" t="str">
        <f>IFERROR(__xludf.DUMMYFUNCTION("GOOGLETRANSLATE(A7436, ""en"", ""mt"")"),"Għal xiex tintuża l-biċċa l-kbira tal-art ikklerjata fir-reġjun tal-Amażonja?")</f>
        <v>Għal xiex tintuża l-biċċa l-kbira tal-art ikklerjata fir-reġjun tal-Amażonja?</v>
      </c>
    </row>
    <row r="7437" ht="15.75" customHeight="1">
      <c r="A7437" s="2" t="s">
        <v>7437</v>
      </c>
      <c r="B7437" s="2" t="str">
        <f>IFERROR(__xludf.DUMMYFUNCTION("GOOGLETRANSLATE(A7437, ""en"", ""mt"")"),"Min għeleb il-forzi Anglo-Norman waqt it-Tielet Kruċjata?")</f>
        <v>Min għeleb il-forzi Anglo-Norman waqt it-Tielet Kruċjata?</v>
      </c>
    </row>
    <row r="7438" ht="15.75" customHeight="1">
      <c r="A7438" s="2" t="s">
        <v>7438</v>
      </c>
      <c r="B7438" s="2" t="str">
        <f>IFERROR(__xludf.DUMMYFUNCTION("GOOGLETRANSLATE(A7438, ""en"", ""mt"")"),"Celeron kif kien jieħu ħsieb in-negozju fuq il-vjaġġ?")</f>
        <v>Celeron kif kien jieħu ħsieb in-negozju fuq il-vjaġġ?</v>
      </c>
    </row>
    <row r="7439" ht="15.75" customHeight="1">
      <c r="A7439" s="2" t="s">
        <v>7439</v>
      </c>
      <c r="B7439" s="2" t="str">
        <f>IFERROR(__xludf.DUMMYFUNCTION("GOOGLETRANSLATE(A7439, ""en"", ""mt"")"),"arja ħażina")</f>
        <v>arja ħażina</v>
      </c>
    </row>
    <row r="7440" ht="15.75" customHeight="1">
      <c r="A7440" s="2" t="s">
        <v>7440</v>
      </c>
      <c r="B7440" s="2" t="str">
        <f>IFERROR(__xludf.DUMMYFUNCTION("GOOGLETRANSLATE(A7440, ""en"", ""mt"")"),"F'liema sena nfetħu l-eqdem żidiet fi New Delhi?")</f>
        <v>F'liema sena nfetħu l-eqdem żidiet fi New Delhi?</v>
      </c>
    </row>
    <row r="7441" ht="15.75" customHeight="1">
      <c r="A7441" s="2" t="s">
        <v>7441</v>
      </c>
      <c r="B7441" s="2" t="str">
        <f>IFERROR(__xludf.DUMMYFUNCTION("GOOGLETRANSLATE(A7441, ""en"", ""mt"")"),"tkabbir ekonomiku")</f>
        <v>tkabbir ekonomiku</v>
      </c>
    </row>
    <row r="7442" ht="15.75" customHeight="1">
      <c r="A7442" s="2" t="s">
        <v>7442</v>
      </c>
      <c r="B7442" s="2" t="str">
        <f>IFERROR(__xludf.DUMMYFUNCTION("GOOGLETRANSLATE(A7442, ""en"", ""mt"")"),"X'inhu l-isem tal-festival tax-xitwa li sar f'Jannar li huwa bbażat fuq il-fitness?")</f>
        <v>X'inhu l-isem tal-festival tax-xitwa li sar f'Jannar li huwa bbażat fuq il-fitness?</v>
      </c>
    </row>
    <row r="7443" ht="15.75" customHeight="1">
      <c r="A7443" s="2" t="s">
        <v>7443</v>
      </c>
      <c r="B7443" s="2" t="str">
        <f>IFERROR(__xludf.DUMMYFUNCTION("GOOGLETRANSLATE(A7443, ""en"", ""mt"")"),"Min speċifikament HT jimmira biex ibiddel l-opinjoni?")</f>
        <v>Min speċifikament HT jimmira biex ibiddel l-opinjoni?</v>
      </c>
    </row>
    <row r="7444" ht="15.75" customHeight="1">
      <c r="A7444" s="2" t="s">
        <v>7444</v>
      </c>
      <c r="B7444" s="2" t="str">
        <f>IFERROR(__xludf.DUMMYFUNCTION("GOOGLETRANSLATE(A7444, ""en"", ""mt"")"),"L-ekonomija tan-Nofsinhar ta 'California hija diversa u waħda mill-ikbar fl-Istati Uniti. Huwa ddominat u jiddependi ħafna mill-abbundanza ta 'pitrolju, għall-kuntrarju ta' reġjuni oħra fejn il-karozzi mhumiex daqshekk dominanti, il-maġġoranza l-kbira tat"&amp;"-trasport jimxu fuq dan il-fjuwil. In-Nofsinhar ta ’California huwa famuż għat-Turiżmu u Hollywood (film, televiżjoni, u mużika). Industriji oħra jinkludu softwer, karozzi, portijiet, finanzi, turiżmu, bijomediku, u loġistika reġjonali. Ir-reġjun kien mex"&amp;"xej fil-bużżieqa tad-djar 2001-2007, u ġie milqut ħafna mill-ħabta tad-djar.")</f>
        <v>L-ekonomija tan-Nofsinhar ta 'California hija diversa u waħda mill-ikbar fl-Istati Uniti. Huwa ddominat u jiddependi ħafna mill-abbundanza ta 'pitrolju, għall-kuntrarju ta' reġjuni oħra fejn il-karozzi mhumiex daqshekk dominanti, il-maġġoranza l-kbira tat-trasport jimxu fuq dan il-fjuwil. In-Nofsinhar ta ’California huwa famuż għat-Turiżmu u Hollywood (film, televiżjoni, u mużika). Industriji oħra jinkludu softwer, karozzi, portijiet, finanzi, turiżmu, bijomediku, u loġistika reġjonali. Ir-reġjun kien mexxej fil-bużżieqa tad-djar 2001-2007, u ġie milqut ħafna mill-ħabta tad-djar.</v>
      </c>
    </row>
    <row r="7445" ht="15.75" customHeight="1">
      <c r="A7445" s="2" t="s">
        <v>7445</v>
      </c>
      <c r="B7445" s="2" t="str">
        <f>IFERROR(__xludf.DUMMYFUNCTION("GOOGLETRANSLATE(A7445, ""en"", ""mt"")"),"Faċilità interim għar-rilokazzjoni taż-żona ta 'Fresno Amerikani Ġappuniżi għal kampijiet ta' internament")</f>
        <v>Faċilità interim għar-rilokazzjoni taż-żona ta 'Fresno Amerikani Ġappuniżi għal kampijiet ta' internament</v>
      </c>
    </row>
    <row r="7446" ht="15.75" customHeight="1">
      <c r="A7446" s="2" t="s">
        <v>7446</v>
      </c>
      <c r="B7446" s="2" t="str">
        <f>IFERROR(__xludf.DUMMYFUNCTION("GOOGLETRANSLATE(A7446, ""en"", ""mt"")"),"X'inhu l-isem preċedenti tal-Mużew Arthur M. Sackler?")</f>
        <v>X'inhu l-isem preċedenti tal-Mużew Arthur M. Sackler?</v>
      </c>
    </row>
    <row r="7447" ht="15.75" customHeight="1">
      <c r="A7447" s="2" t="s">
        <v>7447</v>
      </c>
      <c r="B7447" s="2" t="str">
        <f>IFERROR(__xludf.DUMMYFUNCTION("GOOGLETRANSLATE(A7447, ""en"", ""mt"")"),"Biex tagħmel leġislazzjoni ġdida, l-Artikolu 294 tat-TFEU jiddefinixxi l- ""proċedura leġiżlattiva ordinarja"" li tapplika għall-biċċa l-kbira tal-atti tal-UE. L-essenza hija li hemm tliet qari, li jibdew bi proposta ta 'kummissjoni, fejn il-parlament iri"&amp;"d jivvota b'maġġoranza tal-MEPs kollha (mhux biss dawk preżenti) biex jimblokka jew jissuġġerixxi bidliet, u l-kunsill għandu jivvota b'maġġoranza kwalifikata biex japprova bidliet, iżda bl-unanimità biex timblokka l-emenda tal-kummissjoni. Meta l-istituz"&amp;"zjonijiet differenti ma jistgħux jaqblu fi kwalunkwe stadju, huwa mlaqqa '""kumitat ta' konċiljazzjoni"", li jirrappreżenta lill-MEPs, lill-ministri u lill-Kummissjoni biex jippruvaw jiksbu ftehim fuq test konġunt: jekk dan jaħdem, dan jintbagħat lura lil"&amp;"l-Parlament u l-Kunsill biex japprova b'maġġoranza assoluta u kwalifikata. Dan ifisser, il-leġiżlazzjoni tista 'tiġi mblukkata b'maġġoranza fil-Parlament, minoranza fil-kunsill, u maġġoranza fil-kummissjoni: huwa iktar diffiċli li tinbidel il-liġi tal-UE "&amp;"milli tibqa' l-istess. Proċedura differenti teżisti għall-baġits. Għal ""kooperazzjoni msaħħa"" fost sotto-sett ta 'mill-inqas stati membri, l-awtorizzazzjoni għandha tingħata mill-kunsill. Il-gvernijiet tal-Istat Membru għandhom jiġu infurmati mill-Kummi"&amp;"ssjoni mill-bidu qabel ma kwalunkwe proposta tibda l-proċedura leġiżlattiva. L-UE kollha kemm hi tista 'taġixxi biss fil-poter tagħha stabbilita fit-trattati. L-Artikoli 4 u 5 tat-TEU jiddikjaraw li s-setgħat jibqgħu mal-istati membri sakemm ma jkunux ġew"&amp;" mogħtija, għalkemm hemm dibattitu dwar il-mistoqsija Kompetenz-Kompetenz: li fl-aħħar għandu l- ""kompetenza"" biex jiddefinixxi l- ""kompetenza"" tal-UE. Bosta qrati tal-istat membri jemmnu li jiddeċiedu, parlamenti oħra tal-istat membri jemmnu li jidde"&amp;"ċiedu, waqt li fl-UE, il-Qorti tal-Ġustizzja temmen li għandha l-aħħar kelma.")</f>
        <v>Biex tagħmel leġislazzjoni ġdida, l-Artikolu 294 tat-TFEU jiddefinixxi l- "proċedura leġiżlattiva ordinarja" li tapplika għall-biċċa l-kbira tal-atti tal-UE. L-essenza hija li hemm tliet qari, li jibdew bi proposta ta 'kummissjoni, fejn il-parlament irid jivvota b'maġġoranza tal-MEPs kollha (mhux biss dawk preżenti) biex jimblokka jew jissuġġerixxi bidliet, u l-kunsill għandu jivvota b'maġġoranza kwalifikata biex japprova bidliet, iżda bl-unanimità biex timblokka l-emenda tal-kummissjoni. Meta l-istituzzjonijiet differenti ma jistgħux jaqblu fi kwalunkwe stadju, huwa mlaqqa '"kumitat ta' konċiljazzjoni", li jirrappreżenta lill-MEPs, lill-ministri u lill-Kummissjoni biex jippruvaw jiksbu ftehim fuq test konġunt: jekk dan jaħdem, dan jintbagħat lura lill-Parlament u l-Kunsill biex japprova b'maġġoranza assoluta u kwalifikata. Dan ifisser, il-leġiżlazzjoni tista 'tiġi mblukkata b'maġġoranza fil-Parlament, minoranza fil-kunsill, u maġġoranza fil-kummissjoni: huwa iktar diffiċli li tinbidel il-liġi tal-UE milli tibqa' l-istess. Proċedura differenti teżisti għall-baġits. Għal "kooperazzjoni msaħħa" fost sotto-sett ta 'mill-inqas stati membri, l-awtorizzazzjoni għandha tingħata mill-kunsill. Il-gvernijiet tal-Istat Membru għandhom jiġu infurmati mill-Kummissjoni mill-bidu qabel ma kwalunkwe proposta tibda l-proċedura leġiżlattiva. L-UE kollha kemm hi tista 'taġixxi biss fil-poter tagħha stabbilita fit-trattati. L-Artikoli 4 u 5 tat-TEU jiddikjaraw li s-setgħat jibqgħu mal-istati membri sakemm ma jkunux ġew mogħtija, għalkemm hemm dibattitu dwar il-mistoqsija Kompetenz-Kompetenz: li fl-aħħar għandu l- "kompetenza" biex jiddefinixxi l- "kompetenza" tal-UE. Bosta qrati tal-istat membri jemmnu li jiddeċiedu, parlamenti oħra tal-istat membri jemmnu li jiddeċiedu, waqt li fl-UE, il-Qorti tal-Ġustizzja temmen li għandha l-aħħar kelma.</v>
      </c>
    </row>
    <row r="7448" ht="15.75" customHeight="1">
      <c r="A7448" s="2" t="s">
        <v>7448</v>
      </c>
      <c r="B7448" s="2" t="str">
        <f>IFERROR(__xludf.DUMMYFUNCTION("GOOGLETRANSLATE(A7448, ""en"", ""mt"")"),"Numru żgħir ta 'MSPs")</f>
        <v>Numru żgħir ta 'MSPs</v>
      </c>
    </row>
    <row r="7449" ht="15.75" customHeight="1">
      <c r="A7449" s="2" t="s">
        <v>7449</v>
      </c>
      <c r="B7449" s="2" t="str">
        <f>IFERROR(__xludf.DUMMYFUNCTION("GOOGLETRANSLATE(A7449, ""en"", ""mt"")"),"Liema motiv ġie mdaħħal fil-każ l-Istati Uniti v. Dougherty?")</f>
        <v>Liema motiv ġie mdaħħal fil-każ l-Istati Uniti v. Dougherty?</v>
      </c>
    </row>
    <row r="7450" ht="15.75" customHeight="1">
      <c r="A7450" s="2" t="s">
        <v>7450</v>
      </c>
      <c r="B7450" s="2" t="str">
        <f>IFERROR(__xludf.DUMMYFUNCTION("GOOGLETRANSLATE(A7450, ""en"", ""mt"")"),"X'jiġri hekk kif jibnu l-Fażi 1?")</f>
        <v>X'jiġri hekk kif jibnu l-Fażi 1?</v>
      </c>
    </row>
    <row r="7451" ht="15.75" customHeight="1">
      <c r="A7451" s="2" t="s">
        <v>7451</v>
      </c>
      <c r="B7451" s="2" t="str">
        <f>IFERROR(__xludf.DUMMYFUNCTION("GOOGLETRANSLATE(A7451, ""en"", ""mt"")"),"Peress li l-ctenofori moderni kollha ħlief il-beroids għandhom larva simili għal ċidippidi, ġie assunt ħafna li l-aħħar antenat komuni tagħhom kien jixbah ukoll cydippids, li għandhom korp b'forma ta 'bajd u par ta' tentakli li jistgħu jinġibdu lura. L-an"&amp;"aliżi purament morfoloġika ta 'Richard Harbison fl-1985 ikkonkludiet li ċ-ċidippidi mhumiex monofiletiċi, fi kliem ieħor ma fihomx id-dixxendenti kollha u biss ta' antenat komuni wieħed li kien innifsu ċidippid. Minflok huwa sab li diversi familji Cydippi"&amp;"d kienu aktar simili għal membri ta 'ordnijiet oħra ta' ctenophore milli għal cydippids oħra. Huwa ssuġġerixxa wkoll li l-aħħar antenat komuni ta 'ctenophores moderni kien jew simili ta' cydippid jew simili għal beroid. Analiżi molekulari tal-filoġenija f"&amp;"l-2001, bl-użu ta '26 speċi, inklużi 4 dawk skoperti riċentement, ikkonfermaw li ċ-ċidippids mhumiex monofiletiċi u kkonkludew li l-aħħar antenat komuni ta 'ctenophores moderni kien simili għal cydippid. Instab ukoll li d-differenzi ġenetiċi bejn dawn l-i"&amp;"speċi kienu żgħar ħafna - daqshekk żgħar li r-relazzjonijiet bejn il-lobata, cestida u thalassocalycida baqgħu inċerti. Dan jissuġġerixxi li l-aħħar antenat komuni ta 'ctenophores moderni kien relattivament reċenti, u forsi kien xortik tajba biżżejjed bie"&amp;"x jgħix l-avveniment ta' estinzjoni Kretaċeju-Paleogene 65.5 miljun sena ilu waqt li n-nisel ieħor jitħassar. Meta l-analiżi twessgħet biex tinkludi rappreżentanti ta 'phyla oħra, hija kkonkludiet li ċ-cnidarians huma probabbilment relatati aktar mill-qri"&amp;"b mal-bilaterjani milli kull grupp huwa ma' ctenophores iżda li din id-dijanjosi hija inċerta.")</f>
        <v>Peress li l-ctenofori moderni kollha ħlief il-beroids għandhom larva simili għal ċidippidi, ġie assunt ħafna li l-aħħar antenat komuni tagħhom kien jixbah ukoll cydippids, li għandhom korp b'forma ta 'bajd u par ta' tentakli li jistgħu jinġibdu lura. L-analiżi purament morfoloġika ta 'Richard Harbison fl-1985 ikkonkludiet li ċ-ċidippidi mhumiex monofiletiċi, fi kliem ieħor ma fihomx id-dixxendenti kollha u biss ta' antenat komuni wieħed li kien innifsu ċidippid. Minflok huwa sab li diversi familji Cydippid kienu aktar simili għal membri ta 'ordnijiet oħra ta' ctenophore milli għal cydippids oħra. Huwa ssuġġerixxa wkoll li l-aħħar antenat komuni ta 'ctenophores moderni kien jew simili ta' cydippid jew simili għal beroid. Analiżi molekulari tal-filoġenija fl-2001, bl-użu ta '26 speċi, inklużi 4 dawk skoperti riċentement, ikkonfermaw li ċ-ċidippids mhumiex monofiletiċi u kkonkludew li l-aħħar antenat komuni ta 'ctenophores moderni kien simili għal cydippid. Instab ukoll li d-differenzi ġenetiċi bejn dawn l-ispeċi kienu żgħar ħafna - daqshekk żgħar li r-relazzjonijiet bejn il-lobata, cestida u thalassocalycida baqgħu inċerti. Dan jissuġġerixxi li l-aħħar antenat komuni ta 'ctenophores moderni kien relattivament reċenti, u forsi kien xortik tajba biżżejjed biex jgħix l-avveniment ta' estinzjoni Kretaċeju-Paleogene 65.5 miljun sena ilu waqt li n-nisel ieħor jitħassar. Meta l-analiżi twessgħet biex tinkludi rappreżentanti ta 'phyla oħra, hija kkonkludiet li ċ-cnidarians huma probabbilment relatati aktar mill-qrib mal-bilaterjani milli kull grupp huwa ma' ctenophores iżda li din id-dijanjosi hija inċerta.</v>
      </c>
    </row>
    <row r="7452" ht="15.75" customHeight="1">
      <c r="A7452" s="2" t="s">
        <v>7452</v>
      </c>
      <c r="B7452" s="2" t="str">
        <f>IFERROR(__xludf.DUMMYFUNCTION("GOOGLETRANSLATE(A7452, ""en"", ""mt"")"),"X'tip ta 'ġeoloġi jagħtu informazzjoni dwar ir-razza fl-istruttura kristallina tal-blat?")</f>
        <v>X'tip ta 'ġeoloġi jagħtu informazzjoni dwar ir-razza fl-istruttura kristallina tal-blat?</v>
      </c>
    </row>
    <row r="7453" ht="15.75" customHeight="1">
      <c r="A7453" s="2" t="s">
        <v>7453</v>
      </c>
      <c r="B7453" s="2" t="str">
        <f>IFERROR(__xludf.DUMMYFUNCTION("GOOGLETRANSLATE(A7453, ""en"", ""mt"")"),"(titla u taqa 'skont id-domanda tas-suq")</f>
        <v>(titla u taqa 'skont id-domanda tas-suq</v>
      </c>
    </row>
    <row r="7454" ht="15.75" customHeight="1">
      <c r="A7454" s="2" t="s">
        <v>7454</v>
      </c>
      <c r="B7454" s="2" t="str">
        <f>IFERROR(__xludf.DUMMYFUNCTION("GOOGLETRANSLATE(A7454, ""en"", ""mt"")"),"Kong Duancao")</f>
        <v>Kong Duancao</v>
      </c>
    </row>
    <row r="7455" ht="15.75" customHeight="1">
      <c r="A7455" s="2" t="s">
        <v>7455</v>
      </c>
      <c r="B7455" s="2" t="str">
        <f>IFERROR(__xludf.DUMMYFUNCTION("GOOGLETRANSLATE(A7455, ""en"", ""mt"")"),"X'inhu rrappreżentat mhux rappreżentat fir-reġjuni tal-epitopi?")</f>
        <v>X'inhu rrappreżentat mhux rappreżentat fir-reġjuni tal-epitopi?</v>
      </c>
    </row>
    <row r="7456" ht="15.75" customHeight="1">
      <c r="A7456" s="2" t="s">
        <v>7456</v>
      </c>
      <c r="B7456" s="2" t="str">
        <f>IFERROR(__xludf.DUMMYFUNCTION("GOOGLETRANSLATE(A7456, ""en"", ""mt"")"),"L-aħħar massimu glaċjali (LGM) u d-deglakjazzjoni sussegwenti")</f>
        <v>L-aħħar massimu glaċjali (LGM) u d-deglakjazzjoni sussegwenti</v>
      </c>
    </row>
    <row r="7457" ht="15.75" customHeight="1">
      <c r="A7457" s="2" t="s">
        <v>7457</v>
      </c>
      <c r="B7457" s="2" t="str">
        <f>IFERROR(__xludf.DUMMYFUNCTION("GOOGLETRANSLATE(A7457, ""en"", ""mt"")"),"Ko-NP")</f>
        <v>Ko-NP</v>
      </c>
    </row>
    <row r="7458" ht="15.75" customHeight="1">
      <c r="A7458" s="2" t="s">
        <v>7458</v>
      </c>
      <c r="B7458" s="2" t="str">
        <f>IFERROR(__xludf.DUMMYFUNCTION("GOOGLETRANSLATE(A7458, ""en"", ""mt"")"),"omiċidi")</f>
        <v>omiċidi</v>
      </c>
    </row>
    <row r="7459" ht="15.75" customHeight="1">
      <c r="A7459" s="2" t="s">
        <v>7459</v>
      </c>
      <c r="B7459" s="2" t="str">
        <f>IFERROR(__xludf.DUMMYFUNCTION("GOOGLETRANSLATE(A7459, ""en"", ""mt"")"),"X’għamlu l-missjunarji biex isiru liġi fl-1996?")</f>
        <v>X’għamlu l-missjunarji biex isiru liġi fl-1996?</v>
      </c>
    </row>
    <row r="7460" ht="15.75" customHeight="1">
      <c r="A7460" s="2" t="s">
        <v>7460</v>
      </c>
      <c r="B7460" s="2" t="str">
        <f>IFERROR(__xludf.DUMMYFUNCTION("GOOGLETRANSLATE(A7460, ""en"", ""mt"")"),"22 ta 'Novembru,")</f>
        <v>22 ta 'Novembru,</v>
      </c>
    </row>
    <row r="7461" ht="15.75" customHeight="1">
      <c r="A7461" s="2" t="s">
        <v>7461</v>
      </c>
      <c r="B7461" s="2" t="str">
        <f>IFERROR(__xludf.DUMMYFUNCTION("GOOGLETRANSLATE(A7461, ""en"", ""mt"")"),"art")</f>
        <v>art</v>
      </c>
    </row>
    <row r="7462" ht="15.75" customHeight="1">
      <c r="A7462" s="2" t="s">
        <v>7462</v>
      </c>
      <c r="B7462" s="2" t="str">
        <f>IFERROR(__xludf.DUMMYFUNCTION("GOOGLETRANSLATE(A7462, ""en"", ""mt"")"),"Meta Sema se tintroduċi xandiriet UHD?")</f>
        <v>Meta Sema se tintroduċi xandiriet UHD?</v>
      </c>
    </row>
    <row r="7463" ht="15.75" customHeight="1">
      <c r="A7463" s="2" t="s">
        <v>7463</v>
      </c>
      <c r="B7463" s="2" t="str">
        <f>IFERROR(__xludf.DUMMYFUNCTION("GOOGLETRANSLATE(A7463, ""en"", ""mt"")"),"It-teorija kwantistika ntużat biex tiżviluppa teorija ġdida ta 'xiex?")</f>
        <v>It-teorija kwantistika ntużat biex tiżviluppa teorija ġdida ta 'xiex?</v>
      </c>
    </row>
    <row r="7464" ht="15.75" customHeight="1">
      <c r="A7464" s="2" t="s">
        <v>7464</v>
      </c>
      <c r="B7464" s="2" t="str">
        <f>IFERROR(__xludf.DUMMYFUNCTION("GOOGLETRANSLATE(A7464, ""en"", ""mt"")"),"F'liema sena Jerónimo de Ayanz y Beaumont brevett pompa tal-ilma biex tiskula l-minjieri?")</f>
        <v>F'liema sena Jerónimo de Ayanz y Beaumont brevett pompa tal-ilma biex tiskula l-minjieri?</v>
      </c>
    </row>
    <row r="7465" ht="15.75" customHeight="1">
      <c r="A7465" s="2" t="s">
        <v>7465</v>
      </c>
      <c r="B7465" s="2" t="str">
        <f>IFERROR(__xludf.DUMMYFUNCTION("GOOGLETRANSLATE(A7465, ""en"", ""mt"")"),"Il-perit Franċiż Enric Miralles għen biex jiddisinja liema bini?")</f>
        <v>Il-perit Franċiż Enric Miralles għen biex jiddisinja liema bini?</v>
      </c>
    </row>
    <row r="7466" ht="15.75" customHeight="1">
      <c r="A7466" s="2" t="s">
        <v>7466</v>
      </c>
      <c r="B7466" s="2" t="str">
        <f>IFERROR(__xludf.DUMMYFUNCTION("GOOGLETRANSLATE(A7466, ""en"", ""mt"")"),"Liema projezzjoni qabżet ir-rata b'liema temperaturi titla '?")</f>
        <v>Liema projezzjoni qabżet ir-rata b'liema temperaturi titla '?</v>
      </c>
    </row>
    <row r="7467" ht="15.75" customHeight="1">
      <c r="A7467" s="2" t="s">
        <v>7467</v>
      </c>
      <c r="B7467" s="2" t="str">
        <f>IFERROR(__xludf.DUMMYFUNCTION("GOOGLETRANSLATE(A7467, ""en"", ""mt"")"),"Diviżjoni ewlenija oħra fi ħdan l-Iżlamiżmu hija bejn dak li Graham E. Fuller iddeskriva bħala l-fundamentalist ""Gwardjani tat-Tradizzjoni"" (Salafis, bħal dawk fil-Moviment Wahhabi) u l- ""Vanguard tal-Bidla u r-Riforma Iżlamika"" ċċentrati madwar il-Fr"&amp;"atellanza Musulmana. Olivier Roy jargumenta li ""Pan-Iżlamiżmu Sunni għadda minn bidla notevoli fit-tieni nofs tas-seklu 20"" meta l-moviment tal-Fratellanza Musulmana u l-enfasi tiegħu fuq l-Iżlamizzazzjoni tal-Pan-Arabiżmu ġew eklipsati mill-moviment Sa"&amp;"lafi bl-enfasi tiegħu fuq ""Sharia minflok il-bini ta 'istituzzjonijiet Iżlamiċi, ""u ċ-ċaħda ta' l-Islam Shia. Wara r-Rebbiegħa Għarbija, Roy iddeskriva l-Iżlamiżmu bħala ""dejjem aktar interdipendenti"" bid-demokrazija f'ħafna mid-dinja Musulmana Għarbi"&amp;"ja, tali li ""la issa tista 'tibqa' ħajja mingħajr l-ieħor."" Filwaqt li l-kultura politika Iżlamista nnifisha tista 'ma tkunx demokratika, l-Iżlamisti għandhom bżonn elezzjonijiet demokratiċi biex iżommu l-leġittimità tagħhom. Fl-istess ħin, il-popolarit"&amp;"à tagħhom hija tali li l-ebda gvern ma jista 'jsejjaħ lilu nnifsu Demokratiku li jeskludi gruppi Iżlamisti mainstream.")</f>
        <v>Diviżjoni ewlenija oħra fi ħdan l-Iżlamiżmu hija bejn dak li Graham E. Fuller iddeskriva bħala l-fundamentalist "Gwardjani tat-Tradizzjoni" (Salafis, bħal dawk fil-Moviment Wahhabi) u l- "Vanguard tal-Bidla u r-Riforma Iżlamika" ċċentrati madwar il-Fratellanza Musulmana. Olivier Roy jargumenta li "Pan-Iżlamiżmu Sunni għadda minn bidla notevoli fit-tieni nofs tas-seklu 20" meta l-moviment tal-Fratellanza Musulmana u l-enfasi tiegħu fuq l-Iżlamizzazzjoni tal-Pan-Arabiżmu ġew eklipsati mill-moviment Salafi bl-enfasi tiegħu fuq "Sharia minflok il-bini ta 'istituzzjonijiet Iżlamiċi, "u ċ-ċaħda ta' l-Islam Shia. Wara r-Rebbiegħa Għarbija, Roy iddeskriva l-Iżlamiżmu bħala "dejjem aktar interdipendenti" bid-demokrazija f'ħafna mid-dinja Musulmana Għarbija, tali li "la issa tista 'tibqa' ħajja mingħajr l-ieħor." Filwaqt li l-kultura politika Iżlamista nnifisha tista 'ma tkunx demokratika, l-Iżlamisti għandhom bżonn elezzjonijiet demokratiċi biex iżommu l-leġittimità tagħhom. Fl-istess ħin, il-popolarità tagħhom hija tali li l-ebda gvern ma jista 'jsejjaħ lilu nnifsu Demokratiku li jeskludi gruppi Iżlamisti mainstream.</v>
      </c>
    </row>
    <row r="7468" ht="15.75" customHeight="1">
      <c r="A7468" s="2" t="s">
        <v>7468</v>
      </c>
      <c r="B7468" s="2" t="str">
        <f>IFERROR(__xludf.DUMMYFUNCTION("GOOGLETRANSLATE(A7468, ""en"", ""mt"")"),"L-applikazzjoni ħażina ta 'proċeduri IPCC stabbiliti sew")</f>
        <v>L-applikazzjoni ħażina ta 'proċeduri IPCC stabbiliti sew</v>
      </c>
    </row>
    <row r="7469" ht="15.75" customHeight="1">
      <c r="A7469" s="2" t="s">
        <v>7469</v>
      </c>
      <c r="B7469" s="2" t="str">
        <f>IFERROR(__xludf.DUMMYFUNCTION("GOOGLETRANSLATE(A7469, ""en"", ""mt"")"),"Lag t'isfel")</f>
        <v>Lag t'isfel</v>
      </c>
    </row>
    <row r="7470" ht="15.75" customHeight="1">
      <c r="A7470" s="2" t="s">
        <v>7470</v>
      </c>
      <c r="B7470" s="2" t="str">
        <f>IFERROR(__xludf.DUMMYFUNCTION("GOOGLETRANSLATE(A7470, ""en"", ""mt"")"),"Fl-2016")</f>
        <v>Fl-2016</v>
      </c>
    </row>
    <row r="7471" ht="15.75" customHeight="1">
      <c r="A7471" s="2" t="s">
        <v>7471</v>
      </c>
      <c r="B7471" s="2" t="str">
        <f>IFERROR(__xludf.DUMMYFUNCTION("GOOGLETRANSLATE(A7471, ""en"", ""mt"")")," X'għandu l-kunflitt li galvanizza mhux Musulmani madwar id-dinja?")</f>
        <v> X'għandu l-kunflitt li galvanizza mhux Musulmani madwar id-dinja?</v>
      </c>
    </row>
    <row r="7472" ht="15.75" customHeight="1">
      <c r="A7472" s="2" t="s">
        <v>7472</v>
      </c>
      <c r="B7472" s="2" t="str">
        <f>IFERROR(__xludf.DUMMYFUNCTION("GOOGLETRANSLATE(A7472, ""en"", ""mt"")"),"Liema grupp ta 'xjenzati jfittxu li jkejlu l-ammonti ta' ossiġnu f'annimali tal-baħar?")</f>
        <v>Liema grupp ta 'xjenzati jfittxu li jkejlu l-ammonti ta' ossiġnu f'annimali tal-baħar?</v>
      </c>
    </row>
    <row r="7473" ht="15.75" customHeight="1">
      <c r="A7473" s="2" t="s">
        <v>7473</v>
      </c>
      <c r="B7473" s="2" t="str">
        <f>IFERROR(__xludf.DUMMYFUNCTION("GOOGLETRANSLATE(A7473, ""en"", ""mt"")"),"Magni tat-Turing")</f>
        <v>Magni tat-Turing</v>
      </c>
    </row>
    <row r="7474" ht="15.75" customHeight="1">
      <c r="A7474" s="2" t="s">
        <v>7474</v>
      </c>
      <c r="B7474" s="2" t="str">
        <f>IFERROR(__xludf.DUMMYFUNCTION("GOOGLETRANSLATE(A7474, ""en"", ""mt"")"),"Liema persentaġġ tal-popolazzjoni ta 'Franza llum hija Protestanti?")</f>
        <v>Liema persentaġġ tal-popolazzjoni ta 'Franza llum hija Protestanti?</v>
      </c>
    </row>
    <row r="7475" ht="15.75" customHeight="1">
      <c r="A7475" s="2" t="s">
        <v>7475</v>
      </c>
      <c r="B7475" s="2" t="str">
        <f>IFERROR(__xludf.DUMMYFUNCTION("GOOGLETRANSLATE(A7475, ""en"", ""mt"")"),"Bijokimiku")</f>
        <v>Bijokimiku</v>
      </c>
    </row>
    <row r="7476" ht="15.75" customHeight="1">
      <c r="A7476" s="2" t="s">
        <v>7476</v>
      </c>
      <c r="B7476" s="2" t="str">
        <f>IFERROR(__xludf.DUMMYFUNCTION("GOOGLETRANSLATE(A7476, ""en"", ""mt"")"),"Guo Shoujing applika l-matematika għall-kostruzzjoni ta 'kalendarji. Huwa kien wieħed mill-ewwel matematiċi fiċ-Ċina biex jaħdem fuq trigonometrija sferika. Gou ħareġ formula ta 'interpolazzjoni kubika għall-kalkoli astronomiċi tiegħu. Il-kalendarju tiegħ"&amp;"u, il-Shoushi Li (授時暦) jew il-kalendarju għall-iffissar tal-istaġuni, ġie mxerred fl-1281 bħala l-kalendarju uffiċjali tad-dinastija Yuan. Il-kalendarju seta ’kien influwenzat biss mix-xogħol tal-astronomu tad-dinastija tal-kanzunetta Shen Kuo jew possibi"&amp;"lment mix-xogħol tal-astronomi Għarab. M'hemm l-ebda sinjali espliċiti ta 'influwenzi Musulmani fil-kalendarju ta' Shoushi, iżda l-ħakkiema Mongoljani kienu magħrufa li huma interessati fil-kalendarji Musulmani. L-għarfien matematiku mill-Lvant Nofsani ġi"&amp;"e introdott fiċ-Ċina taħt il-Mongoli, u l-astronomi Musulmani ġabu numri Għarbi fiċ-Ċina fis-seklu 13.")</f>
        <v>Guo Shoujing applika l-matematika għall-kostruzzjoni ta 'kalendarji. Huwa kien wieħed mill-ewwel matematiċi fiċ-Ċina biex jaħdem fuq trigonometrija sferika. Gou ħareġ formula ta 'interpolazzjoni kubika għall-kalkoli astronomiċi tiegħu. Il-kalendarju tiegħu, il-Shoushi Li (授時暦) jew il-kalendarju għall-iffissar tal-istaġuni, ġie mxerred fl-1281 bħala l-kalendarju uffiċjali tad-dinastija Yuan. Il-kalendarju seta ’kien influwenzat biss mix-xogħol tal-astronomu tad-dinastija tal-kanzunetta Shen Kuo jew possibilment mix-xogħol tal-astronomi Għarab. M'hemm l-ebda sinjali espliċiti ta 'influwenzi Musulmani fil-kalendarju ta' Shoushi, iżda l-ħakkiema Mongoljani kienu magħrufa li huma interessati fil-kalendarji Musulmani. L-għarfien matematiku mill-Lvant Nofsani ġie introdott fiċ-Ċina taħt il-Mongoli, u l-astronomi Musulmani ġabu numri Għarbi fiċ-Ċina fis-seklu 13.</v>
      </c>
    </row>
    <row r="7477" ht="15.75" customHeight="1">
      <c r="A7477" s="2" t="s">
        <v>7477</v>
      </c>
      <c r="B7477" s="2" t="str">
        <f>IFERROR(__xludf.DUMMYFUNCTION("GOOGLETRANSLATE(A7477, ""en"", ""mt"")"),"Liema dokument ifforma l-Parlament tar-Rabat?")</f>
        <v>Liema dokument ifforma l-Parlament tar-Rabat?</v>
      </c>
    </row>
    <row r="7478" ht="15.75" customHeight="1">
      <c r="A7478" s="2" t="s">
        <v>7478</v>
      </c>
      <c r="B7478" s="2" t="str">
        <f>IFERROR(__xludf.DUMMYFUNCTION("GOOGLETRANSLATE(A7478, ""en"", ""mt"")"),"F’liema sena ngħatat il-Karta għal Harvard Corporation?")</f>
        <v>F’liema sena ngħatat il-Karta għal Harvard Corporation?</v>
      </c>
    </row>
    <row r="7479" ht="15.75" customHeight="1">
      <c r="A7479" s="2" t="s">
        <v>7479</v>
      </c>
      <c r="B7479" s="2" t="str">
        <f>IFERROR(__xludf.DUMMYFUNCTION("GOOGLETRANSLATE(A7479, ""en"", ""mt"")"),"Fit-tieni liġi ta 'Newton, x'inhuma l-unitajiet tal-massa u l-forza fir-rigward tal-mikroskali?")</f>
        <v>Fit-tieni liġi ta 'Newton, x'inhuma l-unitajiet tal-massa u l-forza fir-rigward tal-mikroskali?</v>
      </c>
    </row>
    <row r="7480" ht="15.75" customHeight="1">
      <c r="A7480" s="2" t="s">
        <v>7480</v>
      </c>
      <c r="B7480" s="2" t="str">
        <f>IFERROR(__xludf.DUMMYFUNCTION("GOOGLETRANSLATE(A7480, ""en"", ""mt"")"),"Fi ħdan l-UE, liema qorti temmen li għandhom il-kelma finali li jiddeċiedu dwar il-kompetenza tal-UE?")</f>
        <v>Fi ħdan l-UE, liema qorti temmen li għandhom il-kelma finali li jiddeċiedu dwar il-kompetenza tal-UE?</v>
      </c>
    </row>
    <row r="7481" ht="15.75" customHeight="1">
      <c r="A7481" s="2" t="s">
        <v>7481</v>
      </c>
      <c r="B7481" s="2" t="str">
        <f>IFERROR(__xludf.DUMMYFUNCTION("GOOGLETRANSLATE(A7481, ""en"", ""mt"")"),"il-kontribut kulturali tiegħu")</f>
        <v>il-kontribut kulturali tiegħu</v>
      </c>
    </row>
    <row r="7482" ht="15.75" customHeight="1">
      <c r="A7482" s="2" t="s">
        <v>7482</v>
      </c>
      <c r="B7482" s="2" t="str">
        <f>IFERROR(__xludf.DUMMYFUNCTION("GOOGLETRANSLATE(A7482, ""en"", ""mt"")"),"riformi soċjali domestiċi")</f>
        <v>riformi soċjali domestiċi</v>
      </c>
    </row>
    <row r="7483" ht="15.75" customHeight="1">
      <c r="A7483" s="2" t="s">
        <v>7483</v>
      </c>
      <c r="B7483" s="2" t="str">
        <f>IFERROR(__xludf.DUMMYFUNCTION("GOOGLETRANSLATE(A7483, ""en"", ""mt"")"),"Il-kunċett ta 'inerzja jista' jispjega t-tendenza tan-nies biex ikomplu f'liema?")</f>
        <v>Il-kunċett ta 'inerzja jista' jispjega t-tendenza tan-nies biex ikomplu f'liema?</v>
      </c>
    </row>
    <row r="7484" ht="15.75" customHeight="1">
      <c r="A7484" s="2" t="s">
        <v>7484</v>
      </c>
      <c r="B7484" s="2" t="str">
        <f>IFERROR(__xludf.DUMMYFUNCTION("GOOGLETRANSLATE(A7484, ""en"", ""mt"")"),"Dgħajjes tal-Fwar u Vetturi tat-Triq")</f>
        <v>Dgħajjes tal-Fwar u Vetturi tat-Triq</v>
      </c>
    </row>
    <row r="7485" ht="15.75" customHeight="1">
      <c r="A7485" s="2" t="s">
        <v>7485</v>
      </c>
      <c r="B7485" s="2" t="str">
        <f>IFERROR(__xludf.DUMMYFUNCTION("GOOGLETRANSLATE(A7485, ""en"", ""mt"")"),"F'liema sena rriżenja El Gizouli mill-IPCC?")</f>
        <v>F'liema sena rriżenja El Gizouli mill-IPCC?</v>
      </c>
    </row>
    <row r="7486" ht="15.75" customHeight="1">
      <c r="A7486" s="2" t="s">
        <v>7486</v>
      </c>
      <c r="B7486" s="2" t="str">
        <f>IFERROR(__xludf.DUMMYFUNCTION("GOOGLETRANSLATE(A7486, ""en"", ""mt"")"),"Liema ħakkiem Ġermaniż stieden l-immigrazzjoni Huguenot?")</f>
        <v>Liema ħakkiem Ġermaniż stieden l-immigrazzjoni Huguenot?</v>
      </c>
    </row>
    <row r="7487" ht="15.75" customHeight="1">
      <c r="A7487" s="2" t="s">
        <v>7487</v>
      </c>
      <c r="B7487" s="2" t="str">
        <f>IFERROR(__xludf.DUMMYFUNCTION("GOOGLETRANSLATE(A7487, ""en"", ""mt"")"),"Meta l-kumitat għal azzjoni mhux vjolenti sponsorja protesta f'Awwissu 1957, fis-sit tat-test nukleari tal-Merkurju tal-kamp qrib Las Vegas, Nevada, 13 mill-protestanti ppruvaw jidħlu fis-sit tat-test meta jafu li ffaċċjaw l-arrest. F'ħin imħabbra minn qa"&amp;"bel, wieħed kull darba li telgħu madwar il- ""linja"" u ġew arrestati immedjatament. Huma tpoġġew fuq xarabank u ttieħdu fis-sede tal-Kontea ta ’Nye ta’ Tonopah, Nevada, u ntejbu għall-proċess quddiem il-ġustizzja lokali tal-paċi, dak wara nofsinhar. Avuk"&amp;"at magħruf tad-drittijiet ċivili, Francis Heisler, kien volontarjat biex jiddefendi lill-persuni arrestati, u tahom pariri biex jinvokaw ""Nolo Contendere"", bħala alternattiva biex tinvoka ħati jew mhux ħatja. Il-persuni arrestati nstabu ""ħatja,"" madan"&amp;"kollu, u ngħataw sentenzi sospiżi, kondizzjonali fuq il-bażi tas-sit tat-test tagħhom. [Ċitazzjoni meħtieġa]")</f>
        <v>Meta l-kumitat għal azzjoni mhux vjolenti sponsorja protesta f'Awwissu 1957, fis-sit tat-test nukleari tal-Merkurju tal-kamp qrib Las Vegas, Nevada, 13 mill-protestanti ppruvaw jidħlu fis-sit tat-test meta jafu li ffaċċjaw l-arrest. F'ħin imħabbra minn qabel, wieħed kull darba li telgħu madwar il- "linja" u ġew arrestati immedjatament. Huma tpoġġew fuq xarabank u ttieħdu fis-sede tal-Kontea ta ’Nye ta’ Tonopah, Nevada, u ntejbu għall-proċess quddiem il-ġustizzja lokali tal-paċi, dak wara nofsinhar. Avukat magħruf tad-drittijiet ċivili, Francis Heisler, kien volontarjat biex jiddefendi lill-persuni arrestati, u tahom pariri biex jinvokaw "Nolo Contendere", bħala alternattiva biex tinvoka ħati jew mhux ħatja. Il-persuni arrestati nstabu "ħatja," madankollu, u ngħataw sentenzi sospiżi, kondizzjonali fuq il-bażi tas-sit tat-test tagħhom. [Ċitazzjoni meħtieġa]</v>
      </c>
    </row>
    <row r="7488" ht="15.75" customHeight="1">
      <c r="A7488" s="2" t="s">
        <v>7488</v>
      </c>
      <c r="B7488" s="2" t="str">
        <f>IFERROR(__xludf.DUMMYFUNCTION("GOOGLETRANSLATE(A7488, ""en"", ""mt"")"),"Meta Iqbal ippromwova ideat ta 'għaqda politika Iżlamika akbar, x'ħeġġeġ li jispiċċa?")</f>
        <v>Meta Iqbal ippromwova ideat ta 'għaqda politika Iżlamika akbar, x'ħeġġeġ li jispiċċa?</v>
      </c>
    </row>
    <row r="7489" ht="15.75" customHeight="1">
      <c r="A7489" s="2" t="s">
        <v>7489</v>
      </c>
      <c r="B7489" s="2" t="str">
        <f>IFERROR(__xludf.DUMMYFUNCTION("GOOGLETRANSLATE(A7489, ""en"", ""mt"")"),"Il-korp akkademiku tal-università huwa magħmul minn kemm diviżjonijiet tal-gradwati?")</f>
        <v>Il-korp akkademiku tal-università huwa magħmul minn kemm diviżjonijiet tal-gradwati?</v>
      </c>
    </row>
    <row r="7490" ht="15.75" customHeight="1">
      <c r="A7490" s="2" t="s">
        <v>7490</v>
      </c>
      <c r="B7490" s="2" t="str">
        <f>IFERROR(__xludf.DUMMYFUNCTION("GOOGLETRANSLATE(A7490, ""en"", ""mt"")"),"Liema individwu hija msemmija l-iskola?")</f>
        <v>Liema individwu hija msemmija l-iskola?</v>
      </c>
    </row>
    <row r="7491" ht="15.75" customHeight="1">
      <c r="A7491" s="2" t="s">
        <v>7491</v>
      </c>
      <c r="B7491" s="2" t="str">
        <f>IFERROR(__xludf.DUMMYFUNCTION("GOOGLETRANSLATE(A7491, ""en"", ""mt"")"),"jissimplifika l-faċċata tal-annimal")</f>
        <v>jissimplifika l-faċċata tal-annimal</v>
      </c>
    </row>
    <row r="7492" ht="15.75" customHeight="1">
      <c r="A7492" s="2" t="s">
        <v>7492</v>
      </c>
      <c r="B7492" s="2" t="str">
        <f>IFERROR(__xludf.DUMMYFUNCTION("GOOGLETRANSLATE(A7492, ""en"", ""mt"")"),"magma jew lava")</f>
        <v>magma jew lava</v>
      </c>
    </row>
    <row r="7493" ht="15.75" customHeight="1">
      <c r="A7493" s="2" t="s">
        <v>7493</v>
      </c>
      <c r="B7493" s="2" t="str">
        <f>IFERROR(__xludf.DUMMYFUNCTION("GOOGLETRANSLATE(A7493, ""en"", ""mt"")"),"Qlib taċ-ċirkwit")</f>
        <v>Qlib taċ-ċirkwit</v>
      </c>
    </row>
    <row r="7494" ht="15.75" customHeight="1">
      <c r="A7494" s="2" t="s">
        <v>7494</v>
      </c>
      <c r="B7494" s="2" t="str">
        <f>IFERROR(__xludf.DUMMYFUNCTION("GOOGLETRANSLATE(A7494, ""en"", ""mt"")"),"Xi jfisser li l-Mużew Nazzjonali jiftaħar mill-kollezzjoni privata ta 'Adolf Hitler?")</f>
        <v>Xi jfisser li l-Mużew Nazzjonali jiftaħar mill-kollezzjoni privata ta 'Adolf Hitler?</v>
      </c>
    </row>
    <row r="7495" ht="15.75" customHeight="1">
      <c r="A7495" s="2" t="s">
        <v>7495</v>
      </c>
      <c r="B7495" s="2" t="str">
        <f>IFERROR(__xludf.DUMMYFUNCTION("GOOGLETRANSLATE(A7495, ""en"", ""mt"")"),"Sitt ta 'fuq")</f>
        <v>Sitt ta 'fuq</v>
      </c>
    </row>
    <row r="7496" ht="15.75" customHeight="1">
      <c r="A7496" s="2" t="s">
        <v>7496</v>
      </c>
      <c r="B7496" s="2" t="str">
        <f>IFERROR(__xludf.DUMMYFUNCTION("GOOGLETRANSLATE(A7496, ""en"", ""mt"")"),"Għaliex l-elettriku DC m'għandux jintuża?")</f>
        <v>Għaliex l-elettriku DC m'għandux jintuża?</v>
      </c>
    </row>
    <row r="7497" ht="15.75" customHeight="1">
      <c r="A7497" s="2" t="s">
        <v>7497</v>
      </c>
      <c r="B7497" s="2" t="str">
        <f>IFERROR(__xludf.DUMMYFUNCTION("GOOGLETRANSLATE(A7497, ""en"", ""mt"")"),"F'liema każ raġel Ġermaniż talab id-dritt li jgħix fl-Olanda fejn kien plumber volontarju?")</f>
        <v>F'liema każ raġel Ġermaniż talab id-dritt li jgħix fl-Olanda fejn kien plumber volontarju?</v>
      </c>
    </row>
    <row r="7498" ht="15.75" customHeight="1">
      <c r="A7498" s="2" t="s">
        <v>7498</v>
      </c>
      <c r="B7498" s="2" t="str">
        <f>IFERROR(__xludf.DUMMYFUNCTION("GOOGLETRANSLATE(A7498, ""en"", ""mt"")")," Kif kienet imsejħa d-dinastija Yuan bil-Ġappuniż?")</f>
        <v> Kif kienet imsejħa d-dinastija Yuan bil-Ġappuniż?</v>
      </c>
    </row>
    <row r="7499" ht="15.75" customHeight="1">
      <c r="A7499" s="2" t="s">
        <v>7499</v>
      </c>
      <c r="B7499" s="2" t="str">
        <f>IFERROR(__xludf.DUMMYFUNCTION("GOOGLETRANSLATE(A7499, ""en"", ""mt"")"),"26,000 kilometru kwadru")</f>
        <v>26,000 kilometru kwadru</v>
      </c>
    </row>
    <row r="7500" ht="15.75" customHeight="1">
      <c r="A7500" s="2" t="s">
        <v>7500</v>
      </c>
      <c r="B7500" s="2" t="str">
        <f>IFERROR(__xludf.DUMMYFUNCTION("GOOGLETRANSLATE(A7500, ""en"", ""mt"")"),"Il-pakketti jistgħu jitwasslu permezz ta 'liema rotta?")</f>
        <v>Il-pakketti jistgħu jitwasslu permezz ta 'liema rotta?</v>
      </c>
    </row>
    <row r="7501" ht="15.75" customHeight="1">
      <c r="A7501" s="2" t="s">
        <v>7501</v>
      </c>
      <c r="B7501" s="2" t="str">
        <f>IFERROR(__xludf.DUMMYFUNCTION("GOOGLETRANSLATE(A7501, ""en"", ""mt"")"),"Liema gwerra tal-Istati Uniti kkawżat ammont għoli ta 'diżubbidjenza ċivili?")</f>
        <v>Liema gwerra tal-Istati Uniti kkawżat ammont għoli ta 'diżubbidjenza ċivili?</v>
      </c>
    </row>
    <row r="7502" ht="15.75" customHeight="1">
      <c r="A7502" s="2" t="s">
        <v>7502</v>
      </c>
      <c r="B7502" s="2" t="str">
        <f>IFERROR(__xludf.DUMMYFUNCTION("GOOGLETRANSLATE(A7502, ""en"", ""mt"")"),"X'jiġri meta l-krank ta 'espansjoni doppja huwa duplikat?")</f>
        <v>X'jiġri meta l-krank ta 'espansjoni doppja huwa duplikat?</v>
      </c>
    </row>
    <row r="7503" ht="15.75" customHeight="1">
      <c r="A7503" s="2" t="s">
        <v>7503</v>
      </c>
      <c r="B7503" s="2" t="str">
        <f>IFERROR(__xludf.DUMMYFUNCTION("GOOGLETRANSLATE(A7503, ""en"", ""mt"")"),"L-ewwel mappa ġeoloġika ta 'l-Istati Uniti ġiet prodotta fl-1809 minn William MacLure. Fl-1807, MacLure beda l-kompitu impost minnu nnifsu li jagħmel stħarriġ ġeoloġiku ta 'l-Istati Uniti. Kważi kull stat fl-unjoni kien traversat u mmappjat minnu, il-Munt"&amp;"anji Allegheny qed jinqasmu u rreklamaw xi 50 darba. Ir-riżultati tal-ħaddiema mingħajr għajnuna tiegħu ġew sottomessi lis-Soċjetà Filosofika Amerikana f'Memoir intitolat Osservazzjonijiet dwar il-Ġeoloġija ta 'l-Istati Uniti Spjegazzjoni ta' Mappa Ġeoloġ"&amp;"ika, u ppubblikati fit-Tranżazzjonijiet tas-Soċjetà, flimkien mal-ewwel mappa ġeoloġika tan-nazzjon. Din l-antedates tal-mappa ġeoloġika ta 'William Smith ta' l-Ingilterra b'sitt snin, għalkemm ġiet mibnija bl-użu ta 'klassifikazzjoni differenti ta' blat.")</f>
        <v>L-ewwel mappa ġeoloġika ta 'l-Istati Uniti ġiet prodotta fl-1809 minn William MacLure. Fl-1807, MacLure beda l-kompitu impost minnu nnifsu li jagħmel stħarriġ ġeoloġiku ta 'l-Istati Uniti. Kważi kull stat fl-unjoni kien traversat u mmappjat minnu, il-Muntanji Allegheny qed jinqasmu u rreklamaw xi 50 darba. Ir-riżultati tal-ħaddiema mingħajr għajnuna tiegħu ġew sottomessi lis-Soċjetà Filosofika Amerikana f'Memoir intitolat Osservazzjonijiet dwar il-Ġeoloġija ta 'l-Istati Uniti Spjegazzjoni ta' Mappa Ġeoloġika, u ppubblikati fit-Tranżazzjonijiet tas-Soċjetà, flimkien mal-ewwel mappa ġeoloġika tan-nazzjon. Din l-antedates tal-mappa ġeoloġika ta 'William Smith ta' l-Ingilterra b'sitt snin, għalkemm ġiet mibnija bl-użu ta 'klassifikazzjoni differenti ta' blat.</v>
      </c>
    </row>
    <row r="7504" ht="15.75" customHeight="1">
      <c r="A7504" s="2" t="s">
        <v>7504</v>
      </c>
      <c r="B7504" s="2" t="str">
        <f>IFERROR(__xludf.DUMMYFUNCTION("GOOGLETRANSLATE(A7504, ""en"", ""mt"")"),"Fejn kien joqgħod l-ispiżjar fir-rigward tal-Imperatur?")</f>
        <v>Fejn kien joqgħod l-ispiżjar fir-rigward tal-Imperatur?</v>
      </c>
    </row>
    <row r="7505" ht="15.75" customHeight="1">
      <c r="A7505" s="2" t="s">
        <v>7505</v>
      </c>
      <c r="B7505" s="2" t="str">
        <f>IFERROR(__xludf.DUMMYFUNCTION("GOOGLETRANSLATE(A7505, ""en"", ""mt"")"),"li d-diżubbidjenza ċivili hija ġustifikata biss kontra entitajiet governattivi")</f>
        <v>li d-diżubbidjenza ċivili hija ġustifikata biss kontra entitajiet governattivi</v>
      </c>
    </row>
    <row r="7506" ht="15.75" customHeight="1">
      <c r="A7506" s="2" t="s">
        <v>7506</v>
      </c>
      <c r="B7506" s="2" t="str">
        <f>IFERROR(__xludf.DUMMYFUNCTION("GOOGLETRANSLATE(A7506, ""en"", ""mt"")"),"speċjalitajiet separati qabel")</f>
        <v>speċjalitajiet separati qabel</v>
      </c>
    </row>
    <row r="7507" ht="15.75" customHeight="1">
      <c r="A7507" s="2" t="s">
        <v>7507</v>
      </c>
      <c r="B7507" s="2" t="str">
        <f>IFERROR(__xludf.DUMMYFUNCTION("GOOGLETRANSLATE(A7507, ""en"", ""mt"")"),"żviluppa b'mod indipendenti l-istess metodoloġija ta 'rotta ta' messaġġi kif żviluppat minn baran")</f>
        <v>żviluppa b'mod indipendenti l-istess metodoloġija ta 'rotta ta' messaġġi kif żviluppat minn baran</v>
      </c>
    </row>
    <row r="7508" ht="15.75" customHeight="1">
      <c r="A7508" s="2" t="s">
        <v>7508</v>
      </c>
      <c r="B7508" s="2" t="str">
        <f>IFERROR(__xludf.DUMMYFUNCTION("GOOGLETRANSLATE(A7508, ""en"", ""mt"")"),"Il-kostruzzjoni hija waħda mill-aktar okkupazzjonijiet perikolużi fid-dinja, li ġġarraf aktar fatalitajiet fuq ix-xogħol minn kwalunkwe settur ieħor kemm fl-Istati Uniti kif ukoll fl-Unjoni Ewropea. Fl-2009, ir-rata fatali ta 'korrimenti fuq ix-xogħol fos"&amp;"t il-ħaddiema tal-kostruzzjoni fl-Istati Uniti kienet kważi tliet darbiet dik għall-ħaddiema kollha. Il-waqgħat huma waħda mill-aktar kawżi komuni ta 'korrimenti fatali u mhux fatali fost il-ħaddiema tal-kostruzzjoni. Tagħmir ta 'sigurtà xieraq bħal arnes"&amp;"si u guardrails u proċeduri bħall-iżgurar tas-slielem u l-ispezzjoni tal-armar jista' jnaqqas ir-riskju ta 'korrimenti fuq ix-xogħol fl-industrija tal-kostruzzjoni. Kawżi ewlenin oħra ta 'fatalitajiet fl-industrija tal-kostruzzjoni jinkludu l-elettrokuzzj"&amp;"oni, l-inċidenti tat-trasport, u l-grotta ta' trinka.")</f>
        <v>Il-kostruzzjoni hija waħda mill-aktar okkupazzjonijiet perikolużi fid-dinja, li ġġarraf aktar fatalitajiet fuq ix-xogħol minn kwalunkwe settur ieħor kemm fl-Istati Uniti kif ukoll fl-Unjoni Ewropea. Fl-2009, ir-rata fatali ta 'korrimenti fuq ix-xogħol fost il-ħaddiema tal-kostruzzjoni fl-Istati Uniti kienet kważi tliet darbiet dik għall-ħaddiema kollha. Il-waqgħat huma waħda mill-aktar kawżi komuni ta 'korrimenti fatali u mhux fatali fost il-ħaddiema tal-kostruzzjoni. Tagħmir ta 'sigurtà xieraq bħal arnessi u guardrails u proċeduri bħall-iżgurar tas-slielem u l-ispezzjoni tal-armar jista' jnaqqas ir-riskju ta 'korrimenti fuq ix-xogħol fl-industrija tal-kostruzzjoni. Kawżi ewlenin oħra ta 'fatalitajiet fl-industrija tal-kostruzzjoni jinkludu l-elettrokuzzjoni, l-inċidenti tat-trasport, u l-grotta ta' trinka.</v>
      </c>
    </row>
    <row r="7509" ht="15.75" customHeight="1">
      <c r="A7509" s="2" t="s">
        <v>7509</v>
      </c>
      <c r="B7509" s="2" t="str">
        <f>IFERROR(__xludf.DUMMYFUNCTION("GOOGLETRANSLATE(A7509, ""en"", ""mt"")"),"Min jifforma l-gvern tal-istudenti?")</f>
        <v>Min jifforma l-gvern tal-istudenti?</v>
      </c>
    </row>
    <row r="7510" ht="15.75" customHeight="1">
      <c r="A7510" s="2" t="s">
        <v>7510</v>
      </c>
      <c r="B7510" s="2" t="str">
        <f>IFERROR(__xludf.DUMMYFUNCTION("GOOGLETRANSLATE(A7510, ""en"", ""mt"")"),"Prinċipju ta 'esklużjoni ta' Pauli")</f>
        <v>Prinċipju ta 'esklużjoni ta' Pauli</v>
      </c>
    </row>
    <row r="7511" ht="15.75" customHeight="1">
      <c r="A7511" s="2" t="s">
        <v>7511</v>
      </c>
      <c r="B7511" s="2" t="str">
        <f>IFERROR(__xludf.DUMMYFUNCTION("GOOGLETRANSLATE(A7511, ""en"", ""mt"")"),"Skond il-paragun ta 'Sheldon Ungar mat-tisħin globali, l-atturi fil-każ tat-tnaqqis tal-ożonu kellhom għarfien aħjar tal-injoranza u l-inċertezzi xjentifiċi. Il-każ ta 'l-ożonu kkomunikat lil persuni lajċi ""b'metafori li jgħaqqdu faċli biex jinftiehmu de"&amp;"rivati ​​mill-kultura popolari"" u relatati ma' ""riskji immedjati b'relevanza ta 'kuljum"", filwaqt li l-opinjoni pubblika dwar it-tibdil fil-klima ma tara l-ebda periklu imminenti. Il-mitigazzjoni gradwali tal-isfida tas-saff tal-ożonu kienet ibbażata w"&amp;"koll fuq it-tnaqqis ta 'kunflitti ta' qsim ta 'piż reġjonali. Fil-każ tal-konklużjonijiet tal-IPCC u l-falliment tal-protokoll Kyoto, li jvarjaw l-analiżi tal-kost-benefiċċju u l-kunflitti ta 'qsim ta' piż fir-rigward tad-distribuzzjoni tat-tnaqqis tal-em"&amp;"issjonijiet jibqgħu problema mhux solvuta. Fir-Renju Unit, rapport għal Kumitat tal-House of Lords talab biex iħeġġeġ lill-IPCC biex jinvolvi valutazzjonijiet aħjar tal-ispejjeż u l-benefiċċji tal-bidla fil-klima iżda r-reviżjoni tal-poppa ordnata mill-gv"&amp;"ern tar-Renju Unit għamlet argument aktar qawwi favur il-ġlieda kontra t-tibdil fil-klima magħmul mill-bniedem -")</f>
        <v>Skond il-paragun ta 'Sheldon Ungar mat-tisħin globali, l-atturi fil-każ tat-tnaqqis tal-ożonu kellhom għarfien aħjar tal-injoranza u l-inċertezzi xjentifiċi. Il-każ ta 'l-ożonu kkomunikat lil persuni lajċi "b'metafori li jgħaqqdu faċli biex jinftiehmu derivati ​​mill-kultura popolari" u relatati ma' "riskji immedjati b'relevanza ta 'kuljum", filwaqt li l-opinjoni pubblika dwar it-tibdil fil-klima ma tara l-ebda periklu imminenti. Il-mitigazzjoni gradwali tal-isfida tas-saff tal-ożonu kienet ibbażata wkoll fuq it-tnaqqis ta 'kunflitti ta' qsim ta 'piż reġjonali. Fil-każ tal-konklużjonijiet tal-IPCC u l-falliment tal-protokoll Kyoto, li jvarjaw l-analiżi tal-kost-benefiċċju u l-kunflitti ta 'qsim ta' piż fir-rigward tad-distribuzzjoni tat-tnaqqis tal-emissjonijiet jibqgħu problema mhux solvuta. Fir-Renju Unit, rapport għal Kumitat tal-House of Lords talab biex iħeġġeġ lill-IPCC biex jinvolvi valutazzjonijiet aħjar tal-ispejjeż u l-benefiċċji tal-bidla fil-klima iżda r-reviżjoni tal-poppa ordnata mill-gvern tar-Renju Unit għamlet argument aktar qawwi favur il-ġlieda kontra t-tibdil fil-klima magħmul mill-bniedem -</v>
      </c>
    </row>
    <row r="7512" ht="15.75" customHeight="1">
      <c r="A7512" s="2" t="s">
        <v>7512</v>
      </c>
      <c r="B7512" s="2" t="str">
        <f>IFERROR(__xludf.DUMMYFUNCTION("GOOGLETRANSLATE(A7512, ""en"", ""mt"")"),"Meta nġieb il-Borża ta 'Varsavja lura għall-ħajja?")</f>
        <v>Meta nġieb il-Borża ta 'Varsavja lura għall-ħajja?</v>
      </c>
    </row>
    <row r="7513" ht="15.75" customHeight="1">
      <c r="A7513" s="2" t="s">
        <v>7513</v>
      </c>
      <c r="B7513" s="2" t="str">
        <f>IFERROR(__xludf.DUMMYFUNCTION("GOOGLETRANSLATE(A7513, ""en"", ""mt"")"),"ħamrija fqira")</f>
        <v>ħamrija fqira</v>
      </c>
    </row>
    <row r="7514" ht="15.75" customHeight="1">
      <c r="A7514" s="2" t="s">
        <v>7514</v>
      </c>
      <c r="B7514" s="2" t="str">
        <f>IFERROR(__xludf.DUMMYFUNCTION("GOOGLETRANSLATE(A7514, ""en"", ""mt"")"),"X'tipi ta 'mediċini jaħżnu l-ispiżeriji speċjalizzati?")</f>
        <v>X'tipi ta 'mediċini jaħżnu l-ispiżeriji speċjalizzati?</v>
      </c>
    </row>
    <row r="7515" ht="15.75" customHeight="1">
      <c r="A7515" s="2" t="s">
        <v>7515</v>
      </c>
      <c r="B7515" s="2" t="str">
        <f>IFERROR(__xludf.DUMMYFUNCTION("GOOGLETRANSLATE(A7515, ""en"", ""mt"")"),"Kemm ilha rikonoxxuta l-proporzjonalità bħala wieħed mill-prinċipji ġenerali tal-liġi tal-UE?")</f>
        <v>Kemm ilha rikonoxxuta l-proporzjonalità bħala wieħed mill-prinċipji ġenerali tal-liġi tal-UE?</v>
      </c>
    </row>
    <row r="7516" ht="15.75" customHeight="1">
      <c r="A7516" s="2" t="s">
        <v>7516</v>
      </c>
      <c r="B7516" s="2" t="str">
        <f>IFERROR(__xludf.DUMMYFUNCTION("GOOGLETRANSLATE(A7516, ""en"", ""mt"")"),"L-ossiġnu jinħall aktar fl-ilma milli hu n-nitroġenu. L-ilma f'ekwilibriju bl-arja fih madwar 1 molekula ta 'o maħlula
2 għal kull 2 ​​molekuli ta 'n
2, meta mqabbel ma 'proporzjon atmosferiku ta' madwar 1: 4. Is-solubilità ta 'l-ossiġenu fl-ilma tiddepen"&amp;"di mit-temperatura, u madwar id-doppju ta' (14.6 mg · l - 1) tinħall f'0 ° C milli f'20 ° C (7.6 mg · L - 1). F'25 ° C u 1 atmosfera standard (101.3 kPa) ta 'l-arja, l-ilma ħelu fih madwar 6.04 millilitri (ml) ta' ossiġnu għal kull litru, filwaqt li l-ilm"&amp;"a baħar fih madwar 4.95 ml kull litru. F'5 ° C is-solubilità tiżdied għal 9.0 ml (50% aktar minn 25 ° C) għal kull litru għall-ilma u 7.2 ml (45% aktar) għal kull litru għall-ilma baħar.")</f>
        <v>L-ossiġnu jinħall aktar fl-ilma milli hu n-nitroġenu. L-ilma f'ekwilibriju bl-arja fih madwar 1 molekula ta 'o maħlula
2 għal kull 2 ​​molekuli ta 'n
2, meta mqabbel ma 'proporzjon atmosferiku ta' madwar 1: 4. Is-solubilità ta 'l-ossiġenu fl-ilma tiddependi mit-temperatura, u madwar id-doppju ta' (14.6 mg · l - 1) tinħall f'0 ° C milli f'20 ° C (7.6 mg · L - 1). F'25 ° C u 1 atmosfera standard (101.3 kPa) ta 'l-arja, l-ilma ħelu fih madwar 6.04 millilitri (ml) ta' ossiġnu għal kull litru, filwaqt li l-ilma baħar fih madwar 4.95 ml kull litru. F'5 ° C is-solubilità tiżdied għal 9.0 ml (50% aktar minn 25 ° C) għal kull litru għall-ilma u 7.2 ml (45% aktar) għal kull litru għall-ilma baħar.</v>
      </c>
    </row>
    <row r="7517" ht="15.75" customHeight="1">
      <c r="A7517" s="2" t="s">
        <v>7517</v>
      </c>
      <c r="B7517" s="2" t="str">
        <f>IFERROR(__xludf.DUMMYFUNCTION("GOOGLETRANSLATE(A7517, ""en"", ""mt"")"),"Ftit ministri huma meħuda minn fosthom?")</f>
        <v>Ftit ministri huma meħuda minn fosthom?</v>
      </c>
    </row>
    <row r="7518" ht="15.75" customHeight="1">
      <c r="A7518" s="2" t="s">
        <v>7518</v>
      </c>
      <c r="B7518" s="2" t="str">
        <f>IFERROR(__xludf.DUMMYFUNCTION("GOOGLETRANSLATE(A7518, ""en"", ""mt"")"),"X'inhuma żewġ riżorsi primarji bażiċi użati għall-kumplessità tal-guage?")</f>
        <v>X'inhuma żewġ riżorsi primarji bażiċi użati għall-kumplessità tal-guage?</v>
      </c>
    </row>
    <row r="7519" ht="15.75" customHeight="1">
      <c r="A7519" s="2" t="s">
        <v>7519</v>
      </c>
      <c r="B7519" s="2" t="str">
        <f>IFERROR(__xludf.DUMMYFUNCTION("GOOGLETRANSLATE(A7519, ""en"", ""mt"")"),"f'distanzi akbar")</f>
        <v>f'distanzi akbar</v>
      </c>
    </row>
    <row r="7520" ht="15.75" customHeight="1">
      <c r="A7520" s="2" t="s">
        <v>7520</v>
      </c>
      <c r="B7520" s="2" t="str">
        <f>IFERROR(__xludf.DUMMYFUNCTION("GOOGLETRANSLATE(A7520, ""en"", ""mt"")"),"Musulmani tal-Punent")</f>
        <v>Musulmani tal-Punent</v>
      </c>
    </row>
    <row r="7521" ht="15.75" customHeight="1">
      <c r="A7521" s="2" t="s">
        <v>7521</v>
      </c>
      <c r="B7521" s="2" t="str">
        <f>IFERROR(__xludf.DUMMYFUNCTION("GOOGLETRANSLATE(A7521, ""en"", ""mt"")"),"Kemm ilha tintuża x-xbihat tal-mermaid?")</f>
        <v>Kemm ilha tintuża x-xbihat tal-mermaid?</v>
      </c>
    </row>
    <row r="7522" ht="15.75" customHeight="1">
      <c r="A7522" s="2" t="s">
        <v>7522</v>
      </c>
      <c r="B7522" s="2" t="str">
        <f>IFERROR(__xludf.DUMMYFUNCTION("GOOGLETRANSLATE(A7522, ""en"", ""mt"")"),"Min ma ngħatax art minn government Ingliż għall-iżvilupp ta 'pajjiż ta' Ohio?")</f>
        <v>Min ma ngħatax art minn government Ingliż għall-iżvilupp ta 'pajjiż ta' Ohio?</v>
      </c>
    </row>
    <row r="7523" ht="15.75" customHeight="1">
      <c r="A7523" s="2" t="s">
        <v>7523</v>
      </c>
      <c r="B7523" s="2" t="str">
        <f>IFERROR(__xludf.DUMMYFUNCTION("GOOGLETRANSLATE(A7523, ""en"", ""mt"")"),"Kemm nies ma kinux fil-kolonji Franċiżi tal-Amerika ta 'Fuq?")</f>
        <v>Kemm nies ma kinux fil-kolonji Franċiżi tal-Amerika ta 'Fuq?</v>
      </c>
    </row>
    <row r="7524" ht="15.75" customHeight="1">
      <c r="A7524" s="2" t="s">
        <v>7524</v>
      </c>
      <c r="B7524" s="2" t="str">
        <f>IFERROR(__xludf.DUMMYFUNCTION("GOOGLETRANSLATE(A7524, ""en"", ""mt"")"),"L-isforzi biex tissaħħaħ lil Oswego ġew imrażżna f'diffikultajiet loġistiċi, aggravati mill-esperjenza ta 'Shirley")</f>
        <v>L-isforzi biex tissaħħaħ lil Oswego ġew imrażżna f'diffikultajiet loġistiċi, aggravati mill-esperjenza ta 'Shirley</v>
      </c>
    </row>
    <row r="7525" ht="15.75" customHeight="1">
      <c r="A7525" s="2" t="s">
        <v>7525</v>
      </c>
      <c r="B7525" s="2" t="str">
        <f>IFERROR(__xludf.DUMMYFUNCTION("GOOGLETRANSLATE(A7525, ""en"", ""mt"")"),"Indjani ġġieldu fuq iż-żewġ naħat tal-kunflitt, u li dan kien parti mill-gwerra tas-seba 'snin")</f>
        <v>Indjani ġġieldu fuq iż-żewġ naħat tal-kunflitt, u li dan kien parti mill-gwerra tas-seba 'snin</v>
      </c>
    </row>
    <row r="7526" ht="15.75" customHeight="1">
      <c r="A7526" s="2" t="s">
        <v>7526</v>
      </c>
      <c r="B7526" s="2" t="str">
        <f>IFERROR(__xludf.DUMMYFUNCTION("GOOGLETRANSLATE(A7526, ""en"", ""mt"")"),"It-tielet rapport ta 'valutazzjoni (TAR) deher b'mod prominenti graff bit-tikketta ""Millennial Northern Emisphere Reconstruction"" ibbażata fuq karta tal-1999 minn Michael E. Mann, Raymond S. Bradley u Malcolm K. Hughes (MBH99), li ġiet imsejħa bħala l- "&amp;"""Hockey Stick Graph"". Dan il-graff estenda l-graff simili fil-Figura 3.20 mir-Rapport ta 'Valutazzjoni tal-IPCC tal-1995, u kien differenti minn skematiku fl-ewwel rapport ta' valutazzjoni li kien nieqes minn unitajiet ta 'temperatura, iżda deher li jur"&amp;"i varjazzjonijiet ta' temperatura globali akbar matul l-aħħar 1000 sena, u temperaturi ogħla matul il-perjodu sħun medjevali minn nofs is-seklu 20. L-iskematiku ma kienx biċċa ta 'dejta attwali, u kien ibbażat fuq dijagramma ta' temperaturi fl-Ingilterra "&amp;"Ċentrali, b'temperaturi miżjuda fuq il-bażi ta 'evidenza dokumentarja ta' vinji medjevali fl-Ingilterra. Anke b'din iż-żieda, il-massimu li wera għall-perjodu sħun medjevali ma laħaqx temperaturi rreġistrati fl-Ingilterra Ċentrali fl-2007. Is-sejba MBH99 "&amp;"kienet appoġġjata minn rikostruzzjonijiet iċċitati minn Jones et al. 1998, Pollack, Huang &amp; Shen 1998, Crowley &amp; Lowery 2000 u Briffa 2000, bl-użu ta 'dejta u metodi differenti. Il-Jones et al. u r-rikostruzzjonijiet ta 'Briffa ġew sovrapposti mar-rikostr"&amp;"uzzjoni MBH99 fil-Figura 2.21 tar-rapport IPCC.")</f>
        <v>It-tielet rapport ta 'valutazzjoni (TAR) deher b'mod prominenti graff bit-tikketta "Millennial Northern Emisphere Reconstruction" ibbażata fuq karta tal-1999 minn Michael E. Mann, Raymond S. Bradley u Malcolm K. Hughes (MBH99), li ġiet imsejħa bħala l- "Hockey Stick Graph". Dan il-graff estenda l-graff simili fil-Figura 3.20 mir-Rapport ta 'Valutazzjoni tal-IPCC tal-1995, u kien differenti minn skematiku fl-ewwel rapport ta' valutazzjoni li kien nieqes minn unitajiet ta 'temperatura, iżda deher li juri varjazzjonijiet ta' temperatura globali akbar matul l-aħħar 1000 sena, u temperaturi ogħla matul il-perjodu sħun medjevali minn nofs is-seklu 20. L-iskematiku ma kienx biċċa ta 'dejta attwali, u kien ibbażat fuq dijagramma ta' temperaturi fl-Ingilterra Ċentrali, b'temperaturi miżjuda fuq il-bażi ta 'evidenza dokumentarja ta' vinji medjevali fl-Ingilterra. Anke b'din iż-żieda, il-massimu li wera għall-perjodu sħun medjevali ma laħaqx temperaturi rreġistrati fl-Ingilterra Ċentrali fl-2007. Is-sejba MBH99 kienet appoġġjata minn rikostruzzjonijiet iċċitati minn Jones et al. 1998, Pollack, Huang &amp; Shen 1998, Crowley &amp; Lowery 2000 u Briffa 2000, bl-użu ta 'dejta u metodi differenti. Il-Jones et al. u r-rikostruzzjonijiet ta 'Briffa ġew sovrapposti mar-rikostruzzjoni MBH99 fil-Figura 2.21 tar-rapport IPCC.</v>
      </c>
    </row>
    <row r="7527" ht="15.75" customHeight="1">
      <c r="A7527" s="2" t="s">
        <v>7527</v>
      </c>
      <c r="B7527" s="2" t="str">
        <f>IFERROR(__xludf.DUMMYFUNCTION("GOOGLETRANSLATE(A7527, ""en"", ""mt"")"),"7.8")</f>
        <v>7.8</v>
      </c>
    </row>
    <row r="7528" ht="15.75" customHeight="1">
      <c r="A7528" s="2" t="s">
        <v>7528</v>
      </c>
      <c r="B7528" s="2" t="str">
        <f>IFERROR(__xludf.DUMMYFUNCTION("GOOGLETRANSLATE(A7528, ""en"", ""mt"")"),"normali")</f>
        <v>normali</v>
      </c>
    </row>
    <row r="7529" ht="15.75" customHeight="1">
      <c r="A7529" s="2" t="s">
        <v>7529</v>
      </c>
      <c r="B7529" s="2" t="str">
        <f>IFERROR(__xludf.DUMMYFUNCTION("GOOGLETRANSLATE(A7529, ""en"", ""mt"")"),"Numri komposti (in-numri ta 'Carmichael)")</f>
        <v>Numri komposti (in-numri ta 'Carmichael)</v>
      </c>
    </row>
    <row r="7530" ht="15.75" customHeight="1">
      <c r="A7530" s="2" t="s">
        <v>7530</v>
      </c>
      <c r="B7530" s="2" t="str">
        <f>IFERROR(__xludf.DUMMYFUNCTION("GOOGLETRANSLATE(A7530, ""en"", ""mt"")"),"Bżonnijiet ta 'sopravivenza bħal dħul għall-ikel u kenn jimmotiva liema tip ta' intraprenditorija?")</f>
        <v>Bżonnijiet ta 'sopravivenza bħal dħul għall-ikel u kenn jimmotiva liema tip ta' intraprenditorija?</v>
      </c>
    </row>
    <row r="7531" ht="15.75" customHeight="1">
      <c r="A7531" s="2" t="s">
        <v>7531</v>
      </c>
      <c r="B7531" s="2" t="str">
        <f>IFERROR(__xludf.DUMMYFUNCTION("GOOGLETRANSLATE(A7531, ""en"", ""mt"")"),"Meta l-ISIL wiegħed lealtà ma 'al-Qaeda?")</f>
        <v>Meta l-ISIL wiegħed lealtà ma 'al-Qaeda?</v>
      </c>
    </row>
    <row r="7532" ht="15.75" customHeight="1">
      <c r="A7532" s="2" t="s">
        <v>7532</v>
      </c>
      <c r="B7532" s="2" t="str">
        <f>IFERROR(__xludf.DUMMYFUNCTION("GOOGLETRANSLATE(A7532, ""en"", ""mt"")"),"Waqt li studja l-liġi u l-filosofija fl-Ingilterra u l-Ġermanja, Iqbal sar membru tal-fergħa ta ’Londra tal-Lega Musulmana kollha tal-Indja. Huwa daħal lura f'Lahore fl-1908. Waqt li qassam il-ħin tiegħu bejn il-prattika tal-liġi u l-poeżija filosofika, I"&amp;"qbal kien baqa 'attiv fil-Lega Musulmana. Huwa ma appoġġjax l-involviment Indjan fl-Ewwel Gwerra Dinjija u baqa 'f'kuntatt mill-qrib ma' mexxejja politiċi Musulmani bħal Muhammad Ali Johar u Muhammad Ali Jinnah. Huwa kien kritiku tal-Kungress Nazzjonali I"&amp;"ndjan Indjan u sekularist mainstream. Is-seba 'lezzjonijiet Ingliżi ta' Iqbal ġew ippubblikati minn Oxford University Press fl-1934 fi ktieb intitolat Ir-Rikostruzzjoni tal-Ħsieb Reliġjuż fl-Iżlam. Dawn il-lezzjonijiet jgħixu dwar ir-rwol tal-Iżlam bħala "&amp;"reliġjon kif ukoll filosofija politika u legali fl-era moderna.")</f>
        <v>Waqt li studja l-liġi u l-filosofija fl-Ingilterra u l-Ġermanja, Iqbal sar membru tal-fergħa ta ’Londra tal-Lega Musulmana kollha tal-Indja. Huwa daħal lura f'Lahore fl-1908. Waqt li qassam il-ħin tiegħu bejn il-prattika tal-liġi u l-poeżija filosofika, Iqbal kien baqa 'attiv fil-Lega Musulmana. Huwa ma appoġġjax l-involviment Indjan fl-Ewwel Gwerra Dinjija u baqa 'f'kuntatt mill-qrib ma' mexxejja politiċi Musulmani bħal Muhammad Ali Johar u Muhammad Ali Jinnah. Huwa kien kritiku tal-Kungress Nazzjonali Indjan Indjan u sekularist mainstream. Is-seba 'lezzjonijiet Ingliżi ta' Iqbal ġew ippubblikati minn Oxford University Press fl-1934 fi ktieb intitolat Ir-Rikostruzzjoni tal-Ħsieb Reliġjuż fl-Iżlam. Dawn il-lezzjonijiet jgħixu dwar ir-rwol tal-Iżlam bħala reliġjon kif ukoll filosofija politika u legali fl-era moderna.</v>
      </c>
    </row>
    <row r="7533" ht="15.75" customHeight="1">
      <c r="A7533" s="2" t="s">
        <v>7533</v>
      </c>
      <c r="B7533" s="2" t="str">
        <f>IFERROR(__xludf.DUMMYFUNCTION("GOOGLETRANSLATE(A7533, ""en"", ""mt"")"),"X'jista 'jissolva f'ħin lineari fuq magna tat-Turing b'ħafna tape?")</f>
        <v>X'jista 'jissolva f'ħin lineari fuq magna tat-Turing b'ħafna tape?</v>
      </c>
    </row>
    <row r="7534" ht="15.75" customHeight="1">
      <c r="A7534" s="2" t="s">
        <v>7534</v>
      </c>
      <c r="B7534" s="2" t="str">
        <f>IFERROR(__xludf.DUMMYFUNCTION("GOOGLETRANSLATE(A7534, ""en"", ""mt"")"),"Introduzzjoni")</f>
        <v>Introduzzjoni</v>
      </c>
    </row>
    <row r="7535" ht="15.75" customHeight="1">
      <c r="A7535" s="2" t="s">
        <v>7535</v>
      </c>
      <c r="B7535" s="2" t="str">
        <f>IFERROR(__xludf.DUMMYFUNCTION("GOOGLETRANSLATE(A7535, ""en"", ""mt"")"),"X'inhu l-isem tas-suppożizzjoni li kwalunkwe numru ikbar minn 1 jista 'jkun irrappreżentat bħala s-somma ta' żewġ primes?")</f>
        <v>X'inhu l-isem tas-suppożizzjoni li kwalunkwe numru ikbar minn 1 jista 'jkun irrappreżentat bħala s-somma ta' żewġ primes?</v>
      </c>
    </row>
    <row r="7536" ht="15.75" customHeight="1">
      <c r="A7536" s="2" t="s">
        <v>7536</v>
      </c>
      <c r="B7536" s="2" t="str">
        <f>IFERROR(__xludf.DUMMYFUNCTION("GOOGLETRANSLATE(A7536, ""en"", ""mt"")"),"Blat li huma fond fejn huma mġebbda duttili huma wkoll spiss xiex?")</f>
        <v>Blat li huma fond fejn huma mġebbda duttili huma wkoll spiss xiex?</v>
      </c>
    </row>
    <row r="7537" ht="15.75" customHeight="1">
      <c r="A7537" s="2" t="s">
        <v>7537</v>
      </c>
      <c r="B7537" s="2" t="str">
        <f>IFERROR(__xludf.DUMMYFUNCTION("GOOGLETRANSLATE(A7537, ""en"", ""mt"")"),"Magdalen Tower")</f>
        <v>Magdalen Tower</v>
      </c>
    </row>
    <row r="7538" ht="15.75" customHeight="1">
      <c r="A7538" s="2" t="s">
        <v>7538</v>
      </c>
      <c r="B7538" s="2" t="str">
        <f>IFERROR(__xludf.DUMMYFUNCTION("GOOGLETRANSLATE(A7538, ""en"", ""mt"")"),"Kif tissejjaħ terra preta?")</f>
        <v>Kif tissejjaħ terra preta?</v>
      </c>
    </row>
    <row r="7539" ht="15.75" customHeight="1">
      <c r="A7539" s="2" t="s">
        <v>7539</v>
      </c>
      <c r="B7539" s="2" t="str">
        <f>IFERROR(__xludf.DUMMYFUNCTION("GOOGLETRANSLATE(A7539, ""en"", ""mt"")"),"L-uniku għan tal-Kummissjoni Kilbrandon kien x'inhu?")</f>
        <v>L-uniku għan tal-Kummissjoni Kilbrandon kien x'inhu?</v>
      </c>
    </row>
    <row r="7540" ht="15.75" customHeight="1">
      <c r="A7540" s="2" t="s">
        <v>7540</v>
      </c>
      <c r="B7540" s="2" t="str">
        <f>IFERROR(__xludf.DUMMYFUNCTION("GOOGLETRANSLATE(A7540, ""en"", ""mt"")"),"Fit-18 ta ’Novembru 2015, Sky ħabbret Sky Q, firxa ta’ prodotti u servizzi li għandhom ikunu disponibbli fl-2016. Il-firxa Sky Q tikkonsisti fi tliet kaxex tal-aqwa sett (Sky Q, Sky Q Silver u Sky Q Mini), router tal-broadband (Sky Q Hub) u applikazzjonij"&amp;"iet mobbli. Il-kaxex ta 'fuq tas-Sky Q jintroduċu interface tal-utent ġdid, funzjonalità Wi-Fi Hotspot, power-line u konnettività Bluetooth u kontroll mill-bogħod ġdid sensittiv għall-mess. Is-Sema Q Mini Set Top Boxes jaqbdu mal-kaxex ta 'fuq tas-Silda S"&amp;"ett tal-Fidda b'konnessjoni Wi-Fi jew Power-Line minflok ma jirċievu l-għalf tas-satellita tagħhom stess. Dan jippermetti l-kaxxi ta 'fuq kollha stabbiliti f'familja biex jaqsmu reġistrazzjonijiet u midja oħra. Il-kaxxa ta 'fuq tas-Silda Sy Silver hija ka"&amp;"paċi tirċievi u turi xandiriet UHD, li Sky se tintroduċi aktar tard fl-2016.")</f>
        <v>Fit-18 ta ’Novembru 2015, Sky ħabbret Sky Q, firxa ta’ prodotti u servizzi li għandhom ikunu disponibbli fl-2016. Il-firxa Sky Q tikkonsisti fi tliet kaxex tal-aqwa sett (Sky Q, Sky Q Silver u Sky Q Mini), router tal-broadband (Sky Q Hub) u applikazzjonijiet mobbli. Il-kaxex ta 'fuq tas-Sky Q jintroduċu interface tal-utent ġdid, funzjonalità Wi-Fi Hotspot, power-line u konnettività Bluetooth u kontroll mill-bogħod ġdid sensittiv għall-mess. Is-Sema Q Mini Set Top Boxes jaqbdu mal-kaxex ta 'fuq tas-Silda Sett tal-Fidda b'konnessjoni Wi-Fi jew Power-Line minflok ma jirċievu l-għalf tas-satellita tagħhom stess. Dan jippermetti l-kaxxi ta 'fuq kollha stabbiliti f'familja biex jaqsmu reġistrazzjonijiet u midja oħra. Il-kaxxa ta 'fuq tas-Silda Sy Silver hija kapaċi tirċievi u turi xandiriet UHD, li Sky se tintroduċi aktar tard fl-2016.</v>
      </c>
    </row>
    <row r="7541" ht="15.75" customHeight="1">
      <c r="A7541" s="2" t="s">
        <v>7541</v>
      </c>
      <c r="B7541" s="2" t="str">
        <f>IFERROR(__xludf.DUMMYFUNCTION("GOOGLETRANSLATE(A7541, ""en"", ""mt"")"),"Minn liema xmara kienet tinsab Petrela?")</f>
        <v>Minn liema xmara kienet tinsab Petrela?</v>
      </c>
    </row>
    <row r="7542" ht="15.75" customHeight="1">
      <c r="A7542" s="2" t="s">
        <v>7542</v>
      </c>
      <c r="B7542" s="2" t="str">
        <f>IFERROR(__xludf.DUMMYFUNCTION("GOOGLETRANSLATE(A7542, ""en"", ""mt"")"),"X'kienet il-Parliment tar-Renju Unit li ddeċieda li abbonament għal BSKYB kien?")</f>
        <v>X'kienet il-Parliment tar-Renju Unit li ddeċieda li abbonament għal BSKYB kien?</v>
      </c>
    </row>
    <row r="7543" ht="15.75" customHeight="1">
      <c r="A7543" s="2" t="s">
        <v>7543</v>
      </c>
      <c r="B7543" s="2" t="str">
        <f>IFERROR(__xludf.DUMMYFUNCTION("GOOGLETRANSLATE(A7543, ""en"", ""mt"")"),"Benjamin Netanyahu")</f>
        <v>Benjamin Netanyahu</v>
      </c>
    </row>
    <row r="7544" ht="15.75" customHeight="1">
      <c r="A7544" s="2" t="s">
        <v>7544</v>
      </c>
      <c r="B7544" s="2" t="str">
        <f>IFERROR(__xludf.DUMMYFUNCTION("GOOGLETRANSLATE(A7544, ""en"", ""mt"")"),"Iċ-Ċentru tal-Quddiesa")</f>
        <v>Iċ-Ċentru tal-Quddiesa</v>
      </c>
    </row>
    <row r="7545" ht="15.75" customHeight="1">
      <c r="A7545" s="2" t="s">
        <v>7545</v>
      </c>
      <c r="B7545" s="2" t="str">
        <f>IFERROR(__xludf.DUMMYFUNCTION("GOOGLETRANSLATE(A7545, ""en"", ""mt"")"),"Fl-1993, Galor u Zeira wrew li l-inugwaljanza fil-preżenza tal-imperfezzjonijiet tas-suq tal-kreditu għandha effett detrimentali fit-tul fuq il-formazzjoni tal-kapital uman u l-iżvilupp ekonomiku. Studju tal-1996 minn Perotti eżamina l-kanali li permezz t"&amp;"agħhom l-inugwaljanza tista 'taffettwa t-tkabbir ekonomiku. Huwa wera li, skont l-approċċ tal-imperfezzjoni tas-suq tal-kreditu, l-inugwaljanza hija assoċjata ma 'livell aktar baxx ta' formazzjoni ta 'kapital uman (edukazzjoni, esperjenza, u apprendistat)"&amp;" u livell ogħla ta' fertilità, u b'hekk livelli aktar baxxi ta 'tkabbir. Huwa sab li l-inugwaljanza hija assoċjata ma 'livelli ogħla ta' tassazzjoni ridistributtiva, li hija assoċjata ma 'livelli aktar baxxi ta' tkabbir minn tnaqqis fl-iffrankar privat u "&amp;"l-investiment. Perotti kkonkluda li, ""aktar soċjetajiet ugwali għandhom rati ta 'fertilità aktar baxxi u rati ogħla ta' investiment fl-edukazzjoni. It-tnejn huma riflessi f'rati ogħla ta 'tkabbir. Ukoll, soċjetajiet mhux ugwali ħafna għandhom it-tendenza"&amp;" li jkunu politikament u soċjalment instabbli, li huwa rifless f'rati aktar baxxi ta' investiment u għalhekk tkabbir. """)</f>
        <v>Fl-1993, Galor u Zeira wrew li l-inugwaljanza fil-preżenza tal-imperfezzjonijiet tas-suq tal-kreditu għandha effett detrimentali fit-tul fuq il-formazzjoni tal-kapital uman u l-iżvilupp ekonomiku. Studju tal-1996 minn Perotti eżamina l-kanali li permezz tagħhom l-inugwaljanza tista 'taffettwa t-tkabbir ekonomiku. Huwa wera li, skont l-approċċ tal-imperfezzjoni tas-suq tal-kreditu, l-inugwaljanza hija assoċjata ma 'livell aktar baxx ta' formazzjoni ta 'kapital uman (edukazzjoni, esperjenza, u apprendistat) u livell ogħla ta' fertilità, u b'hekk livelli aktar baxxi ta 'tkabbir. Huwa sab li l-inugwaljanza hija assoċjata ma 'livelli ogħla ta' tassazzjoni ridistributtiva, li hija assoċjata ma 'livelli aktar baxxi ta' tkabbir minn tnaqqis fl-iffrankar privat u l-investiment. Perotti kkonkluda li, "aktar soċjetajiet ugwali għandhom rati ta 'fertilità aktar baxxi u rati ogħla ta' investiment fl-edukazzjoni. It-tnejn huma riflessi f'rati ogħla ta 'tkabbir. Ukoll, soċjetajiet mhux ugwali ħafna għandhom it-tendenza li jkunu politikament u soċjalment instabbli, li huwa rifless f'rati aktar baxxi ta' investiment u għalhekk tkabbir. "</v>
      </c>
    </row>
    <row r="7546" ht="15.75" customHeight="1">
      <c r="A7546" s="2" t="s">
        <v>7546</v>
      </c>
      <c r="B7546" s="2" t="str">
        <f>IFERROR(__xludf.DUMMYFUNCTION("GOOGLETRANSLATE(A7546, ""en"", ""mt"")"),"Forza radjali (ċentripetali)")</f>
        <v>Forza radjali (ċentripetali)</v>
      </c>
    </row>
    <row r="7547" ht="15.75" customHeight="1">
      <c r="A7547" s="2" t="s">
        <v>7547</v>
      </c>
      <c r="B7547" s="2" t="str">
        <f>IFERROR(__xludf.DUMMYFUNCTION("GOOGLETRANSLATE(A7547, ""en"", ""mt"")"),"San Lawrenz u Mississippi")</f>
        <v>San Lawrenz u Mississippi</v>
      </c>
    </row>
    <row r="7548" ht="15.75" customHeight="1">
      <c r="A7548" s="2" t="s">
        <v>7548</v>
      </c>
      <c r="B7548" s="2" t="str">
        <f>IFERROR(__xludf.DUMMYFUNCTION("GOOGLETRANSLATE(A7548, ""en"", ""mt"")"),"Meta japplikaw it-trattati?")</f>
        <v>Meta japplikaw it-trattati?</v>
      </c>
    </row>
    <row r="7549" ht="15.75" customHeight="1">
      <c r="A7549" s="2" t="s">
        <v>7549</v>
      </c>
      <c r="B7549" s="2" t="str">
        <f>IFERROR(__xludf.DUMMYFUNCTION("GOOGLETRANSLATE(A7549, ""en"", ""mt"")"),"B'liema attributi ewlenin huma problemi tal-komputazzjoni klassifikati bl-użu tat-teorija tal-kumplessità tal-komputazzjoni?")</f>
        <v>B'liema attributi ewlenin huma problemi tal-komputazzjoni klassifikati bl-użu tat-teorija tal-kumplessità tal-komputazzjoni?</v>
      </c>
    </row>
    <row r="7550" ht="15.75" customHeight="1">
      <c r="A7550" s="2" t="s">
        <v>7550</v>
      </c>
      <c r="B7550" s="2" t="str">
        <f>IFERROR(__xludf.DUMMYFUNCTION("GOOGLETRANSLATE(A7550, ""en"", ""mt"")"),"piż")</f>
        <v>piż</v>
      </c>
    </row>
    <row r="7551" ht="15.75" customHeight="1">
      <c r="A7551" s="2" t="s">
        <v>7551</v>
      </c>
      <c r="B7551" s="2" t="str">
        <f>IFERROR(__xludf.DUMMYFUNCTION("GOOGLETRANSLATE(A7551, ""en"", ""mt"")")," Liema dipartiment ħoloq Kublai biex jolqot lit-tobba?")</f>
        <v> Liema dipartiment ħoloq Kublai biex jolqot lit-tobba?</v>
      </c>
    </row>
    <row r="7552" ht="15.75" customHeight="1">
      <c r="A7552" s="2" t="s">
        <v>7552</v>
      </c>
      <c r="B7552" s="2" t="str">
        <f>IFERROR(__xludf.DUMMYFUNCTION("GOOGLETRANSLATE(A7552, ""en"", ""mt"")"),"X'jikkawża razza fl-istrutturi?")</f>
        <v>X'jikkawża razza fl-istrutturi?</v>
      </c>
    </row>
    <row r="7553" ht="15.75" customHeight="1">
      <c r="A7553" s="2" t="s">
        <v>7553</v>
      </c>
      <c r="B7553" s="2" t="str">
        <f>IFERROR(__xludf.DUMMYFUNCTION("GOOGLETRANSLATE(A7553, ""en"", ""mt"")"),"X'tip ta 'minerali jikkristallizza mill-erożjoni?")</f>
        <v>X'tip ta 'minerali jikkristallizza mill-erożjoni?</v>
      </c>
    </row>
    <row r="7554" ht="15.75" customHeight="1">
      <c r="A7554" s="2" t="s">
        <v>7554</v>
      </c>
      <c r="B7554" s="2" t="str">
        <f>IFERROR(__xludf.DUMMYFUNCTION("GOOGLETRANSLATE(A7554, ""en"", ""mt"")"),"1985")</f>
        <v>1985</v>
      </c>
    </row>
    <row r="7555" ht="15.75" customHeight="1">
      <c r="A7555" s="2" t="s">
        <v>7555</v>
      </c>
      <c r="B7555" s="2" t="str">
        <f>IFERROR(__xludf.DUMMYFUNCTION("GOOGLETRANSLATE(A7555, ""en"", ""mt"")"),"Il-kostruzzjoni tal-bini ġeneralment tkun maqsuma aktar f'liema kategoriji?")</f>
        <v>Il-kostruzzjoni tal-bini ġeneralment tkun maqsuma aktar f'liema kategoriji?</v>
      </c>
    </row>
    <row r="7556" ht="15.75" customHeight="1">
      <c r="A7556" s="2" t="s">
        <v>7556</v>
      </c>
      <c r="B7556" s="2" t="str">
        <f>IFERROR(__xludf.DUMMYFUNCTION("GOOGLETRANSLATE(A7556, ""en"", ""mt"")"),"Fundatur ta 'knejjes Protestanti ġodda f'reġjuni kkontrollati mill-Kattoliċi")</f>
        <v>Fundatur ta 'knejjes Protestanti ġodda f'reġjuni kkontrollati mill-Kattoliċi</v>
      </c>
    </row>
    <row r="7557" ht="15.75" customHeight="1">
      <c r="A7557" s="2" t="s">
        <v>7557</v>
      </c>
      <c r="B7557" s="2" t="str">
        <f>IFERROR(__xludf.DUMMYFUNCTION("GOOGLETRANSLATE(A7557, ""en"", ""mt"")"),"Deżert tal-Colorado")</f>
        <v>Deżert tal-Colorado</v>
      </c>
    </row>
    <row r="7558" ht="15.75" customHeight="1">
      <c r="A7558" s="2" t="s">
        <v>7558</v>
      </c>
      <c r="B7558" s="2" t="str">
        <f>IFERROR(__xludf.DUMMYFUNCTION("GOOGLETRANSLATE(A7558, ""en"", ""mt"")"),"problema tal-komputazzjoni")</f>
        <v>problema tal-komputazzjoni</v>
      </c>
    </row>
    <row r="7559" ht="15.75" customHeight="1">
      <c r="A7559" s="2" t="s">
        <v>7559</v>
      </c>
      <c r="B7559" s="2" t="str">
        <f>IFERROR(__xludf.DUMMYFUNCTION("GOOGLETRANSLATE(A7559, ""en"", ""mt"")"),"Kemm rappreżentanti għandu kull stat?")</f>
        <v>Kemm rappreżentanti għandu kull stat?</v>
      </c>
    </row>
    <row r="7560" ht="15.75" customHeight="1">
      <c r="A7560" s="2" t="s">
        <v>7560</v>
      </c>
      <c r="B7560" s="2" t="str">
        <f>IFERROR(__xludf.DUMMYFUNCTION("GOOGLETRANSLATE(A7560, ""en"", ""mt"")"),"90.20 k")</f>
        <v>90.20 k</v>
      </c>
    </row>
    <row r="7561" ht="15.75" customHeight="1">
      <c r="A7561" s="2" t="s">
        <v>7561</v>
      </c>
      <c r="B7561" s="2" t="str">
        <f>IFERROR(__xludf.DUMMYFUNCTION("GOOGLETRANSLATE(A7561, ""en"", ""mt"")"),"Votanti barra l-limiti tal-belt")</f>
        <v>Votanti barra l-limiti tal-belt</v>
      </c>
    </row>
    <row r="7562" ht="15.75" customHeight="1">
      <c r="A7562" s="2" t="s">
        <v>7562</v>
      </c>
      <c r="B7562" s="2" t="str">
        <f>IFERROR(__xludf.DUMMYFUNCTION("GOOGLETRANSLATE(A7562, ""en"", ""mt"")"),"X'inhu l-isem uffiċjali sħiħ tal-belt ta 'Miasto?")</f>
        <v>X'inhu l-isem uffiċjali sħiħ tal-belt ta 'Miasto?</v>
      </c>
    </row>
    <row r="7563" ht="15.75" customHeight="1">
      <c r="A7563" s="2" t="s">
        <v>7563</v>
      </c>
      <c r="B7563" s="2" t="str">
        <f>IFERROR(__xludf.DUMMYFUNCTION("GOOGLETRANSLATE(A7563, ""en"", ""mt"")"),"Kemm nies tilfu l-Prussja minħabba gwerra?")</f>
        <v>Kemm nies tilfu l-Prussja minħabba gwerra?</v>
      </c>
    </row>
    <row r="7564" ht="15.75" customHeight="1">
      <c r="A7564" s="2" t="s">
        <v>7564</v>
      </c>
      <c r="B7564" s="2" t="str">
        <f>IFERROR(__xludf.DUMMYFUNCTION("GOOGLETRANSLATE(A7564, ""en"", ""mt"")"),"David G. Booth")</f>
        <v>David G. Booth</v>
      </c>
    </row>
    <row r="7565" ht="15.75" customHeight="1">
      <c r="A7565" s="2" t="s">
        <v>7565</v>
      </c>
      <c r="B7565" s="2" t="str">
        <f>IFERROR(__xludf.DUMMYFUNCTION("GOOGLETRANSLATE(A7565, ""en"", ""mt"")"),"X’għamel William Smith fl-Istati Uniti?")</f>
        <v>X’għamel William Smith fl-Istati Uniti?</v>
      </c>
    </row>
    <row r="7566" ht="15.75" customHeight="1">
      <c r="A7566" s="2" t="s">
        <v>7566</v>
      </c>
      <c r="B7566" s="2" t="str">
        <f>IFERROR(__xludf.DUMMYFUNCTION("GOOGLETRANSLATE(A7566, ""en"", ""mt"")"),"Problemi semantiċi u niceties grammatikali")</f>
        <v>Problemi semantiċi u niceties grammatikali</v>
      </c>
    </row>
    <row r="7567" ht="15.75" customHeight="1">
      <c r="A7567" s="2" t="s">
        <v>7567</v>
      </c>
      <c r="B7567" s="2" t="str">
        <f>IFERROR(__xludf.DUMMYFUNCTION("GOOGLETRANSLATE(A7567, ""en"", ""mt"")"),"consoles elettroniċi fuq l-iskrivaniji tagħhom")</f>
        <v>consoles elettroniċi fuq l-iskrivaniji tagħhom</v>
      </c>
    </row>
    <row r="7568" ht="15.75" customHeight="1">
      <c r="A7568" s="2" t="s">
        <v>7568</v>
      </c>
      <c r="B7568" s="2" t="str">
        <f>IFERROR(__xludf.DUMMYFUNCTION("GOOGLETRANSLATE(A7568, ""en"", ""mt"")"),"min iħaddem")</f>
        <v>min iħaddem</v>
      </c>
    </row>
    <row r="7569" ht="15.75" customHeight="1">
      <c r="A7569" s="2" t="s">
        <v>7569</v>
      </c>
      <c r="B7569" s="2" t="str">
        <f>IFERROR(__xludf.DUMMYFUNCTION("GOOGLETRANSLATE(A7569, ""en"", ""mt"")"),"Liema mudell xjentifiku ta 'magna tal-kompjuters ġenerali?")</f>
        <v>Liema mudell xjentifiku ta 'magna tal-kompjuters ġenerali?</v>
      </c>
    </row>
    <row r="7570" ht="15.75" customHeight="1">
      <c r="A7570" s="2" t="s">
        <v>7570</v>
      </c>
      <c r="B7570" s="2" t="str">
        <f>IFERROR(__xludf.DUMMYFUNCTION("GOOGLETRANSLATE(A7570, ""en"", ""mt"")"),"illegali")</f>
        <v>illegali</v>
      </c>
    </row>
    <row r="7571" ht="15.75" customHeight="1">
      <c r="A7571" s="2" t="s">
        <v>7571</v>
      </c>
      <c r="B7571" s="2" t="str">
        <f>IFERROR(__xludf.DUMMYFUNCTION("GOOGLETRANSLATE(A7571, ""en"", ""mt"")"),"Xi numru uniformi ikbar minn dak li ma jistax jitqies distint?")</f>
        <v>Xi numru uniformi ikbar minn dak li ma jistax jitqies distint?</v>
      </c>
    </row>
    <row r="7572" ht="15.75" customHeight="1">
      <c r="A7572" s="2" t="s">
        <v>7572</v>
      </c>
      <c r="B7572" s="2" t="str">
        <f>IFERROR(__xludf.DUMMYFUNCTION("GOOGLETRANSLATE(A7572, ""en"", ""mt"")"),"korp ta 'trattati u leġislazzjoni, bħal regolamenti u direttivi, li għandhom effett dirett jew effett indirett fuq il-liġijiet tal-Istati Membri tal-Unjoni Ewropea")</f>
        <v>korp ta 'trattati u leġislazzjoni, bħal regolamenti u direttivi, li għandhom effett dirett jew effett indirett fuq il-liġijiet tal-Istati Membri tal-Unjoni Ewropea</v>
      </c>
    </row>
    <row r="7573" ht="15.75" customHeight="1">
      <c r="A7573" s="2" t="s">
        <v>7573</v>
      </c>
      <c r="B7573" s="2" t="str">
        <f>IFERROR(__xludf.DUMMYFUNCTION("GOOGLETRANSLATE(A7573, ""en"", ""mt"")"),"Apollo 1 ekwipaġġ")</f>
        <v>Apollo 1 ekwipaġġ</v>
      </c>
    </row>
    <row r="7574" ht="15.75" customHeight="1">
      <c r="A7574" s="2" t="s">
        <v>7574</v>
      </c>
      <c r="B7574" s="2" t="str">
        <f>IFERROR(__xludf.DUMMYFUNCTION("GOOGLETRANSLATE(A7574, ""en"", ""mt"")"),"Xi jfisser l-ewwel Artikolu 11 tad-Direttiva tal-Liġi tal-Kumpanija?")</f>
        <v>Xi jfisser l-ewwel Artikolu 11 tad-Direttiva tal-Liġi tal-Kumpanija?</v>
      </c>
    </row>
    <row r="7575" ht="15.75" customHeight="1">
      <c r="A7575" s="2" t="s">
        <v>7575</v>
      </c>
      <c r="B7575" s="2" t="str">
        <f>IFERROR(__xludf.DUMMYFUNCTION("GOOGLETRANSLATE(A7575, ""en"", ""mt"")"),"Kif tista 'tiġi indirizzata l-inugwaljanza umana mingħajr ma tirriżulta f'żieda ta' ħsara ambjentali?")</f>
        <v>Kif tista 'tiġi indirizzata l-inugwaljanza umana mingħajr ma tirriżulta f'żieda ta' ħsara ambjentali?</v>
      </c>
    </row>
    <row r="7576" ht="15.75" customHeight="1">
      <c r="A7576" s="2" t="s">
        <v>7576</v>
      </c>
      <c r="B7576" s="2" t="str">
        <f>IFERROR(__xludf.DUMMYFUNCTION("GOOGLETRANSLATE(A7576, ""en"", ""mt"")"),"X'tip ta 'ċellula tidentifika patoġeni meta l-antikorpi fuq il-kumpless tal-wiċċ tagħha ma' antiġen barrani speċifiku?")</f>
        <v>X'tip ta 'ċellula tidentifika patoġeni meta l-antikorpi fuq il-kumpless tal-wiċċ tagħha ma' antiġen barrani speċifiku?</v>
      </c>
    </row>
    <row r="7577" ht="15.75" customHeight="1">
      <c r="A7577" s="2" t="s">
        <v>7577</v>
      </c>
      <c r="B7577" s="2" t="str">
        <f>IFERROR(__xludf.DUMMYFUNCTION("GOOGLETRANSLATE(A7577, ""en"", ""mt"")"),"gwerer u ""xokkijiet ekonomiċi u politiċi vjolenti""")</f>
        <v>gwerer u "xokkijiet ekonomiċi u politiċi vjolenti"</v>
      </c>
    </row>
    <row r="7578" ht="15.75" customHeight="1">
      <c r="A7578" s="2" t="s">
        <v>7578</v>
      </c>
      <c r="B7578" s="2" t="str">
        <f>IFERROR(__xludf.DUMMYFUNCTION("GOOGLETRANSLATE(A7578, ""en"", ""mt"")"),"il-massa tal-korp li jattira")</f>
        <v>il-massa tal-korp li jattira</v>
      </c>
    </row>
    <row r="7579" ht="15.75" customHeight="1">
      <c r="A7579" s="2" t="s">
        <v>7579</v>
      </c>
      <c r="B7579" s="2" t="str">
        <f>IFERROR(__xludf.DUMMYFUNCTION("GOOGLETRANSLATE(A7579, ""en"", ""mt"")"),"F’liema sena l-università rat l-ewwel waqgħa fl-applikazzjonijiet?")</f>
        <v>F’liema sena l-università rat l-ewwel waqgħa fl-applikazzjonijiet?</v>
      </c>
    </row>
    <row r="7580" ht="15.75" customHeight="1">
      <c r="A7580" s="2" t="s">
        <v>7580</v>
      </c>
      <c r="B7580" s="2" t="str">
        <f>IFERROR(__xludf.DUMMYFUNCTION("GOOGLETRANSLATE(A7580, ""en"", ""mt"")"),"Min jibbenefika mir-riċerka mwettqa mill-IPCC?")</f>
        <v>Min jibbenefika mir-riċerka mwettqa mill-IPCC?</v>
      </c>
    </row>
    <row r="7581" ht="15.75" customHeight="1">
      <c r="A7581" s="2" t="s">
        <v>7581</v>
      </c>
      <c r="B7581" s="2" t="str">
        <f>IFERROR(__xludf.DUMMYFUNCTION("GOOGLETRANSLATE(A7581, ""en"", ""mt"")"),"żgħir")</f>
        <v>żgħir</v>
      </c>
    </row>
    <row r="7582" ht="15.75" customHeight="1">
      <c r="A7582" s="2" t="s">
        <v>7582</v>
      </c>
      <c r="B7582" s="2" t="str">
        <f>IFERROR(__xludf.DUMMYFUNCTION("GOOGLETRANSLATE(A7582, ""en"", ""mt"")"),"Liema trattat ġie stabbilit fid-9 seklu?")</f>
        <v>Liema trattat ġie stabbilit fid-9 seklu?</v>
      </c>
    </row>
    <row r="7583" ht="15.75" customHeight="1">
      <c r="A7583" s="2" t="s">
        <v>7583</v>
      </c>
      <c r="B7583" s="2" t="str">
        <f>IFERROR(__xludf.DUMMYFUNCTION("GOOGLETRANSLATE(A7583, ""en"", ""mt"")"),"18 ta ’Lulju 2000")</f>
        <v>18 ta ’Lulju 2000</v>
      </c>
    </row>
    <row r="7584" ht="15.75" customHeight="1">
      <c r="A7584" s="2" t="s">
        <v>7584</v>
      </c>
      <c r="B7584" s="2" t="str">
        <f>IFERROR(__xludf.DUMMYFUNCTION("GOOGLETRANSLATE(A7584, ""en"", ""mt"")"),"Liema grupp politiku jibda jitlef l-appoġġ wara l-iskandli tal-korruzzjoni?")</f>
        <v>Liema grupp politiku jibda jitlef l-appoġġ wara l-iskandli tal-korruzzjoni?</v>
      </c>
    </row>
    <row r="7585" ht="15.75" customHeight="1">
      <c r="A7585" s="2" t="s">
        <v>7585</v>
      </c>
      <c r="B7585" s="2" t="str">
        <f>IFERROR(__xludf.DUMMYFUNCTION("GOOGLETRANSLATE(A7585, ""en"", ""mt"")"),"€ 25,000 fis-sena")</f>
        <v>€ 25,000 fis-sena</v>
      </c>
    </row>
    <row r="7586" ht="15.75" customHeight="1">
      <c r="A7586" s="2" t="s">
        <v>7586</v>
      </c>
      <c r="B7586" s="2" t="str">
        <f>IFERROR(__xludf.DUMMYFUNCTION("GOOGLETRANSLATE(A7586, ""en"", ""mt"")"),"konnessjonijiet dial-up jew konnessjonijiet dedikati async")</f>
        <v>konnessjonijiet dial-up jew konnessjonijiet dedikati async</v>
      </c>
    </row>
    <row r="7587" ht="15.75" customHeight="1">
      <c r="A7587" s="2" t="s">
        <v>7587</v>
      </c>
      <c r="B7587" s="2" t="str">
        <f>IFERROR(__xludf.DUMMYFUNCTION("GOOGLETRANSLATE(A7587, ""en"", ""mt"")"),"Liema tribujiet jobogħdu l-Ingliżi?")</f>
        <v>Liema tribujiet jobogħdu l-Ingliżi?</v>
      </c>
    </row>
    <row r="7588" ht="15.75" customHeight="1">
      <c r="A7588" s="2" t="s">
        <v>7588</v>
      </c>
      <c r="B7588" s="2" t="str">
        <f>IFERROR(__xludf.DUMMYFUNCTION("GOOGLETRANSLATE(A7588, ""en"", ""mt"")"),"Problema tal-funzjoni")</f>
        <v>Problema tal-funzjoni</v>
      </c>
    </row>
    <row r="7589" ht="15.75" customHeight="1">
      <c r="A7589" s="2" t="s">
        <v>7589</v>
      </c>
      <c r="B7589" s="2" t="str">
        <f>IFERROR(__xludf.DUMMYFUNCTION("GOOGLETRANSLATE(A7589, ""en"", ""mt"")"),"Fl-2005, partijiet tal-baċin tal-Amażonja esperjenzaw l-agħar nixfa f'mitt sena, u kien hemm indikazzjonijiet li l-2006 setgħu kienu t-tieni sena suċċessiva ta 'nixfa. Artiklu tat-23 ta 'Lulju 2006 fil-gazzetta tar-Renju Unit The Independent irrapporta r-"&amp;"riżultati taċ-Ċentru ta' Riċerka dwar il-Woods Hole li juri li l-foresta fil-forma preżenti tagħha tista 'tibqa' ħajja biss ta 'tliet snin ta' nixfa. Ix-xjentisti fl-Istitut Nazzjonali Brażiljan tar-Riċerka tal-Amażonja jargumentaw fl-artikolu li din ir-r"&amp;"ispons għan-nixfa, flimkien mal-effetti tad-deforestazzjoni fuq il-klima reġjonali, qed jimbuttaw il-foresta tropikali lejn ""punt li jxerred"" fejn se jibda b'mod irriversibbli. Jikkonkludi li l-foresta tinsab f'xifer li tinbidel fi savanna jew deżert, b"&amp;"'konsegwenzi katastrofiċi għall-klima tad-dinja.")</f>
        <v>Fl-2005, partijiet tal-baċin tal-Amażonja esperjenzaw l-agħar nixfa f'mitt sena, u kien hemm indikazzjonijiet li l-2006 setgħu kienu t-tieni sena suċċessiva ta 'nixfa. Artiklu tat-23 ta 'Lulju 2006 fil-gazzetta tar-Renju Unit The Independent irrapporta r-riżultati taċ-Ċentru ta' Riċerka dwar il-Woods Hole li juri li l-foresta fil-forma preżenti tagħha tista 'tibqa' ħajja biss ta 'tliet snin ta' nixfa. Ix-xjentisti fl-Istitut Nazzjonali Brażiljan tar-Riċerka tal-Amażonja jargumentaw fl-artikolu li din ir-rispons għan-nixfa, flimkien mal-effetti tad-deforestazzjoni fuq il-klima reġjonali, qed jimbuttaw il-foresta tropikali lejn "punt li jxerred" fejn se jibda b'mod irriversibbli. Jikkonkludi li l-foresta tinsab f'xifer li tinbidel fi savanna jew deżert, b'konsegwenzi katastrofiċi għall-klima tad-dinja.</v>
      </c>
    </row>
    <row r="7590" ht="15.75" customHeight="1">
      <c r="A7590" s="2" t="s">
        <v>7590</v>
      </c>
      <c r="B7590" s="2" t="str">
        <f>IFERROR(__xludf.DUMMYFUNCTION("GOOGLETRANSLATE(A7590, ""en"", ""mt"")"),"Meta l-Harvard Crimson ippubblika l-ewwel ħarġa tiegħu?")</f>
        <v>Meta l-Harvard Crimson ippubblika l-ewwel ħarġa tiegħu?</v>
      </c>
    </row>
    <row r="7591" ht="15.75" customHeight="1">
      <c r="A7591" s="2" t="s">
        <v>7591</v>
      </c>
      <c r="B7591" s="2" t="str">
        <f>IFERROR(__xludf.DUMMYFUNCTION("GOOGLETRANSLATE(A7591, ""en"", ""mt"")"),"Konvenzjoni Qafas tan-Nazzjonijiet Uniti dwar it-Tibdil fil-Klima")</f>
        <v>Konvenzjoni Qafas tan-Nazzjonijiet Uniti dwar it-Tibdil fil-Klima</v>
      </c>
    </row>
    <row r="7592" ht="15.75" customHeight="1">
      <c r="A7592" s="2" t="s">
        <v>7592</v>
      </c>
      <c r="B7592" s="2" t="str">
        <f>IFERROR(__xludf.DUMMYFUNCTION("GOOGLETRANSLATE(A7592, ""en"", ""mt"")"),"Min ingħata l-punti ewlenin tal-biċċa l-kbira tal-logħbiet?")</f>
        <v>Min ingħata l-punti ewlenin tal-biċċa l-kbira tal-logħbiet?</v>
      </c>
    </row>
    <row r="7593" ht="15.75" customHeight="1">
      <c r="A7593" s="2" t="s">
        <v>7593</v>
      </c>
      <c r="B7593" s="2" t="str">
        <f>IFERROR(__xludf.DUMMYFUNCTION("GOOGLETRANSLATE(A7593, ""en"", ""mt"")"),"F'Jannar 2010")</f>
        <v>F'Jannar 2010</v>
      </c>
    </row>
    <row r="7594" ht="15.75" customHeight="1">
      <c r="A7594" s="2" t="s">
        <v>7594</v>
      </c>
      <c r="B7594" s="2" t="str">
        <f>IFERROR(__xludf.DUMMYFUNCTION("GOOGLETRANSLATE(A7594, ""en"", ""mt"")"),"sas-seklu 19")</f>
        <v>sas-seklu 19</v>
      </c>
    </row>
    <row r="7595" ht="15.75" customHeight="1">
      <c r="A7595" s="2" t="s">
        <v>7595</v>
      </c>
      <c r="B7595" s="2" t="str">
        <f>IFERROR(__xludf.DUMMYFUNCTION("GOOGLETRANSLATE(A7595, ""en"", ""mt"")"),"""Effiċjenza Distributtiva""")</f>
        <v>"Effiċjenza Distributtiva"</v>
      </c>
    </row>
    <row r="7596" ht="15.75" customHeight="1">
      <c r="A7596" s="2" t="s">
        <v>7596</v>
      </c>
      <c r="B7596" s="2" t="str">
        <f>IFERROR(__xludf.DUMMYFUNCTION("GOOGLETRANSLATE(A7596, ""en"", ""mt"")"),"X'inhi d-diga naturali li tgħaddi r-Rhine?")</f>
        <v>X'inhi d-diga naturali li tgħaddi r-Rhine?</v>
      </c>
    </row>
    <row r="7597" ht="15.75" customHeight="1">
      <c r="A7597" s="2" t="s">
        <v>7597</v>
      </c>
      <c r="B7597" s="2" t="str">
        <f>IFERROR(__xludf.DUMMYFUNCTION("GOOGLETRANSLATE(A7597, ""en"", ""mt"")"),"Rotta tal-Istat 41")</f>
        <v>Rotta tal-Istat 41</v>
      </c>
    </row>
    <row r="7598" ht="15.75" customHeight="1">
      <c r="A7598" s="2" t="s">
        <v>7598</v>
      </c>
      <c r="B7598" s="2" t="str">
        <f>IFERROR(__xludf.DUMMYFUNCTION("GOOGLETRANSLATE(A7598, ""en"", ""mt"")"),"X'kien l-isem tal-battalja li mmarkat l-ewwel rebħa Konfederata fi Florida?")</f>
        <v>X'kien l-isem tal-battalja li mmarkat l-ewwel rebħa Konfederata fi Florida?</v>
      </c>
    </row>
    <row r="7599" ht="15.75" customHeight="1">
      <c r="A7599" s="2" t="s">
        <v>7599</v>
      </c>
      <c r="B7599" s="2" t="str">
        <f>IFERROR(__xludf.DUMMYFUNCTION("GOOGLETRANSLATE(A7599, ""en"", ""mt"")"),"Mudell standard")</f>
        <v>Mudell standard</v>
      </c>
    </row>
    <row r="7600" ht="15.75" customHeight="1">
      <c r="A7600" s="2" t="s">
        <v>7600</v>
      </c>
      <c r="B7600" s="2" t="str">
        <f>IFERROR(__xludf.DUMMYFUNCTION("GOOGLETRANSLATE(A7600, ""en"", ""mt"")"),"Meta Herve serva bħala Ġeneral Norman?")</f>
        <v>Meta Herve serva bħala Ġeneral Norman?</v>
      </c>
    </row>
    <row r="7601" ht="15.75" customHeight="1">
      <c r="A7601" s="2" t="s">
        <v>7601</v>
      </c>
      <c r="B7601" s="2" t="str">
        <f>IFERROR(__xludf.DUMMYFUNCTION("GOOGLETRANSLATE(A7601, ""en"", ""mt"")"),"Fl-2010 stħarriġ dwar is-salarji żvela d-differenzi fir-rimunerazzjoni bejn rwoli, setturi u postijiet differenti fl-industrija tal-kostruzzjoni u l-ambjent mibnija. Ir-riżultati wrew li żoni ta 'tkabbir partikolarment qawwi fl-industrija tal-kostruzzjoni"&amp;", bħall-Lvant Nofsani, jagħtu salarji medji ogħla milli fir-Renju Unit per eżempju. Il-qligħ medju għal professjonist fl-industrija tal-kostruzzjoni fil-Lvant Nofsani, fis-setturi kollha, tipi ta 'impjiegi u livelli ta' esperjenza, huwa ta '£ 42,090, meta"&amp;" mqabbel ma' £ 26,719 fir-Renju Unit. Din ix-xejra mhix neċessarjament dovuta għall-fatt li huma disponibbli rwoli aktar sinjuri, peress li periti b'14-il sena jew aktar esperjenza li jaħdmu fil-Lvant Nofsani jaqilgħu medja ta '£ 43,389 fis-sena, meta mqa"&amp;"bbla ma' £ 40,000 fir-Renju Unit. Xi ħaddiema tal-kostruzzjoni fl-Istati Uniti / Kanada għamlu aktar minn $ 100,000 kull sena, skont il-kummerċ tagħhom.")</f>
        <v>Fl-2010 stħarriġ dwar is-salarji żvela d-differenzi fir-rimunerazzjoni bejn rwoli, setturi u postijiet differenti fl-industrija tal-kostruzzjoni u l-ambjent mibnija. Ir-riżultati wrew li żoni ta 'tkabbir partikolarment qawwi fl-industrija tal-kostruzzjoni, bħall-Lvant Nofsani, jagħtu salarji medji ogħla milli fir-Renju Unit per eżempju. Il-qligħ medju għal professjonist fl-industrija tal-kostruzzjoni fil-Lvant Nofsani, fis-setturi kollha, tipi ta 'impjiegi u livelli ta' esperjenza, huwa ta '£ 42,090, meta mqabbel ma' £ 26,719 fir-Renju Unit. Din ix-xejra mhix neċessarjament dovuta għall-fatt li huma disponibbli rwoli aktar sinjuri, peress li periti b'14-il sena jew aktar esperjenza li jaħdmu fil-Lvant Nofsani jaqilgħu medja ta '£ 43,389 fis-sena, meta mqabbla ma' £ 40,000 fir-Renju Unit. Xi ħaddiema tal-kostruzzjoni fl-Istati Uniti / Kanada għamlu aktar minn $ 100,000 kull sena, skont il-kummerċ tagħhom.</v>
      </c>
    </row>
    <row r="7602" ht="15.75" customHeight="1">
      <c r="A7602" s="2" t="s">
        <v>7602</v>
      </c>
      <c r="B7602" s="2" t="str">
        <f>IFERROR(__xludf.DUMMYFUNCTION("GOOGLETRANSLATE(A7602, ""en"", ""mt"")"),"Interi Gaussjani Z [i],")</f>
        <v>Interi Gaussjani Z [i],</v>
      </c>
    </row>
    <row r="7603" ht="15.75" customHeight="1">
      <c r="A7603" s="2" t="s">
        <v>7603</v>
      </c>
      <c r="B7603" s="2" t="str">
        <f>IFERROR(__xludf.DUMMYFUNCTION("GOOGLETRANSLATE(A7603, ""en"", ""mt"")"),"avveniment ta 'tqabbid, bħal sħana jew xrar")</f>
        <v>avveniment ta 'tqabbid, bħal sħana jew xrar</v>
      </c>
    </row>
    <row r="7604" ht="15.75" customHeight="1">
      <c r="A7604" s="2" t="s">
        <v>7604</v>
      </c>
      <c r="B7604" s="2" t="str">
        <f>IFERROR(__xludf.DUMMYFUNCTION("GOOGLETRANSLATE(A7604, ""en"", ""mt"")"),"Liema pajjiż għandu inugwaljanza bi dħul baxx u preżenza baxxa ta 'unions?")</f>
        <v>Liema pajjiż għandu inugwaljanza bi dħul baxx u preżenza baxxa ta 'unions?</v>
      </c>
    </row>
    <row r="7605" ht="15.75" customHeight="1">
      <c r="A7605" s="2" t="s">
        <v>7605</v>
      </c>
      <c r="B7605" s="2" t="str">
        <f>IFERROR(__xludf.DUMMYFUNCTION("GOOGLETRANSLATE(A7605, ""en"", ""mt"")"),"L-issettjar tal-limiti tal-veloċità kien wieħed mid-devoluzzjonijiet ulterjuri li ngħataw minn liema att?")</f>
        <v>L-issettjar tal-limiti tal-veloċità kien wieħed mid-devoluzzjonijiet ulterjuri li ngħataw minn liema att?</v>
      </c>
    </row>
    <row r="7606" ht="15.75" customHeight="1">
      <c r="A7606" s="2" t="s">
        <v>7606</v>
      </c>
      <c r="B7606" s="2" t="str">
        <f>IFERROR(__xludf.DUMMYFUNCTION("GOOGLETRANSLATE(A7606, ""en"", ""mt"")"),"Il-kamra tad-dibattitu tal-Parlament Skoċċiż għandha bilqiegħda rranġata f'emċiklu, li jirrifletti x-xewqa li jinkoraġġixxi kunsens fost il-membri eletti. Hemm 131 siġġu fil-kamra tad-dibattitu. Mit-total ta '131 siġġu, 129 huma okkupati mill-MSPs eletti "&amp;"tal-Parlament u 2 huma siġġijiet għall-uffiċjali tal-liġi Skoċċiża - l-Avukat tal-Mulej u l-avukat ġenerali għall-Iskozja, li mhumiex eletti membri tal-Parlament iżda huma membri tal-gvern Skoċċiż. Bħala tali l-uffiċjali tal-liġi jistgħu jattendu u jitkel"&amp;"lmu fil-laqgħat plenarji tal-Parlament iżda, peress li mhumiex eletti MSPs, ma jistgħux jivvutaw. Il-membri jistgħu joqogħdu kullimkien fil-kamra tad-dibattitu, iżda tipikament joqogħdu fil-gruppi tal-partit tagħhom. L-ewwel ministru, ministri tal-kabinet"&amp;"t Skoċċiż u uffiċjali tal-liġi joqogħdu fir-ringiela ta ’quddiem, fit-taqsima tan-nofs tal-kamra. L-akbar partit fil-Parlament qiegħed fin-nofs taċ-ċirku, ma 'partijiet opposti fuq kull naħa. L-uffiċjal li jippresiedi, skrivani parlamentari u uffiċjali jo"&amp;"qogħdu membri opposti fuq quddiem tal-kamra tad-dibattitu.")</f>
        <v>Il-kamra tad-dibattitu tal-Parlament Skoċċiż għandha bilqiegħda rranġata f'emċiklu, li jirrifletti x-xewqa li jinkoraġġixxi kunsens fost il-membri eletti. Hemm 131 siġġu fil-kamra tad-dibattitu. Mit-total ta '131 siġġu, 129 huma okkupati mill-MSPs eletti tal-Parlament u 2 huma siġġijiet għall-uffiċjali tal-liġi Skoċċiża - l-Avukat tal-Mulej u l-avukat ġenerali għall-Iskozja, li mhumiex eletti membri tal-Parlament iżda huma membri tal-gvern Skoċċiż. Bħala tali l-uffiċjali tal-liġi jistgħu jattendu u jitkellmu fil-laqgħat plenarji tal-Parlament iżda, peress li mhumiex eletti MSPs, ma jistgħux jivvutaw. Il-membri jistgħu joqogħdu kullimkien fil-kamra tad-dibattitu, iżda tipikament joqogħdu fil-gruppi tal-partit tagħhom. L-ewwel ministru, ministri tal-kabinett Skoċċiż u uffiċjali tal-liġi joqogħdu fir-ringiela ta ’quddiem, fit-taqsima tan-nofs tal-kamra. L-akbar partit fil-Parlament qiegħed fin-nofs taċ-ċirku, ma 'partijiet opposti fuq kull naħa. L-uffiċjal li jippresiedi, skrivani parlamentari u uffiċjali joqogħdu membri opposti fuq quddiem tal-kamra tad-dibattitu.</v>
      </c>
    </row>
    <row r="7607" ht="15.75" customHeight="1">
      <c r="A7607" s="2" t="s">
        <v>7607</v>
      </c>
      <c r="B7607" s="2" t="str">
        <f>IFERROR(__xludf.DUMMYFUNCTION("GOOGLETRANSLATE(A7607, ""en"", ""mt"")"),"F’liema seklu nixxef il-fergħat tal-mejtin kollha?")</f>
        <v>F’liema seklu nixxef il-fergħat tal-mejtin kollha?</v>
      </c>
    </row>
    <row r="7608" ht="15.75" customHeight="1">
      <c r="A7608" s="2" t="s">
        <v>7608</v>
      </c>
      <c r="B7608" s="2" t="str">
        <f>IFERROR(__xludf.DUMMYFUNCTION("GOOGLETRANSLATE(A7608, ""en"", ""mt"")"),"Meta t-tliet tipi ta 'blat jiġu mdewweb mill-ġdid x'inhu ffurmat?")</f>
        <v>Meta t-tliet tipi ta 'blat jiġu mdewweb mill-ġdid x'inhu ffurmat?</v>
      </c>
    </row>
    <row r="7609" ht="15.75" customHeight="1">
      <c r="A7609" s="2" t="s">
        <v>7609</v>
      </c>
      <c r="B7609" s="2" t="str">
        <f>IFERROR(__xludf.DUMMYFUNCTION("GOOGLETRANSLATE(A7609, ""en"", ""mt"")"),"Abilene irreferiet għal xiex?")</f>
        <v>Abilene irreferiet għal xiex?</v>
      </c>
    </row>
    <row r="7610" ht="15.75" customHeight="1">
      <c r="A7610" s="2" t="s">
        <v>7610</v>
      </c>
      <c r="B7610" s="2" t="str">
        <f>IFERROR(__xludf.DUMMYFUNCTION("GOOGLETRANSLATE(A7610, ""en"", ""mt"")"),"Suleiman il-magnífico,")</f>
        <v>Suleiman il-magnífico,</v>
      </c>
    </row>
    <row r="7611" ht="15.75" customHeight="1">
      <c r="A7611" s="2" t="s">
        <v>7611</v>
      </c>
      <c r="B7611" s="2" t="str">
        <f>IFERROR(__xludf.DUMMYFUNCTION("GOOGLETRANSLATE(A7611, ""en"", ""mt"")"),"żieda fl-art disponibbli għall-kultivazzjoni")</f>
        <v>żieda fl-art disponibbli għall-kultivazzjoni</v>
      </c>
    </row>
    <row r="7612" ht="15.75" customHeight="1">
      <c r="A7612" s="2" t="s">
        <v>7612</v>
      </c>
      <c r="B7612" s="2" t="str">
        <f>IFERROR(__xludf.DUMMYFUNCTION("GOOGLETRANSLATE(A7612, ""en"", ""mt"")"),"X’ser iservu x-xmajjar magħluqa wara li jagħlqu?")</f>
        <v>X’ser iservu x-xmajjar magħluqa wara li jagħlqu?</v>
      </c>
    </row>
    <row r="7613" ht="15.75" customHeight="1">
      <c r="A7613" s="2" t="s">
        <v>7613</v>
      </c>
      <c r="B7613" s="2" t="str">
        <f>IFERROR(__xludf.DUMMYFUNCTION("GOOGLETRANSLATE(A7613, ""en"", ""mt"")"),"Intraprenditorija bbażata fuq l-opportunità")</f>
        <v>Intraprenditorija bbażata fuq l-opportunità</v>
      </c>
    </row>
    <row r="7614" ht="15.75" customHeight="1">
      <c r="A7614" s="2" t="s">
        <v>7614</v>
      </c>
      <c r="B7614" s="2" t="str">
        <f>IFERROR(__xludf.DUMMYFUNCTION("GOOGLETRANSLATE(A7614, ""en"", ""mt"")"),"Kemm hija twila t-taqsima li ddur fit-tramuntana?")</f>
        <v>Kemm hija twila t-taqsima li ddur fit-tramuntana?</v>
      </c>
    </row>
    <row r="7615" ht="15.75" customHeight="1">
      <c r="A7615" s="2" t="s">
        <v>7615</v>
      </c>
      <c r="B7615" s="2" t="str">
        <f>IFERROR(__xludf.DUMMYFUNCTION("GOOGLETRANSLATE(A7615, ""en"", ""mt"")"),"il-gvern Awstraljan")</f>
        <v>il-gvern Awstraljan</v>
      </c>
    </row>
    <row r="7616" ht="15.75" customHeight="1">
      <c r="A7616" s="2" t="s">
        <v>7616</v>
      </c>
      <c r="B7616" s="2" t="str">
        <f>IFERROR(__xludf.DUMMYFUNCTION("GOOGLETRANSLATE(A7616, ""en"", ""mt"")"),"Min m'għandux il-ħila li jbiddel it-taxxa fuq id-dħul fl-Iskozja?")</f>
        <v>Min m'għandux il-ħila li jbiddel it-taxxa fuq id-dħul fl-Iskozja?</v>
      </c>
    </row>
    <row r="7617" ht="15.75" customHeight="1">
      <c r="A7617" s="2" t="s">
        <v>7617</v>
      </c>
      <c r="B7617" s="2" t="str">
        <f>IFERROR(__xludf.DUMMYFUNCTION("GOOGLETRANSLATE(A7617, ""en"", ""mt"")"),"Ma 'liema assi jikkoinċidu l-orbitali 2P?")</f>
        <v>Ma 'liema assi jikkoinċidu l-orbitali 2P?</v>
      </c>
    </row>
    <row r="7618" ht="15.75" customHeight="1">
      <c r="A7618" s="2" t="s">
        <v>7618</v>
      </c>
      <c r="B7618" s="2" t="str">
        <f>IFERROR(__xludf.DUMMYFUNCTION("GOOGLETRANSLATE(A7618, ""en"", ""mt"")"),"Forzi mhux konservattivi minbarra frizzjoni")</f>
        <v>Forzi mhux konservattivi minbarra frizzjoni</v>
      </c>
    </row>
    <row r="7619" ht="15.75" customHeight="1">
      <c r="A7619" s="2" t="s">
        <v>7619</v>
      </c>
      <c r="B7619" s="2" t="str">
        <f>IFERROR(__xludf.DUMMYFUNCTION("GOOGLETRANSLATE(A7619, ""en"", ""mt"")"),"Hekk kif jidħlu fis-seħħ, sakemm ma jingħadx mod ieħor")</f>
        <v>Hekk kif jidħlu fis-seħħ, sakemm ma jingħadx mod ieħor</v>
      </c>
    </row>
    <row r="7620" ht="15.75" customHeight="1">
      <c r="A7620" s="2" t="s">
        <v>7620</v>
      </c>
      <c r="B7620" s="2" t="str">
        <f>IFERROR(__xludf.DUMMYFUNCTION("GOOGLETRANSLATE(A7620, ""en"", ""mt"")"),"Il-marda tal-pesta, ikkawżata minn Yersinia pestis, hija enzootika (komunement preżenti) f'popolazzjonijiet ta 'briegħed li jinġarru minn annimali gerriema mitħuna, inklużi marmots, f'diversi żoni inklużi l-Asja Ċentrali, il-Kurdistan, l-Asja tal-Punent, "&amp;"l-Asja tal-Punent, l-Indja tat-Tramuntana u l-Uganda. L-oqbra Nestorjani li jmorru għal 1338–39 ħdejn il-Lag Issyk Kul fil-Kirgiżistan għandhom skrizzjonijiet li jirreferu għall-pesta u huma maħsuba minn ħafna epidemjologi biex jimmarkaw it-tifqigħa tal-e"&amp;"pidemija, li minnha setgħet tinfirex faċilment lejn iċ-Ċina u l-Indja. F’Ottubru 2010, ġenetiċi mediċi ssuġġerew li t-tlieta mill-mewġ il-kbir tal-pesta oriġinaw fiċ-Ċina. Fiċ-Ċina, il-konkwista Mongolla tas-seklu 13 ikkawżat tnaqqis fil-biedja u l-kummer"&amp;"ċ. Madankollu, l-irkupru ekonomiku kien osservat fil-bidu tas-seklu 14. Fis-1330, numru kbir ta 'diżastri u pesti naturali wasslu għal ġuħ mifrux, li jibda fl-1331, b'pesta fatali li tasal ftit wara. Epidemiji li setgħu inkludew il-pesta qatlu madwar 25 m"&amp;"iljun Ċiniż u Asjatiċi oħra matul il-15-il sena qabel ma waslu Kostantinopli fl-1347.")</f>
        <v>Il-marda tal-pesta, ikkawżata minn Yersinia pestis, hija enzootika (komunement preżenti) f'popolazzjonijiet ta 'briegħed li jinġarru minn annimali gerriema mitħuna, inklużi marmots, f'diversi żoni inklużi l-Asja Ċentrali, il-Kurdistan, l-Asja tal-Punent, l-Asja tal-Punent, l-Indja tat-Tramuntana u l-Uganda. L-oqbra Nestorjani li jmorru għal 1338–39 ħdejn il-Lag Issyk Kul fil-Kirgiżistan għandhom skrizzjonijiet li jirreferu għall-pesta u huma maħsuba minn ħafna epidemjologi biex jimmarkaw it-tifqigħa tal-epidemija, li minnha setgħet tinfirex faċilment lejn iċ-Ċina u l-Indja. F’Ottubru 2010, ġenetiċi mediċi ssuġġerew li t-tlieta mill-mewġ il-kbir tal-pesta oriġinaw fiċ-Ċina. Fiċ-Ċina, il-konkwista Mongolla tas-seklu 13 ikkawżat tnaqqis fil-biedja u l-kummerċ. Madankollu, l-irkupru ekonomiku kien osservat fil-bidu tas-seklu 14. Fis-1330, numru kbir ta 'diżastri u pesti naturali wasslu għal ġuħ mifrux, li jibda fl-1331, b'pesta fatali li tasal ftit wara. Epidemiji li setgħu inkludew il-pesta qatlu madwar 25 miljun Ċiniż u Asjatiċi oħra matul il-15-il sena qabel ma waslu Kostantinopli fl-1347.</v>
      </c>
    </row>
    <row r="7621" ht="15.75" customHeight="1">
      <c r="A7621" s="2" t="s">
        <v>7621</v>
      </c>
      <c r="B7621" s="2" t="str">
        <f>IFERROR(__xludf.DUMMYFUNCTION("GOOGLETRANSLATE(A7621, ""en"", ""mt"")"),"proċess demokratiku")</f>
        <v>proċess demokratiku</v>
      </c>
    </row>
    <row r="7622" ht="15.75" customHeight="1">
      <c r="A7622" s="2" t="s">
        <v>7622</v>
      </c>
      <c r="B7622" s="2" t="str">
        <f>IFERROR(__xludf.DUMMYFUNCTION("GOOGLETRANSLATE(A7622, ""en"", ""mt"")"),"David Suzuki")</f>
        <v>David Suzuki</v>
      </c>
    </row>
    <row r="7623" ht="15.75" customHeight="1">
      <c r="A7623" s="2" t="s">
        <v>7623</v>
      </c>
      <c r="B7623" s="2" t="str">
        <f>IFERROR(__xludf.DUMMYFUNCTION("GOOGLETRANSLATE(A7623, ""en"", ""mt"")"),"Kemm kien ċar kif iċ-ċelloli NK għarfu t-tumuri?")</f>
        <v>Kemm kien ċar kif iċ-ċelloli NK għarfu t-tumuri?</v>
      </c>
    </row>
    <row r="7624" ht="15.75" customHeight="1">
      <c r="A7624" s="2" t="s">
        <v>7624</v>
      </c>
      <c r="B7624" s="2" t="str">
        <f>IFERROR(__xludf.DUMMYFUNCTION("GOOGLETRANSLATE(A7624, ""en"", ""mt"")"),"il-problema ta 'fatturizzazzjoni sħiħa")</f>
        <v>il-problema ta 'fatturizzazzjoni sħiħa</v>
      </c>
    </row>
    <row r="7625" ht="15.75" customHeight="1">
      <c r="A7625" s="2" t="s">
        <v>7625</v>
      </c>
      <c r="B7625" s="2" t="str">
        <f>IFERROR(__xludf.DUMMYFUNCTION("GOOGLETRANSLATE(A7625, ""en"", ""mt"")"),"Ġeneralment bla bażi u marġinali wkoll għall-valutazzjoni")</f>
        <v>Ġeneralment bla bażi u marġinali wkoll għall-valutazzjoni</v>
      </c>
    </row>
    <row r="7626" ht="15.75" customHeight="1">
      <c r="A7626" s="2" t="s">
        <v>7626</v>
      </c>
      <c r="B7626" s="2" t="str">
        <f>IFERROR(__xludf.DUMMYFUNCTION("GOOGLETRANSLATE(A7626, ""en"", ""mt"")"),"X'riżultat fil-karattru ta 'bond triplet ta' Dioxygen?")</f>
        <v>X'riżultat fil-karattru ta 'bond triplet ta' Dioxygen?</v>
      </c>
    </row>
    <row r="7627" ht="15.75" customHeight="1">
      <c r="A7627" s="2" t="s">
        <v>7627</v>
      </c>
      <c r="B7627" s="2" t="str">
        <f>IFERROR(__xludf.DUMMYFUNCTION("GOOGLETRANSLATE(A7627, ""en"", ""mt"")"),"Telfa ta 'Napuljun")</f>
        <v>Telfa ta 'Napuljun</v>
      </c>
    </row>
    <row r="7628" ht="15.75" customHeight="1">
      <c r="A7628" s="2" t="s">
        <v>7628</v>
      </c>
      <c r="B7628" s="2" t="str">
        <f>IFERROR(__xludf.DUMMYFUNCTION("GOOGLETRANSLATE(A7628, ""en"", ""mt"")"),"Kemm il-ħatt tar-Rhine fil-fruntiera Olandiża?")</f>
        <v>Kemm il-ħatt tar-Rhine fil-fruntiera Olandiża?</v>
      </c>
    </row>
    <row r="7629" ht="15.75" customHeight="1">
      <c r="A7629" s="2" t="s">
        <v>7629</v>
      </c>
      <c r="B7629" s="2" t="str">
        <f>IFERROR(__xludf.DUMMYFUNCTION("GOOGLETRANSLATE(A7629, ""en"", ""mt"")"),"funzjonijiet")</f>
        <v>funzjonijiet</v>
      </c>
    </row>
    <row r="7630" ht="15.75" customHeight="1">
      <c r="A7630" s="2" t="s">
        <v>7630</v>
      </c>
      <c r="B7630" s="2" t="str">
        <f>IFERROR(__xludf.DUMMYFUNCTION("GOOGLETRANSLATE(A7630, ""en"", ""mt"")"),"Kif tissejjaħ il-Kamra ta ’Fuq tal-Parlament tar-Rabat?")</f>
        <v>Kif tissejjaħ il-Kamra ta ’Fuq tal-Parlament tar-Rabat?</v>
      </c>
    </row>
    <row r="7631" ht="15.75" customHeight="1">
      <c r="A7631" s="2" t="s">
        <v>7631</v>
      </c>
      <c r="B7631" s="2" t="str">
        <f>IFERROR(__xludf.DUMMYFUNCTION("GOOGLETRANSLATE(A7631, ""en"", ""mt"")"),"Bord tal-Fiduċjarji")</f>
        <v>Bord tal-Fiduċjarji</v>
      </c>
    </row>
    <row r="7632" ht="15.75" customHeight="1">
      <c r="A7632" s="2" t="s">
        <v>7632</v>
      </c>
      <c r="B7632" s="2" t="str">
        <f>IFERROR(__xludf.DUMMYFUNCTION("GOOGLETRANSLATE(A7632, ""en"", ""mt"")")," Liema mexxejja ma attakkawx l-estremisti Iżlamiċi?")</f>
        <v> Liema mexxejja ma attakkawx l-estremisti Iżlamiċi?</v>
      </c>
    </row>
    <row r="7633" ht="15.75" customHeight="1">
      <c r="A7633" s="2" t="s">
        <v>7633</v>
      </c>
      <c r="B7633" s="2" t="str">
        <f>IFERROR(__xludf.DUMMYFUNCTION("GOOGLETRANSLATE(A7633, ""en"", ""mt"")"),"Liema matematiku Ingliż ħa kburi li għamel xogħol li huwa ħass li ma kellux benefiċċju militari?")</f>
        <v>Liema matematiku Ingliż ħa kburi li għamel xogħol li huwa ħass li ma kellux benefiċċju militari?</v>
      </c>
    </row>
    <row r="7634" ht="15.75" customHeight="1">
      <c r="A7634" s="2" t="s">
        <v>7634</v>
      </c>
      <c r="B7634" s="2" t="str">
        <f>IFERROR(__xludf.DUMMYFUNCTION("GOOGLETRANSLATE(A7634, ""en"", ""mt"")"),"Meta ntemmet il-Gwerra Franċiża u Indjana ta 'l-Amerika ta' Fuq?")</f>
        <v>Meta ntemmet il-Gwerra Franċiża u Indjana ta 'l-Amerika ta' Fuq?</v>
      </c>
    </row>
    <row r="7635" ht="15.75" customHeight="1">
      <c r="A7635" s="2" t="s">
        <v>7635</v>
      </c>
      <c r="B7635" s="2" t="str">
        <f>IFERROR(__xludf.DUMMYFUNCTION("GOOGLETRANSLATE(A7635, ""en"", ""mt"")"),"1977")</f>
        <v>1977</v>
      </c>
    </row>
    <row r="7636" ht="15.75" customHeight="1">
      <c r="A7636" s="2" t="s">
        <v>7636</v>
      </c>
      <c r="B7636" s="2" t="str">
        <f>IFERROR(__xludf.DUMMYFUNCTION("GOOGLETRANSLATE(A7636, ""en"", ""mt"")"),"Kif iqabblu d-drittijiet fl-iskejjel tal-Mudell Ċ ta 'qabel ma' dawk fi skejjel oħra?")</f>
        <v>Kif iqabblu d-drittijiet fl-iskejjel tal-Mudell Ċ ta 'qabel ma' dawk fi skejjel oħra?</v>
      </c>
    </row>
    <row r="7637" ht="15.75" customHeight="1">
      <c r="A7637" s="2" t="s">
        <v>7637</v>
      </c>
      <c r="B7637" s="2" t="str">
        <f>IFERROR(__xludf.DUMMYFUNCTION("GOOGLETRANSLATE(A7637, ""en"", ""mt"")"),"Importazzjonijiet Ġappuniżi")</f>
        <v>Importazzjonijiet Ġappuniżi</v>
      </c>
    </row>
    <row r="7638" ht="15.75" customHeight="1">
      <c r="A7638" s="2" t="s">
        <v>7638</v>
      </c>
      <c r="B7638" s="2" t="str">
        <f>IFERROR(__xludf.DUMMYFUNCTION("GOOGLETRANSLATE(A7638, ""en"", ""mt"")"),"X'jista 'jagħmel u xjuħ, raġel ħażin?")</f>
        <v>X'jista 'jagħmel u xjuħ, raġel ħażin?</v>
      </c>
    </row>
    <row r="7639" ht="15.75" customHeight="1">
      <c r="A7639" s="2" t="s">
        <v>7639</v>
      </c>
      <c r="B7639" s="2" t="str">
        <f>IFERROR(__xludf.DUMMYFUNCTION("GOOGLETRANSLATE(A7639, ""en"", ""mt"")"),"L-invażjoni tal-USSR fl-Afganistan kienet biss sinjal wieħed ta 'nuqqas ta' sigurtà fir-reġjun, immarkat ukoll minn żieda fil-bejgħ tal-armi Amerikani, teknoloġija u preżenza militari diretta. L-Arabja Sawdita u l-Iran saru dejjem aktar dipendenti fuq l-a"&amp;"ssigurazzjoni tas-sigurtà Amerikana biex jimmaniġġjaw kemm theddid estern kif ukoll intern, inkluż żieda fil-kompetizzjoni militari bejniethom fuq żieda fid-dħul taż-żejt. Iż-żewġ stati kienu qed jikkompetu għall-preeminenza fil-Golf Persjan u jużaw dħul "&amp;"miżjud biex jiffinanzjaw militari estiżi. Sal-1979, ix-xiri tal-armi Sawdi mill-Istati Uniti qabeż ħames darbiet l-Iżrael. Motiv ieħor għax-xiri ta 'armi fuq skala kbira mill-Istati Uniti mill-Arabja Sawdija kien il-falliment tax-Shah matul Jannar 1979 bi"&amp;"ex iżomm il-kontroll tal-Iran, nazzjon Musulman mhux Għarbi iżda fil-biċċa l-kbira Shiite, li waqa' għal gvern Iżlatiku teokratiku taħt l-Ayatollah Ruhollah Khomeini wara r-Rivoluzzjoni Iranjana tal-1979. L-Arabja Sawdita, min-naħa l-oħra, hija nazzjon Għ"&amp;"arbi, fil-biċċa l-kbira Sunni Musulman immexxi minn monarkija kważi assolutista. Wara r-rivoluzzjoni Iranjana, is-Saudis kienu mġiegħla jittrattaw il-prospett ta 'destabilizzazzjoni interna permezz tar-radikaliżmu tal-Iżlamiżmu, realtà li malajr tiġi żvel"&amp;"ata fil-qbid tal-Moskea Gran Revolta fir-reġjun b'ħafna żejt al-Hasa fl-Arabja Sawdija f'Diċembru tal-istess sena. F'Novembru 2010, WikiLeaks nixxew kejbils diplomatiċi kunfidenzjali li għandhom x'jaqsmu ma 'l-Istati Uniti u l-alleati tagħha li żvelaw li "&amp;"r-re Sawdi tal-mibki Abdullah ħeġġeġ lill-Istati Uniti biex jattakkaw l-Iran sabiex jeqirdu l-programm potenzjali tiegħu ta' armi nukleari, li ddeskriva l-Iran bħala ""serp li għandhom jinqatgħu mingħajr ebda procrastination. """)</f>
        <v>L-invażjoni tal-USSR fl-Afganistan kienet biss sinjal wieħed ta 'nuqqas ta' sigurtà fir-reġjun, immarkat ukoll minn żieda fil-bejgħ tal-armi Amerikani, teknoloġija u preżenza militari diretta. L-Arabja Sawdita u l-Iran saru dejjem aktar dipendenti fuq l-assigurazzjoni tas-sigurtà Amerikana biex jimmaniġġjaw kemm theddid estern kif ukoll intern, inkluż żieda fil-kompetizzjoni militari bejniethom fuq żieda fid-dħul taż-żejt. Iż-żewġ stati kienu qed jikkompetu għall-preeminenza fil-Golf Persjan u jużaw dħul miżjud biex jiffinanzjaw militari estiżi. Sal-1979, ix-xiri tal-armi Sawdi mill-Istati Uniti qabeż ħames darbiet l-Iżrael. Motiv ieħor għax-xiri ta 'armi fuq skala kbira mill-Istati Uniti mill-Arabja Sawdija kien il-falliment tax-Shah matul Jannar 1979 biex iżomm il-kontroll tal-Iran, nazzjon Musulman mhux Għarbi iżda fil-biċċa l-kbira Shiite, li waqa' għal gvern Iżlatiku teokratiku taħt l-Ayatollah Ruhollah Khomeini wara r-Rivoluzzjoni Iranjana tal-1979. L-Arabja Sawdita, min-naħa l-oħra, hija nazzjon Għarbi, fil-biċċa l-kbira Sunni Musulman immexxi minn monarkija kważi assolutista. Wara r-rivoluzzjoni Iranjana, is-Saudis kienu mġiegħla jittrattaw il-prospett ta 'destabilizzazzjoni interna permezz tar-radikaliżmu tal-Iżlamiżmu, realtà li malajr tiġi żvelata fil-qbid tal-Moskea Gran Revolta fir-reġjun b'ħafna żejt al-Hasa fl-Arabja Sawdija f'Diċembru tal-istess sena. F'Novembru 2010, WikiLeaks nixxew kejbils diplomatiċi kunfidenzjali li għandhom x'jaqsmu ma 'l-Istati Uniti u l-alleati tagħha li żvelaw li r-re Sawdi tal-mibki Abdullah ħeġġeġ lill-Istati Uniti biex jattakkaw l-Iran sabiex jeqirdu l-programm potenzjali tiegħu ta' armi nukleari, li ddeskriva l-Iran bħala "serp li għandhom jinqatgħu mingħajr ebda procrastination. "</v>
      </c>
    </row>
    <row r="7640" ht="15.75" customHeight="1">
      <c r="A7640" s="2" t="s">
        <v>7640</v>
      </c>
      <c r="B7640" s="2" t="str">
        <f>IFERROR(__xludf.DUMMYFUNCTION("GOOGLETRANSLATE(A7640, ""en"", ""mt"")"),"1291")</f>
        <v>1291</v>
      </c>
    </row>
    <row r="7641" ht="15.75" customHeight="1">
      <c r="A7641" s="2" t="s">
        <v>7641</v>
      </c>
      <c r="B7641" s="2" t="str">
        <f>IFERROR(__xludf.DUMMYFUNCTION("GOOGLETRANSLATE(A7641, ""en"", ""mt"")"),"Liema alumni kien ukoll il-konsulent tal-kampanja ta 'Obama?")</f>
        <v>Liema alumni kien ukoll il-konsulent tal-kampanja ta 'Obama?</v>
      </c>
    </row>
    <row r="7642" ht="15.75" customHeight="1">
      <c r="A7642" s="2" t="s">
        <v>7642</v>
      </c>
      <c r="B7642" s="2" t="str">
        <f>IFERROR(__xludf.DUMMYFUNCTION("GOOGLETRANSLATE(A7642, ""en"", ""mt"")"),"Liema xogħol minn madwar 3000BC għandu teoremi sinifikanti dwar numri infiniti?")</f>
        <v>Liema xogħol minn madwar 3000BC għandu teoremi sinifikanti dwar numri infiniti?</v>
      </c>
    </row>
    <row r="7643" ht="15.75" customHeight="1">
      <c r="A7643" s="2" t="s">
        <v>7643</v>
      </c>
      <c r="B7643" s="2" t="str">
        <f>IFERROR(__xludf.DUMMYFUNCTION("GOOGLETRANSLATE(A7643, ""en"", ""mt"")"),"X'inhu l-isem tal-pont fuq il-qasam mediku u akkademiku ta 'Longwood?")</f>
        <v>X'inhu l-isem tal-pont fuq il-qasam mediku u akkademiku ta 'Longwood?</v>
      </c>
    </row>
    <row r="7644" ht="15.75" customHeight="1">
      <c r="A7644" s="2" t="s">
        <v>7644</v>
      </c>
      <c r="B7644" s="2" t="str">
        <f>IFERROR(__xludf.DUMMYFUNCTION("GOOGLETRANSLATE(A7644, ""en"", ""mt"")"),"President")</f>
        <v>President</v>
      </c>
    </row>
    <row r="7645" ht="15.75" customHeight="1">
      <c r="A7645" s="2" t="s">
        <v>7645</v>
      </c>
      <c r="B7645" s="2" t="str">
        <f>IFERROR(__xludf.DUMMYFUNCTION("GOOGLETRANSLATE(A7645, ""en"", ""mt"")"),"Min iddisinja Sunnyside?")</f>
        <v>Min iddisinja Sunnyside?</v>
      </c>
    </row>
    <row r="7646" ht="15.75" customHeight="1">
      <c r="A7646" s="2" t="s">
        <v>7646</v>
      </c>
      <c r="B7646" s="2" t="str">
        <f>IFERROR(__xludf.DUMMYFUNCTION("GOOGLETRANSLATE(A7646, ""en"", ""mt"")"),"10,000")</f>
        <v>10,000</v>
      </c>
    </row>
    <row r="7647" ht="15.75" customHeight="1">
      <c r="A7647" s="2" t="s">
        <v>7647</v>
      </c>
      <c r="B7647" s="2" t="str">
        <f>IFERROR(__xludf.DUMMYFUNCTION("GOOGLETRANSLATE(A7647, ""en"", ""mt"")"),"Jikkompetu Harms Defense")</f>
        <v>Jikkompetu Harms Defense</v>
      </c>
    </row>
    <row r="7648" ht="15.75" customHeight="1">
      <c r="A7648" s="2" t="s">
        <v>7648</v>
      </c>
      <c r="B7648" s="2" t="str">
        <f>IFERROR(__xludf.DUMMYFUNCTION("GOOGLETRANSLATE(A7648, ""en"", ""mt"")"),"X’għandu Carter Wentworth fil-qorti biex jaħrab mill-prosekuzzjoni?")</f>
        <v>X’għandu Carter Wentworth fil-qorti biex jaħrab mill-prosekuzzjoni?</v>
      </c>
    </row>
    <row r="7649" ht="15.75" customHeight="1">
      <c r="A7649" s="2" t="s">
        <v>7649</v>
      </c>
      <c r="B7649" s="2" t="str">
        <f>IFERROR(__xludf.DUMMYFUNCTION("GOOGLETRANSLATE(A7649, ""en"", ""mt"")"),"William Pitt")</f>
        <v>William Pitt</v>
      </c>
    </row>
    <row r="7650" ht="15.75" customHeight="1">
      <c r="A7650" s="2" t="s">
        <v>7650</v>
      </c>
      <c r="B7650" s="2" t="str">
        <f>IFERROR(__xludf.DUMMYFUNCTION("GOOGLETRANSLATE(A7650, ""en"", ""mt"")"),"ħames siġġijiet jew aktar")</f>
        <v>ħames siġġijiet jew aktar</v>
      </c>
    </row>
    <row r="7651" ht="15.75" customHeight="1">
      <c r="A7651" s="2" t="s">
        <v>7651</v>
      </c>
      <c r="B7651" s="2" t="str">
        <f>IFERROR(__xludf.DUMMYFUNCTION("GOOGLETRANSLATE(A7651, ""en"", ""mt"")"),"Iva jew Le")</f>
        <v>Iva jew Le</v>
      </c>
    </row>
    <row r="7652" ht="15.75" customHeight="1">
      <c r="A7652" s="2" t="s">
        <v>7652</v>
      </c>
      <c r="B7652" s="2" t="str">
        <f>IFERROR(__xludf.DUMMYFUNCTION("GOOGLETRANSLATE(A7652, ""en"", ""mt"")"),"X'tip ta 'mozzjoni pproduċiet kontinwament il-magna tal-fwar ta' Newcomen?")</f>
        <v>X'tip ta 'mozzjoni pproduċiet kontinwament il-magna tal-fwar ta' Newcomen?</v>
      </c>
    </row>
    <row r="7653" ht="15.75" customHeight="1">
      <c r="A7653" s="2" t="s">
        <v>7653</v>
      </c>
      <c r="B7653" s="2" t="str">
        <f>IFERROR(__xludf.DUMMYFUNCTION("GOOGLETRANSLATE(A7653, ""en"", ""mt"")"),"X'kien il-bini Grand 1401 imsemmi mill-ġdid bħala?")</f>
        <v>X'kien il-bini Grand 1401 imsemmi mill-ġdid bħala?</v>
      </c>
    </row>
    <row r="7654" ht="15.75" customHeight="1">
      <c r="A7654" s="2" t="s">
        <v>7654</v>
      </c>
      <c r="B7654" s="2" t="str">
        <f>IFERROR(__xludf.DUMMYFUNCTION("GOOGLETRANSLATE(A7654, ""en"", ""mt"")"),"1832.")</f>
        <v>1832.</v>
      </c>
    </row>
    <row r="7655" ht="15.75" customHeight="1">
      <c r="A7655" s="2" t="s">
        <v>7655</v>
      </c>
      <c r="B7655" s="2" t="str">
        <f>IFERROR(__xludf.DUMMYFUNCTION("GOOGLETRANSLATE(A7655, ""en"", ""mt"")"),"Liema artikoli ma jiddikjarawx li sakemm ma jingħatawx, il-poteri jibqgħu mal-istati membri?")</f>
        <v>Liema artikoli ma jiddikjarawx li sakemm ma jingħatawx, il-poteri jibqgħu mal-istati membri?</v>
      </c>
    </row>
    <row r="7656" ht="15.75" customHeight="1">
      <c r="A7656" s="2" t="s">
        <v>7656</v>
      </c>
      <c r="B7656" s="2" t="str">
        <f>IFERROR(__xludf.DUMMYFUNCTION("GOOGLETRANSLATE(A7656, ""en"", ""mt"")"),"Tentakli")</f>
        <v>Tentakli</v>
      </c>
    </row>
    <row r="7657" ht="15.75" customHeight="1">
      <c r="A7657" s="2" t="s">
        <v>7657</v>
      </c>
      <c r="B7657" s="2" t="str">
        <f>IFERROR(__xludf.DUMMYFUNCTION("GOOGLETRANSLATE(A7657, ""en"", ""mt"")"),"Twaqqif ta 'relazzjonijiet ma' parteċipanti oħra meħtieġa")</f>
        <v>Twaqqif ta 'relazzjonijiet ma' parteċipanti oħra meħtieġa</v>
      </c>
    </row>
    <row r="7658" ht="15.75" customHeight="1">
      <c r="A7658" s="2" t="s">
        <v>7658</v>
      </c>
      <c r="B7658" s="2" t="str">
        <f>IFERROR(__xludf.DUMMYFUNCTION("GOOGLETRANSLATE(A7658, ""en"", ""mt"")"),"X'inhi l-għażla astratta tipikament assunta mill-iktar teoremi teoretiċi tal-kumplessità?")</f>
        <v>X'inhi l-għażla astratta tipikament assunta mill-iktar teoremi teoretiċi tal-kumplessità?</v>
      </c>
    </row>
    <row r="7659" ht="15.75" customHeight="1">
      <c r="A7659" s="2" t="s">
        <v>7659</v>
      </c>
      <c r="B7659" s="2" t="str">
        <f>IFERROR(__xludf.DUMMYFUNCTION("GOOGLETRANSLATE(A7659, ""en"", ""mt"")"),"Il-Gran Brittanja kif ukoll l-Olanda, il-Prussja, u l-Afrika t'Isfel")</f>
        <v>Il-Gran Brittanja kif ukoll l-Olanda, il-Prussja, u l-Afrika t'Isfel</v>
      </c>
    </row>
    <row r="7660" ht="15.75" customHeight="1">
      <c r="A7660" s="2" t="s">
        <v>7660</v>
      </c>
      <c r="B7660" s="2" t="str">
        <f>IFERROR(__xludf.DUMMYFUNCTION("GOOGLETRANSLATE(A7660, ""en"", ""mt"")"),"Liema terminu jikkorrispondi għall-kejl massimu tal-ħin fil-funzjonijiet kollha ta 'N?")</f>
        <v>Liema terminu jikkorrispondi għall-kejl massimu tal-ħin fil-funzjonijiet kollha ta 'N?</v>
      </c>
    </row>
    <row r="7661" ht="15.75" customHeight="1">
      <c r="A7661" s="2" t="s">
        <v>7661</v>
      </c>
      <c r="B7661" s="2" t="str">
        <f>IFERROR(__xludf.DUMMYFUNCTION("GOOGLETRANSLATE(A7661, ""en"", ""mt"")"),"Dik iż-żieda kienet l-istess bħall-piż tal-arja li ġrew lura")</f>
        <v>Dik iż-żieda kienet l-istess bħall-piż tal-arja li ġrew lura</v>
      </c>
    </row>
    <row r="7662" ht="15.75" customHeight="1">
      <c r="A7662" s="2" t="s">
        <v>7662</v>
      </c>
      <c r="B7662" s="2" t="str">
        <f>IFERROR(__xludf.DUMMYFUNCTION("GOOGLETRANSLATE(A7662, ""en"", ""mt"")"),"Liema park huwa l-iżgħar?")</f>
        <v>Liema park huwa l-iżgħar?</v>
      </c>
    </row>
    <row r="7663" ht="15.75" customHeight="1">
      <c r="A7663" s="2" t="s">
        <v>7663</v>
      </c>
      <c r="B7663" s="2" t="str">
        <f>IFERROR(__xludf.DUMMYFUNCTION("GOOGLETRANSLATE(A7663, ""en"", ""mt"")"),"X’sar obbligatorju fil-Massachusetts fl-1976?")</f>
        <v>X’sar obbligatorju fil-Massachusetts fl-1976?</v>
      </c>
    </row>
    <row r="7664" ht="15.75" customHeight="1">
      <c r="A7664" s="2" t="s">
        <v>7664</v>
      </c>
      <c r="B7664" s="2" t="str">
        <f>IFERROR(__xludf.DUMMYFUNCTION("GOOGLETRANSLATE(A7664, ""en"", ""mt"")"),"Kyoto Protocol ittratta liema tnaqqis?")</f>
        <v>Kyoto Protocol ittratta liema tnaqqis?</v>
      </c>
    </row>
    <row r="7665" ht="15.75" customHeight="1">
      <c r="A7665" s="2" t="s">
        <v>7665</v>
      </c>
      <c r="B7665" s="2" t="str">
        <f>IFERROR(__xludf.DUMMYFUNCTION("GOOGLETRANSLATE(A7665, ""en"", ""mt"")"),"L-idea li l-Islam jista 'jkun apolitiku ma jistax jiġi mħaddem minn min?")</f>
        <v>L-idea li l-Islam jista 'jkun apolitiku ma jistax jiġi mħaddem minn min?</v>
      </c>
    </row>
    <row r="7666" ht="15.75" customHeight="1">
      <c r="A7666" s="2" t="s">
        <v>7666</v>
      </c>
      <c r="B7666" s="2" t="str">
        <f>IFERROR(__xludf.DUMMYFUNCTION("GOOGLETRANSLATE(A7666, ""en"", ""mt"")"),"ITV")</f>
        <v>ITV</v>
      </c>
    </row>
    <row r="7667" ht="15.75" customHeight="1">
      <c r="A7667" s="2" t="s">
        <v>7667</v>
      </c>
      <c r="B7667" s="2" t="str">
        <f>IFERROR(__xludf.DUMMYFUNCTION("GOOGLETRANSLATE(A7667, ""en"", ""mt"")"),"Kemm hemm nies jgħixu fil-Karpazja?")</f>
        <v>Kemm hemm nies jgħixu fil-Karpazja?</v>
      </c>
    </row>
    <row r="7668" ht="15.75" customHeight="1">
      <c r="A7668" s="2" t="s">
        <v>7668</v>
      </c>
      <c r="B7668" s="2" t="str">
        <f>IFERROR(__xludf.DUMMYFUNCTION("GOOGLETRANSLATE(A7668, ""en"", ""mt"")"),"it-twemmin tagħhom fil-validità tal-kuntratt soċjali")</f>
        <v>it-twemmin tagħhom fil-validità tal-kuntratt soċjali</v>
      </c>
    </row>
    <row r="7669" ht="15.75" customHeight="1">
      <c r="A7669" s="2" t="s">
        <v>7669</v>
      </c>
      <c r="B7669" s="2" t="str">
        <f>IFERROR(__xludf.DUMMYFUNCTION("GOOGLETRANSLATE(A7669, ""en"", ""mt"")"),"Sistema tradizzjonali Ċiniża Awtokratika-Bureakratika")</f>
        <v>Sistema tradizzjonali Ċiniża Awtokratika-Bureakratika</v>
      </c>
    </row>
    <row r="7670" ht="15.75" customHeight="1">
      <c r="A7670" s="2" t="s">
        <v>7670</v>
      </c>
      <c r="B7670" s="2" t="str">
        <f>IFERROR(__xludf.DUMMYFUNCTION("GOOGLETRANSLATE(A7670, ""en"", ""mt"")"),"Federica Mogherini")</f>
        <v>Federica Mogherini</v>
      </c>
    </row>
    <row r="7671" ht="15.75" customHeight="1">
      <c r="A7671" s="2" t="s">
        <v>7671</v>
      </c>
      <c r="B7671" s="2" t="str">
        <f>IFERROR(__xludf.DUMMYFUNCTION("GOOGLETRANSLATE(A7671, ""en"", ""mt"")"),"X'inhu, flimkien ma 'l-ammissjoni, l-egżost, u l-kompressjoni, huwa avveniment fiċ-ċiklu tal-fwar?")</f>
        <v>X'inhu, flimkien ma 'l-ammissjoni, l-egżost, u l-kompressjoni, huwa avveniment fiċ-ċiklu tal-fwar?</v>
      </c>
    </row>
    <row r="7672" ht="15.75" customHeight="1">
      <c r="A7672" s="2" t="s">
        <v>7672</v>
      </c>
      <c r="B7672" s="2" t="str">
        <f>IFERROR(__xludf.DUMMYFUNCTION("GOOGLETRANSLATE(A7672, ""en"", ""mt"")"),"""Ġeneralment bla bażi u marġinali wkoll għall-valutazzjoni""")</f>
        <v>"Ġeneralment bla bażi u marġinali wkoll għall-valutazzjoni"</v>
      </c>
    </row>
    <row r="7673" ht="15.75" customHeight="1">
      <c r="A7673" s="2" t="s">
        <v>7673</v>
      </c>
      <c r="B7673" s="2" t="str">
        <f>IFERROR(__xludf.DUMMYFUNCTION("GOOGLETRANSLATE(A7673, ""en"", ""mt"")"),"X’wassal li r-Renu jestendi l-ilma tal-baħar lejn it-tramuntana?")</f>
        <v>X’wassal li r-Renu jestendi l-ilma tal-baħar lejn it-tramuntana?</v>
      </c>
    </row>
    <row r="7674" ht="15.75" customHeight="1">
      <c r="A7674" s="2" t="s">
        <v>7674</v>
      </c>
      <c r="B7674" s="2" t="str">
        <f>IFERROR(__xludf.DUMMYFUNCTION("GOOGLETRANSLATE(A7674, ""en"", ""mt"")"),"4 ta ’Awwissu 1915 sa Novembru 1918")</f>
        <v>4 ta ’Awwissu 1915 sa Novembru 1918</v>
      </c>
    </row>
    <row r="7675" ht="15.75" customHeight="1">
      <c r="A7675" s="2" t="s">
        <v>7675</v>
      </c>
      <c r="B7675" s="2" t="str">
        <f>IFERROR(__xludf.DUMMYFUNCTION("GOOGLETRANSLATE(A7675, ""en"", ""mt"")"),"13")</f>
        <v>13</v>
      </c>
    </row>
    <row r="7676" ht="15.75" customHeight="1">
      <c r="A7676" s="2" t="s">
        <v>7676</v>
      </c>
      <c r="B7676" s="2" t="str">
        <f>IFERROR(__xludf.DUMMYFUNCTION("GOOGLETRANSLATE(A7676, ""en"", ""mt"")"),"Tort ta 'San Andreas")</f>
        <v>Tort ta 'San Andreas</v>
      </c>
    </row>
    <row r="7677" ht="15.75" customHeight="1">
      <c r="A7677" s="2" t="s">
        <v>7677</v>
      </c>
      <c r="B7677" s="2" t="str">
        <f>IFERROR(__xludf.DUMMYFUNCTION("GOOGLETRANSLATE(A7677, ""en"", ""mt"")"),"Celeron kif ma kienx jimmaniġġa n-negozju fuq il-vjaġġ?")</f>
        <v>Celeron kif ma kienx jimmaniġġa n-negozju fuq il-vjaġġ?</v>
      </c>
    </row>
    <row r="7678" ht="15.75" customHeight="1">
      <c r="A7678" s="2" t="s">
        <v>7678</v>
      </c>
      <c r="B7678" s="2" t="str">
        <f>IFERROR(__xludf.DUMMYFUNCTION("GOOGLETRANSLATE(A7678, ""en"", ""mt"")"),"X'inhi s-sistema immunitarja ta 'l-istonku magħrufa bħala?")</f>
        <v>X'inhi s-sistema immunitarja ta 'l-istonku magħrufa bħala?</v>
      </c>
    </row>
    <row r="7679" ht="15.75" customHeight="1">
      <c r="A7679" s="2" t="s">
        <v>7679</v>
      </c>
      <c r="B7679" s="2" t="str">
        <f>IFERROR(__xludf.DUMMYFUNCTION("GOOGLETRANSLATE(A7679, ""en"", ""mt"")"),"Qabel ma jkun għadda l-abbozz, dan isir att ta 'xiex?")</f>
        <v>Qabel ma jkun għadda l-abbozz, dan isir att ta 'xiex?</v>
      </c>
    </row>
    <row r="7680" ht="15.75" customHeight="1">
      <c r="A7680" s="2" t="s">
        <v>7680</v>
      </c>
      <c r="B7680" s="2" t="str">
        <f>IFERROR(__xludf.DUMMYFUNCTION("GOOGLETRANSLATE(A7680, ""en"", ""mt"")"),"Kemm hija wiesgħa ta 'żona li għaddejja x-Xmara Charles?")</f>
        <v>Kemm hija wiesgħa ta 'żona li għaddejja x-Xmara Charles?</v>
      </c>
    </row>
    <row r="7681" ht="15.75" customHeight="1">
      <c r="A7681" s="2" t="s">
        <v>7681</v>
      </c>
      <c r="B7681" s="2" t="str">
        <f>IFERROR(__xludf.DUMMYFUNCTION("GOOGLETRANSLATE(A7681, ""en"", ""mt"")"),"X'inhu l-pajjiż l-ieħor li r-Renu jifred l-Isvizzera?")</f>
        <v>X'inhu l-pajjiż l-ieħor li r-Renu jifred l-Isvizzera?</v>
      </c>
    </row>
    <row r="7682" ht="15.75" customHeight="1">
      <c r="A7682" s="2" t="s">
        <v>7682</v>
      </c>
      <c r="B7682" s="2" t="str">
        <f>IFERROR(__xludf.DUMMYFUNCTION("GOOGLETRANSLATE(A7682, ""en"", ""mt"")"),"X'inhuma eżempji ta 'proteini organiċi?")</f>
        <v>X'inhuma eżempji ta 'proteini organiċi?</v>
      </c>
    </row>
    <row r="7683" ht="15.75" customHeight="1">
      <c r="A7683" s="2" t="s">
        <v>7683</v>
      </c>
      <c r="B7683" s="2" t="str">
        <f>IFERROR(__xludf.DUMMYFUNCTION("GOOGLETRANSLATE(A7683, ""en"", ""mt"")"),"Min kiteb l-istudju ppubblikat fin-Natura f'Ottubru 2011?")</f>
        <v>Min kiteb l-istudju ppubblikat fin-Natura f'Ottubru 2011?</v>
      </c>
    </row>
    <row r="7684" ht="15.75" customHeight="1">
      <c r="A7684" s="2" t="s">
        <v>7684</v>
      </c>
      <c r="B7684" s="2" t="str">
        <f>IFERROR(__xludf.DUMMYFUNCTION("GOOGLETRANSLATE(A7684, ""en"", ""mt"")"),"Il-Mermaid (Syrenka) hija s-simbolu ta ’Varsavja u tista’ tinstab fuq statwi madwar il-belt u fuq l-istemma tal-belt. Din ix-xbihat ilhom jintużaw mill-inqas f'nofs is-seklu 14. L-eqdem siġill armat eżistenti ta 'Varsavja huwa mis-sena 1390, li jikkonsist"&amp;"i minn siġill tond imdawwar bl-iskrizzjoni Latina Sigilium Civitatis varsoviensis (siġill tal-belt ta' Varsavja). City Records sa l-1609 jiddokumentaw l-użu ta 'forma mhux raffinata ta' mostru tal-baħar ma 'parti ta' fuq tal-ġisem u żżomm xabla fid-dwiefe"&amp;"r tagħha. Fl-1653 il-poeta Zygmunt Laukowski jistaqsi l-mistoqsija:")</f>
        <v>Il-Mermaid (Syrenka) hija s-simbolu ta ’Varsavja u tista’ tinstab fuq statwi madwar il-belt u fuq l-istemma tal-belt. Din ix-xbihat ilhom jintużaw mill-inqas f'nofs is-seklu 14. L-eqdem siġill armat eżistenti ta 'Varsavja huwa mis-sena 1390, li jikkonsisti minn siġill tond imdawwar bl-iskrizzjoni Latina Sigilium Civitatis varsoviensis (siġill tal-belt ta' Varsavja). City Records sa l-1609 jiddokumentaw l-użu ta 'forma mhux raffinata ta' mostru tal-baħar ma 'parti ta' fuq tal-ġisem u żżomm xabla fid-dwiefer tagħha. Fl-1653 il-poeta Zygmunt Laukowski jistaqsi l-mistoqsija:</v>
      </c>
    </row>
    <row r="7685" ht="15.75" customHeight="1">
      <c r="A7685" s="2" t="s">
        <v>7685</v>
      </c>
      <c r="B7685" s="2" t="str">
        <f>IFERROR(__xludf.DUMMYFUNCTION("GOOGLETRANSLATE(A7685, ""en"", ""mt"")"),"Teorija koerenti tal-gravità kwantistika")</f>
        <v>Teorija koerenti tal-gravità kwantistika</v>
      </c>
    </row>
    <row r="7686" ht="15.75" customHeight="1">
      <c r="A7686" s="2" t="s">
        <v>7686</v>
      </c>
      <c r="B7686" s="2" t="str">
        <f>IFERROR(__xludf.DUMMYFUNCTION("GOOGLETRANSLATE(A7686, ""en"", ""mt"")"),"ippubblikat l-ewwel")</f>
        <v>ippubblikat l-ewwel</v>
      </c>
    </row>
    <row r="7687" ht="15.75" customHeight="1">
      <c r="A7687" s="2" t="s">
        <v>7687</v>
      </c>
      <c r="B7687" s="2" t="str">
        <f>IFERROR(__xludf.DUMMYFUNCTION("GOOGLETRANSLATE(A7687, ""en"", ""mt"")"),"X'inhi s-suite tal-protokoll?")</f>
        <v>X'inhi s-suite tal-protokoll?</v>
      </c>
    </row>
    <row r="7688" ht="15.75" customHeight="1">
      <c r="A7688" s="2" t="s">
        <v>7688</v>
      </c>
      <c r="B7688" s="2" t="str">
        <f>IFERROR(__xludf.DUMMYFUNCTION("GOOGLETRANSLATE(A7688, ""en"", ""mt"")"),"Fit-Tieni Gwerra Dinjija, Charles de Gaulle u l-Franċiżi ħielsa użaw il-kolonji barranin bħala bażi li minnhom huma ġġieldu biex jilliberaw lil Franza. Madankollu wara l-1945 movimenti anti-kolonjali bdew jikkontestaw l-imperu. Franza ġġieldet u tilfet gw"&amp;"erra morra fil-Vjetnam fil-ħamsinijiet. Billi huma rebħu l-gwerra fl-Alġerija, il-mexxej Franċiż dak iż-żmien, Charles de Gaulle, iddeċidew li jagħtu l-indipendenza tal-Alġerija xorta waħda fl-1962. Il-kolonizzaturi tagħha u ħafna partitarji lokali rrilok"&amp;"aw lejn Franza. Kważi l-kolonji kollha ta 'Franza kisbu l-indipendenza sal-1960, iżda Franza żammet influwenza finanzjarja u diplomatika kbira. Huwa ripetutament bagħat truppi biex jgħinu lill-kolonji preċedenti tagħha fl-Afrika biex irażżnu l-insurrezzjo"&amp;"nijiet u l-kolp ta 'stat.")</f>
        <v>Fit-Tieni Gwerra Dinjija, Charles de Gaulle u l-Franċiżi ħielsa użaw il-kolonji barranin bħala bażi li minnhom huma ġġieldu biex jilliberaw lil Franza. Madankollu wara l-1945 movimenti anti-kolonjali bdew jikkontestaw l-imperu. Franza ġġieldet u tilfet gwerra morra fil-Vjetnam fil-ħamsinijiet. Billi huma rebħu l-gwerra fl-Alġerija, il-mexxej Franċiż dak iż-żmien, Charles de Gaulle, iddeċidew li jagħtu l-indipendenza tal-Alġerija xorta waħda fl-1962. Il-kolonizzaturi tagħha u ħafna partitarji lokali rrilokaw lejn Franza. Kważi l-kolonji kollha ta 'Franza kisbu l-indipendenza sal-1960, iżda Franza żammet influwenza finanzjarja u diplomatika kbira. Huwa ripetutament bagħat truppi biex jgħinu lill-kolonji preċedenti tagħha fl-Afrika biex irażżnu l-insurrezzjonijiet u l-kolp ta 'stat.</v>
      </c>
    </row>
    <row r="7689" ht="15.75" customHeight="1">
      <c r="A7689" s="2" t="s">
        <v>7689</v>
      </c>
      <c r="B7689" s="2" t="str">
        <f>IFERROR(__xludf.DUMMYFUNCTION("GOOGLETRANSLATE(A7689, ""en"", ""mt"")"),"Il-baqar ingħataw ix-xmara hemmhekk")</f>
        <v>Il-baqar ingħataw ix-xmara hemmhekk</v>
      </c>
    </row>
    <row r="7690" ht="15.75" customHeight="1">
      <c r="A7690" s="2" t="s">
        <v>7690</v>
      </c>
      <c r="B7690" s="2" t="str">
        <f>IFERROR(__xludf.DUMMYFUNCTION("GOOGLETRANSLATE(A7690, ""en"", ""mt"")")," Liema belt qatt ma laħqet il-Gran Canal waqt il-wan?")</f>
        <v> Liema belt qatt ma laħqet il-Gran Canal waqt il-wan?</v>
      </c>
    </row>
    <row r="7691" ht="15.75" customHeight="1">
      <c r="A7691" s="2" t="s">
        <v>7691</v>
      </c>
      <c r="B7691" s="2" t="str">
        <f>IFERROR(__xludf.DUMMYFUNCTION("GOOGLETRANSLATE(A7691, ""en"", ""mt"")"),"Min hu responsabbli għall-monitoraġġ tad-dejta dwar il-klima?")</f>
        <v>Min hu responsabbli għall-monitoraġġ tad-dejta dwar il-klima?</v>
      </c>
    </row>
    <row r="7692" ht="15.75" customHeight="1">
      <c r="A7692" s="2" t="s">
        <v>7692</v>
      </c>
      <c r="B7692" s="2" t="str">
        <f>IFERROR(__xludf.DUMMYFUNCTION("GOOGLETRANSLATE(A7692, ""en"", ""mt"")"),"1960")</f>
        <v>1960</v>
      </c>
    </row>
    <row r="7693" ht="15.75" customHeight="1">
      <c r="A7693" s="2" t="s">
        <v>7693</v>
      </c>
      <c r="B7693" s="2" t="str">
        <f>IFERROR(__xludf.DUMMYFUNCTION("GOOGLETRANSLATE(A7693, ""en"", ""mt"")"),"Gotiku bikri")</f>
        <v>Gotiku bikri</v>
      </c>
    </row>
    <row r="7694" ht="15.75" customHeight="1">
      <c r="A7694" s="2" t="s">
        <v>7694</v>
      </c>
      <c r="B7694" s="2" t="str">
        <f>IFERROR(__xludf.DUMMYFUNCTION("GOOGLETRANSLATE(A7694, ""en"", ""mt"")"),"Tamara de Lempicka kienet artist famuż imwieled f'Varsavja. Hija twieldet Maria Górska f'Varsavja lil ġenituri sinjuri u fl-1916 iżżewġet avukat Pollakk Tadeusz łempicki. Aħjar minn ħaddieħor hi rrappreżentat l-istil Art Deco fil-pittura u l-arti. Nathan "&amp;"Alterman, il-poeta Iżraeljan, twieled f'Varsavja, kif kien Moshe Vilenski, il-kompożitur, lyricist u pjanista Iżraeljan, li studja l-mużika fil-Konservatorju ta 'Varsavja. Varsavja kienet il-belt maħbuba ta ’Isaac Bashevis Singer, li huwa ddeskriva f’ħafn"&amp;"a mir-rumanzi tiegħu: Varsavja għadha kemm inqerdet. Ħadd qatt mhu se jara l-Varsavja li kont naf. Ħallini nikteb biss dwarha. Ħalli dan il-Varsavja ma tisparixxix għal dejjem, huwa kkummenta.")</f>
        <v>Tamara de Lempicka kienet artist famuż imwieled f'Varsavja. Hija twieldet Maria Górska f'Varsavja lil ġenituri sinjuri u fl-1916 iżżewġet avukat Pollakk Tadeusz łempicki. Aħjar minn ħaddieħor hi rrappreżentat l-istil Art Deco fil-pittura u l-arti. Nathan Alterman, il-poeta Iżraeljan, twieled f'Varsavja, kif kien Moshe Vilenski, il-kompożitur, lyricist u pjanista Iżraeljan, li studja l-mużika fil-Konservatorju ta 'Varsavja. Varsavja kienet il-belt maħbuba ta ’Isaac Bashevis Singer, li huwa ddeskriva f’ħafna mir-rumanzi tiegħu: Varsavja għadha kemm inqerdet. Ħadd qatt mhu se jara l-Varsavja li kont naf. Ħallini nikteb biss dwarha. Ħalli dan il-Varsavja ma tisparixxix għal dejjem, huwa kkummenta.</v>
      </c>
    </row>
    <row r="7695" ht="15.75" customHeight="1">
      <c r="A7695" s="2" t="s">
        <v>7695</v>
      </c>
      <c r="B7695" s="2" t="str">
        <f>IFERROR(__xludf.DUMMYFUNCTION("GOOGLETRANSLATE(A7695, ""en"", ""mt"")"),"X’kien fihom l-oġġetti fil-moviment sfurzat skont l-idea medjevali tard li jinfluwenzaw lil Aristotile?")</f>
        <v>X’kien fihom l-oġġetti fil-moviment sfurzat skont l-idea medjevali tard li jinfluwenzaw lil Aristotile?</v>
      </c>
    </row>
    <row r="7696" ht="15.75" customHeight="1">
      <c r="A7696" s="2" t="s">
        <v>7696</v>
      </c>
      <c r="B7696" s="2" t="str">
        <f>IFERROR(__xludf.DUMMYFUNCTION("GOOGLETRANSLATE(A7696, ""en"", ""mt"")"),"1569")</f>
        <v>1569</v>
      </c>
    </row>
    <row r="7697" ht="15.75" customHeight="1">
      <c r="A7697" s="2" t="s">
        <v>7697</v>
      </c>
      <c r="B7697" s="2" t="str">
        <f>IFERROR(__xludf.DUMMYFUNCTION("GOOGLETRANSLATE(A7697, ""en"", ""mt"")"),"X’jagħmel il-ġnub tan-Nofsinhar tal-Alpi?")</f>
        <v>X’jagħmel il-ġnub tan-Nofsinhar tal-Alpi?</v>
      </c>
    </row>
    <row r="7698" ht="15.75" customHeight="1">
      <c r="A7698" s="2" t="s">
        <v>7698</v>
      </c>
      <c r="B7698" s="2" t="str">
        <f>IFERROR(__xludf.DUMMYFUNCTION("GOOGLETRANSLATE(A7698, ""en"", ""mt"")"),"Minn liema pajjiż DoD REWE-ZENTRALE AG ma jixtieqx jimporta?")</f>
        <v>Minn liema pajjiż DoD REWE-ZENTRALE AG ma jixtieqx jimporta?</v>
      </c>
    </row>
    <row r="7699" ht="15.75" customHeight="1">
      <c r="A7699" s="2" t="s">
        <v>7699</v>
      </c>
      <c r="B7699" s="2" t="str">
        <f>IFERROR(__xludf.DUMMYFUNCTION("GOOGLETRANSLATE(A7699, ""en"", ""mt"")"),"F'liema punt tibda tiġri t-tossiċità tal-ossiġnu?")</f>
        <v>F'liema punt tibda tiġri t-tossiċità tal-ossiġnu?</v>
      </c>
    </row>
    <row r="7700" ht="15.75" customHeight="1">
      <c r="A7700" s="2" t="s">
        <v>7700</v>
      </c>
      <c r="B7700" s="2" t="str">
        <f>IFERROR(__xludf.DUMMYFUNCTION("GOOGLETRANSLATE(A7700, ""en"", ""mt"")"),"Kif kien imsejjaħ il-perjodu li kien 505 miljun sena ilu?")</f>
        <v>Kif kien imsejjaħ il-perjodu li kien 505 miljun sena ilu?</v>
      </c>
    </row>
    <row r="7701" ht="15.75" customHeight="1">
      <c r="A7701" s="2" t="s">
        <v>7701</v>
      </c>
      <c r="B7701" s="2" t="str">
        <f>IFERROR(__xludf.DUMMYFUNCTION("GOOGLETRANSLATE(A7701, ""en"", ""mt"")"),"Arja")</f>
        <v>Arja</v>
      </c>
    </row>
    <row r="7702" ht="15.75" customHeight="1">
      <c r="A7702" s="2" t="s">
        <v>7702</v>
      </c>
      <c r="B7702" s="2" t="str">
        <f>IFERROR(__xludf.DUMMYFUNCTION("GOOGLETRANSLATE(A7702, ""en"", ""mt"")"),"ħafna ogħla")</f>
        <v>ħafna ogħla</v>
      </c>
    </row>
    <row r="7703" ht="15.75" customHeight="1">
      <c r="A7703" s="2" t="s">
        <v>7703</v>
      </c>
      <c r="B7703" s="2" t="str">
        <f>IFERROR(__xludf.DUMMYFUNCTION("GOOGLETRANSLATE(A7703, ""en"", ""mt"")"),"Magna tat-Turing mhux Deterministika")</f>
        <v>Magna tat-Turing mhux Deterministika</v>
      </c>
    </row>
    <row r="7704" ht="15.75" customHeight="1">
      <c r="A7704" s="2" t="s">
        <v>7704</v>
      </c>
      <c r="B7704" s="2" t="str">
        <f>IFERROR(__xludf.DUMMYFUNCTION("GOOGLETRANSLATE(A7704, ""en"", ""mt"")"),"Perspettiva Iżlamika qawwija")</f>
        <v>Perspettiva Iżlamika qawwija</v>
      </c>
    </row>
    <row r="7705" ht="15.75" customHeight="1">
      <c r="A7705" s="2" t="s">
        <v>7705</v>
      </c>
      <c r="B7705" s="2" t="str">
        <f>IFERROR(__xludf.DUMMYFUNCTION("GOOGLETRANSLATE(A7705, ""en"", ""mt"")"),"X'inhu l-prinċipju bażiku tal-Parlament Kanadiż?")</f>
        <v>X'inhu l-prinċipju bażiku tal-Parlament Kanadiż?</v>
      </c>
    </row>
    <row r="7706" ht="15.75" customHeight="1">
      <c r="A7706" s="2" t="s">
        <v>7706</v>
      </c>
      <c r="B7706" s="2" t="str">
        <f>IFERROR(__xludf.DUMMYFUNCTION("GOOGLETRANSLATE(A7706, ""en"", ""mt"")"),"X'inhu jiddelimita d-Delta tar-Renu fil-Lvant?")</f>
        <v>X'inhu jiddelimita d-Delta tar-Renu fil-Lvant?</v>
      </c>
    </row>
    <row r="7707" ht="15.75" customHeight="1">
      <c r="A7707" s="2" t="s">
        <v>7707</v>
      </c>
      <c r="B7707" s="2" t="str">
        <f>IFERROR(__xludf.DUMMYFUNCTION("GOOGLETRANSLATE(A7707, ""en"", ""mt"")"),"Aqla 'daqs żagħżugħ b'saħħtu")</f>
        <v>Aqla 'daqs żagħżugħ b'saħħtu</v>
      </c>
    </row>
    <row r="7708" ht="15.75" customHeight="1">
      <c r="A7708" s="2" t="s">
        <v>7708</v>
      </c>
      <c r="B7708" s="2" t="str">
        <f>IFERROR(__xludf.DUMMYFUNCTION("GOOGLETRANSLATE(A7708, ""en"", ""mt"")"),"semi-privat")</f>
        <v>semi-privat</v>
      </c>
    </row>
    <row r="7709" ht="15.75" customHeight="1">
      <c r="A7709" s="2" t="s">
        <v>7709</v>
      </c>
      <c r="B7709" s="2" t="str">
        <f>IFERROR(__xludf.DUMMYFUNCTION("GOOGLETRANSLATE(A7709, ""en"", ""mt"")"),"għall-biża 'ta' ħajjithom")</f>
        <v>għall-biża 'ta' ħajjithom</v>
      </c>
    </row>
    <row r="7710" ht="15.75" customHeight="1">
      <c r="A7710" s="2" t="s">
        <v>7710</v>
      </c>
      <c r="B7710" s="2" t="str">
        <f>IFERROR(__xludf.DUMMYFUNCTION("GOOGLETRANSLATE(A7710, ""en"", ""mt"")"),"Liema problema f'C hija iktar diffiċli minn X?")</f>
        <v>Liema problema f'C hija iktar diffiċli minn X?</v>
      </c>
    </row>
    <row r="7711" ht="15.75" customHeight="1">
      <c r="A7711" s="2" t="s">
        <v>7711</v>
      </c>
      <c r="B7711" s="2" t="str">
        <f>IFERROR(__xludf.DUMMYFUNCTION("GOOGLETRANSLATE(A7711, ""en"", ""mt"")"),"Servizz tal-Ħażna Cloud")</f>
        <v>Servizz tal-Ħażna Cloud</v>
      </c>
    </row>
    <row r="7712" ht="15.75" customHeight="1">
      <c r="A7712" s="2" t="s">
        <v>7712</v>
      </c>
      <c r="B7712" s="2" t="str">
        <f>IFERROR(__xludf.DUMMYFUNCTION("GOOGLETRANSLATE(A7712, ""en"", ""mt"")"),"F'liema sena ġie inkurunat Louis XIII?")</f>
        <v>F'liema sena ġie inkurunat Louis XIII?</v>
      </c>
    </row>
    <row r="7713" ht="15.75" customHeight="1">
      <c r="A7713" s="2" t="s">
        <v>7713</v>
      </c>
      <c r="B7713" s="2" t="str">
        <f>IFERROR(__xludf.DUMMYFUNCTION("GOOGLETRANSLATE(A7713, ""en"", ""mt"")"),"Il-Clippers ta ’Los Angeles huma tim li jappartjeni għal liema sport?")</f>
        <v>Il-Clippers ta ’Los Angeles huma tim li jappartjeni għal liema sport?</v>
      </c>
    </row>
    <row r="7714" ht="15.75" customHeight="1">
      <c r="A7714" s="2" t="s">
        <v>7714</v>
      </c>
      <c r="B7714" s="2" t="str">
        <f>IFERROR(__xludf.DUMMYFUNCTION("GOOGLETRANSLATE(A7714, ""en"", ""mt"")"),"Kemm mill-fluss tal-ilma jikseb il-waal mir-Rhine?")</f>
        <v>Kemm mill-fluss tal-ilma jikseb il-waal mir-Rhine?</v>
      </c>
    </row>
    <row r="7715" ht="15.75" customHeight="1">
      <c r="A7715" s="2" t="s">
        <v>7715</v>
      </c>
      <c r="B7715" s="2" t="str">
        <f>IFERROR(__xludf.DUMMYFUNCTION("GOOGLETRANSLATE(A7715, ""en"", ""mt"")")," Meta Zhenjin kellu tifel?")</f>
        <v> Meta Zhenjin kellu tifel?</v>
      </c>
    </row>
    <row r="7716" ht="15.75" customHeight="1">
      <c r="A7716" s="2" t="s">
        <v>7716</v>
      </c>
      <c r="B7716" s="2" t="str">
        <f>IFERROR(__xludf.DUMMYFUNCTION("GOOGLETRANSLATE(A7716, ""en"", ""mt"")"),"X’wassal għal inugwaljanza bi dħul aktar baxx?")</f>
        <v>X’wassal għal inugwaljanza bi dħul aktar baxx?</v>
      </c>
    </row>
    <row r="7717" ht="15.75" customHeight="1">
      <c r="A7717" s="2" t="s">
        <v>7717</v>
      </c>
      <c r="B7717" s="2" t="str">
        <f>IFERROR(__xludf.DUMMYFUNCTION("GOOGLETRANSLATE(A7717, ""en"", ""mt"")"),"Lokomottivi tal-ferrovija")</f>
        <v>Lokomottivi tal-ferrovija</v>
      </c>
    </row>
    <row r="7718" ht="15.75" customHeight="1">
      <c r="A7718" s="2" t="s">
        <v>7718</v>
      </c>
      <c r="B7718" s="2" t="str">
        <f>IFERROR(__xludf.DUMMYFUNCTION("GOOGLETRANSLATE(A7718, ""en"", ""mt"")"),"Liema tweġiba politika kienet tlaqqa 'f'Ġunju / Lulju 1754?")</f>
        <v>Liema tweġiba politika kienet tlaqqa 'f'Ġunju / Lulju 1754?</v>
      </c>
    </row>
    <row r="7719" ht="15.75" customHeight="1">
      <c r="A7719" s="2" t="s">
        <v>7719</v>
      </c>
      <c r="B7719" s="2" t="str">
        <f>IFERROR(__xludf.DUMMYFUNCTION("GOOGLETRANSLATE(A7719, ""en"", ""mt"")"),"Liema pajjiżi jużaw is-salib Grieg aħmar bħala simbolu tal-ispiżerija?")</f>
        <v>Liema pajjiżi jużaw is-salib Grieg aħmar bħala simbolu tal-ispiżerija?</v>
      </c>
    </row>
    <row r="7720" ht="15.75" customHeight="1">
      <c r="A7720" s="2" t="s">
        <v>7720</v>
      </c>
      <c r="B7720" s="2" t="str">
        <f>IFERROR(__xludf.DUMMYFUNCTION("GOOGLETRANSLATE(A7720, ""en"", ""mt"")"),"Madwar miljun")</f>
        <v>Madwar miljun</v>
      </c>
    </row>
    <row r="7721" ht="15.75" customHeight="1">
      <c r="A7721" s="2" t="s">
        <v>7721</v>
      </c>
      <c r="B7721" s="2" t="str">
        <f>IFERROR(__xludf.DUMMYFUNCTION("GOOGLETRANSLATE(A7721, ""en"", ""mt"")"),"Min hu l-missier ta 'Sofokli?")</f>
        <v>Min hu l-missier ta 'Sofokli?</v>
      </c>
    </row>
    <row r="7722" ht="15.75" customHeight="1">
      <c r="A7722" s="2" t="s">
        <v>7722</v>
      </c>
      <c r="B7722" s="2" t="str">
        <f>IFERROR(__xludf.DUMMYFUNCTION("GOOGLETRANSLATE(A7722, ""en"", ""mt"")"),"Kiesaħ wisq fl-Ewropa tat-Tramuntana għas-sopravivenza tal-briegħed")</f>
        <v>Kiesaħ wisq fl-Ewropa tat-Tramuntana għas-sopravivenza tal-briegħed</v>
      </c>
    </row>
    <row r="7723" ht="15.75" customHeight="1">
      <c r="A7723" s="2" t="s">
        <v>7723</v>
      </c>
      <c r="B7723" s="2" t="str">
        <f>IFERROR(__xludf.DUMMYFUNCTION("GOOGLETRANSLATE(A7723, ""en"", ""mt"")"),"in-natura li tista 'tinqata' tal-ħaddiem b'rabta max-xogħol partikolari tiegħu jew tagħha")</f>
        <v>in-natura li tista 'tinqata' tal-ħaddiem b'rabta max-xogħol partikolari tiegħu jew tagħha</v>
      </c>
    </row>
    <row r="7724" ht="15.75" customHeight="1">
      <c r="A7724" s="2" t="s">
        <v>7724</v>
      </c>
      <c r="B7724" s="2" t="str">
        <f>IFERROR(__xludf.DUMMYFUNCTION("GOOGLETRANSLATE(A7724, ""en"", ""mt"")"),"il-kompetenzi devoluti")</f>
        <v>il-kompetenzi devoluti</v>
      </c>
    </row>
    <row r="7725" ht="15.75" customHeight="1">
      <c r="A7725" s="2" t="s">
        <v>7725</v>
      </c>
      <c r="B7725" s="2" t="str">
        <f>IFERROR(__xludf.DUMMYFUNCTION("GOOGLETRANSLATE(A7725, ""en"", ""mt"")"),"Dak li s-sjieda privata ma toħloqx sitwazzjoni?")</f>
        <v>Dak li s-sjieda privata ma toħloqx sitwazzjoni?</v>
      </c>
    </row>
    <row r="7726" ht="15.75" customHeight="1">
      <c r="A7726" s="2" t="s">
        <v>7726</v>
      </c>
      <c r="B7726" s="2" t="str">
        <f>IFERROR(__xludf.DUMMYFUNCTION("GOOGLETRANSLATE(A7726, ""en"", ""mt"")"),"X'jista 'u l-bniedem antik, marid ma jagħmilx?")</f>
        <v>X'jista 'u l-bniedem antik, marid ma jagħmilx?</v>
      </c>
    </row>
    <row r="7727" ht="15.75" customHeight="1">
      <c r="A7727" s="2" t="s">
        <v>7727</v>
      </c>
      <c r="B7727" s="2" t="str">
        <f>IFERROR(__xludf.DUMMYFUNCTION("GOOGLETRANSLATE(A7727, ""en"", ""mt"")"),"£ 26,719")</f>
        <v>£ 26,719</v>
      </c>
    </row>
    <row r="7728" ht="15.75" customHeight="1">
      <c r="A7728" s="2" t="s">
        <v>7728</v>
      </c>
      <c r="B7728" s="2" t="str">
        <f>IFERROR(__xludf.DUMMYFUNCTION("GOOGLETRANSLATE(A7728, ""en"", ""mt"")"),"Jekk il-kap tal-gvern jirrifjuta li jinforza deċiżjoni tal-ogħla qorti liema terminoloġija tista 'tintuża?")</f>
        <v>Jekk il-kap tal-gvern jirrifjuta li jinforza deċiżjoni tal-ogħla qorti liema terminoloġija tista 'tintuża?</v>
      </c>
    </row>
    <row r="7729" ht="15.75" customHeight="1">
      <c r="A7729" s="2" t="s">
        <v>7729</v>
      </c>
      <c r="B7729" s="2" t="str">
        <f>IFERROR(__xludf.DUMMYFUNCTION("GOOGLETRANSLATE(A7729, ""en"", ""mt"")"),"djar tal-bidu tas-seklu għoxrin")</f>
        <v>djar tal-bidu tas-seklu għoxrin</v>
      </c>
    </row>
    <row r="7730" ht="15.75" customHeight="1">
      <c r="A7730" s="2" t="s">
        <v>7730</v>
      </c>
      <c r="B7730" s="2" t="str">
        <f>IFERROR(__xludf.DUMMYFUNCTION("GOOGLETRANSLATE(A7730, ""en"", ""mt"")"),"34 miljun sena")</f>
        <v>34 miljun sena</v>
      </c>
    </row>
    <row r="7731" ht="15.75" customHeight="1">
      <c r="A7731" s="2" t="s">
        <v>7731</v>
      </c>
      <c r="B7731" s="2" t="str">
        <f>IFERROR(__xludf.DUMMYFUNCTION("GOOGLETRANSLATE(A7731, ""en"", ""mt"")"),"Hemm sitwazzjoni fejn id-destinazzjoni ma tistax tiġi skoperta?")</f>
        <v>Hemm sitwazzjoni fejn id-destinazzjoni ma tistax tiġi skoperta?</v>
      </c>
    </row>
    <row r="7732" ht="15.75" customHeight="1">
      <c r="A7732" s="2" t="s">
        <v>7732</v>
      </c>
      <c r="B7732" s="2" t="str">
        <f>IFERROR(__xludf.DUMMYFUNCTION("GOOGLETRANSLATE(A7732, ""en"", ""mt"")"),"Skond l-ekonomisti David Castells-Quintana u Vicente Royuela, l-inugwaljanza dejjem tiżdied tagħmel ħsara lit-tkabbir ekonomiku. Qgħad għoli u persistenti, li fih l-inugwaljanza tiżdied, għandu effett negattiv fuq tkabbir ekonomiku sussegwenti fit-tul. Il"&amp;"-qgħad jista 'jagħmel ħsara lit-tkabbir mhux biss minħabba li huwa ħela ta' riżorsi, iżda wkoll minħabba li jiġġenera pressjonijiet ridistributtivi u distorsjonijiet sussegwenti, imexxi lin-nies għall-faqar, jillimita l-likwidità li tillimita l-mobilità t"&amp;"ax-xogħol, u tnaqqas l-istima personali li tippromwovi d-diżlokazzjoni soċjali, l-inkwiet u l-kunflitt. Il-politiki li jimmiraw biex jikkontrollaw il-qgħad u b'mod partikolari biex inaqqsu l-effetti assoċjati mal-inugwaljanza tiegħu jappoġġjaw it-tkabbir "&amp;"ekonomiku.")</f>
        <v>Skond l-ekonomisti David Castells-Quintana u Vicente Royuela, l-inugwaljanza dejjem tiżdied tagħmel ħsara lit-tkabbir ekonomiku. Qgħad għoli u persistenti, li fih l-inugwaljanza tiżdied, għandu effett negattiv fuq tkabbir ekonomiku sussegwenti fit-tul. Il-qgħad jista 'jagħmel ħsara lit-tkabbir mhux biss minħabba li huwa ħela ta' riżorsi, iżda wkoll minħabba li jiġġenera pressjonijiet ridistributtivi u distorsjonijiet sussegwenti, imexxi lin-nies għall-faqar, jillimita l-likwidità li tillimita l-mobilità tax-xogħol, u tnaqqas l-istima personali li tippromwovi d-diżlokazzjoni soċjali, l-inkwiet u l-kunflitt. Il-politiki li jimmiraw biex jikkontrollaw il-qgħad u b'mod partikolari biex inaqqsu l-effetti assoċjati mal-inugwaljanza tiegħu jappoġġjaw it-tkabbir ekonomiku.</v>
      </c>
    </row>
    <row r="7733" ht="15.75" customHeight="1">
      <c r="A7733" s="2" t="s">
        <v>7733</v>
      </c>
      <c r="B7733" s="2" t="str">
        <f>IFERROR(__xludf.DUMMYFUNCTION("GOOGLETRANSLATE(A7733, ""en"", ""mt"")"),"X'tista stabbilixxa formalment il-Vilnius fl-1573?")</f>
        <v>X'tista stabbilixxa formalment il-Vilnius fl-1573?</v>
      </c>
    </row>
    <row r="7734" ht="15.75" customHeight="1">
      <c r="A7734" s="2" t="s">
        <v>7734</v>
      </c>
      <c r="B7734" s="2" t="str">
        <f>IFERROR(__xludf.DUMMYFUNCTION("GOOGLETRANSLATE(A7734, ""en"", ""mt"")"),"Liema qorti kapaċi tinterpreta l-liġi tal-Unjoni Ewropea?")</f>
        <v>Liema qorti kapaċi tinterpreta l-liġi tal-Unjoni Ewropea?</v>
      </c>
    </row>
    <row r="7735" ht="15.75" customHeight="1">
      <c r="A7735" s="2" t="s">
        <v>7735</v>
      </c>
      <c r="B7735" s="2" t="str">
        <f>IFERROR(__xludf.DUMMYFUNCTION("GOOGLETRANSLATE(A7735, ""en"", ""mt"")"),"X'inhu l-ammont minimu ta 'żmien qabel ma kont jista' jidħol fil-liġi?")</f>
        <v>X'inhu l-ammont minimu ta 'żmien qabel ma kont jista' jidħol fil-liġi?</v>
      </c>
    </row>
    <row r="7736" ht="15.75" customHeight="1">
      <c r="A7736" s="2" t="s">
        <v>7736</v>
      </c>
      <c r="B7736" s="2" t="str">
        <f>IFERROR(__xludf.DUMMYFUNCTION("GOOGLETRANSLATE(A7736, ""en"", ""mt"")"),"Riċerkaturi Brittaniċi Richard G. Wilkinson u Kate Pickett sabu rati ogħla ta 'problemi tas-saħħa u soċjali (obeżità, mard mentali, omiċidi, twelid adoloxxenti, inkarċerazzjoni, kunflitt tat-tfal, użu tad-droga), u rati aktar baxxi ta' oġġetti soċjali (għ"&amp;"omor tal-ħajja (l-istennija tal-ħajja mill-pajjiż, Prestazzjoni edukattiva, fiduċja fost barranin, status tan-nisa, mobilità soċjali, anke numru ta 'privattivi maħruġa) f'pajjiżi u stati b'inugwaljanza ogħla. Bl-użu ta 'statistika minn 23 pajjiż żviluppat"&amp;" u l-50 stat ta' l-Istati Uniti, sabu problemi soċjali / ta 'saħħa aktar baxxi f'pajjiżi bħall-Ġappun u l-Finlandja u stati bħall-Utah u New Hampshire b'livelli għoljin ta' ugwaljanza, milli f'pajjiżi (l-Istati Uniti u r-Renju Unit) u stati (Mississippi u"&amp;" New York) b'differenzi kbar fid-dħul tad-djar.")</f>
        <v>Riċerkaturi Brittaniċi Richard G. Wilkinson u Kate Pickett sabu rati ogħla ta 'problemi tas-saħħa u soċjali (obeżità, mard mentali, omiċidi, twelid adoloxxenti, inkarċerazzjoni, kunflitt tat-tfal, użu tad-droga), u rati aktar baxxi ta' oġġetti soċjali (għomor tal-ħajja (l-istennija tal-ħajja mill-pajjiż, Prestazzjoni edukattiva, fiduċja fost barranin, status tan-nisa, mobilità soċjali, anke numru ta 'privattivi maħruġa) f'pajjiżi u stati b'inugwaljanza ogħla. Bl-użu ta 'statistika minn 23 pajjiż żviluppat u l-50 stat ta' l-Istati Uniti, sabu problemi soċjali / ta 'saħħa aktar baxxi f'pajjiżi bħall-Ġappun u l-Finlandja u stati bħall-Utah u New Hampshire b'livelli għoljin ta' ugwaljanza, milli f'pajjiżi (l-Istati Uniti u r-Renju Unit) u stati (Mississippi u New York) b'differenzi kbar fid-dħul tad-djar.</v>
      </c>
    </row>
    <row r="7737" ht="15.75" customHeight="1">
      <c r="A7737" s="2" t="s">
        <v>7737</v>
      </c>
      <c r="B7737" s="2" t="str">
        <f>IFERROR(__xludf.DUMMYFUNCTION("GOOGLETRANSLATE(A7737, ""en"", ""mt"")"),"Għaliex huwa faċli li tuża l-assenza ta 'organiżmu biex turi l-età ta' formazzjoni?")</f>
        <v>Għaliex huwa faċli li tuża l-assenza ta 'organiżmu biex turi l-età ta' formazzjoni?</v>
      </c>
    </row>
    <row r="7738" ht="15.75" customHeight="1">
      <c r="A7738" s="2" t="s">
        <v>7738</v>
      </c>
      <c r="B7738" s="2" t="str">
        <f>IFERROR(__xludf.DUMMYFUNCTION("GOOGLETRANSLATE(A7738, ""en"", ""mt"")"),"2p - 1,")</f>
        <v>2p - 1,</v>
      </c>
    </row>
    <row r="7739" ht="15.75" customHeight="1">
      <c r="A7739" s="2" t="s">
        <v>7739</v>
      </c>
      <c r="B7739" s="2" t="str">
        <f>IFERROR(__xludf.DUMMYFUNCTION("GOOGLETRANSLATE(A7739, ""en"", ""mt"")"),"Radjatur tal-karozzi")</f>
        <v>Radjatur tal-karozzi</v>
      </c>
    </row>
    <row r="7740" ht="15.75" customHeight="1">
      <c r="A7740" s="2" t="s">
        <v>7740</v>
      </c>
      <c r="B7740" s="2" t="str">
        <f>IFERROR(__xludf.DUMMYFUNCTION("GOOGLETRANSLATE(A7740, ""en"", ""mt"")"),"Kemm jiem ta 'vaganza mħallsa l-biċċa l-kbira tal-istati membri?")</f>
        <v>Kemm jiem ta 'vaganza mħallsa l-biċċa l-kbira tal-istati membri?</v>
      </c>
    </row>
    <row r="7741" ht="15.75" customHeight="1">
      <c r="A7741" s="2" t="s">
        <v>7741</v>
      </c>
      <c r="B7741" s="2" t="str">
        <f>IFERROR(__xludf.DUMMYFUNCTION("GOOGLETRANSLATE(A7741, ""en"", ""mt"")"),"Fl-aħħar tas-snin 1950 liema kunċett ġie żviluppat?")</f>
        <v>Fl-aħħar tas-snin 1950 liema kunċett ġie żviluppat?</v>
      </c>
    </row>
    <row r="7742" ht="15.75" customHeight="1">
      <c r="A7742" s="2" t="s">
        <v>7742</v>
      </c>
      <c r="B7742" s="2" t="str">
        <f>IFERROR(__xludf.DUMMYFUNCTION("GOOGLETRANSLATE(A7742, ""en"", ""mt"")"),"kandidati fuq il-post")</f>
        <v>kandidati fuq il-post</v>
      </c>
    </row>
    <row r="7743" ht="15.75" customHeight="1">
      <c r="A7743" s="2" t="s">
        <v>7743</v>
      </c>
      <c r="B7743" s="2" t="str">
        <f>IFERROR(__xludf.DUMMYFUNCTION("GOOGLETRANSLATE(A7743, ""en"", ""mt"")"),"Kemm mili fil-lvant ta 'Berlin huwa Varsavja?")</f>
        <v>Kemm mili fil-lvant ta 'Berlin huwa Varsavja?</v>
      </c>
    </row>
    <row r="7744" ht="15.75" customHeight="1">
      <c r="A7744" s="2" t="s">
        <v>7744</v>
      </c>
      <c r="B7744" s="2" t="str">
        <f>IFERROR(__xludf.DUMMYFUNCTION("GOOGLETRANSLATE(A7744, ""en"", ""mt"")"),"X'jiġri meta s-sħab tal-elettroni jikkoinċidu minn atomi differenti?")</f>
        <v>X'jiġri meta s-sħab tal-elettroni jikkoinċidu minn atomi differenti?</v>
      </c>
    </row>
    <row r="7745" ht="15.75" customHeight="1">
      <c r="A7745" s="2" t="s">
        <v>7745</v>
      </c>
      <c r="B7745" s="2" t="str">
        <f>IFERROR(__xludf.DUMMYFUNCTION("GOOGLETRANSLATE(A7745, ""en"", ""mt"")"),"Ir-riċevituri diġitali tagħhom huma mibnija biss minn manifattur wieħed?")</f>
        <v>Ir-riċevituri diġitali tagħhom huma mibnija biss minn manifattur wieħed?</v>
      </c>
    </row>
    <row r="7746" ht="15.75" customHeight="1">
      <c r="A7746" s="2" t="s">
        <v>7746</v>
      </c>
      <c r="B7746" s="2" t="str">
        <f>IFERROR(__xludf.DUMMYFUNCTION("GOOGLETRANSLATE(A7746, ""en"", ""mt"")"),"X'inhuma l-proteini li l-organiżmi jużaw biex jidentifikaw molekuli assoċjati ma 'patoġeni?")</f>
        <v>X'inhuma l-proteini li l-organiżmi jużaw biex jidentifikaw molekuli assoċjati ma 'patoġeni?</v>
      </c>
    </row>
    <row r="7747" ht="15.75" customHeight="1">
      <c r="A7747" s="2" t="s">
        <v>7747</v>
      </c>
      <c r="B7747" s="2" t="str">
        <f>IFERROR(__xludf.DUMMYFUNCTION("GOOGLETRANSLATE(A7747, ""en"", ""mt"")"),"Tmiem l-Ewwel Gwerra Dinjija")</f>
        <v>Tmiem l-Ewwel Gwerra Dinjija</v>
      </c>
    </row>
    <row r="7748" ht="15.75" customHeight="1">
      <c r="A7748" s="2" t="s">
        <v>7748</v>
      </c>
      <c r="B7748" s="2" t="str">
        <f>IFERROR(__xludf.DUMMYFUNCTION("GOOGLETRANSLATE(A7748, ""en"", ""mt"")"),"il-pussess ta 'individwi diġà sinjuri")</f>
        <v>il-pussess ta 'individwi diġà sinjuri</v>
      </c>
    </row>
    <row r="7749" ht="15.75" customHeight="1">
      <c r="A7749" s="2" t="s">
        <v>7749</v>
      </c>
      <c r="B7749" s="2" t="str">
        <f>IFERROR(__xludf.DUMMYFUNCTION("GOOGLETRANSLATE(A7749, ""en"", ""mt"")"),"X'jiġri meta tliet tipi ta 'minerali jiġu depożitati mill-ġdid u jibdlu l-karatteristiċi tagħhom?")</f>
        <v>X'jiġri meta tliet tipi ta 'minerali jiġu depożitati mill-ġdid u jibdlu l-karatteristiċi tagħhom?</v>
      </c>
    </row>
    <row r="7750" ht="15.75" customHeight="1">
      <c r="A7750" s="2" t="s">
        <v>7750</v>
      </c>
      <c r="B7750" s="2" t="str">
        <f>IFERROR(__xludf.DUMMYFUNCTION("GOOGLETRANSLATE(A7750, ""en"", ""mt"")"),"metodu ewlieni")</f>
        <v>metodu ewlieni</v>
      </c>
    </row>
    <row r="7751" ht="15.75" customHeight="1">
      <c r="A7751" s="2" t="s">
        <v>7751</v>
      </c>
      <c r="B7751" s="2" t="str">
        <f>IFERROR(__xludf.DUMMYFUNCTION("GOOGLETRANSLATE(A7751, ""en"", ""mt"")"),"Jet ta 'ilma mkeċċi jmexxihom lura malajr ħafna.")</f>
        <v>Jet ta 'ilma mkeċċi jmexxihom lura malajr ħafna.</v>
      </c>
    </row>
    <row r="7752" ht="15.75" customHeight="1">
      <c r="A7752" s="2" t="s">
        <v>7752</v>
      </c>
      <c r="B7752" s="2" t="str">
        <f>IFERROR(__xludf.DUMMYFUNCTION("GOOGLETRANSLATE(A7752, ""en"", ""mt"")"),"Islam")</f>
        <v>Islam</v>
      </c>
    </row>
    <row r="7753" ht="15.75" customHeight="1">
      <c r="A7753" s="2" t="s">
        <v>7753</v>
      </c>
      <c r="B7753" s="2" t="str">
        <f>IFERROR(__xludf.DUMMYFUNCTION("GOOGLETRANSLATE(A7753, ""en"", ""mt"")")," X'tip ta 'strumenti mużikali żamm il-wan barra miċ-Ċina?")</f>
        <v> X'tip ta 'strumenti mużikali żamm il-wan barra miċ-Ċina?</v>
      </c>
    </row>
    <row r="7754" ht="15.75" customHeight="1">
      <c r="A7754" s="2" t="s">
        <v>7754</v>
      </c>
      <c r="B7754" s="2" t="str">
        <f>IFERROR(__xludf.DUMMYFUNCTION("GOOGLETRANSLATE(A7754, ""en"", ""mt"")"),"X'inhi marda awtoimmuni li l-aktar tolqot lill-irġiel?")</f>
        <v>X'inhi marda awtoimmuni li l-aktar tolqot lill-irġiel?</v>
      </c>
    </row>
    <row r="7755" ht="15.75" customHeight="1">
      <c r="A7755" s="2" t="s">
        <v>7755</v>
      </c>
      <c r="B7755" s="2" t="str">
        <f>IFERROR(__xludf.DUMMYFUNCTION("GOOGLETRANSLATE(A7755, ""en"", ""mt"")"),"X'inhi l-Forest Bielany l-aħħar fdal ta '?")</f>
        <v>X'inhi l-Forest Bielany l-aħħar fdal ta '?</v>
      </c>
    </row>
    <row r="7756" ht="15.75" customHeight="1">
      <c r="A7756" s="2" t="s">
        <v>7756</v>
      </c>
      <c r="B7756" s="2" t="str">
        <f>IFERROR(__xludf.DUMMYFUNCTION("GOOGLETRANSLATE(A7756, ""en"", ""mt"")"),"X'inhuma l-aktar minn 118-il klabb immexxija minn studenti fl-U ta 'C imsejħa kollettivament?")</f>
        <v>X'inhuma l-aktar minn 118-il klabb immexxija minn studenti fl-U ta 'C imsejħa kollettivament?</v>
      </c>
    </row>
    <row r="7757" ht="15.75" customHeight="1">
      <c r="A7757" s="2" t="s">
        <v>7757</v>
      </c>
      <c r="B7757" s="2" t="str">
        <f>IFERROR(__xludf.DUMMYFUNCTION("GOOGLETRANSLATE(A7757, ""en"", ""mt"")"),"It-tensjoni, il-kompressjoni, u t-tkaxkir huma x'tip ta 'forzi?")</f>
        <v>It-tensjoni, il-kompressjoni, u t-tkaxkir huma x'tip ta 'forzi?</v>
      </c>
    </row>
    <row r="7758" ht="15.75" customHeight="1">
      <c r="A7758" s="2" t="s">
        <v>7758</v>
      </c>
      <c r="B7758" s="2" t="str">
        <f>IFERROR(__xludf.DUMMYFUNCTION("GOOGLETRANSLATE(A7758, ""en"", ""mt"")"),"Fl-Istati Uniti v. Burgos-Andujar, għaliex żdiedet membru tas-sentenza tan-Navy?")</f>
        <v>Fl-Istati Uniti v. Burgos-Andujar, għaliex żdiedet membru tas-sentenza tan-Navy?</v>
      </c>
    </row>
    <row r="7759" ht="15.75" customHeight="1">
      <c r="A7759" s="2" t="s">
        <v>7759</v>
      </c>
      <c r="B7759" s="2" t="str">
        <f>IFERROR(__xludf.DUMMYFUNCTION("GOOGLETRANSLATE(A7759, ""en"", ""mt"")"),"X'tip ta 'numri juru difett bit-test tal-primalità ta' Carmichael?")</f>
        <v>X'tip ta 'numri juru difett bit-test tal-primalità ta' Carmichael?</v>
      </c>
    </row>
    <row r="7760" ht="15.75" customHeight="1">
      <c r="A7760" s="2" t="s">
        <v>7760</v>
      </c>
      <c r="B7760" s="2" t="str">
        <f>IFERROR(__xludf.DUMMYFUNCTION("GOOGLETRANSLATE(A7760, ""en"", ""mt"")"),"Kif tiġi ċċarġjata l-informazzjoni għall-iswiċċ tal-pakketti?")</f>
        <v>Kif tiġi ċċarġjata l-informazzjoni għall-iswiċċ tal-pakketti?</v>
      </c>
    </row>
    <row r="7761" ht="15.75" customHeight="1">
      <c r="A7761" s="2" t="s">
        <v>7761</v>
      </c>
      <c r="B7761" s="2" t="str">
        <f>IFERROR(__xludf.DUMMYFUNCTION("GOOGLETRANSLATE(A7761, ""en"", ""mt"")"),"Fejn tinsab l-Università Pomona?")</f>
        <v>Fejn tinsab l-Università Pomona?</v>
      </c>
    </row>
    <row r="7762" ht="15.75" customHeight="1">
      <c r="A7762" s="2" t="s">
        <v>7762</v>
      </c>
      <c r="B7762" s="2" t="str">
        <f>IFERROR(__xludf.DUMMYFUNCTION("GOOGLETRANSLATE(A7762, ""en"", ""mt"")"),"Dak li jikkontribwixxi l-inqas ammont ta 'ilma għaż-żona?")</f>
        <v>Dak li jikkontribwixxi l-inqas ammont ta 'ilma għaż-żona?</v>
      </c>
    </row>
    <row r="7763" ht="15.75" customHeight="1">
      <c r="A7763" s="2" t="s">
        <v>7763</v>
      </c>
      <c r="B7763" s="2" t="str">
        <f>IFERROR(__xludf.DUMMYFUNCTION("GOOGLETRANSLATE(A7763, ""en"", ""mt"")"),"X’kien iddiskrimina l-Artikolu 34 fil-Actureur du Roi v Dassonville?")</f>
        <v>X’kien iddiskrimina l-Artikolu 34 fil-Actureur du Roi v Dassonville?</v>
      </c>
    </row>
    <row r="7764" ht="15.75" customHeight="1">
      <c r="A7764" s="2" t="s">
        <v>7764</v>
      </c>
      <c r="B7764" s="2" t="str">
        <f>IFERROR(__xludf.DUMMYFUNCTION("GOOGLETRANSLATE(A7764, ""en"", ""mt"")"),"il-pubbliku")</f>
        <v>il-pubbliku</v>
      </c>
    </row>
    <row r="7765" ht="15.75" customHeight="1">
      <c r="A7765" s="2" t="s">
        <v>7765</v>
      </c>
      <c r="B7765" s="2" t="str">
        <f>IFERROR(__xludf.DUMMYFUNCTION("GOOGLETRANSLATE(A7765, ""en"", ""mt"")"),"X'kienet proposta waħda biex tħalli l-IPCC jirrispondi għal evidenza ġdida aktar malajr?")</f>
        <v>X'kienet proposta waħda biex tħalli l-IPCC jirrispondi għal evidenza ġdida aktar malajr?</v>
      </c>
    </row>
    <row r="7766" ht="15.75" customHeight="1">
      <c r="A7766" s="2" t="s">
        <v>7766</v>
      </c>
      <c r="B7766" s="2" t="str">
        <f>IFERROR(__xludf.DUMMYFUNCTION("GOOGLETRANSLATE(A7766, ""en"", ""mt"")"),"X'ħin il-framd ikopri l-gwerra tas-seba 'snin?")</f>
        <v>X'ħin il-framd ikopri l-gwerra tas-seba 'snin?</v>
      </c>
    </row>
    <row r="7767" ht="15.75" customHeight="1">
      <c r="A7767" s="2" t="s">
        <v>7767</v>
      </c>
      <c r="B7767" s="2" t="str">
        <f>IFERROR(__xludf.DUMMYFUNCTION("GOOGLETRANSLATE(A7767, ""en"", ""mt"")"),"Xi studjużi moderni, bħalma huma l-fielding H. Garrison, huma tal-fehma li l-oriġini tax-xjenza tal-ġeoloġija tista 'tiġi rintraċċata lejn il-Persja wara li l-konkwisti Musulmani waslu fi tmiemhom. Abu al-Rayhan al-Biruni (973-1048 CE) kien wieħed mill-ew"&amp;"wel ġeoloġi Persjani, li x-xogħlijiet tagħhom kienu jinkludu l-ewwel kitbiet dwar il-ġeoloġija tal-Indja, ipoteżi li s-sottokontinent Indjan kien darba. Bbażat mil-letteratura xjentifika Griega u Indjana li ma nqerdux mill-konkwisti Musulmani, l-istudjuż "&amp;"Persjan Ibn Sina (Avicenna, 981-1037) ippropona spjegazzjonijiet dettaljati għall-formazzjoni tal-muntanji, l-oriġini tat-terremoti, u suġġetti oħra ċentrali għall-ġeoloġija moderna, li pprovda bażi essenzjali għall-iżvilupp aktar tard tax-xjenza. Fiċ-Ċin"&amp;"a, il-Polymath Shen Kuo (1031-1095) ifformula ipoteżi għall-proċess tal-formazzjoni tal-art: ibbażata fuq l-osservazzjoni tiegħu ta 'qxur tal-annimali fossili fi stratum ġeoloġiku f'muntanja mijiet ta' mili mill-oċean, huwa dedotta li l-art kienet Iffurma"&amp;"t mill-erożjoni tal-muntanji u bid-deposizzjoni tal-ħama.")</f>
        <v>Xi studjużi moderni, bħalma huma l-fielding H. Garrison, huma tal-fehma li l-oriġini tax-xjenza tal-ġeoloġija tista 'tiġi rintraċċata lejn il-Persja wara li l-konkwisti Musulmani waslu fi tmiemhom. Abu al-Rayhan al-Biruni (973-1048 CE) kien wieħed mill-ewwel ġeoloġi Persjani, li x-xogħlijiet tagħhom kienu jinkludu l-ewwel kitbiet dwar il-ġeoloġija tal-Indja, ipoteżi li s-sottokontinent Indjan kien darba. Bbażat mil-letteratura xjentifika Griega u Indjana li ma nqerdux mill-konkwisti Musulmani, l-istudjuż Persjan Ibn Sina (Avicenna, 981-1037) ippropona spjegazzjonijiet dettaljati għall-formazzjoni tal-muntanji, l-oriġini tat-terremoti, u suġġetti oħra ċentrali għall-ġeoloġija moderna, li pprovda bażi essenzjali għall-iżvilupp aktar tard tax-xjenza. Fiċ-Ċina, il-Polymath Shen Kuo (1031-1095) ifformula ipoteżi għall-proċess tal-formazzjoni tal-art: ibbażata fuq l-osservazzjoni tiegħu ta 'qxur tal-annimali fossili fi stratum ġeoloġiku f'muntanja mijiet ta' mili mill-oċean, huwa dedotta li l-art kienet Iffurmat mill-erożjoni tal-muntanji u bid-deposizzjoni tal-ħama.</v>
      </c>
    </row>
    <row r="7768" ht="15.75" customHeight="1">
      <c r="A7768" s="2" t="s">
        <v>7768</v>
      </c>
      <c r="B7768" s="2" t="str">
        <f>IFERROR(__xludf.DUMMYFUNCTION("GOOGLETRANSLATE(A7768, ""en"", ""mt"")"),"Min ipprovda diskussjoni filosofika tal-forza?")</f>
        <v>Min ipprovda diskussjoni filosofika tal-forza?</v>
      </c>
    </row>
    <row r="7769" ht="15.75" customHeight="1">
      <c r="A7769" s="2" t="s">
        <v>7769</v>
      </c>
      <c r="B7769" s="2" t="str">
        <f>IFERROR(__xludf.DUMMYFUNCTION("GOOGLETRANSLATE(A7769, ""en"", ""mt"")"),"515 miljun sena ilu")</f>
        <v>515 miljun sena ilu</v>
      </c>
    </row>
    <row r="7770" ht="15.75" customHeight="1">
      <c r="A7770" s="2" t="s">
        <v>7770</v>
      </c>
      <c r="B7770" s="2" t="str">
        <f>IFERROR(__xludf.DUMMYFUNCTION("GOOGLETRANSLATE(A7770, ""en"", ""mt"")"),"1650")</f>
        <v>1650</v>
      </c>
    </row>
    <row r="7771" ht="15.75" customHeight="1">
      <c r="A7771" s="2" t="s">
        <v>7771</v>
      </c>
      <c r="B7771" s="2" t="str">
        <f>IFERROR(__xludf.DUMMYFUNCTION("GOOGLETRANSLATE(A7771, ""en"", ""mt"")"),"X'jiġri l-beriods bħala snien?")</f>
        <v>X'jiġri l-beriods bħala snien?</v>
      </c>
    </row>
    <row r="7772" ht="15.75" customHeight="1">
      <c r="A7772" s="2" t="s">
        <v>7772</v>
      </c>
      <c r="B7772" s="2" t="str">
        <f>IFERROR(__xludf.DUMMYFUNCTION("GOOGLETRANSLATE(A7772, ""en"", ""mt"")"),"X'kienu ż-żewġ teoriji ewlenin tal-immunità fl-aħħar tas-seklu 19?")</f>
        <v>X'kienu ż-żewġ teoriji ewlenin tal-immunità fl-aħħar tas-seklu 19?</v>
      </c>
    </row>
    <row r="7773" ht="15.75" customHeight="1">
      <c r="A7773" s="2" t="s">
        <v>7773</v>
      </c>
      <c r="B7773" s="2" t="str">
        <f>IFERROR(__xludf.DUMMYFUNCTION("GOOGLETRANSLATE(A7773, ""en"", ""mt"")"),"Meta se l-effett ta 'serra msaħħaħ jilħaq livelli allarmanti?")</f>
        <v>Meta se l-effett ta 'serra msaħħaħ jilħaq livelli allarmanti?</v>
      </c>
    </row>
    <row r="7774" ht="15.75" customHeight="1">
      <c r="A7774" s="2" t="s">
        <v>7774</v>
      </c>
      <c r="B7774" s="2" t="str">
        <f>IFERROR(__xludf.DUMMYFUNCTION("GOOGLETRANSLATE(A7774, ""en"", ""mt"")"),"X'inhu l-inqas tip abbundanti ta 'fagoċiti?")</f>
        <v>X'inhu l-inqas tip abbundanti ta 'fagoċiti?</v>
      </c>
    </row>
    <row r="7775" ht="15.75" customHeight="1">
      <c r="A7775" s="2" t="s">
        <v>7775</v>
      </c>
      <c r="B7775" s="2" t="str">
        <f>IFERROR(__xludf.DUMMYFUNCTION("GOOGLETRANSLATE(A7775, ""en"", ""mt"")"),"Liema attur Amerikan huwa wkoll gradwat universitarju?")</f>
        <v>Liema attur Amerikan huwa wkoll gradwat universitarju?</v>
      </c>
    </row>
    <row r="7776" ht="15.75" customHeight="1">
      <c r="A7776" s="2" t="s">
        <v>7776</v>
      </c>
      <c r="B7776" s="2" t="str">
        <f>IFERROR(__xludf.DUMMYFUNCTION("GOOGLETRANSLATE(A7776, ""en"", ""mt"")"),"Liema terminu jiddeskrivi l-aħjar il-kollezzjoni ta 'pajsaġġi tan-Nofsinhar ta' California?")</f>
        <v>Liema terminu jiddeskrivi l-aħjar il-kollezzjoni ta 'pajsaġġi tan-Nofsinhar ta' California?</v>
      </c>
    </row>
    <row r="7777" ht="15.75" customHeight="1">
      <c r="A7777" s="2" t="s">
        <v>7777</v>
      </c>
      <c r="B7777" s="2" t="str">
        <f>IFERROR(__xludf.DUMMYFUNCTION("GOOGLETRANSLATE(A7777, ""en"", ""mt"")"),"Dak li jgħid li l-formazzjonijiet għandhom ikunu eqdem mill-inklużjonijiet ġewwa fihom?")</f>
        <v>Dak li jgħid li l-formazzjonijiet għandhom ikunu eqdem mill-inklużjonijiet ġewwa fihom?</v>
      </c>
    </row>
    <row r="7778" ht="15.75" customHeight="1">
      <c r="A7778" s="2" t="s">
        <v>7778</v>
      </c>
      <c r="B7778" s="2" t="str">
        <f>IFERROR(__xludf.DUMMYFUNCTION("GOOGLETRANSLATE(A7778, ""en"", ""mt"")"),"X'jista 'jiġri meta tieħu n-nifs ta' 26% O2 f'62 m?")</f>
        <v>X'jista 'jiġri meta tieħu n-nifs ta' 26% O2 f'62 m?</v>
      </c>
    </row>
    <row r="7779" ht="15.75" customHeight="1">
      <c r="A7779" s="2" t="s">
        <v>7779</v>
      </c>
      <c r="B7779" s="2" t="str">
        <f>IFERROR(__xludf.DUMMYFUNCTION("GOOGLETRANSLATE(A7779, ""en"", ""mt"")"),"Fort Presque Isle (ħdejn Erie tal-lum, Pennsylvania")</f>
        <v>Fort Presque Isle (ħdejn Erie tal-lum, Pennsylvania</v>
      </c>
    </row>
    <row r="7780" ht="15.75" customHeight="1">
      <c r="A7780" s="2" t="s">
        <v>7780</v>
      </c>
      <c r="B7780" s="2" t="str">
        <f>IFERROR(__xludf.DUMMYFUNCTION("GOOGLETRANSLATE(A7780, ""en"", ""mt"")"),"tip ta 'turbina")</f>
        <v>tip ta 'turbina</v>
      </c>
    </row>
    <row r="7781" ht="15.75" customHeight="1">
      <c r="A7781" s="2" t="s">
        <v>7781</v>
      </c>
      <c r="B7781" s="2" t="str">
        <f>IFERROR(__xludf.DUMMYFUNCTION("GOOGLETRANSLATE(A7781, ""en"", ""mt"")"),"Liġijiet")</f>
        <v>Liġijiet</v>
      </c>
    </row>
    <row r="7782" ht="15.75" customHeight="1">
      <c r="A7782" s="2" t="s">
        <v>7782</v>
      </c>
      <c r="B7782" s="2" t="str">
        <f>IFERROR(__xludf.DUMMYFUNCTION("GOOGLETRANSLATE(A7782, ""en"", ""mt"")"),"1809")</f>
        <v>1809</v>
      </c>
    </row>
    <row r="7783" ht="15.75" customHeight="1">
      <c r="A7783" s="2" t="s">
        <v>7783</v>
      </c>
      <c r="B7783" s="2" t="str">
        <f>IFERROR(__xludf.DUMMYFUNCTION("GOOGLETRANSLATE(A7783, ""en"", ""mt"")"),"800 CE")</f>
        <v>800 CE</v>
      </c>
    </row>
    <row r="7784" ht="15.75" customHeight="1">
      <c r="A7784" s="2" t="s">
        <v>7784</v>
      </c>
      <c r="B7784" s="2" t="str">
        <f>IFERROR(__xludf.DUMMYFUNCTION("GOOGLETRANSLATE(A7784, ""en"", ""mt"")"),"Perjodu ġeoloġiku tal-etajiet tas-silġ")</f>
        <v>Perjodu ġeoloġiku tal-etajiet tas-silġ</v>
      </c>
    </row>
    <row r="7785" ht="15.75" customHeight="1">
      <c r="A7785" s="2" t="s">
        <v>7785</v>
      </c>
      <c r="B7785" s="2" t="str">
        <f>IFERROR(__xludf.DUMMYFUNCTION("GOOGLETRANSLATE(A7785, ""en"", ""mt"")"),"Jippruvaw jirkupraw is-sehem tas-suq")</f>
        <v>Jippruvaw jirkupraw is-sehem tas-suq</v>
      </c>
    </row>
    <row r="7786" ht="15.75" customHeight="1">
      <c r="A7786" s="2" t="s">
        <v>7786</v>
      </c>
      <c r="B7786" s="2" t="str">
        <f>IFERROR(__xludf.DUMMYFUNCTION("GOOGLETRANSLATE(A7786, ""en"", ""mt"")"),"Kemm hi għolja Mount Gippsland tar-Rabat?")</f>
        <v>Kemm hi għolja Mount Gippsland tar-Rabat?</v>
      </c>
    </row>
    <row r="7787" ht="15.75" customHeight="1">
      <c r="A7787" s="2" t="s">
        <v>7787</v>
      </c>
      <c r="B7787" s="2" t="str">
        <f>IFERROR(__xludf.DUMMYFUNCTION("GOOGLETRANSLATE(A7787, ""en"", ""mt"")"),"ROTIFERS U MOLLUSC U LARVA CRUSTACEAN")</f>
        <v>ROTIFERS U MOLLUSC U LARVA CRUSTACEAN</v>
      </c>
    </row>
    <row r="7788" ht="15.75" customHeight="1">
      <c r="A7788" s="2" t="s">
        <v>7788</v>
      </c>
      <c r="B7788" s="2" t="str">
        <f>IFERROR(__xludf.DUMMYFUNCTION("GOOGLETRANSLATE(A7788, ""en"", ""mt"")"),"Min hu l-fundatur tal-organizzazzjoni tal-komunità moderna?")</f>
        <v>Min hu l-fundatur tal-organizzazzjoni tal-komunità moderna?</v>
      </c>
    </row>
    <row r="7789" ht="15.75" customHeight="1">
      <c r="A7789" s="2" t="s">
        <v>7789</v>
      </c>
      <c r="B7789" s="2" t="str">
        <f>IFERROR(__xludf.DUMMYFUNCTION("GOOGLETRANSLATE(A7789, ""en"", ""mt"")"),"X'tip ta 'maltempati huma komuni fil-ħarifa?")</f>
        <v>X'tip ta 'maltempati huma komuni fil-ħarifa?</v>
      </c>
    </row>
    <row r="7790" ht="15.75" customHeight="1">
      <c r="A7790" s="2" t="s">
        <v>7790</v>
      </c>
      <c r="B7790" s="2" t="str">
        <f>IFERROR(__xludf.DUMMYFUNCTION("GOOGLETRANSLATE(A7790, ""en"", ""mt"")"),"Kemm hemm fergħat li l-fergħa tar-Rhine tidħol?")</f>
        <v>Kemm hemm fergħat li l-fergħa tar-Rhine tidħol?</v>
      </c>
    </row>
    <row r="7791" ht="15.75" customHeight="1">
      <c r="A7791" s="2" t="s">
        <v>7791</v>
      </c>
      <c r="B7791" s="2" t="str">
        <f>IFERROR(__xludf.DUMMYFUNCTION("GOOGLETRANSLATE(A7791, ""en"", ""mt"")"),"Professjonali")</f>
        <v>Professjonali</v>
      </c>
    </row>
    <row r="7792" ht="15.75" customHeight="1">
      <c r="A7792" s="2" t="s">
        <v>7792</v>
      </c>
      <c r="B7792" s="2" t="str">
        <f>IFERROR(__xludf.DUMMYFUNCTION("GOOGLETRANSLATE(A7792, ""en"", ""mt"")"),"Il-pesta Justinian li kienet prevalenti fl-Imperu Ruman tal-Lvant minn 541 sa 700 CE.")</f>
        <v>Il-pesta Justinian li kienet prevalenti fl-Imperu Ruman tal-Lvant minn 541 sa 700 CE.</v>
      </c>
    </row>
    <row r="7793" ht="15.75" customHeight="1">
      <c r="A7793" s="2" t="s">
        <v>7793</v>
      </c>
      <c r="B7793" s="2" t="str">
        <f>IFERROR(__xludf.DUMMYFUNCTION("GOOGLETRANSLATE(A7793, ""en"", ""mt"")"),"biex toqgħod, sakemm kien hemm mill-inqas ""indirett quid pro quo"" għax-xogħol li għamel")</f>
        <v>biex toqgħod, sakemm kien hemm mill-inqas "indirett quid pro quo" għax-xogħol li għamel</v>
      </c>
    </row>
    <row r="7794" ht="15.75" customHeight="1">
      <c r="A7794" s="2" t="s">
        <v>7794</v>
      </c>
      <c r="B7794" s="2" t="str">
        <f>IFERROR(__xludf.DUMMYFUNCTION("GOOGLETRANSLATE(A7794, ""en"", ""mt"")"),"Ma 'xiex imdawwar jekk tipprova tistudja dwar il-vjolenza fis-soċjetà?")</f>
        <v>Ma 'xiex imdawwar jekk tipprova tistudja dwar il-vjolenza fis-soċjetà?</v>
      </c>
    </row>
    <row r="7795" ht="15.75" customHeight="1">
      <c r="A7795" s="2" t="s">
        <v>7795</v>
      </c>
      <c r="B7795" s="2" t="str">
        <f>IFERROR(__xludf.DUMMYFUNCTION("GOOGLETRANSLATE(A7795, ""en"", ""mt"")"),"Sensittività eċċessiva")</f>
        <v>Sensittività eċċessiva</v>
      </c>
    </row>
    <row r="7796" ht="15.75" customHeight="1">
      <c r="A7796" s="2" t="s">
        <v>7796</v>
      </c>
      <c r="B7796" s="2" t="str">
        <f>IFERROR(__xludf.DUMMYFUNCTION("GOOGLETRANSLATE(A7796, ""en"", ""mt"")"),"Kemm hemm sottotipi ta 'ċelloli B?")</f>
        <v>Kemm hemm sottotipi ta 'ċelloli B?</v>
      </c>
    </row>
    <row r="7797" ht="15.75" customHeight="1">
      <c r="A7797" s="2" t="s">
        <v>7797</v>
      </c>
      <c r="B7797" s="2" t="str">
        <f>IFERROR(__xludf.DUMMYFUNCTION("GOOGLETRANSLATE(A7797, ""en"", ""mt"")"),"Hija estensjoni loġika tal-magna kompost (deskritta hawn fuq) biex taqsam l-espansjoni fi stadji għadhom aktar biex tiżdied l-effiċjenza. Ir-riżultat huwa l-magna ta 'espansjoni multipla. Magni bħal dawn jużaw jew tlieta jew erba 'stadji ta' espansjoni u "&amp;"huma magħrufa bħala magni ta 'espansjoni tripla u quadruple rispettivament. Dawn il-magni jużaw serje ta 'ċilindri ta' dijametru li qed jiżdied progressivament. Dawn iċ-ċilindri huma ddisinjati biex jaqsmu x-xogħol f'ishma ugwali għal kull stadju ta 'espa"&amp;"nsjoni. Bħal fil-każ tal-magna ta 'espansjoni doppja, jekk l-ispazju jkun premium, allura żewġ ċilindri iżgħar jistgħu jintużaw għall-istadju ta' pressjoni baxxa. Magni ta 'espansjoni multipli tipikament kellhom iċ-ċilindri rranġati inline, iżda ġew użati"&amp;" diversi formazzjonijiet oħra. Fl-aħħar tas-seklu 19, is-sistema ta 'ibbilanċjar ta' Yarrow-Schlick-Tweedy intuża fuq xi magni ta 'espansjoni tripla tal-baħar. Il-magni Y-S-T qasmu l-istadji ta 'espansjoni ta' pressjoni baxxa bejn żewġ ċilindri, wieħed f'"&amp;"kull tarf tal-magna. Dan ippermetta li l-manovella tkun ibbilanċjata aħjar, li tirriżulta f'magna lixxa u li tirrispondi aktar malajr li dam b'inqas vibrazzjoni. Dan għamel il-magna ta '4 ċilindri ta' espansjoni tripla popolari ma 'inforor kbar tal-passiġ"&amp;"ġieri (bħall-klassi Olimpika), iżda dan ġie sostitwit fl-aħħar mill-magna tat-turbina kważi bla vibrazzjonijiet. [Ċitazzjoni meħtieġa]")</f>
        <v>Hija estensjoni loġika tal-magna kompost (deskritta hawn fuq) biex taqsam l-espansjoni fi stadji għadhom aktar biex tiżdied l-effiċjenza. Ir-riżultat huwa l-magna ta 'espansjoni multipla. Magni bħal dawn jużaw jew tlieta jew erba 'stadji ta' espansjoni u huma magħrufa bħala magni ta 'espansjoni tripla u quadruple rispettivament. Dawn il-magni jużaw serje ta 'ċilindri ta' dijametru li qed jiżdied progressivament. Dawn iċ-ċilindri huma ddisinjati biex jaqsmu x-xogħol f'ishma ugwali għal kull stadju ta 'espansjoni. Bħal fil-każ tal-magna ta 'espansjoni doppja, jekk l-ispazju jkun premium, allura żewġ ċilindri iżgħar jistgħu jintużaw għall-istadju ta' pressjoni baxxa. Magni ta 'espansjoni multipli tipikament kellhom iċ-ċilindri rranġati inline, iżda ġew użati diversi formazzjonijiet oħra. Fl-aħħar tas-seklu 19, is-sistema ta 'ibbilanċjar ta' Yarrow-Schlick-Tweedy intuża fuq xi magni ta 'espansjoni tripla tal-baħar. Il-magni Y-S-T qasmu l-istadji ta 'espansjoni ta' pressjoni baxxa bejn żewġ ċilindri, wieħed f'kull tarf tal-magna. Dan ippermetta li l-manovella tkun ibbilanċjata aħjar, li tirriżulta f'magna lixxa u li tirrispondi aktar malajr li dam b'inqas vibrazzjoni. Dan għamel il-magna ta '4 ċilindri ta' espansjoni tripla popolari ma 'inforor kbar tal-passiġġieri (bħall-klassi Olimpika), iżda dan ġie sostitwit fl-aħħar mill-magna tat-turbina kważi bla vibrazzjonijiet. [Ċitazzjoni meħtieġa]</v>
      </c>
    </row>
    <row r="7798" ht="15.75" customHeight="1">
      <c r="A7798" s="2" t="s">
        <v>7798</v>
      </c>
      <c r="B7798" s="2" t="str">
        <f>IFERROR(__xludf.DUMMYFUNCTION("GOOGLETRANSLATE(A7798, ""en"", ""mt"")"),"X'inhu xogħol wieħed minn Neumes?")</f>
        <v>X'inhu xogħol wieħed minn Neumes?</v>
      </c>
    </row>
    <row r="7799" ht="15.75" customHeight="1">
      <c r="A7799" s="2" t="s">
        <v>7799</v>
      </c>
      <c r="B7799" s="2" t="str">
        <f>IFERROR(__xludf.DUMMYFUNCTION("GOOGLETRANSLATE(A7799, ""en"", ""mt"")"),"Migrazzjoni u Urbanizzazzjoni")</f>
        <v>Migrazzjoni u Urbanizzazzjoni</v>
      </c>
    </row>
    <row r="7800" ht="15.75" customHeight="1">
      <c r="A7800" s="2" t="s">
        <v>7800</v>
      </c>
      <c r="B7800" s="2" t="str">
        <f>IFERROR(__xludf.DUMMYFUNCTION("GOOGLETRANSLATE(A7800, ""en"", ""mt"")"),"F’liema belt Irlandiża jistgħu għad iridu jidhru mill-Huguenots?")</f>
        <v>F’liema belt Irlandiża jistgħu għad iridu jidhru mill-Huguenots?</v>
      </c>
    </row>
    <row r="7801" ht="15.75" customHeight="1">
      <c r="A7801" s="2" t="s">
        <v>7801</v>
      </c>
      <c r="B7801" s="2" t="str">
        <f>IFERROR(__xludf.DUMMYFUNCTION("GOOGLETRANSLATE(A7801, ""en"", ""mt"")"),"B'liema isem ieħor kien magħruf il-bieb?")</f>
        <v>B'liema isem ieħor kien magħruf il-bieb?</v>
      </c>
    </row>
    <row r="7802" ht="15.75" customHeight="1">
      <c r="A7802" s="2" t="s">
        <v>7802</v>
      </c>
      <c r="B7802" s="2" t="str">
        <f>IFERROR(__xludf.DUMMYFUNCTION("GOOGLETRANSLATE(A7802, ""en"", ""mt"")"),"il-vjaġġi ta 'Marco Polo")</f>
        <v>il-vjaġġi ta 'Marco Polo</v>
      </c>
    </row>
    <row r="7803" ht="15.75" customHeight="1">
      <c r="A7803" s="2" t="s">
        <v>7803</v>
      </c>
      <c r="B7803" s="2" t="str">
        <f>IFERROR(__xludf.DUMMYFUNCTION("GOOGLETRANSLATE(A7803, ""en"", ""mt"")"),"Min bagħat il-Mongoli lil Bukhara bħala amministraturi?")</f>
        <v>Min bagħat il-Mongoli lil Bukhara bħala amministraturi?</v>
      </c>
    </row>
    <row r="7804" ht="15.75" customHeight="1">
      <c r="A7804" s="2" t="s">
        <v>7804</v>
      </c>
      <c r="B7804" s="2" t="str">
        <f>IFERROR(__xludf.DUMMYFUNCTION("GOOGLETRANSLATE(A7804, ""en"", ""mt"")"),"Liema batterji tal-ikel huma eżempju ta 'patoġenesi intraċellulari?")</f>
        <v>Liema batterji tal-ikel huma eżempju ta 'patoġenesi intraċellulari?</v>
      </c>
    </row>
    <row r="7805" ht="15.75" customHeight="1">
      <c r="A7805" s="2" t="s">
        <v>7805</v>
      </c>
      <c r="B7805" s="2" t="str">
        <f>IFERROR(__xludf.DUMMYFUNCTION("GOOGLETRANSLATE(A7805, ""en"", ""mt"")"),"F'liema qasam tintuża r-respirazzjoni?")</f>
        <v>F'liema qasam tintuża r-respirazzjoni?</v>
      </c>
    </row>
    <row r="7806" ht="15.75" customHeight="1">
      <c r="A7806" s="2" t="s">
        <v>7806</v>
      </c>
      <c r="B7806" s="2" t="str">
        <f>IFERROR(__xludf.DUMMYFUNCTION("GOOGLETRANSLATE(A7806, ""en"", ""mt"")"),"2,000 m")</f>
        <v>2,000 m</v>
      </c>
    </row>
    <row r="7807" ht="15.75" customHeight="1">
      <c r="A7807" s="2" t="s">
        <v>7807</v>
      </c>
      <c r="B7807" s="2" t="str">
        <f>IFERROR(__xludf.DUMMYFUNCTION("GOOGLETRANSLATE(A7807, ""en"", ""mt"")"),"Għaliex kien l-avukat Olandiż li mar il-Belġju filwaqt li ta parir lil klijent f'każ tas-soċjetà soċjali qal li ma jistax ikompli?")</f>
        <v>Għaliex kien l-avukat Olandiż li mar il-Belġju filwaqt li ta parir lil klijent f'każ tas-soċjetà soċjali qal li ma jistax ikompli?</v>
      </c>
    </row>
    <row r="7808" ht="15.75" customHeight="1">
      <c r="A7808" s="2" t="s">
        <v>7808</v>
      </c>
      <c r="B7808" s="2" t="str">
        <f>IFERROR(__xludf.DUMMYFUNCTION("GOOGLETRANSLATE(A7808, ""en"", ""mt"")")," Min irregola r-reġjun tat-tramuntana fil-wan?")</f>
        <v> Min irregola r-reġjun tat-tramuntana fil-wan?</v>
      </c>
    </row>
    <row r="7809" ht="15.75" customHeight="1">
      <c r="A7809" s="2" t="s">
        <v>7809</v>
      </c>
      <c r="B7809" s="2" t="str">
        <f>IFERROR(__xludf.DUMMYFUNCTION("GOOGLETRANSLATE(A7809, ""en"", ""mt"")"),"l-iktar abbundanti")</f>
        <v>l-iktar abbundanti</v>
      </c>
    </row>
    <row r="7810" ht="15.75" customHeight="1">
      <c r="A7810" s="2" t="s">
        <v>7810</v>
      </c>
      <c r="B7810" s="2" t="str">
        <f>IFERROR(__xludf.DUMMYFUNCTION("GOOGLETRANSLATE(A7810, ""en"", ""mt"")"),"1072")</f>
        <v>1072</v>
      </c>
    </row>
    <row r="7811" ht="15.75" customHeight="1">
      <c r="A7811" s="2" t="s">
        <v>7811</v>
      </c>
      <c r="B7811" s="2" t="str">
        <f>IFERROR(__xludf.DUMMYFUNCTION("GOOGLETRANSLATE(A7811, ""en"", ""mt"")"),"politikament u soċjalment instabbli")</f>
        <v>politikament u soċjalment instabbli</v>
      </c>
    </row>
    <row r="7812" ht="15.75" customHeight="1">
      <c r="A7812" s="2" t="s">
        <v>7812</v>
      </c>
      <c r="B7812" s="2" t="str">
        <f>IFERROR(__xludf.DUMMYFUNCTION("GOOGLETRANSLATE(A7812, ""en"", ""mt"")"),"Min kien in-nannu Kaidu?")</f>
        <v>Min kien in-nannu Kaidu?</v>
      </c>
    </row>
    <row r="7813" ht="15.75" customHeight="1">
      <c r="A7813" s="2" t="s">
        <v>7813</v>
      </c>
      <c r="B7813" s="2" t="str">
        <f>IFERROR(__xludf.DUMMYFUNCTION("GOOGLETRANSLATE(A7813, ""en"", ""mt"")"),"Għaliex Tanaghrisson kien jappoġġja l-isforzi Ingliżi?")</f>
        <v>Għaliex Tanaghrisson kien jappoġġja l-isforzi Ingliżi?</v>
      </c>
    </row>
    <row r="7814" ht="15.75" customHeight="1">
      <c r="A7814" s="2" t="s">
        <v>7814</v>
      </c>
      <c r="B7814" s="2" t="str">
        <f>IFERROR(__xludf.DUMMYFUNCTION("GOOGLETRANSLATE(A7814, ""en"", ""mt"")"),"X'kien qed jikkawża lil Franza qadima li jkollha problemi bil-provvista mill-ġdid?")</f>
        <v>X'kien qed jikkawża lil Franza qadima li jkollha problemi bil-provvista mill-ġdid?</v>
      </c>
    </row>
    <row r="7815" ht="15.75" customHeight="1">
      <c r="A7815" s="2" t="s">
        <v>7815</v>
      </c>
      <c r="B7815" s="2" t="str">
        <f>IFERROR(__xludf.DUMMYFUNCTION("GOOGLETRANSLATE(A7815, ""en"", ""mt"")"),"Materjali disponibbli faċilment fiż-żona")</f>
        <v>Materjali disponibbli faċilment fiż-żona</v>
      </c>
    </row>
    <row r="7816" ht="15.75" customHeight="1">
      <c r="A7816" s="2" t="s">
        <v>7816</v>
      </c>
      <c r="B7816" s="2" t="str">
        <f>IFERROR(__xludf.DUMMYFUNCTION("GOOGLETRANSLATE(A7816, ""en"", ""mt"")"),"3 mili")</f>
        <v>3 mili</v>
      </c>
    </row>
    <row r="7817" ht="15.75" customHeight="1">
      <c r="A7817" s="2" t="s">
        <v>7817</v>
      </c>
      <c r="B7817" s="2" t="str">
        <f>IFERROR(__xludf.DUMMYFUNCTION("GOOGLETRANSLATE(A7817, ""en"", ""mt"")"),"Min tipikament jagħlaq id-dibattiti?")</f>
        <v>Min tipikament jagħlaq id-dibattiti?</v>
      </c>
    </row>
    <row r="7818" ht="15.75" customHeight="1">
      <c r="A7818" s="2" t="s">
        <v>7818</v>
      </c>
      <c r="B7818" s="2" t="str">
        <f>IFERROR(__xludf.DUMMYFUNCTION("GOOGLETRANSLATE(A7818, ""en"", ""mt"")"),"Wara l-introduzzjoni ta 'X.25 fl-1973, kemm ġew żviluppati teknoloġiji tan-netwerk?")</f>
        <v>Wara l-introduzzjoni ta 'X.25 fl-1973, kemm ġew żviluppati teknoloġiji tan-netwerk?</v>
      </c>
    </row>
    <row r="7819" ht="15.75" customHeight="1">
      <c r="A7819" s="2" t="s">
        <v>7819</v>
      </c>
      <c r="B7819" s="2" t="str">
        <f>IFERROR(__xludf.DUMMYFUNCTION("GOOGLETRANSLATE(A7819, ""en"", ""mt"")"),"Ma 'liema sistema Mongoljana għamlet kompromess il-gvern ta' Kublai?")</f>
        <v>Ma 'liema sistema Mongoljana għamlet kompromess il-gvern ta' Kublai?</v>
      </c>
    </row>
    <row r="7820" ht="15.75" customHeight="1">
      <c r="A7820" s="2" t="s">
        <v>7820</v>
      </c>
      <c r="B7820" s="2" t="str">
        <f>IFERROR(__xludf.DUMMYFUNCTION("GOOGLETRANSLATE(A7820, ""en"", ""mt"")"),"X'tip ta 'reazzjoni jipproduċi ossiġnu fil-kabini tal-pjan?")</f>
        <v>X'tip ta 'reazzjoni jipproduċi ossiġnu fil-kabini tal-pjan?</v>
      </c>
    </row>
    <row r="7821" ht="15.75" customHeight="1">
      <c r="A7821" s="2" t="s">
        <v>7821</v>
      </c>
      <c r="B7821" s="2" t="str">
        <f>IFERROR(__xludf.DUMMYFUNCTION("GOOGLETRANSLATE(A7821, ""en"", ""mt"")"),"Rapporti jiddokumentaw li kemm hemm protestanti ta 'Parisien inqatlu sas-17 ta' Settembru?")</f>
        <v>Rapporti jiddokumentaw li kemm hemm protestanti ta 'Parisien inqatlu sas-17 ta' Settembru?</v>
      </c>
    </row>
    <row r="7822" ht="15.75" customHeight="1">
      <c r="A7822" s="2" t="s">
        <v>7822</v>
      </c>
      <c r="B7822" s="2" t="str">
        <f>IFERROR(__xludf.DUMMYFUNCTION("GOOGLETRANSLATE(A7822, ""en"", ""mt"")"),"X’nota ta ’Marchall Cohen dwar il-kriminalità?")</f>
        <v>X’nota ta ’Marchall Cohen dwar il-kriminalità?</v>
      </c>
    </row>
    <row r="7823" ht="15.75" customHeight="1">
      <c r="A7823" s="2" t="s">
        <v>7823</v>
      </c>
      <c r="B7823" s="2" t="str">
        <f>IFERROR(__xludf.DUMMYFUNCTION("GOOGLETRANSLATE(A7823, ""en"", ""mt"")"),"X'tip ta 'analiżi kkonkludiet Harbison fl-2001 dwar il-Lobata?")</f>
        <v>X'tip ta 'analiżi kkonkludiet Harbison fl-2001 dwar il-Lobata?</v>
      </c>
    </row>
    <row r="7824" ht="15.75" customHeight="1">
      <c r="A7824" s="2" t="s">
        <v>7824</v>
      </c>
      <c r="B7824" s="2" t="str">
        <f>IFERROR(__xludf.DUMMYFUNCTION("GOOGLETRANSLATE(A7824, ""en"", ""mt"")"),"labirint ta 'problemi semantiċi u niceties grammatikali")</f>
        <v>labirint ta 'problemi semantiċi u niceties grammatikali</v>
      </c>
    </row>
    <row r="7825" ht="15.75" customHeight="1">
      <c r="A7825" s="2" t="s">
        <v>7825</v>
      </c>
      <c r="B7825" s="2" t="str">
        <f>IFERROR(__xludf.DUMMYFUNCTION("GOOGLETRANSLATE(A7825, ""en"", ""mt"")"),"Metodu li jalloka minn qabel il-wisa 'tal-banda tan-netwerk iddedikat")</f>
        <v>Metodu li jalloka minn qabel il-wisa 'tal-banda tan-netwerk iddedikat</v>
      </c>
    </row>
    <row r="7826" ht="15.75" customHeight="1">
      <c r="A7826" s="2" t="s">
        <v>7826</v>
      </c>
      <c r="B7826" s="2" t="str">
        <f>IFERROR(__xludf.DUMMYFUNCTION("GOOGLETRANSLATE(A7826, ""en"", ""mt"")"),"Meta l-FCC iddeċieda Fresno jista 'jkollu stazzjonijiet UHF biss?")</f>
        <v>Meta l-FCC iddeċieda Fresno jista 'jkollu stazzjonijiet UHF biss?</v>
      </c>
    </row>
    <row r="7827" ht="15.75" customHeight="1">
      <c r="A7827" s="2" t="s">
        <v>7827</v>
      </c>
      <c r="B7827" s="2" t="str">
        <f>IFERROR(__xludf.DUMMYFUNCTION("GOOGLETRANSLATE(A7827, ""en"", ""mt"")"),"Kemm huwa normali li l-ossiġnu n-nifs fl-ispazju ilbiesi?")</f>
        <v>Kemm huwa normali li l-ossiġnu n-nifs fl-ispazju ilbiesi?</v>
      </c>
    </row>
    <row r="7828" ht="15.75" customHeight="1">
      <c r="A7828" s="2" t="s">
        <v>7828</v>
      </c>
      <c r="B7828" s="2" t="str">
        <f>IFERROR(__xludf.DUMMYFUNCTION("GOOGLETRANSLATE(A7828, ""en"", ""mt"")"),"Għaliex ix-Shah tal-Iran ta intervista?")</f>
        <v>Għaliex ix-Shah tal-Iran ta intervista?</v>
      </c>
    </row>
    <row r="7829" ht="15.75" customHeight="1">
      <c r="A7829" s="2" t="s">
        <v>7829</v>
      </c>
      <c r="B7829" s="2" t="str">
        <f>IFERROR(__xludf.DUMMYFUNCTION("GOOGLETRANSLATE(A7829, ""en"", ""mt"")"),"taf kemm il-kobor kif ukoll id-direzzjoni taż-żewġ forzi biex tikkalkula r-riżultat")</f>
        <v>taf kemm il-kobor kif ukoll id-direzzjoni taż-żewġ forzi biex tikkalkula r-riżultat</v>
      </c>
    </row>
    <row r="7830" ht="15.75" customHeight="1">
      <c r="A7830" s="2" t="s">
        <v>7830</v>
      </c>
      <c r="B7830" s="2" t="str">
        <f>IFERROR(__xludf.DUMMYFUNCTION("GOOGLETRANSLATE(A7830, ""en"", ""mt"")"),"X'inhu r-riċettur li ċ-ċelloli T qattiel jużaw biex jorbtu ma 'antiġeni speċifiċi li huma kumplessi mar-riċettur tal-klassi 1 MHC ta' ċellula oħra?")</f>
        <v>X'inhu r-riċettur li ċ-ċelloli T qattiel jużaw biex jorbtu ma 'antiġeni speċifiċi li huma kumplessi mar-riċettur tal-klassi 1 MHC ta' ċellula oħra?</v>
      </c>
    </row>
    <row r="7831" ht="15.75" customHeight="1">
      <c r="A7831" s="2" t="s">
        <v>7831</v>
      </c>
      <c r="B7831" s="2" t="str">
        <f>IFERROR(__xludf.DUMMYFUNCTION("GOOGLETRANSLATE(A7831, ""en"", ""mt"")")," X'interferixxi mat-tielet invażjoni ta 'Kublai fil-Ġappun?")</f>
        <v> X'interferixxi mat-tielet invażjoni ta 'Kublai fil-Ġappun?</v>
      </c>
    </row>
    <row r="7832" ht="15.75" customHeight="1">
      <c r="A7832" s="2" t="s">
        <v>7832</v>
      </c>
      <c r="B7832" s="2" t="str">
        <f>IFERROR(__xludf.DUMMYFUNCTION("GOOGLETRANSLATE(A7832, ""en"", ""mt"")"),"Bini tad-Dawl u tal-Enerġija San Joaquin")</f>
        <v>Bini tad-Dawl u tal-Enerġija San Joaquin</v>
      </c>
    </row>
    <row r="7833" ht="15.75" customHeight="1">
      <c r="A7833" s="2" t="s">
        <v>7833</v>
      </c>
      <c r="B7833" s="2" t="str">
        <f>IFERROR(__xludf.DUMMYFUNCTION("GOOGLETRANSLATE(A7833, ""en"", ""mt"")"),"Liema ġnien kien formalment biss għar-royalties?")</f>
        <v>Liema ġnien kien formalment biss għar-royalties?</v>
      </c>
    </row>
    <row r="7834" ht="15.75" customHeight="1">
      <c r="A7834" s="2" t="s">
        <v>7834</v>
      </c>
      <c r="B7834" s="2" t="str">
        <f>IFERROR(__xludf.DUMMYFUNCTION("GOOGLETRANSLATE(A7834, ""en"", ""mt"")"),"Flimkien ma 'vetturi tat-triq, lokomottivi u vapuri, fuq liema vetturi ntużaw magni tal-fwar matul ir-rivoluzzjoni industrijali?")</f>
        <v>Flimkien ma 'vetturi tat-triq, lokomottivi u vapuri, fuq liema vetturi ntużaw magni tal-fwar matul ir-rivoluzzjoni industrijali?</v>
      </c>
    </row>
    <row r="7835" ht="15.75" customHeight="1">
      <c r="A7835" s="2" t="s">
        <v>7835</v>
      </c>
      <c r="B7835" s="2" t="str">
        <f>IFERROR(__xludf.DUMMYFUNCTION("GOOGLETRANSLATE(A7835, ""en"", ""mt"")"),"satelliti")</f>
        <v>satelliti</v>
      </c>
    </row>
    <row r="7836" ht="15.75" customHeight="1">
      <c r="A7836" s="2" t="s">
        <v>7836</v>
      </c>
      <c r="B7836" s="2" t="str">
        <f>IFERROR(__xludf.DUMMYFUNCTION("GOOGLETRANSLATE(A7836, ""en"", ""mt"")"),"X’kien ivvintat fl-1888 li rrevoluzzjona l-gwerra?")</f>
        <v>X’kien ivvintat fl-1888 li rrevoluzzjona l-gwerra?</v>
      </c>
    </row>
    <row r="7837" ht="15.75" customHeight="1">
      <c r="A7837" s="2" t="s">
        <v>7837</v>
      </c>
      <c r="B7837" s="2" t="str">
        <f>IFERROR(__xludf.DUMMYFUNCTION("GOOGLETRANSLATE(A7837, ""en"", ""mt"")"),"Spiżjara biss")</f>
        <v>Spiżjara biss</v>
      </c>
    </row>
    <row r="7838" ht="15.75" customHeight="1">
      <c r="A7838" s="2" t="s">
        <v>7838</v>
      </c>
      <c r="B7838" s="2" t="str">
        <f>IFERROR(__xludf.DUMMYFUNCTION("GOOGLETRANSLATE(A7838, ""en"", ""mt"")"),"Kemm studenti Żvediżi ġew irreġistrati fl-iskola pubblika fl-2008?")</f>
        <v>Kemm studenti Żvediżi ġew irreġistrati fl-iskola pubblika fl-2008?</v>
      </c>
    </row>
    <row r="7839" ht="15.75" customHeight="1">
      <c r="A7839" s="2" t="s">
        <v>7839</v>
      </c>
      <c r="B7839" s="2" t="str">
        <f>IFERROR(__xludf.DUMMYFUNCTION("GOOGLETRANSLATE(A7839, ""en"", ""mt"")"),"Qrati tal-Istat Membru")</f>
        <v>Qrati tal-Istat Membru</v>
      </c>
    </row>
    <row r="7840" ht="15.75" customHeight="1">
      <c r="A7840" s="2" t="s">
        <v>7840</v>
      </c>
      <c r="B7840" s="2" t="str">
        <f>IFERROR(__xludf.DUMMYFUNCTION("GOOGLETRANSLATE(A7840, ""en"", ""mt"")"),"X'inhi l-applikazzjoni tan-numri ewlenin użati fit-teknoloġija tal-informazzjoni li tuża l-fatt li l-fattur ta 'numri ewlenin kbar ħafna huwa espress fis-somma ta' żewġ primes?")</f>
        <v>X'inhi l-applikazzjoni tan-numri ewlenin użati fit-teknoloġija tal-informazzjoni li tuża l-fatt li l-fattur ta 'numri ewlenin kbar ħafna huwa espress fis-somma ta' żewġ primes?</v>
      </c>
    </row>
    <row r="7841" ht="15.75" customHeight="1">
      <c r="A7841" s="2" t="s">
        <v>7841</v>
      </c>
      <c r="B7841" s="2" t="str">
        <f>IFERROR(__xludf.DUMMYFUNCTION("GOOGLETRANSLATE(A7841, ""en"", ""mt"")"),"ċitokini")</f>
        <v>ċitokini</v>
      </c>
    </row>
    <row r="7842" ht="15.75" customHeight="1">
      <c r="A7842" s="2" t="s">
        <v>7842</v>
      </c>
      <c r="B7842" s="2" t="str">
        <f>IFERROR(__xludf.DUMMYFUNCTION("GOOGLETRANSLATE(A7842, ""en"", ""mt"")"),"X'inhu eżempju ta 'magna li ddur mingħajr pistuni?")</f>
        <v>X'inhu eżempju ta 'magna li ddur mingħajr pistuni?</v>
      </c>
    </row>
    <row r="7843" ht="15.75" customHeight="1">
      <c r="A7843" s="2" t="s">
        <v>7843</v>
      </c>
      <c r="B7843" s="2" t="str">
        <f>IFERROR(__xludf.DUMMYFUNCTION("GOOGLETRANSLATE(A7843, ""en"", ""mt"")"),"X'kien l-isem ta 'l-istil Ċiniż ta' Temur Khan?")</f>
        <v>X'kien l-isem ta 'l-istil Ċiniż ta' Temur Khan?</v>
      </c>
    </row>
    <row r="7844" ht="15.75" customHeight="1">
      <c r="A7844" s="2" t="s">
        <v>7844</v>
      </c>
      <c r="B7844" s="2" t="str">
        <f>IFERROR(__xludf.DUMMYFUNCTION("GOOGLETRANSLATE(A7844, ""en"", ""mt"")"),"il-pulizija u l-forzi armati")</f>
        <v>il-pulizija u l-forzi armati</v>
      </c>
    </row>
    <row r="7845" ht="15.75" customHeight="1">
      <c r="A7845" s="2" t="s">
        <v>7845</v>
      </c>
      <c r="B7845" s="2" t="str">
        <f>IFERROR(__xludf.DUMMYFUNCTION("GOOGLETRANSLATE(A7845, ""en"", ""mt"")"),"Demografija u Ekonomika")</f>
        <v>Demografija u Ekonomika</v>
      </c>
    </row>
    <row r="7846" ht="15.75" customHeight="1">
      <c r="A7846" s="2" t="s">
        <v>7846</v>
      </c>
      <c r="B7846" s="2" t="str">
        <f>IFERROR(__xludf.DUMMYFUNCTION("GOOGLETRANSLATE(A7846, ""en"", ""mt"")"),"Ubiorum")</f>
        <v>Ubiorum</v>
      </c>
    </row>
    <row r="7847" ht="15.75" customHeight="1">
      <c r="A7847" s="2" t="s">
        <v>7847</v>
      </c>
      <c r="B7847" s="2" t="str">
        <f>IFERROR(__xludf.DUMMYFUNCTION("GOOGLETRANSLATE(A7847, ""en"", ""mt"")"),"400")</f>
        <v>400</v>
      </c>
    </row>
    <row r="7848" ht="15.75" customHeight="1">
      <c r="A7848" s="2" t="s">
        <v>7848</v>
      </c>
      <c r="B7848" s="2" t="str">
        <f>IFERROR(__xludf.DUMMYFUNCTION("GOOGLETRANSLATE(A7848, ""en"", ""mt"")"),"Is-sopravivenza hija fil-qalba ta 'liema kunċett għall-ħaddiema?")</f>
        <v>Is-sopravivenza hija fil-qalba ta 'liema kunċett għall-ħaddiema?</v>
      </c>
    </row>
    <row r="7849" ht="15.75" customHeight="1">
      <c r="A7849" s="2" t="s">
        <v>7849</v>
      </c>
      <c r="B7849" s="2" t="str">
        <f>IFERROR(__xludf.DUMMYFUNCTION("GOOGLETRANSLATE(A7849, ""en"", ""mt"")"),"F'liema sena kien hemm 366,233 persuna f'Jacksonville?")</f>
        <v>F'liema sena kien hemm 366,233 persuna f'Jacksonville?</v>
      </c>
    </row>
    <row r="7850" ht="15.75" customHeight="1">
      <c r="A7850" s="2" t="s">
        <v>7850</v>
      </c>
      <c r="B7850" s="2" t="str">
        <f>IFERROR(__xludf.DUMMYFUNCTION("GOOGLETRANSLATE(A7850, ""en"", ""mt"")"),"Minbarra l-konċepiment tal-punt, liema monument jintuża fid-definizzjoni l-oħra tan-Nofsinhar ta 'California?")</f>
        <v>Minbarra l-konċepiment tal-punt, liema monument jintuża fid-definizzjoni l-oħra tan-Nofsinhar ta 'California?</v>
      </c>
    </row>
    <row r="7851" ht="15.75" customHeight="1">
      <c r="A7851" s="2" t="s">
        <v>7851</v>
      </c>
      <c r="B7851" s="2" t="str">
        <f>IFERROR(__xludf.DUMMYFUNCTION("GOOGLETRANSLATE(A7851, ""en"", ""mt"")"),"Interazzjonijiet potenzjali tal-mediċina, reazzjonijiet avversi għall-mediċina")</f>
        <v>Interazzjonijiet potenzjali tal-mediċina, reazzjonijiet avversi għall-mediċina</v>
      </c>
    </row>
    <row r="7852" ht="15.75" customHeight="1">
      <c r="A7852" s="2" t="s">
        <v>7852</v>
      </c>
      <c r="B7852" s="2" t="str">
        <f>IFERROR(__xludf.DUMMYFUNCTION("GOOGLETRANSLATE(A7852, ""en"", ""mt"")")," X'kienet it-tieni tifsira ta 'kelma Ġappuniża għal ""kwartieri""?")</f>
        <v> X'kienet it-tieni tifsira ta 'kelma Ġappuniża għal "kwartieri"?</v>
      </c>
    </row>
    <row r="7853" ht="15.75" customHeight="1">
      <c r="A7853" s="2" t="s">
        <v>7853</v>
      </c>
      <c r="B7853" s="2" t="str">
        <f>IFERROR(__xludf.DUMMYFUNCTION("GOOGLETRANSLATE(A7853, ""en"", ""mt"")"),"fażi ta 'setup f'kull nodu involut qabel ma jiġi trasferit kwalunkwe pakkett biex jistabbilixxi l-parametri tal-komunikazzjoni")</f>
        <v>fażi ta 'setup f'kull nodu involut qabel ma jiġi trasferit kwalunkwe pakkett biex jistabbilixxi l-parametri tal-komunikazzjoni</v>
      </c>
    </row>
    <row r="7854" ht="15.75" customHeight="1">
      <c r="A7854" s="2" t="s">
        <v>7854</v>
      </c>
      <c r="B7854" s="2" t="str">
        <f>IFERROR(__xludf.DUMMYFUNCTION("GOOGLETRANSLATE(A7854, ""en"", ""mt"")"),"""Combs"" - Gruppi ta 'Cilia")</f>
        <v>"Combs" - Gruppi ta 'Cilia</v>
      </c>
    </row>
    <row r="7855" ht="15.75" customHeight="1">
      <c r="A7855" s="2" t="s">
        <v>7855</v>
      </c>
      <c r="B7855" s="2" t="str">
        <f>IFERROR(__xludf.DUMMYFUNCTION("GOOGLETRANSLATE(A7855, ""en"", ""mt"")"),"Is-satelliti tagħhom qatt ma ġew imxandra bħala bla ħlas?")</f>
        <v>Is-satelliti tagħhom qatt ma ġew imxandra bħala bla ħlas?</v>
      </c>
    </row>
    <row r="7856" ht="15.75" customHeight="1">
      <c r="A7856" s="2" t="s">
        <v>7856</v>
      </c>
      <c r="B7856" s="2" t="str">
        <f>IFERROR(__xludf.DUMMYFUNCTION("GOOGLETRANSLATE(A7856, ""en"", ""mt"")"),"Fl-2010 il-forza assorbit 8 GT ta 'dak")</f>
        <v>Fl-2010 il-forza assorbit 8 GT ta 'dak</v>
      </c>
    </row>
    <row r="7857" ht="15.75" customHeight="1">
      <c r="A7857" s="2" t="s">
        <v>7857</v>
      </c>
      <c r="B7857" s="2" t="str">
        <f>IFERROR(__xludf.DUMMYFUNCTION("GOOGLETRANSLATE(A7857, ""en"", ""mt"")"),"Meta mqabbel ma 'kawżi oħra, huwa l-effett tal-kummerċ fuq l-inugwaljanza fl-Amerika?")</f>
        <v>Meta mqabbel ma 'kawżi oħra, huwa l-effett tal-kummerċ fuq l-inugwaljanza fl-Amerika?</v>
      </c>
    </row>
    <row r="7858" ht="15.75" customHeight="1">
      <c r="A7858" s="2" t="s">
        <v>7858</v>
      </c>
      <c r="B7858" s="2" t="str">
        <f>IFERROR(__xludf.DUMMYFUNCTION("GOOGLETRANSLATE(A7858, ""en"", ""mt"")"),"Liema molekuli huma partijiet tal-ġisem ta 'organiżmu fl-immunoloġija?")</f>
        <v>Liema molekuli huma partijiet tal-ġisem ta 'organiżmu fl-immunoloġija?</v>
      </c>
    </row>
    <row r="7859" ht="15.75" customHeight="1">
      <c r="A7859" s="2" t="s">
        <v>7859</v>
      </c>
      <c r="B7859" s="2" t="str">
        <f>IFERROR(__xludf.DUMMYFUNCTION("GOOGLETRANSLATE(A7859, ""en"", ""mt"")"),"Liema firxa tal-muntanji influwenzaw il-qasma tar-reġjuni?")</f>
        <v>Liema firxa tal-muntanji influwenzaw il-qasma tar-reġjuni?</v>
      </c>
    </row>
    <row r="7860" ht="15.75" customHeight="1">
      <c r="A7860" s="2" t="s">
        <v>7860</v>
      </c>
      <c r="B7860" s="2" t="str">
        <f>IFERROR(__xludf.DUMMYFUNCTION("GOOGLETRANSLATE(A7860, ""en"", ""mt"")"),"Analiżi bir-reqqa tal-medikazzjoni kollha (preskrizzjoni, nuqqas ta 'preskrizzjoni, u herbals) li bħalissa qed jittieħdu minn individwu")</f>
        <v>Analiżi bir-reqqa tal-medikazzjoni kollha (preskrizzjoni, nuqqas ta 'preskrizzjoni, u herbals) li bħalissa qed jittieħdu minn individwu</v>
      </c>
    </row>
    <row r="7861" ht="15.75" customHeight="1">
      <c r="A7861" s="2" t="s">
        <v>7861</v>
      </c>
      <c r="B7861" s="2" t="str">
        <f>IFERROR(__xludf.DUMMYFUNCTION("GOOGLETRANSLATE(A7861, ""en"", ""mt"")"),"Meta Dodge temm il-produzzjoni tas-sedans tad-daqs sħiħ tagħhom?")</f>
        <v>Meta Dodge temm il-produzzjoni tas-sedans tad-daqs sħiħ tagħhom?</v>
      </c>
    </row>
    <row r="7862" ht="15.75" customHeight="1">
      <c r="A7862" s="2" t="s">
        <v>7862</v>
      </c>
      <c r="B7862" s="2" t="str">
        <f>IFERROR(__xludf.DUMMYFUNCTION("GOOGLETRANSLATE(A7862, ""en"", ""mt"")"),"Min kien inkarigat mill-Armata Papali fil-Gwerra ta 'Barbastro?")</f>
        <v>Min kien inkarigat mill-Armata Papali fil-Gwerra ta 'Barbastro?</v>
      </c>
    </row>
    <row r="7863" ht="15.75" customHeight="1">
      <c r="A7863" s="2" t="s">
        <v>7863</v>
      </c>
      <c r="B7863" s="2" t="str">
        <f>IFERROR(__xludf.DUMMYFUNCTION("GOOGLETRANSLATE(A7863, ""en"", ""mt"")"),"X'jista 'jikkwota lil Henry David Thoreau lill-udjenzi fl-Indja?")</f>
        <v>X'jista 'jikkwota lil Henry David Thoreau lill-udjenzi fl-Indja?</v>
      </c>
    </row>
    <row r="7864" ht="15.75" customHeight="1">
      <c r="A7864" s="2" t="s">
        <v>7864</v>
      </c>
      <c r="B7864" s="2" t="str">
        <f>IFERROR(__xludf.DUMMYFUNCTION("GOOGLETRANSLATE(A7864, ""en"", ""mt"")"),"Liema direttur tal-GTE ried jagħmel it-teknoloġija ARPANET pubblika?")</f>
        <v>Liema direttur tal-GTE ried jagħmel it-teknoloġija ARPANET pubblika?</v>
      </c>
    </row>
    <row r="7865" ht="15.75" customHeight="1">
      <c r="A7865" s="2" t="s">
        <v>7865</v>
      </c>
      <c r="B7865" s="2" t="str">
        <f>IFERROR(__xludf.DUMMYFUNCTION("GOOGLETRANSLATE(A7865, ""en"", ""mt"")"),"Meta ġiet stabbilita l-ewwel darba Victoria?")</f>
        <v>Meta ġiet stabbilita l-ewwel darba Victoria?</v>
      </c>
    </row>
    <row r="7866" ht="15.75" customHeight="1">
      <c r="A7866" s="2" t="s">
        <v>7866</v>
      </c>
      <c r="B7866" s="2" t="str">
        <f>IFERROR(__xludf.DUMMYFUNCTION("GOOGLETRANSLATE(A7866, ""en"", ""mt"")"),"ma twettaqx riċerka u lanqas tissorvelja d-dejta relatata mal-klima")</f>
        <v>ma twettaqx riċerka u lanqas tissorvelja d-dejta relatata mal-klima</v>
      </c>
    </row>
    <row r="7867" ht="15.75" customHeight="1">
      <c r="A7867" s="2" t="s">
        <v>7867</v>
      </c>
      <c r="B7867" s="2" t="str">
        <f>IFERROR(__xludf.DUMMYFUNCTION("GOOGLETRANSLATE(A7867, ""en"", ""mt"")"),"Kemm tipi ta 'partiċelli tas-sedimenti kisbu l-aktar attenzjoni reċentement?")</f>
        <v>Kemm tipi ta 'partiċelli tas-sedimenti kisbu l-aktar attenzjoni reċentement?</v>
      </c>
    </row>
    <row r="7868" ht="15.75" customHeight="1">
      <c r="A7868" s="2" t="s">
        <v>7868</v>
      </c>
      <c r="B7868" s="2" t="str">
        <f>IFERROR(__xludf.DUMMYFUNCTION("GOOGLETRANSLATE(A7868, ""en"", ""mt"")"),"Y. pestis kien l-aġent kawżattiv tal-pesta epidemika")</f>
        <v>Y. pestis kien l-aġent kawżattiv tal-pesta epidemika</v>
      </c>
    </row>
    <row r="7869" ht="15.75" customHeight="1">
      <c r="A7869" s="2" t="s">
        <v>7869</v>
      </c>
      <c r="B7869" s="2" t="str">
        <f>IFERROR(__xludf.DUMMYFUNCTION("GOOGLETRANSLATE(A7869, ""en"", ""mt"")"),"X'inhuma l-punti ta 'oġġetti kwadratiċi?")</f>
        <v>X'inhuma l-punti ta 'oġġetti kwadratiċi?</v>
      </c>
    </row>
    <row r="7870" ht="15.75" customHeight="1">
      <c r="A7870" s="2" t="s">
        <v>7870</v>
      </c>
      <c r="B7870" s="2" t="str">
        <f>IFERROR(__xludf.DUMMYFUNCTION("GOOGLETRANSLATE(A7870, ""en"", ""mt"")"),"Min waqqaf McKinsey &amp; Company?")</f>
        <v>Min waqqaf McKinsey &amp; Company?</v>
      </c>
    </row>
    <row r="7871" ht="15.75" customHeight="1">
      <c r="A7871" s="2" t="s">
        <v>7871</v>
      </c>
      <c r="B7871" s="2" t="str">
        <f>IFERROR(__xludf.DUMMYFUNCTION("GOOGLETRANSLATE(A7871, ""en"", ""mt"")"),"depopolazzjoni u bidla permanenti kemm fl-istrutturi ekonomiċi kif ukoll soċjali")</f>
        <v>depopolazzjoni u bidla permanenti kemm fl-istrutturi ekonomiċi kif ukoll soċjali</v>
      </c>
    </row>
    <row r="7872" ht="15.75" customHeight="1">
      <c r="A7872" s="2" t="s">
        <v>7872</v>
      </c>
      <c r="B7872" s="2" t="str">
        <f>IFERROR(__xludf.DUMMYFUNCTION("GOOGLETRANSLATE(A7872, ""en"", ""mt"")"),"Liema awtur huwa l-aktar magħruf għall-ktieb tiegħu The Metaphysical Club?")</f>
        <v>Liema awtur huwa l-aktar magħruf għall-ktieb tiegħu The Metaphysical Club?</v>
      </c>
    </row>
    <row r="7873" ht="15.75" customHeight="1">
      <c r="A7873" s="2" t="s">
        <v>7873</v>
      </c>
      <c r="B7873" s="2" t="str">
        <f>IFERROR(__xludf.DUMMYFUNCTION("GOOGLETRANSLATE(A7873, ""en"", ""mt"")"),"Il-President Grover Cleveland")</f>
        <v>Il-President Grover Cleveland</v>
      </c>
    </row>
    <row r="7874" ht="15.75" customHeight="1">
      <c r="A7874" s="2" t="s">
        <v>7874</v>
      </c>
      <c r="B7874" s="2" t="str">
        <f>IFERROR(__xludf.DUMMYFUNCTION("GOOGLETRANSLATE(A7874, ""en"", ""mt"")"),"radjali")</f>
        <v>radjali</v>
      </c>
    </row>
    <row r="7875" ht="15.75" customHeight="1">
      <c r="A7875" s="2" t="s">
        <v>7875</v>
      </c>
      <c r="B7875" s="2" t="str">
        <f>IFERROR(__xludf.DUMMYFUNCTION("GOOGLETRANSLATE(A7875, ""en"", ""mt"")"),"Fl-aħħar tas-snin 1980")</f>
        <v>Fl-aħħar tas-snin 1980</v>
      </c>
    </row>
    <row r="7876" ht="15.75" customHeight="1">
      <c r="A7876" s="2" t="s">
        <v>7876</v>
      </c>
      <c r="B7876" s="2" t="str">
        <f>IFERROR(__xludf.DUMMYFUNCTION("GOOGLETRANSLATE(A7876, ""en"", ""mt"")"),"X'jiġri meta numru huwa prim?")</f>
        <v>X'jiġri meta numru huwa prim?</v>
      </c>
    </row>
    <row r="7877" ht="15.75" customHeight="1">
      <c r="A7877" s="2" t="s">
        <v>7877</v>
      </c>
      <c r="B7877" s="2" t="str">
        <f>IFERROR(__xludf.DUMMYFUNCTION("GOOGLETRANSLATE(A7877, ""en"", ""mt"")"),"is-sodda ewlenija")</f>
        <v>is-sodda ewlenija</v>
      </c>
    </row>
    <row r="7878" ht="15.75" customHeight="1">
      <c r="A7878" s="2" t="s">
        <v>7878</v>
      </c>
      <c r="B7878" s="2" t="str">
        <f>IFERROR(__xludf.DUMMYFUNCTION("GOOGLETRANSLATE(A7878, ""en"", ""mt"")"),"L-aħjar kumplessità tal-każ, l-agħar u medja tirreferi għal tliet modi differenti ta 'kejl tal-kumplessità tal-ħin (jew kwalunkwe miżura ta' kumplessità oħra) ta 'inputs differenti ta' l-istess daqs. Peress li xi inputs ta 'daqs n jistgħu jkunu aktar mgħa"&amp;"ġġla biex isolvu minn oħrajn, aħna niddefinixxu l-kumplessitajiet li ġejjin:")</f>
        <v>L-aħjar kumplessità tal-każ, l-agħar u medja tirreferi għal tliet modi differenti ta 'kejl tal-kumplessità tal-ħin (jew kwalunkwe miżura ta' kumplessità oħra) ta 'inputs differenti ta' l-istess daqs. Peress li xi inputs ta 'daqs n jistgħu jkunu aktar mgħaġġla biex isolvu minn oħrajn, aħna niddefinixxu l-kumplessitajiet li ġejjin:</v>
      </c>
    </row>
    <row r="7879" ht="15.75" customHeight="1">
      <c r="A7879" s="2" t="s">
        <v>7879</v>
      </c>
      <c r="B7879" s="2" t="str">
        <f>IFERROR(__xludf.DUMMYFUNCTION("GOOGLETRANSLATE(A7879, ""en"", ""mt"")"),"Astra's")</f>
        <v>Astra's</v>
      </c>
    </row>
    <row r="7880" ht="15.75" customHeight="1">
      <c r="A7880" s="2" t="s">
        <v>7880</v>
      </c>
      <c r="B7880" s="2" t="str">
        <f>IFERROR(__xludf.DUMMYFUNCTION("GOOGLETRANSLATE(A7880, ""en"", ""mt"")"),"Tqil / awtostrada, inġinerija ċivili jew tqila tqila")</f>
        <v>Tqil / awtostrada, inġinerija ċivili jew tqila tqila</v>
      </c>
    </row>
    <row r="7881" ht="15.75" customHeight="1">
      <c r="A7881" s="2" t="s">
        <v>7881</v>
      </c>
      <c r="B7881" s="2" t="str">
        <f>IFERROR(__xludf.DUMMYFUNCTION("GOOGLETRANSLATE(A7881, ""en"", ""mt"")"),"kriptografija")</f>
        <v>kriptografija</v>
      </c>
    </row>
    <row r="7882" ht="15.75" customHeight="1">
      <c r="A7882" s="2" t="s">
        <v>7882</v>
      </c>
      <c r="B7882" s="2" t="str">
        <f>IFERROR(__xludf.DUMMYFUNCTION("GOOGLETRANSLATE(A7882, ""en"", ""mt"")"),"In-Nofsinhar ta 'California, ħafna drabi mqassra SoCal, huwa reġjun ġeografiku u kulturali li ġeneralment jinkludi l-iktar 10 kontej tan-nofsinhar ta' California. Ir-reġjun huwa tradizzjonalment deskritt bħala ""tmien kontej"", ibbażat fuq demografija u r"&amp;"abtiet ekonomiċi: Imperial, Los Angeles, Orange, Riverside, San Bernardino, San Diego, Santa Barbara, u Ventura. Id-definizzjoni aktar estensiva ta '10 kontea, inklużi l-kontej Kern u San Luis Obispo, tintuża wkoll abbażi ta 'diviżjonijiet politiċi storiċ"&amp;"i. In-Nofsinhar ta ’California huwa ċentru ekonomiku ewlieni għall-Istat ta’ Kalifornja u l-Istati Uniti.")</f>
        <v>In-Nofsinhar ta 'California, ħafna drabi mqassra SoCal, huwa reġjun ġeografiku u kulturali li ġeneralment jinkludi l-iktar 10 kontej tan-nofsinhar ta' California. Ir-reġjun huwa tradizzjonalment deskritt bħala "tmien kontej", ibbażat fuq demografija u rabtiet ekonomiċi: Imperial, Los Angeles, Orange, Riverside, San Bernardino, San Diego, Santa Barbara, u Ventura. Id-definizzjoni aktar estensiva ta '10 kontea, inklużi l-kontej Kern u San Luis Obispo, tintuża wkoll abbażi ta 'diviżjonijiet politiċi storiċi. In-Nofsinhar ta ’California huwa ċentru ekonomiku ewlieni għall-Istat ta’ Kalifornja u l-Istati Uniti.</v>
      </c>
    </row>
    <row r="7883" ht="15.75" customHeight="1">
      <c r="A7883" s="2" t="s">
        <v>7883</v>
      </c>
      <c r="B7883" s="2" t="str">
        <f>IFERROR(__xludf.DUMMYFUNCTION("GOOGLETRANSLATE(A7883, ""en"", ""mt"")"),"IBERIA Musulmana")</f>
        <v>IBERIA Musulmana</v>
      </c>
    </row>
    <row r="7884" ht="15.75" customHeight="1">
      <c r="A7884" s="2" t="s">
        <v>7884</v>
      </c>
      <c r="B7884" s="2" t="str">
        <f>IFERROR(__xludf.DUMMYFUNCTION("GOOGLETRANSLATE(A7884, ""en"", ""mt"")"),"Era Mesozoic")</f>
        <v>Era Mesozoic</v>
      </c>
    </row>
    <row r="7885" ht="15.75" customHeight="1">
      <c r="A7885" s="2" t="s">
        <v>7885</v>
      </c>
      <c r="B7885" s="2" t="str">
        <f>IFERROR(__xludf.DUMMYFUNCTION("GOOGLETRANSLATE(A7885, ""en"", ""mt"")"),"Limitazzjonijiet prattiċi ta 'ħidma fil-foresta tropikali")</f>
        <v>Limitazzjonijiet prattiċi ta 'ħidma fil-foresta tropikali</v>
      </c>
    </row>
    <row r="7886" ht="15.75" customHeight="1">
      <c r="A7886" s="2" t="s">
        <v>7886</v>
      </c>
      <c r="B7886" s="2" t="str">
        <f>IFERROR(__xludf.DUMMYFUNCTION("GOOGLETRANSLATE(A7886, ""en"", ""mt"")"),"Miċ-ċensiment tal-2000, kien hemm 427,652 persuna, 140,079 djar, u 97,915 familja li joqogħdu fil-belt. Id-densità tal-popolazzjoni kienet ta ’4,097.9 persuna kull mil kwadru (1,582.2 / km²). Kien hemm 149,025 unità tad-djar b'densità medja ta '1,427.9 mi"&amp;"l kwadru (3,698 km2). L-għamla razzjali tal-belt kienet 50.2% bajda, 8.4% iswed jew Afrikan Amerikan, 1.6% Native American, 11.2% Asjatiċi (madwar terz minnhom huwa hmong), 0.1% Pacific Islander, 23.4% minn razez oħra, u 5.2% minn żewġ tiġrijiet jew aktar"&amp;". Hispanic jew Latino ta 'kwalunkwe razza kienu 39.9% tal-popolazzjoni.")</f>
        <v>Miċ-ċensiment tal-2000, kien hemm 427,652 persuna, 140,079 djar, u 97,915 familja li joqogħdu fil-belt. Id-densità tal-popolazzjoni kienet ta ’4,097.9 persuna kull mil kwadru (1,582.2 / km²). Kien hemm 149,025 unità tad-djar b'densità medja ta '1,427.9 mil kwadru (3,698 km2). L-għamla razzjali tal-belt kienet 50.2% bajda, 8.4% iswed jew Afrikan Amerikan, 1.6% Native American, 11.2% Asjatiċi (madwar terz minnhom huwa hmong), 0.1% Pacific Islander, 23.4% minn razez oħra, u 5.2% minn żewġ tiġrijiet jew aktar. Hispanic jew Latino ta 'kwalunkwe razza kienu 39.9% tal-popolazzjoni.</v>
      </c>
    </row>
    <row r="7887" ht="15.75" customHeight="1">
      <c r="A7887" s="2" t="s">
        <v>7887</v>
      </c>
      <c r="B7887" s="2" t="str">
        <f>IFERROR(__xludf.DUMMYFUNCTION("GOOGLETRANSLATE(A7887, ""en"", ""mt"")"),"X'tip ta 'kamp huwa meħtieġ biex jipproduċi effett ta' kalamita fil-molekuli ta 'ossiġnu?")</f>
        <v>X'tip ta 'kamp huwa meħtieġ biex jipproduċi effett ta' kalamita fil-molekuli ta 'ossiġnu?</v>
      </c>
    </row>
    <row r="7888" ht="15.75" customHeight="1">
      <c r="A7888" s="2" t="s">
        <v>7888</v>
      </c>
      <c r="B7888" s="2" t="str">
        <f>IFERROR(__xludf.DUMMYFUNCTION("GOOGLETRANSLATE(A7888, ""en"", ""mt"")"),"Liema fruntiera tiċċirkola r-Renu mit-tramuntana?")</f>
        <v>Liema fruntiera tiċċirkola r-Renu mit-tramuntana?</v>
      </c>
    </row>
    <row r="7889" ht="15.75" customHeight="1">
      <c r="A7889" s="2" t="s">
        <v>7889</v>
      </c>
      <c r="B7889" s="2" t="str">
        <f>IFERROR(__xludf.DUMMYFUNCTION("GOOGLETRANSLATE(A7889, ""en"", ""mt"")"),"Kien hemm dibattiti dwar jekk id-diżubbidjenza ċivili għandhiex neċessarjament tkun mhux vjolenti. Id-Dizzjunarju tal-Liġi ta 'l-Iswed jinkludi n-non-vjolenza fid-definizzjoni tiegħu ta' diżubbidjenza ċivili. L-artikolu tal-Enċiklopedija ta 'Christian Bay"&amp;" jiddikjara li d-diżubbidjenza ċivili teħtieġ ""mezzi magħżula bir-reqqa u leġittima"", iżda jqis li m'għandhomx għalfejn ikunu mhux vjolenti. Ġie argumentat li, filwaqt li kemm id-diżubbidjenza ċivili kif ukoll ir-ribelljoni ċivili huma ġġustifikati bl-a"&amp;"ppell għal difetti kostituzzjonali, ir-ribelljoni hija ferm aktar distruttiva; Għalhekk, id-difetti li jiġġustifikaw ribelljoni għandhom ikunu ferm iktar serji minn dawk li jiġġustifikaw id-diżubbidjenza, u jekk wieħed ma jistax jiġġustifika ribelljoni ċi"&amp;"vili, allura wieħed ma jistax jiġġustifika l-użu ta 'forza u vjolenza ta' diżubbidjenti ċivili u rifjut li jissottometti għall-arrest. Id-diżubbidjenti ċivili joqogħdu mill-vjolenza jingħad ukoll biex jgħinu jippreservaw it-tolleranza tas-soċjetà ta 'diżu"&amp;"bbidjenza ċivili.")</f>
        <v>Kien hemm dibattiti dwar jekk id-diżubbidjenza ċivili għandhiex neċessarjament tkun mhux vjolenti. Id-Dizzjunarju tal-Liġi ta 'l-Iswed jinkludi n-non-vjolenza fid-definizzjoni tiegħu ta' diżubbidjenza ċivili. L-artikolu tal-Enċiklopedija ta 'Christian Bay jiddikjara li d-diżubbidjenza ċivili teħtieġ "mezzi magħżula bir-reqqa u leġittima", iżda jqis li m'għandhomx għalfejn ikunu mhux vjolenti. Ġie argumentat li, filwaqt li kemm id-diżubbidjenza ċivili kif ukoll ir-ribelljoni ċivili huma ġġustifikati bl-appell għal difetti kostituzzjonali, ir-ribelljoni hija ferm aktar distruttiva; Għalhekk, id-difetti li jiġġustifikaw ribelljoni għandhom ikunu ferm iktar serji minn dawk li jiġġustifikaw id-diżubbidjenza, u jekk wieħed ma jistax jiġġustifika ribelljoni ċivili, allura wieħed ma jistax jiġġustifika l-użu ta 'forza u vjolenza ta' diżubbidjenti ċivili u rifjut li jissottometti għall-arrest. Id-diżubbidjenti ċivili joqogħdu mill-vjolenza jingħad ukoll biex jgħinu jippreservaw it-tolleranza tas-soċjetà ta 'diżubbidjenza ċivili.</v>
      </c>
    </row>
    <row r="7890" ht="15.75" customHeight="1">
      <c r="A7890" s="2" t="s">
        <v>7890</v>
      </c>
      <c r="B7890" s="2" t="str">
        <f>IFERROR(__xludf.DUMMYFUNCTION("GOOGLETRANSLATE(A7890, ""en"", ""mt"")"),"X’kissostitwixxi l-korrelazzjoni stratigrafika?")</f>
        <v>X’kissostitwixxi l-korrelazzjoni stratigrafika?</v>
      </c>
    </row>
    <row r="7891" ht="15.75" customHeight="1">
      <c r="A7891" s="2" t="s">
        <v>7891</v>
      </c>
      <c r="B7891" s="2" t="str">
        <f>IFERROR(__xludf.DUMMYFUNCTION("GOOGLETRANSLATE(A7891, ""en"", ""mt"")"),"sospiż")</f>
        <v>sospiż</v>
      </c>
    </row>
    <row r="7892" ht="15.75" customHeight="1">
      <c r="A7892" s="2" t="s">
        <v>7892</v>
      </c>
      <c r="B7892" s="2" t="str">
        <f>IFERROR(__xludf.DUMMYFUNCTION("GOOGLETRANSLATE(A7892, ""en"", ""mt"")"),"Liema Scholar Shakespeare huwa membru tal-fakultà f'Harvard?")</f>
        <v>Liema Scholar Shakespeare huwa membru tal-fakultà f'Harvard?</v>
      </c>
    </row>
    <row r="7893" ht="15.75" customHeight="1">
      <c r="A7893" s="2" t="s">
        <v>7893</v>
      </c>
      <c r="B7893" s="2" t="str">
        <f>IFERROR(__xludf.DUMMYFUNCTION("GOOGLETRANSLATE(A7893, ""en"", ""mt"")"),"Rīnaz")</f>
        <v>Rīnaz</v>
      </c>
    </row>
    <row r="7894" ht="15.75" customHeight="1">
      <c r="A7894" s="2" t="s">
        <v>7894</v>
      </c>
      <c r="B7894" s="2" t="str">
        <f>IFERROR(__xludf.DUMMYFUNCTION("GOOGLETRANSLATE(A7894, ""en"", ""mt"")"),"Meta ġiet iċċensurata l-Kummissjoni Santer mill-Parlament?")</f>
        <v>Meta ġiet iċċensurata l-Kummissjoni Santer mill-Parlament?</v>
      </c>
    </row>
    <row r="7895" ht="15.75" customHeight="1">
      <c r="A7895" s="2" t="s">
        <v>7895</v>
      </c>
      <c r="B7895" s="2" t="str">
        <f>IFERROR(__xludf.DUMMYFUNCTION("GOOGLETRANSLATE(A7895, ""en"", ""mt"")"),"Komposti ta 'ossiġnu")</f>
        <v>Komposti ta 'ossiġnu</v>
      </c>
    </row>
    <row r="7896" ht="15.75" customHeight="1">
      <c r="A7896" s="2" t="s">
        <v>7896</v>
      </c>
      <c r="B7896" s="2" t="str">
        <f>IFERROR(__xludf.DUMMYFUNCTION("GOOGLETRANSLATE(A7896, ""en"", ""mt"")"),"Ossiġenu-16")</f>
        <v>Ossiġenu-16</v>
      </c>
    </row>
    <row r="7897" ht="15.75" customHeight="1">
      <c r="A7897" s="2" t="s">
        <v>7897</v>
      </c>
      <c r="B7897" s="2" t="str">
        <f>IFERROR(__xludf.DUMMYFUNCTION("GOOGLETRANSLATE(A7897, ""en"", ""mt"")"),"X'jiġri f'xi għant fuq Cydippids biex ibiddlu d-daqs tagħhom?")</f>
        <v>X'jiġri f'xi għant fuq Cydippids biex ibiddlu d-daqs tagħhom?</v>
      </c>
    </row>
    <row r="7898" ht="15.75" customHeight="1">
      <c r="A7898" s="2" t="s">
        <v>7898</v>
      </c>
      <c r="B7898" s="2" t="str">
        <f>IFERROR(__xludf.DUMMYFUNCTION("GOOGLETRANSLATE(A7898, ""en"", ""mt"")"),"Deżert")</f>
        <v>Deżert</v>
      </c>
    </row>
    <row r="7899" ht="15.75" customHeight="1">
      <c r="A7899" s="2" t="s">
        <v>7899</v>
      </c>
      <c r="B7899" s="2" t="str">
        <f>IFERROR(__xludf.DUMMYFUNCTION("GOOGLETRANSLATE(A7899, ""en"", ""mt"")"),"Min hu l-president attwali u r-rappreżentant għoli għall-politika barranija u ta 'sigurtà?")</f>
        <v>Min hu l-president attwali u r-rappreżentant għoli għall-politika barranija u ta 'sigurtà?</v>
      </c>
    </row>
    <row r="7900" ht="15.75" customHeight="1">
      <c r="A7900" s="2" t="s">
        <v>7900</v>
      </c>
      <c r="B7900" s="2" t="str">
        <f>IFERROR(__xludf.DUMMYFUNCTION("GOOGLETRANSLATE(A7900, ""en"", ""mt"")"),"X’irbaħ il-Ħamas fl-elezzjoni leġiżlattiva ta ’Jannar 2006?")</f>
        <v>X’irbaħ il-Ħamas fl-elezzjoni leġiżlattiva ta ’Jannar 2006?</v>
      </c>
    </row>
    <row r="7901" ht="15.75" customHeight="1">
      <c r="A7901" s="2" t="s">
        <v>7901</v>
      </c>
      <c r="B7901" s="2" t="str">
        <f>IFERROR(__xludf.DUMMYFUNCTION("GOOGLETRANSLATE(A7901, ""en"", ""mt"")"),"X'inhi l-inugwaljanza assoċjata ma 'livelli ogħla ta'?")</f>
        <v>X'inhi l-inugwaljanza assoċjata ma 'livelli ogħla ta'?</v>
      </c>
    </row>
    <row r="7902" ht="15.75" customHeight="1">
      <c r="A7902" s="2" t="s">
        <v>7902</v>
      </c>
      <c r="B7902" s="2" t="str">
        <f>IFERROR(__xludf.DUMMYFUNCTION("GOOGLETRANSLATE(A7902, ""en"", ""mt"")"),"Trajettorja ballistika")</f>
        <v>Trajettorja ballistika</v>
      </c>
    </row>
    <row r="7903" ht="15.75" customHeight="1">
      <c r="A7903" s="2" t="s">
        <v>7903</v>
      </c>
      <c r="B7903" s="2" t="str">
        <f>IFERROR(__xludf.DUMMYFUNCTION("GOOGLETRANSLATE(A7903, ""en"", ""mt"")"),"10.0%")</f>
        <v>10.0%</v>
      </c>
    </row>
    <row r="7904" ht="15.75" customHeight="1">
      <c r="A7904" s="2" t="s">
        <v>7904</v>
      </c>
      <c r="B7904" s="2" t="str">
        <f>IFERROR(__xludf.DUMMYFUNCTION("GOOGLETRANSLATE(A7904, ""en"", ""mt"")"),"Spiża tal-kostruzzjoni")</f>
        <v>Spiża tal-kostruzzjoni</v>
      </c>
    </row>
    <row r="7905" ht="15.75" customHeight="1">
      <c r="A7905" s="2" t="s">
        <v>7905</v>
      </c>
      <c r="B7905" s="2" t="str">
        <f>IFERROR(__xludf.DUMMYFUNCTION("GOOGLETRANSLATE(A7905, ""en"", ""mt"")"),"X'inhi l-iktar karatteristika distintiva ta 'Cnidarians?")</f>
        <v>X'inhi l-iktar karatteristika distintiva ta 'Cnidarians?</v>
      </c>
    </row>
    <row r="7906" ht="15.75" customHeight="1">
      <c r="A7906" s="2" t="s">
        <v>7906</v>
      </c>
      <c r="B7906" s="2" t="str">
        <f>IFERROR(__xludf.DUMMYFUNCTION("GOOGLETRANSLATE(A7906, ""en"", ""mt"")"),"X'inhu meħtieġ biex tippakkja l-elettroni densament flimkien?")</f>
        <v>X'inhu meħtieġ biex tippakkja l-elettroni densament flimkien?</v>
      </c>
    </row>
    <row r="7907" ht="15.75" customHeight="1">
      <c r="A7907" s="2" t="s">
        <v>7907</v>
      </c>
      <c r="B7907" s="2" t="str">
        <f>IFERROR(__xludf.DUMMYFUNCTION("GOOGLETRANSLATE(A7907, ""en"", ""mt"")"),"Id-Danimarka, l-Islanda u n-Norveġja")</f>
        <v>Id-Danimarka, l-Islanda u n-Norveġja</v>
      </c>
    </row>
    <row r="7908" ht="15.75" customHeight="1">
      <c r="A7908" s="2" t="s">
        <v>7908</v>
      </c>
      <c r="B7908" s="2" t="str">
        <f>IFERROR(__xludf.DUMMYFUNCTION("GOOGLETRANSLATE(A7908, ""en"", ""mt"")"),"L-għoti ta 'liema status jippermetti skejjel privati ​​mhux reliġjużi fl-Istati Uniti jirċievu fondi pubbliċi?")</f>
        <v>L-għoti ta 'liema status jippermetti skejjel privati ​​mhux reliġjużi fl-Istati Uniti jirċievu fondi pubbliċi?</v>
      </c>
    </row>
    <row r="7909" ht="15.75" customHeight="1">
      <c r="A7909" s="2" t="s">
        <v>7909</v>
      </c>
      <c r="B7909" s="2" t="str">
        <f>IFERROR(__xludf.DUMMYFUNCTION("GOOGLETRANSLATE(A7909, ""en"", ""mt"")"),"Kemm għandhom aurikoli Plankton?")</f>
        <v>Kemm għandhom aurikoli Plankton?</v>
      </c>
    </row>
    <row r="7910" ht="15.75" customHeight="1">
      <c r="A7910" s="2" t="s">
        <v>7910</v>
      </c>
      <c r="B7910" s="2" t="str">
        <f>IFERROR(__xludf.DUMMYFUNCTION("GOOGLETRANSLATE(A7910, ""en"", ""mt"")"),"leptin, ormon tat-tkabbir tal-pitwitarja, u prolactin")</f>
        <v>leptin, ormon tat-tkabbir tal-pitwitarja, u prolactin</v>
      </c>
    </row>
    <row r="7911" ht="15.75" customHeight="1">
      <c r="A7911" s="2" t="s">
        <v>7911</v>
      </c>
      <c r="B7911" s="2" t="str">
        <f>IFERROR(__xludf.DUMMYFUNCTION("GOOGLETRANSLATE(A7911, ""en"", ""mt"")"),"Skond reviżjoni tal-1955, x'kienu l-iffrankar mill-ħsieb sinjur?")</f>
        <v>Skond reviżjoni tal-1955, x'kienu l-iffrankar mill-ħsieb sinjur?</v>
      </c>
    </row>
    <row r="7912" ht="15.75" customHeight="1">
      <c r="A7912" s="2" t="s">
        <v>7912</v>
      </c>
      <c r="B7912" s="2" t="str">
        <f>IFERROR(__xludf.DUMMYFUNCTION("GOOGLETRANSLATE(A7912, ""en"", ""mt"")"),"Movimenti tax-xogħol dgħajfa")</f>
        <v>Movimenti tax-xogħol dgħajfa</v>
      </c>
    </row>
    <row r="7913" ht="15.75" customHeight="1">
      <c r="A7913" s="2" t="s">
        <v>7913</v>
      </c>
      <c r="B7913" s="2" t="str">
        <f>IFERROR(__xludf.DUMMYFUNCTION("GOOGLETRANSLATE(A7913, ""en"", ""mt"")"),"Liema problemi kellha d-dinastija Yuan qrib it-tmiem tagħha?")</f>
        <v>Liema problemi kellha d-dinastija Yuan qrib it-tmiem tagħha?</v>
      </c>
    </row>
    <row r="7914" ht="15.75" customHeight="1">
      <c r="A7914" s="2" t="s">
        <v>7914</v>
      </c>
      <c r="B7914" s="2" t="str">
        <f>IFERROR(__xludf.DUMMYFUNCTION("GOOGLETRANSLATE(A7914, ""en"", ""mt"")"),"X'kien is-sors tal-iżball?")</f>
        <v>X'kien is-sors tal-iżball?</v>
      </c>
    </row>
    <row r="7915" ht="15.75" customHeight="1">
      <c r="A7915" s="2" t="s">
        <v>7915</v>
      </c>
      <c r="B7915" s="2" t="str">
        <f>IFERROR(__xludf.DUMMYFUNCTION("GOOGLETRANSLATE(A7915, ""en"", ""mt"")"),"kundizzjonijiet ta 'ekwilibriju statiku")</f>
        <v>kundizzjonijiet ta 'ekwilibriju statiku</v>
      </c>
    </row>
    <row r="7916" ht="15.75" customHeight="1">
      <c r="A7916" s="2" t="s">
        <v>7916</v>
      </c>
      <c r="B7916" s="2" t="str">
        <f>IFERROR(__xludf.DUMMYFUNCTION("GOOGLETRANSLATE(A7916, ""en"", ""mt"")"),"Fl-1972, in-Norveġja spiċċat tissieħeb fl-Unjoni Ewropea?")</f>
        <v>Fl-1972, in-Norveġja spiċċat tissieħeb fl-Unjoni Ewropea?</v>
      </c>
    </row>
    <row r="7917" ht="15.75" customHeight="1">
      <c r="A7917" s="2" t="s">
        <v>7917</v>
      </c>
      <c r="B7917" s="2" t="str">
        <f>IFERROR(__xludf.DUMMYFUNCTION("GOOGLETRANSLATE(A7917, ""en"", ""mt"")"),"X'inhuma żewġ eżempji ta 'tipi differenti ta' tnaqqis?")</f>
        <v>X'inhuma żewġ eżempji ta 'tipi differenti ta' tnaqqis?</v>
      </c>
    </row>
    <row r="7918" ht="15.75" customHeight="1">
      <c r="A7918" s="2" t="s">
        <v>7918</v>
      </c>
      <c r="B7918" s="2" t="str">
        <f>IFERROR(__xludf.DUMMYFUNCTION("GOOGLETRANSLATE(A7918, ""en"", ""mt"")"),"avvenimenti")</f>
        <v>avvenimenti</v>
      </c>
    </row>
    <row r="7919" ht="15.75" customHeight="1">
      <c r="A7919" s="2" t="s">
        <v>7919</v>
      </c>
      <c r="B7919" s="2" t="str">
        <f>IFERROR(__xludf.DUMMYFUNCTION("GOOGLETRANSLATE(A7919, ""en"", ""mt"")"),"Kemm tiġi kkunsmata l-enerġija tat-turbina mill-pompa waqt li l-fluwidu tax-xogħol jiġi kondensat?")</f>
        <v>Kemm tiġi kkunsmata l-enerġija tat-turbina mill-pompa waqt li l-fluwidu tax-xogħol jiġi kondensat?</v>
      </c>
    </row>
    <row r="7920" ht="15.75" customHeight="1">
      <c r="A7920" s="2" t="s">
        <v>7920</v>
      </c>
      <c r="B7920" s="2" t="str">
        <f>IFERROR(__xludf.DUMMYFUNCTION("GOOGLETRANSLATE(A7920, ""en"", ""mt"")"),"għadam")</f>
        <v>għadam</v>
      </c>
    </row>
    <row r="7921" ht="15.75" customHeight="1">
      <c r="A7921" s="2" t="s">
        <v>7921</v>
      </c>
      <c r="B7921" s="2" t="str">
        <f>IFERROR(__xludf.DUMMYFUNCTION("GOOGLETRANSLATE(A7921, ""en"", ""mt"")"),"Biex tikkontrobatti l-għargħar kostanti u s-sedimentazzjoni qawwija fid-delta tar-Renu tal-Punent")</f>
        <v>Biex tikkontrobatti l-għargħar kostanti u s-sedimentazzjoni qawwija fid-delta tar-Renu tal-Punent</v>
      </c>
    </row>
    <row r="7922" ht="15.75" customHeight="1">
      <c r="A7922" s="2" t="s">
        <v>7922</v>
      </c>
      <c r="B7922" s="2" t="str">
        <f>IFERROR(__xludf.DUMMYFUNCTION("GOOGLETRANSLATE(A7922, ""en"", ""mt"")"),"L-instabilità inkwetata s-snin bikrin tar-renju ta 'Kublai Khan. In-neputi ta 'Ogedei Kaidu rrifjuta li jissottometti lil Kublai u hedded il-fruntiera tal-punent tad-dominju ta' Kublai. Id-dinastija ostili imma mdgħajfa tal-kanzunetta baqgħet ostaklu fin-"&amp;"nofsinhar. Kublai assigura l-fruntiera tal-grigal fl-1259 billi installa l-ostaġġ Prince Wonjong bħala l-ħakkiem tal-Korea, u għamilha stat tributarju Mongoljan. Kublai kien mhedded ukoll minn inkwiet domestiku. Li Tan, it-tifel ta 'uffiċjal b'saħħtu, ins"&amp;"tiga rewwixta kontra r-regola tal-Mongolja fl-1262. Wara li trażżan b'suċċess ir-rewwixta, Kublai qabeż l-influwenza tal-konsulenti Ċiniżi Han fil-qorti tiegħu. Huwa beża 'li d-dipendenza tiegħu fuq uffiċjali Ċiniżi ħallietlu vulnerabbli għal rewwixti fut"&amp;"uri u difetti għall-kanzunetta.")</f>
        <v>L-instabilità inkwetata s-snin bikrin tar-renju ta 'Kublai Khan. In-neputi ta 'Ogedei Kaidu rrifjuta li jissottometti lil Kublai u hedded il-fruntiera tal-punent tad-dominju ta' Kublai. Id-dinastija ostili imma mdgħajfa tal-kanzunetta baqgħet ostaklu fin-nofsinhar. Kublai assigura l-fruntiera tal-grigal fl-1259 billi installa l-ostaġġ Prince Wonjong bħala l-ħakkiem tal-Korea, u għamilha stat tributarju Mongoljan. Kublai kien mhedded ukoll minn inkwiet domestiku. Li Tan, it-tifel ta 'uffiċjal b'saħħtu, instiga rewwixta kontra r-regola tal-Mongolja fl-1262. Wara li trażżan b'suċċess ir-rewwixta, Kublai qabeż l-influwenza tal-konsulenti Ċiniżi Han fil-qorti tiegħu. Huwa beża 'li d-dipendenza tiegħu fuq uffiċjali Ċiniżi ħallietlu vulnerabbli għal rewwixti futuri u difetti għall-kanzunetta.</v>
      </c>
    </row>
    <row r="7923" ht="15.75" customHeight="1">
      <c r="A7923" s="2" t="s">
        <v>7923</v>
      </c>
      <c r="B7923" s="2" t="str">
        <f>IFERROR(__xludf.DUMMYFUNCTION("GOOGLETRANSLATE(A7923, ""en"", ""mt"")"),"ftit")</f>
        <v>ftit</v>
      </c>
    </row>
    <row r="7924" ht="15.75" customHeight="1">
      <c r="A7924" s="2" t="s">
        <v>7924</v>
      </c>
      <c r="B7924" s="2" t="str">
        <f>IFERROR(__xludf.DUMMYFUNCTION("GOOGLETRANSLATE(A7924, ""en"", ""mt"")"),"Liema nazzjonalità kienet Arthur Woolf?")</f>
        <v>Liema nazzjonalità kienet Arthur Woolf?</v>
      </c>
    </row>
    <row r="7925" ht="15.75" customHeight="1">
      <c r="A7925" s="2" t="s">
        <v>7925</v>
      </c>
      <c r="B7925" s="2" t="str">
        <f>IFERROR(__xludf.DUMMYFUNCTION("GOOGLETRANSLATE(A7925, ""en"", ""mt"")"),"Haeckelia priża l-aktar fuq liema annimal?")</f>
        <v>Haeckelia priża l-aktar fuq liema annimal?</v>
      </c>
    </row>
    <row r="7926" ht="15.75" customHeight="1">
      <c r="A7926" s="2" t="s">
        <v>7926</v>
      </c>
      <c r="B7926" s="2" t="str">
        <f>IFERROR(__xludf.DUMMYFUNCTION("GOOGLETRANSLATE(A7926, ""en"", ""mt"")"),"Meta l-marea u l-kurrenti laħqu l-ogħla żieda fil-livell tal-baħar?")</f>
        <v>Meta l-marea u l-kurrenti laħqu l-ogħla żieda fil-livell tal-baħar?</v>
      </c>
    </row>
    <row r="7927" ht="15.75" customHeight="1">
      <c r="A7927" s="2" t="s">
        <v>7927</v>
      </c>
      <c r="B7927" s="2" t="str">
        <f>IFERROR(__xludf.DUMMYFUNCTION("GOOGLETRANSLATE(A7927, ""en"", ""mt"")"),"Meta ġiet żviluppata l-abbiltà li tuża l-fossili sal-lum il-formazzjonijiet tal-iżotopi?")</f>
        <v>Meta ġiet żviluppata l-abbiltà li tuża l-fossili sal-lum il-formazzjonijiet tal-iżotopi?</v>
      </c>
    </row>
    <row r="7928" ht="15.75" customHeight="1">
      <c r="A7928" s="2" t="s">
        <v>7928</v>
      </c>
      <c r="B7928" s="2" t="str">
        <f>IFERROR(__xludf.DUMMYFUNCTION("GOOGLETRANSLATE(A7928, ""en"", ""mt"")"),"X'jiddoqqlu l-imperi Ewropej biex ifornuhom b'riżorsi?")</f>
        <v>X'jiddoqqlu l-imperi Ewropej biex ifornuhom b'riżorsi?</v>
      </c>
    </row>
    <row r="7929" ht="15.75" customHeight="1">
      <c r="A7929" s="2" t="s">
        <v>7929</v>
      </c>
      <c r="B7929" s="2" t="str">
        <f>IFERROR(__xludf.DUMMYFUNCTION("GOOGLETRANSLATE(A7929, ""en"", ""mt"")"),"Liema lingwi użaw l-iskrittura Phags-PA?")</f>
        <v>Liema lingwi użaw l-iskrittura Phags-PA?</v>
      </c>
    </row>
    <row r="7930" ht="15.75" customHeight="1">
      <c r="A7930" s="2" t="s">
        <v>7930</v>
      </c>
      <c r="B7930" s="2" t="str">
        <f>IFERROR(__xludf.DUMMYFUNCTION("GOOGLETRANSLATE(A7930, ""en"", ""mt"")"),"β-defensins")</f>
        <v>β-defensins</v>
      </c>
    </row>
    <row r="7931" ht="15.75" customHeight="1">
      <c r="A7931" s="2" t="s">
        <v>7931</v>
      </c>
      <c r="B7931" s="2" t="str">
        <f>IFERROR(__xludf.DUMMYFUNCTION("GOOGLETRANSLATE(A7931, ""en"", ""mt"")"),"17")</f>
        <v>17</v>
      </c>
    </row>
    <row r="7932" ht="15.75" customHeight="1">
      <c r="A7932" s="2" t="s">
        <v>7932</v>
      </c>
      <c r="B7932" s="2" t="str">
        <f>IFERROR(__xludf.DUMMYFUNCTION("GOOGLETRANSLATE(A7932, ""en"", ""mt"")"),"Min żviluppa l-ewwel apparat kummerċjali li jaħdem bil-magna?")</f>
        <v>Min żviluppa l-ewwel apparat kummerċjali li jaħdem bil-magna?</v>
      </c>
    </row>
    <row r="7933" ht="15.75" customHeight="1">
      <c r="A7933" s="2" t="s">
        <v>7933</v>
      </c>
      <c r="B7933" s="2" t="str">
        <f>IFERROR(__xludf.DUMMYFUNCTION("GOOGLETRANSLATE(A7933, ""en"", ""mt"")"),"nofs is-snin 2000")</f>
        <v>nofs is-snin 2000</v>
      </c>
    </row>
    <row r="7934" ht="15.75" customHeight="1">
      <c r="A7934" s="2" t="s">
        <v>7934</v>
      </c>
      <c r="B7934" s="2" t="str">
        <f>IFERROR(__xludf.DUMMYFUNCTION("GOOGLETRANSLATE(A7934, ""en"", ""mt"")"),"vaċċinazzjoni")</f>
        <v>vaċċinazzjoni</v>
      </c>
    </row>
    <row r="7935" ht="15.75" customHeight="1">
      <c r="A7935" s="2" t="s">
        <v>7935</v>
      </c>
      <c r="B7935" s="2" t="str">
        <f>IFERROR(__xludf.DUMMYFUNCTION("GOOGLETRANSLATE(A7935, ""en"", ""mt"")"),"1953")</f>
        <v>1953</v>
      </c>
    </row>
    <row r="7936" ht="15.75" customHeight="1">
      <c r="A7936" s="2" t="s">
        <v>7936</v>
      </c>
      <c r="B7936" s="2" t="str">
        <f>IFERROR(__xludf.DUMMYFUNCTION("GOOGLETRANSLATE(A7936, ""en"", ""mt"")"),"Liema stil ta 'senser jixtieq juża x-xjentist biex ikejjel ir-radjazzjoni globali?")</f>
        <v>Liema stil ta 'senser jixtieq juża x-xjentist biex ikejjel ir-radjazzjoni globali?</v>
      </c>
    </row>
    <row r="7937" ht="15.75" customHeight="1">
      <c r="A7937" s="2" t="s">
        <v>7937</v>
      </c>
      <c r="B7937" s="2" t="str">
        <f>IFERROR(__xludf.DUMMYFUNCTION("GOOGLETRANSLATE(A7937, ""en"", ""mt"")"),"Kemm korsijiet iridu jżommu l-universitarji għall-istatus full-time?")</f>
        <v>Kemm korsijiet iridu jżommu l-universitarji għall-istatus full-time?</v>
      </c>
    </row>
    <row r="7938" ht="15.75" customHeight="1">
      <c r="A7938" s="2" t="s">
        <v>7938</v>
      </c>
      <c r="B7938" s="2" t="str">
        <f>IFERROR(__xludf.DUMMYFUNCTION("GOOGLETRANSLATE(A7938, ""en"", ""mt"")"),"L-ispeċifiċità tal-antiġen tippermetti tweġibiet li huma speċifiċi għal ċerti tipi ta 'xiex?")</f>
        <v>L-ispeċifiċità tal-antiġen tippermetti tweġibiet li huma speċifiċi għal ċerti tipi ta 'xiex?</v>
      </c>
    </row>
    <row r="7939" ht="15.75" customHeight="1">
      <c r="A7939" s="2" t="s">
        <v>7939</v>
      </c>
      <c r="B7939" s="2" t="str">
        <f>IFERROR(__xludf.DUMMYFUNCTION("GOOGLETRANSLATE(A7939, ""en"", ""mt"")"),"W. E. B. du Bois")</f>
        <v>W. E. B. du Bois</v>
      </c>
    </row>
    <row r="7940" ht="15.75" customHeight="1">
      <c r="A7940" s="2" t="s">
        <v>7940</v>
      </c>
      <c r="B7940" s="2" t="str">
        <f>IFERROR(__xludf.DUMMYFUNCTION("GOOGLETRANSLATE(A7940, ""en"", ""mt"")"),"Xi jipproduċi l-kuntrattur biex iħalli lil kulħadd jara l-għanijiet tal-proġett?")</f>
        <v>Xi jipproduċi l-kuntrattur biex iħalli lil kulħadd jara l-għanijiet tal-proġett?</v>
      </c>
    </row>
    <row r="7941" ht="15.75" customHeight="1">
      <c r="A7941" s="2" t="s">
        <v>7941</v>
      </c>
      <c r="B7941" s="2" t="str">
        <f>IFERROR(__xludf.DUMMYFUNCTION("GOOGLETRANSLATE(A7941, ""en"", ""mt"")"),"Tlieta")</f>
        <v>Tlieta</v>
      </c>
    </row>
    <row r="7942" ht="15.75" customHeight="1">
      <c r="A7942" s="2" t="s">
        <v>7942</v>
      </c>
      <c r="B7942" s="2" t="str">
        <f>IFERROR(__xludf.DUMMYFUNCTION("GOOGLETRANSLATE(A7942, ""en"", ""mt"")"),"X'jikkawża livelli elevati ta 'vitamina D fl-anzjani?")</f>
        <v>X'jikkawża livelli elevati ta 'vitamina D fl-anzjani?</v>
      </c>
    </row>
    <row r="7943" ht="15.75" customHeight="1">
      <c r="A7943" s="2" t="s">
        <v>7943</v>
      </c>
      <c r="B7943" s="2" t="str">
        <f>IFERROR(__xludf.DUMMYFUNCTION("GOOGLETRANSLATE(A7943, ""en"", ""mt"")"),"fortuni akbar")</f>
        <v>fortuni akbar</v>
      </c>
    </row>
    <row r="7944" ht="15.75" customHeight="1">
      <c r="A7944" s="2" t="s">
        <v>7944</v>
      </c>
      <c r="B7944" s="2" t="str">
        <f>IFERROR(__xludf.DUMMYFUNCTION("GOOGLETRANSLATE(A7944, ""en"", ""mt"")"),"D'Hondt")</f>
        <v>D'Hondt</v>
      </c>
    </row>
    <row r="7945" ht="15.75" customHeight="1">
      <c r="A7945" s="2" t="s">
        <v>7945</v>
      </c>
      <c r="B7945" s="2" t="str">
        <f>IFERROR(__xludf.DUMMYFUNCTION("GOOGLETRANSLATE(A7945, ""en"", ""mt"")"),"Gradjent tal-potenzjal")</f>
        <v>Gradjent tal-potenzjal</v>
      </c>
    </row>
    <row r="7946" ht="15.75" customHeight="1">
      <c r="A7946" s="2" t="s">
        <v>7946</v>
      </c>
      <c r="B7946" s="2" t="str">
        <f>IFERROR(__xludf.DUMMYFUNCTION("GOOGLETRANSLATE(A7946, ""en"", ""mt"")"),"Fuq liema affarijiet ikkonċentrat in-netwerk")</f>
        <v>Fuq liema affarijiet ikkonċentrat in-netwerk</v>
      </c>
    </row>
    <row r="7947" ht="15.75" customHeight="1">
      <c r="A7947" s="2" t="s">
        <v>7947</v>
      </c>
      <c r="B7947" s="2" t="str">
        <f>IFERROR(__xludf.DUMMYFUNCTION("GOOGLETRANSLATE(A7947, ""en"", ""mt"")"),"tipproponi dik l-azzjoni")</f>
        <v>tipproponi dik l-azzjoni</v>
      </c>
    </row>
    <row r="7948" ht="15.75" customHeight="1">
      <c r="A7948" s="2" t="s">
        <v>7948</v>
      </c>
      <c r="B7948" s="2" t="str">
        <f>IFERROR(__xludf.DUMMYFUNCTION("GOOGLETRANSLATE(A7948, ""en"", ""mt"")"),"Meta twaqqfet il-FSO Tico Factory?")</f>
        <v>Meta twaqqfet il-FSO Tico Factory?</v>
      </c>
    </row>
    <row r="7949" ht="15.75" customHeight="1">
      <c r="A7949" s="2" t="s">
        <v>7949</v>
      </c>
      <c r="B7949" s="2" t="str">
        <f>IFERROR(__xludf.DUMMYFUNCTION("GOOGLETRANSLATE(A7949, ""en"", ""mt"")"),"X'kienet in-nazzjonalità ta 'Jerónimo de Ayanz y Beaumont?")</f>
        <v>X'kienet in-nazzjonalità ta 'Jerónimo de Ayanz y Beaumont?</v>
      </c>
    </row>
    <row r="7950" ht="15.75" customHeight="1">
      <c r="A7950" s="2" t="s">
        <v>7950</v>
      </c>
      <c r="B7950" s="2" t="str">
        <f>IFERROR(__xludf.DUMMYFUNCTION("GOOGLETRANSLATE(A7950, ""en"", ""mt"")"),"X'inhuma l-Auricles?")</f>
        <v>X'inhuma l-Auricles?</v>
      </c>
    </row>
    <row r="7951" ht="15.75" customHeight="1">
      <c r="A7951" s="2" t="s">
        <v>7951</v>
      </c>
      <c r="B7951" s="2" t="str">
        <f>IFERROR(__xludf.DUMMYFUNCTION("GOOGLETRANSLATE(A7951, ""en"", ""mt"")"),"1962")</f>
        <v>1962</v>
      </c>
    </row>
    <row r="7952" ht="15.75" customHeight="1">
      <c r="A7952" s="2" t="s">
        <v>7952</v>
      </c>
      <c r="B7952" s="2" t="str">
        <f>IFERROR(__xludf.DUMMYFUNCTION("GOOGLETRANSLATE(A7952, ""en"", ""mt"")")," X'tipi ta 'xogħol għamel il-Han fl-Asja tal-Lvant?")</f>
        <v> X'tipi ta 'xogħol għamel il-Han fl-Asja tal-Lvant?</v>
      </c>
    </row>
    <row r="7953" ht="15.75" customHeight="1">
      <c r="A7953" s="2" t="s">
        <v>7953</v>
      </c>
      <c r="B7953" s="2" t="str">
        <f>IFERROR(__xludf.DUMMYFUNCTION("GOOGLETRANSLATE(A7953, ""en"", ""mt"")"),"Meta n-nies jeħilsu mid-dejn, dan iwassal potenzjalment għal xiex?")</f>
        <v>Meta n-nies jeħilsu mid-dejn, dan iwassal potenzjalment għal xiex?</v>
      </c>
    </row>
    <row r="7954" ht="15.75" customHeight="1">
      <c r="A7954" s="2" t="s">
        <v>7954</v>
      </c>
      <c r="B7954" s="2" t="str">
        <f>IFERROR(__xludf.DUMMYFUNCTION("GOOGLETRANSLATE(A7954, ""en"", ""mt"")"),"Liema liġijiet imsemmija mhux qabel il-liġi tal-UE?")</f>
        <v>Liema liġijiet imsemmija mhux qabel il-liġi tal-UE?</v>
      </c>
    </row>
    <row r="7955" ht="15.75" customHeight="1">
      <c r="A7955" s="2" t="s">
        <v>7955</v>
      </c>
      <c r="B7955" s="2" t="str">
        <f>IFERROR(__xludf.DUMMYFUNCTION("GOOGLETRANSLATE(A7955, ""en"", ""mt"")"),"Siġra tad-Deċiżjoni hija eżempju ta 'liema tip ta' miżura?")</f>
        <v>Siġra tad-Deċiżjoni hija eżempju ta 'liema tip ta' miżura?</v>
      </c>
    </row>
    <row r="7956" ht="15.75" customHeight="1">
      <c r="A7956" s="2" t="s">
        <v>7956</v>
      </c>
      <c r="B7956" s="2" t="str">
        <f>IFERROR(__xludf.DUMMYFUNCTION("GOOGLETRANSLATE(A7956, ""en"", ""mt"")"),"Liema xmara Berlin titlaq?")</f>
        <v>Liema xmara Berlin titlaq?</v>
      </c>
    </row>
    <row r="7957" ht="15.75" customHeight="1">
      <c r="A7957" s="2" t="s">
        <v>7957</v>
      </c>
      <c r="B7957" s="2" t="str">
        <f>IFERROR(__xludf.DUMMYFUNCTION("GOOGLETRANSLATE(A7957, ""en"", ""mt"")"),"Fejn Franza ma kinitx qed tikkonċentra l-isforzi?")</f>
        <v>Fejn Franza ma kinitx qed tikkonċentra l-isforzi?</v>
      </c>
    </row>
    <row r="7958" ht="15.75" customHeight="1">
      <c r="A7958" s="2" t="s">
        <v>7958</v>
      </c>
      <c r="B7958" s="2" t="str">
        <f>IFERROR(__xludf.DUMMYFUNCTION("GOOGLETRANSLATE(A7958, ""en"", ""mt"")"),"wieħed mill-aktar sinjuri")</f>
        <v>wieħed mill-aktar sinjuri</v>
      </c>
    </row>
    <row r="7959" ht="15.75" customHeight="1">
      <c r="A7959" s="2" t="s">
        <v>7959</v>
      </c>
      <c r="B7959" s="2" t="str">
        <f>IFERROR(__xludf.DUMMYFUNCTION("GOOGLETRANSLATE(A7959, ""en"", ""mt"")"),"l-ittra minn dinwiddie")</f>
        <v>l-ittra minn dinwiddie</v>
      </c>
    </row>
    <row r="7960" ht="15.75" customHeight="1">
      <c r="A7960" s="2" t="s">
        <v>7960</v>
      </c>
      <c r="B7960" s="2" t="str">
        <f>IFERROR(__xludf.DUMMYFUNCTION("GOOGLETRANSLATE(A7960, ""en"", ""mt"")"),"permezz ta ’politiki")</f>
        <v>permezz ta ’politiki</v>
      </c>
    </row>
    <row r="7961" ht="15.75" customHeight="1">
      <c r="A7961" s="2" t="s">
        <v>7961</v>
      </c>
      <c r="B7961" s="2" t="str">
        <f>IFERROR(__xludf.DUMMYFUNCTION("GOOGLETRANSLATE(A7961, ""en"", ""mt"")"),"Il-biċċa l-kbira tal-binjiet distintivi")</f>
        <v>Il-biċċa l-kbira tal-binjiet distintivi</v>
      </c>
    </row>
    <row r="7962" ht="15.75" customHeight="1">
      <c r="A7962" s="2" t="s">
        <v>7962</v>
      </c>
      <c r="B7962" s="2" t="str">
        <f>IFERROR(__xludf.DUMMYFUNCTION("GOOGLETRANSLATE(A7962, ""en"", ""mt"")"),"Supretendent Brittaniku għall-Affarijiet Indjani fir-Reġjun ta 'New York u lil hinn")</f>
        <v>Supretendent Brittaniku għall-Affarijiet Indjani fir-Reġjun ta 'New York u lil hinn</v>
      </c>
    </row>
    <row r="7963" ht="15.75" customHeight="1">
      <c r="A7963" s="2" t="s">
        <v>7963</v>
      </c>
      <c r="B7963" s="2" t="str">
        <f>IFERROR(__xludf.DUMMYFUNCTION("GOOGLETRANSLATE(A7963, ""en"", ""mt"")"),"Liema żona preżenti kienet din is-soluzzjoni qrib?")</f>
        <v>Liema żona preżenti kienet din is-soluzzjoni qrib?</v>
      </c>
    </row>
    <row r="7964" ht="15.75" customHeight="1">
      <c r="A7964" s="2" t="s">
        <v>7964</v>
      </c>
      <c r="B7964" s="2" t="str">
        <f>IFERROR(__xludf.DUMMYFUNCTION("GOOGLETRANSLATE(A7964, ""en"", ""mt"")"),"Madankollu, li tipprova tirrikonċilja t-teorija elettromanjetika b'żewġ osservazzjonijiet, l-effett fotoelettriku, u l-inesistenza tal-katastrofi ultravjola, irriżultaw inkwetanti. Permezz tax-xogħol ta 'fiżiċi teoretiċi ewlenin, ġiet żviluppata teorija ġ"&amp;"dida ta' l-elettromanjetiżmu bl-użu ta 'mekkanika kwantistika. Din il-modifika finali għat-teorija elettromanjetika fl-aħħar wasslet għal elettrodinamiċità kwantistika (jew QED), li tiddeskrivi bis-sħiħ il-fenomeni elettromanjetiċi kollha bħala medjati mi"&amp;"ll-partiċelli tal-mewġ magħrufa bħala fotoni. Fil-QED, il-fotoni huma l-partiċella tal-kambju fundamentali, li ddeskriviet l-interazzjonijiet kollha relatati mal-elettromanjetiżmu inkluża l-forza elettromanjetika. [Nota 4]")</f>
        <v>Madankollu, li tipprova tirrikonċilja t-teorija elettromanjetika b'żewġ osservazzjonijiet, l-effett fotoelettriku, u l-inesistenza tal-katastrofi ultravjola, irriżultaw inkwetanti. Permezz tax-xogħol ta 'fiżiċi teoretiċi ewlenin, ġiet żviluppata teorija ġdida ta' l-elettromanjetiżmu bl-użu ta 'mekkanika kwantistika. Din il-modifika finali għat-teorija elettromanjetika fl-aħħar wasslet għal elettrodinamiċità kwantistika (jew QED), li tiddeskrivi bis-sħiħ il-fenomeni elettromanjetiċi kollha bħala medjati mill-partiċelli tal-mewġ magħrufa bħala fotoni. Fil-QED, il-fotoni huma l-partiċella tal-kambju fundamentali, li ddeskriviet l-interazzjonijiet kollha relatati mal-elettromanjetiżmu inkluża l-forza elettromanjetika. [Nota 4]</v>
      </c>
    </row>
    <row r="7965" ht="15.75" customHeight="1">
      <c r="A7965" s="2" t="s">
        <v>7965</v>
      </c>
      <c r="B7965" s="2" t="str">
        <f>IFERROR(__xludf.DUMMYFUNCTION("GOOGLETRANSLATE(A7965, ""en"", ""mt"")"),"Ir-Revoka tal-Editt ta 'Nantes")</f>
        <v>Ir-Revoka tal-Editt ta 'Nantes</v>
      </c>
    </row>
    <row r="7966" ht="15.75" customHeight="1">
      <c r="A7966" s="2" t="s">
        <v>7966</v>
      </c>
      <c r="B7966" s="2" t="str">
        <f>IFERROR(__xludf.DUMMYFUNCTION("GOOGLETRANSLATE(A7966, ""en"", ""mt"")")," Min intemm id-dinastija Yuan?")</f>
        <v> Min intemm id-dinastija Yuan?</v>
      </c>
    </row>
    <row r="7967" ht="15.75" customHeight="1">
      <c r="A7967" s="2" t="s">
        <v>7967</v>
      </c>
      <c r="B7967" s="2" t="str">
        <f>IFERROR(__xludf.DUMMYFUNCTION("GOOGLETRANSLATE(A7967, ""en"", ""mt"")"),"Laqgħa f'Albany f'Diċembru 1755")</f>
        <v>Laqgħa f'Albany f'Diċembru 1755</v>
      </c>
    </row>
    <row r="7968" ht="15.75" customHeight="1">
      <c r="A7968" s="2" t="s">
        <v>7968</v>
      </c>
      <c r="B7968" s="2" t="str">
        <f>IFERROR(__xludf.DUMMYFUNCTION("GOOGLETRANSLATE(A7968, ""en"", ""mt"")"),"X'inhu d-dmir sekondarju tal-GPHC?")</f>
        <v>X'inhu d-dmir sekondarju tal-GPHC?</v>
      </c>
    </row>
    <row r="7969" ht="15.75" customHeight="1">
      <c r="A7969" s="2" t="s">
        <v>7969</v>
      </c>
      <c r="B7969" s="2" t="str">
        <f>IFERROR(__xludf.DUMMYFUNCTION("GOOGLETRANSLATE(A7969, ""en"", ""mt"")"),"Ta 'liema forma huma Mersenne Primes?")</f>
        <v>Ta 'liema forma huma Mersenne Primes?</v>
      </c>
    </row>
    <row r="7970" ht="15.75" customHeight="1">
      <c r="A7970" s="2" t="s">
        <v>7970</v>
      </c>
      <c r="B7970" s="2" t="str">
        <f>IFERROR(__xludf.DUMMYFUNCTION("GOOGLETRANSLATE(A7970, ""en"", ""mt"")"),"F'liema belt twieled John Calvin?")</f>
        <v>F'liema belt twieled John Calvin?</v>
      </c>
    </row>
    <row r="7971" ht="15.75" customHeight="1">
      <c r="A7971" s="2" t="s">
        <v>7971</v>
      </c>
      <c r="B7971" s="2" t="str">
        <f>IFERROR(__xludf.DUMMYFUNCTION("GOOGLETRANSLATE(A7971, ""en"", ""mt"")"),"Kemm iddum il-5 President tal-President?")</f>
        <v>Kemm iddum il-5 President tal-President?</v>
      </c>
    </row>
    <row r="7972" ht="15.75" customHeight="1">
      <c r="A7972" s="2" t="s">
        <v>7972</v>
      </c>
      <c r="B7972" s="2" t="str">
        <f>IFERROR(__xludf.DUMMYFUNCTION("GOOGLETRANSLATE(A7972, ""en"", ""mt"")"),"AKS Test Primalità")</f>
        <v>AKS Test Primalità</v>
      </c>
    </row>
    <row r="7973" ht="15.75" customHeight="1">
      <c r="A7973" s="2" t="s">
        <v>7973</v>
      </c>
      <c r="B7973" s="2" t="str">
        <f>IFERROR(__xludf.DUMMYFUNCTION("GOOGLETRANSLATE(A7973, ""en"", ""mt"")"),"Gass ossiġnu")</f>
        <v>Gass ossiġnu</v>
      </c>
    </row>
    <row r="7974" ht="15.75" customHeight="1">
      <c r="A7974" s="2" t="s">
        <v>7974</v>
      </c>
      <c r="B7974" s="2" t="str">
        <f>IFERROR(__xludf.DUMMYFUNCTION("GOOGLETRANSLATE(A7974, ""en"", ""mt"")"),"L-arkitettura performattiva tal-perit Olandiż Janjaap Ruijssenaars il-bini stampat 3D huwa skedat li jinbena meta?")</f>
        <v>L-arkitettura performattiva tal-perit Olandiż Janjaap Ruijssenaars il-bini stampat 3D huwa skedat li jinbena meta?</v>
      </c>
    </row>
    <row r="7975" ht="15.75" customHeight="1">
      <c r="A7975" s="2" t="s">
        <v>7975</v>
      </c>
      <c r="B7975" s="2" t="str">
        <f>IFERROR(__xludf.DUMMYFUNCTION("GOOGLETRANSLATE(A7975, ""en"", ""mt"")"),"mgħoddi")</f>
        <v>mgħoddi</v>
      </c>
    </row>
    <row r="7976" ht="15.75" customHeight="1">
      <c r="A7976" s="2" t="s">
        <v>7976</v>
      </c>
      <c r="B7976" s="2" t="str">
        <f>IFERROR(__xludf.DUMMYFUNCTION("GOOGLETRANSLATE(A7976, ""en"", ""mt"")"),"ultravjola (UV)")</f>
        <v>ultravjola (UV)</v>
      </c>
    </row>
    <row r="7977" ht="15.75" customHeight="1">
      <c r="A7977" s="2" t="s">
        <v>7977</v>
      </c>
      <c r="B7977" s="2" t="str">
        <f>IFERROR(__xludf.DUMMYFUNCTION("GOOGLETRANSLATE(A7977, ""en"", ""mt"")"),"Min l-ewwel spjega bis-sħiħ l-oriġini ta 'kampi manjetiċi u elettriċi?")</f>
        <v>Min l-ewwel spjega bis-sħiħ l-oriġini ta 'kampi manjetiċi u elettriċi?</v>
      </c>
    </row>
    <row r="7978" ht="15.75" customHeight="1">
      <c r="A7978" s="2" t="s">
        <v>7978</v>
      </c>
      <c r="B7978" s="2" t="str">
        <f>IFERROR(__xludf.DUMMYFUNCTION("GOOGLETRANSLATE(A7978, ""en"", ""mt"")"),"X’ma teħtieġx iktar minn 28 jum fil-liġi nazzjonali?")</f>
        <v>X’ma teħtieġx iktar minn 28 jum fil-liġi nazzjonali?</v>
      </c>
    </row>
    <row r="7979" ht="15.75" customHeight="1">
      <c r="A7979" s="2" t="s">
        <v>7979</v>
      </c>
      <c r="B7979" s="2" t="str">
        <f>IFERROR(__xludf.DUMMYFUNCTION("GOOGLETRANSLATE(A7979, ""en"", ""mt"")"),"Kemm nies qatlu l-Ħamas bejn l-2000 u l-2007?")</f>
        <v>Kemm nies qatlu l-Ħamas bejn l-2000 u l-2007?</v>
      </c>
    </row>
    <row r="7980" ht="15.75" customHeight="1">
      <c r="A7980" s="2" t="s">
        <v>7980</v>
      </c>
      <c r="B7980" s="2" t="str">
        <f>IFERROR(__xludf.DUMMYFUNCTION("GOOGLETRANSLATE(A7980, ""en"", ""mt"")"),"Kif huwa meħtieġ il-ħin biex tinkiseb is-soluzzjoni għal problema kkalkulata?")</f>
        <v>Kif huwa meħtieġ il-ħin biex tinkiseb is-soluzzjoni għal problema kkalkulata?</v>
      </c>
    </row>
    <row r="7981" ht="15.75" customHeight="1">
      <c r="A7981" s="2" t="s">
        <v>7981</v>
      </c>
      <c r="B7981" s="2" t="str">
        <f>IFERROR(__xludf.DUMMYFUNCTION("GOOGLETRANSLATE(A7981, ""en"", ""mt"")"),"Liġi ta 'Avogadro")</f>
        <v>Liġi ta 'Avogadro</v>
      </c>
    </row>
    <row r="7982" ht="15.75" customHeight="1">
      <c r="A7982" s="2" t="s">
        <v>7982</v>
      </c>
      <c r="B7982" s="2" t="str">
        <f>IFERROR(__xludf.DUMMYFUNCTION("GOOGLETRANSLATE(A7982, ""en"", ""mt"")"),"X'inhu n-nuqqas ta 'saff bħal ġelatina msejjaħ ukoll meta jkun f'annimal kumpless?")</f>
        <v>X'inhu n-nuqqas ta 'saff bħal ġelatina msejjaħ ukoll meta jkun f'annimal kumpless?</v>
      </c>
    </row>
    <row r="7983" ht="15.75" customHeight="1">
      <c r="A7983" s="2" t="s">
        <v>7983</v>
      </c>
      <c r="B7983" s="2" t="str">
        <f>IFERROR(__xludf.DUMMYFUNCTION("GOOGLETRANSLATE(A7983, ""en"", ""mt"")"),"Jacob van Braam")</f>
        <v>Jacob van Braam</v>
      </c>
    </row>
    <row r="7984" ht="15.75" customHeight="1">
      <c r="A7984" s="2" t="s">
        <v>7984</v>
      </c>
      <c r="B7984" s="2" t="str">
        <f>IFERROR(__xludf.DUMMYFUNCTION("GOOGLETRANSLATE(A7984, ""en"", ""mt"")"),"Liema duttrina ppromwoviet id-duttrina tal-prinċipji tal-ġeoloġija?")</f>
        <v>Liema duttrina ppromwoviet id-duttrina tal-prinċipji tal-ġeoloġija?</v>
      </c>
    </row>
    <row r="7985" ht="15.75" customHeight="1">
      <c r="A7985" s="2" t="s">
        <v>7985</v>
      </c>
      <c r="B7985" s="2" t="str">
        <f>IFERROR(__xludf.DUMMYFUNCTION("GOOGLETRANSLATE(A7985, ""en"", ""mt"")"),"bħala materjali tal-alimentazzjoni")</f>
        <v>bħala materjali tal-alimentazzjoni</v>
      </c>
    </row>
    <row r="7986" ht="15.75" customHeight="1">
      <c r="A7986" s="2" t="s">
        <v>7986</v>
      </c>
      <c r="B7986" s="2" t="str">
        <f>IFERROR(__xludf.DUMMYFUNCTION("GOOGLETRANSLATE(A7986, ""en"", ""mt"")"),"X'tip ta 'magni sar popolari għall-ġenerazzjoni tal-enerġija wara magni tal-fwar tal-pistuni?")</f>
        <v>X'tip ta 'magni sar popolari għall-ġenerazzjoni tal-enerġija wara magni tal-fwar tal-pistuni?</v>
      </c>
    </row>
    <row r="7987" ht="15.75" customHeight="1">
      <c r="A7987" s="2" t="s">
        <v>7987</v>
      </c>
      <c r="B7987" s="2" t="str">
        <f>IFERROR(__xludf.DUMMYFUNCTION("GOOGLETRANSLATE(A7987, ""en"", ""mt"")"),"l-oqsma li fihom tista 'tagħmel liġijiet")</f>
        <v>l-oqsma li fihom tista 'tagħmel liġijiet</v>
      </c>
    </row>
    <row r="7988" ht="15.75" customHeight="1">
      <c r="A7988" s="2" t="s">
        <v>7988</v>
      </c>
      <c r="B7988" s="2" t="str">
        <f>IFERROR(__xludf.DUMMYFUNCTION("GOOGLETRANSLATE(A7988, ""en"", ""mt"")"),"Aalane ġiet irtirata u l-pjattaforma l-ġdida tissejjaħ")</f>
        <v>Aalane ġiet irtirata u l-pjattaforma l-ġdida tissejjaħ</v>
      </c>
    </row>
    <row r="7989" ht="15.75" customHeight="1">
      <c r="A7989" s="2" t="s">
        <v>7989</v>
      </c>
      <c r="B7989" s="2" t="str">
        <f>IFERROR(__xludf.DUMMYFUNCTION("GOOGLETRANSLATE(A7989, ""en"", ""mt"")"),"L-uffiċjal tal-avukat tal-Iskozja għandu siġġu f'liema kamra?")</f>
        <v>L-uffiċjal tal-avukat tal-Iskozja għandu siġġu f'liema kamra?</v>
      </c>
    </row>
    <row r="7990" ht="15.75" customHeight="1">
      <c r="A7990" s="2" t="s">
        <v>7990</v>
      </c>
      <c r="B7990" s="2" t="str">
        <f>IFERROR(__xludf.DUMMYFUNCTION("GOOGLETRANSLATE(A7990, ""en"", ""mt"")"),"Dak li japplika kemm għall-ġbir ta 'taxxi kif ukoll għal tiftix ta' proprjetà?")</f>
        <v>Dak li japplika kemm għall-ġbir ta 'taxxi kif ukoll għal tiftix ta' proprjetà?</v>
      </c>
    </row>
    <row r="7991" ht="15.75" customHeight="1">
      <c r="A7991" s="2" t="s">
        <v>7991</v>
      </c>
      <c r="B7991" s="2" t="str">
        <f>IFERROR(__xludf.DUMMYFUNCTION("GOOGLETRANSLATE(A7991, ""en"", ""mt"")"),"F'liema belt kibret Bill Aiken?")</f>
        <v>F'liema belt kibret Bill Aiken?</v>
      </c>
    </row>
    <row r="7992" ht="15.75" customHeight="1">
      <c r="A7992" s="2" t="s">
        <v>7992</v>
      </c>
      <c r="B7992" s="2" t="str">
        <f>IFERROR(__xludf.DUMMYFUNCTION("GOOGLETRANSLATE(A7992, ""en"", ""mt"")"),"X'inhu l-eqdem sit tal-wirja f'Ujazdow?")</f>
        <v>X'inhu l-eqdem sit tal-wirja f'Ujazdow?</v>
      </c>
    </row>
    <row r="7993" ht="15.75" customHeight="1">
      <c r="A7993" s="2" t="s">
        <v>7993</v>
      </c>
      <c r="B7993" s="2" t="str">
        <f>IFERROR(__xludf.DUMMYFUNCTION("GOOGLETRANSLATE(A7993, ""en"", ""mt"")"),"tippromwovi l-esplorazzjoni taż-żejt")</f>
        <v>tippromwovi l-esplorazzjoni taż-żejt</v>
      </c>
    </row>
    <row r="7994" ht="15.75" customHeight="1">
      <c r="A7994" s="2" t="s">
        <v>7994</v>
      </c>
      <c r="B7994" s="2" t="str">
        <f>IFERROR(__xludf.DUMMYFUNCTION("GOOGLETRANSLATE(A7994, ""en"", ""mt"")"),"X'tip ta 'akkomodazzjoni nbniet fl-Unjoni Sovjetika bħala parti mill-proċess tal-briks għall-Varsavja?")</f>
        <v>X'tip ta 'akkomodazzjoni nbniet fl-Unjoni Sovjetika bħala parti mill-proċess tal-briks għall-Varsavja?</v>
      </c>
    </row>
    <row r="7995" ht="15.75" customHeight="1">
      <c r="A7995" s="2" t="s">
        <v>7995</v>
      </c>
      <c r="B7995" s="2" t="str">
        <f>IFERROR(__xludf.DUMMYFUNCTION("GOOGLETRANSLATE(A7995, ""en"", ""mt"")"),"AT&amp;T ma xtratx it-teknoloġija għal liema raġuni?")</f>
        <v>AT&amp;T ma xtratx it-teknoloġija għal liema raġuni?</v>
      </c>
    </row>
    <row r="7996" ht="15.75" customHeight="1">
      <c r="A7996" s="2" t="s">
        <v>7996</v>
      </c>
      <c r="B7996" s="2" t="str">
        <f>IFERROR(__xludf.DUMMYFUNCTION("GOOGLETRANSLATE(A7996, ""en"", ""mt"")"),"wieħed minn kull ħamsa")</f>
        <v>wieħed minn kull ħamsa</v>
      </c>
    </row>
    <row r="7997" ht="15.75" customHeight="1">
      <c r="A7997" s="2" t="s">
        <v>7997</v>
      </c>
      <c r="B7997" s="2" t="str">
        <f>IFERROR(__xludf.DUMMYFUNCTION("GOOGLETRANSLATE(A7997, ""en"", ""mt"")"),"Għal xiex ma jintużawx ħafna tipi ta 'magni tat-Turing?")</f>
        <v>Għal xiex ma jintużawx ħafna tipi ta 'magni tat-Turing?</v>
      </c>
    </row>
    <row r="7998" ht="15.75" customHeight="1">
      <c r="A7998" s="2" t="s">
        <v>7998</v>
      </c>
      <c r="B7998" s="2" t="str">
        <f>IFERROR(__xludf.DUMMYFUNCTION("GOOGLETRANSLATE(A7998, ""en"", ""mt"")"),"Minbarra l-uffiċjal kap tal-liġi tal-Iskozja, minn fejn jinġibdu l-biċċa l-kbira tal-ministri?")</f>
        <v>Minbarra l-uffiċjal kap tal-liġi tal-Iskozja, minn fejn jinġibdu l-biċċa l-kbira tal-ministri?</v>
      </c>
    </row>
    <row r="7999" ht="15.75" customHeight="1">
      <c r="A7999" s="2" t="s">
        <v>7999</v>
      </c>
      <c r="B7999" s="2" t="str">
        <f>IFERROR(__xludf.DUMMYFUNCTION("GOOGLETRANSLATE(A7999, ""en"", ""mt"")"),"X'jiggarantixxi li fluss ta 'flus solidu hemm fis-seħħ qabel proġett biex jiżgura t-tlestija tiegħu?")</f>
        <v>X'jiggarantixxi li fluss ta 'flus solidu hemm fis-seħħ qabel proġett biex jiżgura t-tlestija tiegħu?</v>
      </c>
    </row>
    <row r="8000" ht="15.75" customHeight="1">
      <c r="A8000" s="2" t="s">
        <v>8000</v>
      </c>
      <c r="B8000" s="2" t="str">
        <f>IFERROR(__xludf.DUMMYFUNCTION("GOOGLETRANSLATE(A8000, ""en"", ""mt"")"),"X'kienet waħda mill-ibliet Hanseatic?")</f>
        <v>X'kienet waħda mill-ibliet Hanseatic?</v>
      </c>
    </row>
    <row r="8001" ht="15.75" customHeight="1">
      <c r="A8001" s="2" t="s">
        <v>8001</v>
      </c>
      <c r="B8001" s="2" t="str">
        <f>IFERROR(__xludf.DUMMYFUNCTION("GOOGLETRANSLATE(A8001, ""en"", ""mt"")"),"Min tneħħa mill-ktieb ta ’Dioscorides fl-Età tad-Deheb Iżlamika?")</f>
        <v>Min tneħħa mill-ktieb ta ’Dioscorides fl-Età tad-Deheb Iżlamika?</v>
      </c>
    </row>
    <row r="8002" ht="15.75" customHeight="1">
      <c r="A8002" s="2" t="s">
        <v>8002</v>
      </c>
      <c r="B8002" s="2" t="str">
        <f>IFERROR(__xludf.DUMMYFUNCTION("GOOGLETRANSLATE(A8002, ""en"", ""mt"")"),"nuqqas ta ’fehim")</f>
        <v>nuqqas ta ’fehim</v>
      </c>
    </row>
    <row r="8003" ht="15.75" customHeight="1">
      <c r="A8003" s="2" t="s">
        <v>8003</v>
      </c>
      <c r="B8003" s="2" t="str">
        <f>IFERROR(__xludf.DUMMYFUNCTION("GOOGLETRANSLATE(A8003, ""en"", ""mt"")"),"Ta 'liema forma tieħu l-primes Euler?")</f>
        <v>Ta 'liema forma tieħu l-primes Euler?</v>
      </c>
    </row>
    <row r="8004" ht="15.75" customHeight="1">
      <c r="A8004" s="2" t="s">
        <v>8004</v>
      </c>
      <c r="B8004" s="2" t="str">
        <f>IFERROR(__xludf.DUMMYFUNCTION("GOOGLETRANSLATE(A8004, ""en"", ""mt"")"),"Għal liema belt tappartjeni d-distrett ta 'Hollywood?")</f>
        <v>Għal liema belt tappartjeni d-distrett ta 'Hollywood?</v>
      </c>
    </row>
    <row r="8005" ht="15.75" customHeight="1">
      <c r="A8005" s="2" t="s">
        <v>8005</v>
      </c>
      <c r="B8005" s="2" t="str">
        <f>IFERROR(__xludf.DUMMYFUNCTION("GOOGLETRANSLATE(A8005, ""en"", ""mt"")"),"Kif jissejħu komunement it-tnixxijiet?")</f>
        <v>Kif jissejħu komunement it-tnixxijiet?</v>
      </c>
    </row>
    <row r="8006" ht="15.75" customHeight="1">
      <c r="A8006" s="2" t="s">
        <v>8006</v>
      </c>
      <c r="B8006" s="2" t="str">
        <f>IFERROR(__xludf.DUMMYFUNCTION("GOOGLETRANSLATE(A8006, ""en"", ""mt"")"),"inferjuri")</f>
        <v>inferjuri</v>
      </c>
    </row>
    <row r="8007" ht="15.75" customHeight="1">
      <c r="A8007" s="2" t="s">
        <v>8007</v>
      </c>
      <c r="B8007" s="2" t="str">
        <f>IFERROR(__xludf.DUMMYFUNCTION("GOOGLETRANSLATE(A8007, ""en"", ""mt"")"),"Oligocene")</f>
        <v>Oligocene</v>
      </c>
    </row>
    <row r="8008" ht="15.75" customHeight="1">
      <c r="A8008" s="2" t="s">
        <v>8008</v>
      </c>
      <c r="B8008" s="2" t="str">
        <f>IFERROR(__xludf.DUMMYFUNCTION("GOOGLETRANSLATE(A8008, ""en"", ""mt"")"),"Konvenzjoni Qafas tan-Nazzjonijiet Uniti dwar it-Tibdil fil-Klima (UNFCCC)")</f>
        <v>Konvenzjoni Qafas tan-Nazzjonijiet Uniti dwar it-Tibdil fil-Klima (UNFCCC)</v>
      </c>
    </row>
    <row r="8009" ht="15.75" customHeight="1">
      <c r="A8009" s="2" t="s">
        <v>8009</v>
      </c>
      <c r="B8009" s="2" t="str">
        <f>IFERROR(__xludf.DUMMYFUNCTION("GOOGLETRANSLATE(A8009, ""en"", ""mt"")"),"X'inhu każ wieħed sempliċi ta 'test ta' Carmichael?")</f>
        <v>X'inhu każ wieħed sempliċi ta 'test ta' Carmichael?</v>
      </c>
    </row>
    <row r="8010" ht="15.75" customHeight="1">
      <c r="A8010" s="2" t="s">
        <v>8010</v>
      </c>
      <c r="B8010" s="2" t="str">
        <f>IFERROR(__xludf.DUMMYFUNCTION("GOOGLETRANSLATE(A8010, ""en"", ""mt"")"),"X'iktar aġenzija għandha relazzjoni ma 'taħt id-definizzjoni tad-diżubbidjenza ċivili?")</f>
        <v>X'iktar aġenzija għandha relazzjoni ma 'taħt id-definizzjoni tad-diżubbidjenza ċivili?</v>
      </c>
    </row>
    <row r="8011" ht="15.75" customHeight="1">
      <c r="A8011" s="2" t="s">
        <v>8011</v>
      </c>
      <c r="B8011" s="2" t="str">
        <f>IFERROR(__xludf.DUMMYFUNCTION("GOOGLETRANSLATE(A8011, ""en"", ""mt"")"),"L-ENR uża dejta dwar x'għandek tikklassifika l-aqwa 400 ditta bħala kuntratturi tqal?")</f>
        <v>L-ENR uża dejta dwar x'għandek tikklassifika l-aqwa 400 ditta bħala kuntratturi tqal?</v>
      </c>
    </row>
    <row r="8012" ht="15.75" customHeight="1">
      <c r="A8012" s="2" t="s">
        <v>8012</v>
      </c>
      <c r="B8012" s="2" t="str">
        <f>IFERROR(__xludf.DUMMYFUNCTION("GOOGLETRANSLATE(A8012, ""en"", ""mt"")"),"Tkeċċija tal-Akkadjani")</f>
        <v>Tkeċċija tal-Akkadjani</v>
      </c>
    </row>
    <row r="8013" ht="15.75" customHeight="1">
      <c r="A8013" s="2" t="s">
        <v>8013</v>
      </c>
      <c r="B8013" s="2" t="str">
        <f>IFERROR(__xludf.DUMMYFUNCTION("GOOGLETRANSLATE(A8013, ""en"", ""mt"")"),"Il-kwistjoni dwar jekk P tkun daqs NP hija waħda mill-aktar mistoqsijiet miftuħa importanti fix-xjenza teoretika tal-kompjuter minħabba l-implikazzjonijiet wiesgħa ta 'soluzzjoni. Jekk it-tweġiba hija iva, ħafna problemi importanti jistgħu jintwerew li għ"&amp;"andhom soluzzjonijiet aktar effiċjenti. Dawn jinkludu diversi tipi ta 'problemi ta' programmazzjoni integri fir-riċerka tal-operazzjonijiet, ħafna problemi fil-loġistika, tbassir tal-istruttura tal-proteini fil-bijoloġija, u l-abbiltà li ssib provi formal"&amp;"i ta 'teoremi tal-matematika puri. Il-problema P kontra NP hija waħda mill-problemi tal-Premju tal-Millennju proposti mill-Istitut tal-Matematika Clay. Hemm premju ta 'US $ 1,000,000 għar-riżoluzzjoni tal-problema.")</f>
        <v>Il-kwistjoni dwar jekk P tkun daqs NP hija waħda mill-aktar mistoqsijiet miftuħa importanti fix-xjenza teoretika tal-kompjuter minħabba l-implikazzjonijiet wiesgħa ta 'soluzzjoni. Jekk it-tweġiba hija iva, ħafna problemi importanti jistgħu jintwerew li għandhom soluzzjonijiet aktar effiċjenti. Dawn jinkludu diversi tipi ta 'problemi ta' programmazzjoni integri fir-riċerka tal-operazzjonijiet, ħafna problemi fil-loġistika, tbassir tal-istruttura tal-proteini fil-bijoloġija, u l-abbiltà li ssib provi formali ta 'teoremi tal-matematika puri. Il-problema P kontra NP hija waħda mill-problemi tal-Premju tal-Millennju proposti mill-Istitut tal-Matematika Clay. Hemm premju ta 'US $ 1,000,000 għar-riżoluzzjoni tal-problema.</v>
      </c>
    </row>
    <row r="8014" ht="15.75" customHeight="1">
      <c r="A8014" s="2" t="s">
        <v>8014</v>
      </c>
      <c r="B8014" s="2" t="str">
        <f>IFERROR(__xludf.DUMMYFUNCTION("GOOGLETRANSLATE(A8014, ""en"", ""mt"")"),"X'kien id-dazju medju ta 'magna kunċett?")</f>
        <v>X'kien id-dazju medju ta 'magna kunċett?</v>
      </c>
    </row>
    <row r="8015" ht="15.75" customHeight="1">
      <c r="A8015" s="2" t="s">
        <v>8015</v>
      </c>
      <c r="B8015" s="2" t="str">
        <f>IFERROR(__xludf.DUMMYFUNCTION("GOOGLETRANSLATE(A8015, ""en"", ""mt"")"),"X'inhu kumpless dwar is-saffi tal-gżejjer tal-Ħawajja?")</f>
        <v>X'inhu kumpless dwar is-saffi tal-gżejjer tal-Ħawajja?</v>
      </c>
    </row>
    <row r="8016" ht="15.75" customHeight="1">
      <c r="A8016" s="2" t="s">
        <v>8016</v>
      </c>
      <c r="B8016" s="2" t="str">
        <f>IFERROR(__xludf.DUMMYFUNCTION("GOOGLETRANSLATE(A8016, ""en"", ""mt"")"),"Min għamel il-Port tar-Reġim NIF qabel id-9/11?")</f>
        <v>Min għamel il-Port tar-Reġim NIF qabel id-9/11?</v>
      </c>
    </row>
    <row r="8017" ht="15.75" customHeight="1">
      <c r="A8017" s="2" t="s">
        <v>8017</v>
      </c>
      <c r="B8017" s="2" t="str">
        <f>IFERROR(__xludf.DUMMYFUNCTION("GOOGLETRANSLATE(A8017, ""en"", ""mt"")"),"Liema elementi mis-sistema Rift fl-orogenija Alpina fil-Lbiċ tal-Ġermanja?")</f>
        <v>Liema elementi mis-sistema Rift fl-orogenija Alpina fil-Lbiċ tal-Ġermanja?</v>
      </c>
    </row>
    <row r="8018" ht="15.75" customHeight="1">
      <c r="A8018" s="2" t="s">
        <v>8018</v>
      </c>
      <c r="B8018" s="2" t="str">
        <f>IFERROR(__xludf.DUMMYFUNCTION("GOOGLETRANSLATE(A8018, ""en"", ""mt"")"),"jiffjorixxi fil-baħar l-aħmar")</f>
        <v>jiffjorixxi fil-baħar l-aħmar</v>
      </c>
    </row>
    <row r="8019" ht="15.75" customHeight="1">
      <c r="A8019" s="2" t="s">
        <v>8019</v>
      </c>
      <c r="B8019" s="2" t="str">
        <f>IFERROR(__xludf.DUMMYFUNCTION("GOOGLETRANSLATE(A8019, ""en"", ""mt"")"),"Sit tal-Wirt Dinji tal-UNESCO")</f>
        <v>Sit tal-Wirt Dinji tal-UNESCO</v>
      </c>
    </row>
    <row r="8020" ht="15.75" customHeight="1">
      <c r="A8020" s="2" t="s">
        <v>8020</v>
      </c>
      <c r="B8020" s="2" t="str">
        <f>IFERROR(__xludf.DUMMYFUNCTION("GOOGLETRANSLATE(A8020, ""en"", ""mt"")"),"kanali li permezz tagħhom l-inugwaljanza tista 'taffettwa t-tkabbir ekonomiku")</f>
        <v>kanali li permezz tagħhom l-inugwaljanza tista 'taffettwa t-tkabbir ekonomiku</v>
      </c>
    </row>
    <row r="8021" ht="15.75" customHeight="1">
      <c r="A8021" s="2" t="s">
        <v>8021</v>
      </c>
      <c r="B8021" s="2" t="str">
        <f>IFERROR(__xludf.DUMMYFUNCTION("GOOGLETRANSLATE(A8021, ""en"", ""mt"")"),"sinformi")</f>
        <v>sinformi</v>
      </c>
    </row>
    <row r="8022" ht="15.75" customHeight="1">
      <c r="A8022" s="2" t="s">
        <v>8022</v>
      </c>
      <c r="B8022" s="2" t="str">
        <f>IFERROR(__xludf.DUMMYFUNCTION("GOOGLETRANSLATE(A8022, ""en"", ""mt"")"),"L-Ewropa l-ewwel kolonizzat l-Amerika, imbagħad l-Asja, imma liema kontinent kien it-tielet?")</f>
        <v>L-Ewropa l-ewwel kolonizzat l-Amerika, imbagħad l-Asja, imma liema kontinent kien it-tielet?</v>
      </c>
    </row>
    <row r="8023" ht="15.75" customHeight="1">
      <c r="A8023" s="2" t="s">
        <v>8023</v>
      </c>
      <c r="B8023" s="2" t="str">
        <f>IFERROR(__xludf.DUMMYFUNCTION("GOOGLETRANSLATE(A8023, ""en"", ""mt"")"),"Fejn l-ilma lejn il-punent tal-Baċin tad-Drenaġġ tal-Amażonja ħareġ?")</f>
        <v>Fejn l-ilma lejn il-punent tal-Baċin tad-Drenaġġ tal-Amażonja ħareġ?</v>
      </c>
    </row>
    <row r="8024" ht="15.75" customHeight="1">
      <c r="A8024" s="2" t="s">
        <v>8024</v>
      </c>
      <c r="B8024" s="2" t="str">
        <f>IFERROR(__xludf.DUMMYFUNCTION("GOOGLETRANSLATE(A8024, ""en"", ""mt"")"),"X'kien ir-riżultat tad-diżubbidjenza li tipprotesta s-sit nukleari?")</f>
        <v>X'kien ir-riżultat tad-diżubbidjenza li tipprotesta s-sit nukleari?</v>
      </c>
    </row>
    <row r="8025" ht="15.75" customHeight="1">
      <c r="A8025" s="2" t="s">
        <v>8025</v>
      </c>
      <c r="B8025" s="2" t="str">
        <f>IFERROR(__xludf.DUMMYFUNCTION("GOOGLETRANSLATE(A8025, ""en"", ""mt"")"),"18,000 regolari, milizja u alleati Amerikani Nattivi")</f>
        <v>18,000 regolari, milizja u alleati Amerikani Nattivi</v>
      </c>
    </row>
    <row r="8026" ht="15.75" customHeight="1">
      <c r="A8026" s="2" t="s">
        <v>8026</v>
      </c>
      <c r="B8026" s="2" t="str">
        <f>IFERROR(__xludf.DUMMYFUNCTION("GOOGLETRANSLATE(A8026, ""en"", ""mt"")"),"L-NSF kiber biex jgħaqqad kemm universitajiet?")</f>
        <v>L-NSF kiber biex jgħaqqad kemm universitajiet?</v>
      </c>
    </row>
    <row r="8027" ht="15.75" customHeight="1">
      <c r="A8027" s="2" t="s">
        <v>8027</v>
      </c>
      <c r="B8027" s="2" t="str">
        <f>IFERROR(__xludf.DUMMYFUNCTION("GOOGLETRANSLATE(A8027, ""en"", ""mt"")"),"Jirriżenja")</f>
        <v>Jirriżenja</v>
      </c>
    </row>
    <row r="8028" ht="15.75" customHeight="1">
      <c r="A8028" s="2" t="s">
        <v>8028</v>
      </c>
      <c r="B8028" s="2" t="str">
        <f>IFERROR(__xludf.DUMMYFUNCTION("GOOGLETRANSLATE(A8028, ""en"", ""mt"")"),"Komunità Filippina")</f>
        <v>Komunità Filippina</v>
      </c>
    </row>
    <row r="8029" ht="15.75" customHeight="1">
      <c r="A8029" s="2" t="s">
        <v>8029</v>
      </c>
      <c r="B8029" s="2" t="str">
        <f>IFERROR(__xludf.DUMMYFUNCTION("GOOGLETRANSLATE(A8029, ""en"", ""mt"")"),"Il-landa kienet żdiedet fil-piż u dik iż-żieda kienet l-istess bħall-piż tal-arja li ġrew lura")</f>
        <v>Il-landa kienet żdiedet fil-piż u dik iż-żieda kienet l-istess bħall-piż tal-arja li ġrew lura</v>
      </c>
    </row>
    <row r="8030" ht="15.75" customHeight="1">
      <c r="A8030" s="2" t="s">
        <v>8030</v>
      </c>
      <c r="B8030" s="2" t="str">
        <f>IFERROR(__xludf.DUMMYFUNCTION("GOOGLETRANSLATE(A8030, ""en"", ""mt"")"),"L-iskejjel privati, magħrufa wkoll bħala skejjel indipendenti, skejjel mhux governattivi, jew mhux statali, mhumiex amministrati minn gvernijiet lokali, statali jew nazzjonali; Għalhekk, huma jżommu d-dritt li jagħżlu l-istudenti tagħhom u huma ffinanzjat"&amp;"i kollha jew parzjalment billi jiċċarġjaw l-istudenti tagħhom, aktar milli jiddependu fuq tassazzjoni obbligatorja permezz ta 'finanzjament pubbliku (gvern); F’xi skejjel privati ​​l-istudenti jistgħu jkunu jistgħu jiksbu borża ta ’studju, li tagħmel l-is"&amp;"piża irħas, skont it-talent li l-istudent jista’ jkollu (per eżempju borża sportiva, borża ta ’studju tal-arti, borża ta’ studju akkademiku), ħtieġa finanzjarja, jew boroż ta ’kreditu tat-taxxa li jistgħu jkunu disponibbli Jonqos")</f>
        <v>L-iskejjel privati, magħrufa wkoll bħala skejjel indipendenti, skejjel mhux governattivi, jew mhux statali, mhumiex amministrati minn gvernijiet lokali, statali jew nazzjonali; Għalhekk, huma jżommu d-dritt li jagħżlu l-istudenti tagħhom u huma ffinanzjati kollha jew parzjalment billi jiċċarġjaw l-istudenti tagħhom, aktar milli jiddependu fuq tassazzjoni obbligatorja permezz ta 'finanzjament pubbliku (gvern); F’xi skejjel privati ​​l-istudenti jistgħu jkunu jistgħu jiksbu borża ta ’studju, li tagħmel l-ispiża irħas, skont it-talent li l-istudent jista’ jkollu (per eżempju borża sportiva, borża ta ’studju tal-arti, borża ta’ studju akkademiku), ħtieġa finanzjarja, jew boroż ta ’kreditu tat-taxxa li jistgħu jkunu disponibbli Jonqos</v>
      </c>
    </row>
    <row r="8031" ht="15.75" customHeight="1">
      <c r="A8031" s="2" t="s">
        <v>8031</v>
      </c>
      <c r="B8031" s="2" t="str">
        <f>IFERROR(__xludf.DUMMYFUNCTION("GOOGLETRANSLATE(A8031, ""en"", ""mt"")"),"Meta kienet l-inugwaljanza fil-konsum inqas milli kienet fl-1968?")</f>
        <v>Meta kienet l-inugwaljanza fil-konsum inqas milli kienet fl-1968?</v>
      </c>
    </row>
    <row r="8032" ht="15.75" customHeight="1">
      <c r="A8032" s="2" t="s">
        <v>8032</v>
      </c>
      <c r="B8032" s="2" t="str">
        <f>IFERROR(__xludf.DUMMYFUNCTION("GOOGLETRANSLATE(A8032, ""en"", ""mt"")"),"Għaliex inbiegħ żejt il-qadim bi prezz ogħla?")</f>
        <v>Għaliex inbiegħ żejt il-qadim bi prezz ogħla?</v>
      </c>
    </row>
    <row r="8033" ht="15.75" customHeight="1">
      <c r="A8033" s="2" t="s">
        <v>8033</v>
      </c>
      <c r="B8033" s="2" t="str">
        <f>IFERROR(__xludf.DUMMYFUNCTION("GOOGLETRANSLATE(A8033, ""en"", ""mt"")"),"inqas minn 200,000")</f>
        <v>inqas minn 200,000</v>
      </c>
    </row>
    <row r="8034" ht="15.75" customHeight="1">
      <c r="A8034" s="2" t="s">
        <v>8034</v>
      </c>
      <c r="B8034" s="2" t="str">
        <f>IFERROR(__xludf.DUMMYFUNCTION("GOOGLETRANSLATE(A8034, ""en"", ""mt"")"),"Immedjatament wara l-ħin tad-deċiżjoni, isir ""dibattitu dwar il-membri"", li jdum 45 minuta. In-negozju tal-Membri huwa dibattitu dwar mozzjoni proposta minn MSP li mhux ministru Skoċċiż. Dawn il-mozzjonijiet huma fuq kwistjonijiet li jistgħu jkunu ta 'i"&amp;"nteress għal qasam partikolari bħal kostitwenza ta' membru stess, avveniment li jmiss jew tal-passat jew kwalunkwe oġġett ieħor li altrimenti ma jingħatax ħin parlamentari uffiċjali. Kif ukoll il-proponent, membri oħra normalment jikkontribwixxu għad-diba"&amp;"ttitu. Il-ministru rilevanti, li d-dipartiment tiegħu d-dibattitu u l-mozzjoni għandhom x'jaqsmu ma '""jispiċċaw"" id-dibattitu billi jitkellem wara l-parteċipanti l-oħra kollha.")</f>
        <v>Immedjatament wara l-ħin tad-deċiżjoni, isir "dibattitu dwar il-membri", li jdum 45 minuta. In-negozju tal-Membri huwa dibattitu dwar mozzjoni proposta minn MSP li mhux ministru Skoċċiż. Dawn il-mozzjonijiet huma fuq kwistjonijiet li jistgħu jkunu ta 'interess għal qasam partikolari bħal kostitwenza ta' membru stess, avveniment li jmiss jew tal-passat jew kwalunkwe oġġett ieħor li altrimenti ma jingħatax ħin parlamentari uffiċjali. Kif ukoll il-proponent, membri oħra normalment jikkontribwixxu għad-dibattitu. Il-ministru rilevanti, li d-dipartiment tiegħu d-dibattitu u l-mozzjoni għandhom x'jaqsmu ma '"jispiċċaw" id-dibattitu billi jitkellem wara l-parteċipanti l-oħra kollha.</v>
      </c>
    </row>
    <row r="8035" ht="15.75" customHeight="1">
      <c r="A8035" s="2" t="s">
        <v>8035</v>
      </c>
      <c r="B8035" s="2" t="str">
        <f>IFERROR(__xludf.DUMMYFUNCTION("GOOGLETRANSLATE(A8035, ""en"", ""mt"")"),"Involvi fid-diskors projbit")</f>
        <v>Involvi fid-diskors projbit</v>
      </c>
    </row>
    <row r="8036" ht="15.75" customHeight="1">
      <c r="A8036" s="2" t="s">
        <v>8036</v>
      </c>
      <c r="B8036" s="2" t="str">
        <f>IFERROR(__xludf.DUMMYFUNCTION("GOOGLETRANSLATE(A8036, ""en"", ""mt"")"),"Qlib ta 'blokka ta' messaġġi adattivi distribwiti")</f>
        <v>Qlib ta 'blokka ta' messaġġi adattivi distribwiti</v>
      </c>
    </row>
    <row r="8037" ht="15.75" customHeight="1">
      <c r="A8037" s="2" t="s">
        <v>8037</v>
      </c>
      <c r="B8037" s="2" t="str">
        <f>IFERROR(__xludf.DUMMYFUNCTION("GOOGLETRANSLATE(A8037, ""en"", ""mt"")"),"Ċiniż tan-Nofsinhar")</f>
        <v>Ċiniż tan-Nofsinhar</v>
      </c>
    </row>
    <row r="8038" ht="15.75" customHeight="1">
      <c r="A8038" s="2" t="s">
        <v>8038</v>
      </c>
      <c r="B8038" s="2" t="str">
        <f>IFERROR(__xludf.DUMMYFUNCTION("GOOGLETRANSLATE(A8038, ""en"", ""mt"")"),"911")</f>
        <v>911</v>
      </c>
    </row>
    <row r="8039" ht="15.75" customHeight="1">
      <c r="A8039" s="2" t="s">
        <v>8039</v>
      </c>
      <c r="B8039" s="2" t="str">
        <f>IFERROR(__xludf.DUMMYFUNCTION("GOOGLETRANSLATE(A8039, ""en"", ""mt"")"),"Fresno għandu tliet parks pubbliċi kbar, tnejn fil-limiti tal-belt u wieħed fl-art tal-kontea lejn il-Lbiċ. Woodward Park, li fih il-Ġonna Ġappuniżi Shinzen, bosta żoni tal-pikniks u diversi mili ta ’traċċi, jinsab fit-Tramuntana ta’ Fresno u jinsab biswi"&amp;"t il-Parkway tax-Xmara San Joaquin. Roeding Park, qrib id-downtown Fresno, huwa d-dar taż-Żoo ta 'Fresno Chaffee, u Storyland u Playland Rotary. Kearney Park hija l-ikbar sistema tal-park tar-reġjun ta 'Fresno u hija d-dar ta' Kearney Mansion storika u ti"&amp;"lgħab li l-Gwerra Ċivili riveduta annwali, l-akbar mill-ġdid mill-ġdid tal-gwerra ċivili fil-kosta tal-punent ta 'l-Istati Uniti ta' l-Istati Uniti ta 'l-Istati Uniti ta' l-Istati Uniti ta 'l-Istati Uniti ta' l-Istati Uniti.")</f>
        <v>Fresno għandu tliet parks pubbliċi kbar, tnejn fil-limiti tal-belt u wieħed fl-art tal-kontea lejn il-Lbiċ. Woodward Park, li fih il-Ġonna Ġappuniżi Shinzen, bosta żoni tal-pikniks u diversi mili ta ’traċċi, jinsab fit-Tramuntana ta’ Fresno u jinsab biswit il-Parkway tax-Xmara San Joaquin. Roeding Park, qrib id-downtown Fresno, huwa d-dar taż-Żoo ta 'Fresno Chaffee, u Storyland u Playland Rotary. Kearney Park hija l-ikbar sistema tal-park tar-reġjun ta 'Fresno u hija d-dar ta' Kearney Mansion storika u tilgħab li l-Gwerra Ċivili riveduta annwali, l-akbar mill-ġdid mill-ġdid tal-gwerra ċivili fil-kosta tal-punent ta 'l-Istati Uniti ta' l-Istati Uniti ta 'l-Istati Uniti ta' l-Istati Uniti ta 'l-Istati Uniti ta' l-Istati Uniti.</v>
      </c>
    </row>
    <row r="8040" ht="15.75" customHeight="1">
      <c r="A8040" s="2" t="s">
        <v>8040</v>
      </c>
      <c r="B8040" s="2" t="str">
        <f>IFERROR(__xludf.DUMMYFUNCTION("GOOGLETRANSLATE(A8040, ""en"", ""mt"")"),"Meta kien ir-Renu kompletament fl-Imperu Ruman Qaddis?")</f>
        <v>Meta kien ir-Renu kompletament fl-Imperu Ruman Qaddis?</v>
      </c>
    </row>
    <row r="8041" ht="15.75" customHeight="1">
      <c r="A8041" s="2" t="s">
        <v>8041</v>
      </c>
      <c r="B8041" s="2" t="str">
        <f>IFERROR(__xludf.DUMMYFUNCTION("GOOGLETRANSLATE(A8041, ""en"", ""mt"")"),"David Graeber")</f>
        <v>David Graeber</v>
      </c>
    </row>
    <row r="8042" ht="15.75" customHeight="1">
      <c r="A8042" s="2" t="s">
        <v>8042</v>
      </c>
      <c r="B8042" s="2" t="str">
        <f>IFERROR(__xludf.DUMMYFUNCTION("GOOGLETRANSLATE(A8042, ""en"", ""mt"")"),"il-kunsill")</f>
        <v>il-kunsill</v>
      </c>
    </row>
    <row r="8043" ht="15.75" customHeight="1">
      <c r="A8043" s="2" t="s">
        <v>8043</v>
      </c>
      <c r="B8043" s="2" t="str">
        <f>IFERROR(__xludf.DUMMYFUNCTION("GOOGLETRANSLATE(A8043, ""en"", ""mt"")"),"X'inhuma dawk bi dħul ogħla li spiss ma jkunux jistgħu jimmaniġġjaw?")</f>
        <v>X'inhuma dawk bi dħul ogħla li spiss ma jkunux jistgħu jimmaniġġjaw?</v>
      </c>
    </row>
    <row r="8044" ht="15.75" customHeight="1">
      <c r="A8044" s="2" t="s">
        <v>8044</v>
      </c>
      <c r="B8044" s="2" t="str">
        <f>IFERROR(__xludf.DUMMYFUNCTION("GOOGLETRANSLATE(A8044, ""en"", ""mt"")"),"Liema qasma l-baċin tad-drenaġġ tal-Amażonja tul il-parti tat-tramuntana tal-kontinent?")</f>
        <v>Liema qasma l-baċin tad-drenaġġ tal-Amażonja tul il-parti tat-tramuntana tal-kontinent?</v>
      </c>
    </row>
    <row r="8045" ht="15.75" customHeight="1">
      <c r="A8045" s="2" t="s">
        <v>8045</v>
      </c>
      <c r="B8045" s="2" t="str">
        <f>IFERROR(__xludf.DUMMYFUNCTION("GOOGLETRANSLATE(A8045, ""en"", ""mt"")"),"il-gvern tal-unjoni")</f>
        <v>il-gvern tal-unjoni</v>
      </c>
    </row>
    <row r="8046" ht="15.75" customHeight="1">
      <c r="A8046" s="2" t="s">
        <v>8046</v>
      </c>
      <c r="B8046" s="2" t="str">
        <f>IFERROR(__xludf.DUMMYFUNCTION("GOOGLETRANSLATE(A8046, ""en"", ""mt"")"),"B'liema mod jistgħu jinġiebu lura")</f>
        <v>B'liema mod jistgħu jinġiebu lura</v>
      </c>
    </row>
    <row r="8047" ht="15.75" customHeight="1">
      <c r="A8047" s="2" t="s">
        <v>8047</v>
      </c>
      <c r="B8047" s="2" t="str">
        <f>IFERROR(__xludf.DUMMYFUNCTION("GOOGLETRANSLATE(A8047, ""en"", ""mt"")"),"Meta Varsavja kienet ikklassifikata bħala t-32 belt l-iktar ħajjin fid-dinja?")</f>
        <v>Meta Varsavja kienet ikklassifikata bħala t-32 belt l-iktar ħajjin fid-dinja?</v>
      </c>
    </row>
    <row r="8048" ht="15.75" customHeight="1">
      <c r="A8048" s="2" t="s">
        <v>8048</v>
      </c>
      <c r="B8048" s="2" t="str">
        <f>IFERROR(__xludf.DUMMYFUNCTION("GOOGLETRANSLATE(A8048, ""en"", ""mt"")"),"Il-Qorti tal-Ġustizzja tal-Unjoni Ewropea (CJEU)")</f>
        <v>Il-Qorti tal-Ġustizzja tal-Unjoni Ewropea (CJEU)</v>
      </c>
    </row>
    <row r="8049" ht="15.75" customHeight="1">
      <c r="A8049" s="2" t="s">
        <v>8049</v>
      </c>
      <c r="B8049" s="2" t="str">
        <f>IFERROR(__xludf.DUMMYFUNCTION("GOOGLETRANSLATE(A8049, ""en"", ""mt"")"),"Dak li jipprojbixxi l-atomi milli jgħaddu minn xulxin?")</f>
        <v>Dak li jipprojbixxi l-atomi milli jgħaddu minn xulxin?</v>
      </c>
    </row>
    <row r="8050" ht="15.75" customHeight="1">
      <c r="A8050" s="2" t="s">
        <v>8050</v>
      </c>
      <c r="B8050" s="2" t="str">
        <f>IFERROR(__xludf.DUMMYFUNCTION("GOOGLETRANSLATE(A8050, ""en"", ""mt"")"),"Organizzazzjoni Eġizzjana tal-Ġiħad Iżlamiku")</f>
        <v>Organizzazzjoni Eġizzjana tal-Ġiħad Iżlamiku</v>
      </c>
    </row>
    <row r="8051" ht="15.75" customHeight="1">
      <c r="A8051" s="2" t="s">
        <v>8051</v>
      </c>
      <c r="B8051" s="2" t="str">
        <f>IFERROR(__xludf.DUMMYFUNCTION("GOOGLETRANSLATE(A8051, ""en"", ""mt"")"),"Madwar seba 'u tmienja")</f>
        <v>Madwar seba 'u tmienja</v>
      </c>
    </row>
    <row r="8052" ht="15.75" customHeight="1">
      <c r="A8052" s="2" t="s">
        <v>8052</v>
      </c>
      <c r="B8052" s="2" t="str">
        <f>IFERROR(__xludf.DUMMYFUNCTION("GOOGLETRANSLATE(A8052, ""en"", ""mt"")"),"Kif ġiet iffurmata l-Gorge Rhine?")</f>
        <v>Kif ġiet iffurmata l-Gorge Rhine?</v>
      </c>
    </row>
    <row r="8053" ht="15.75" customHeight="1">
      <c r="A8053" s="2" t="s">
        <v>8053</v>
      </c>
      <c r="B8053" s="2" t="str">
        <f>IFERROR(__xludf.DUMMYFUNCTION("GOOGLETRANSLATE(A8053, ""en"", ""mt"")"),"X'tipi ta 'xjenzati jfittxu sinjali ta' treġġigħ lura manjetiku fi blat igneous fil-qlub tat-tħaffir?")</f>
        <v>X'tipi ta 'xjenzati jfittxu sinjali ta' treġġigħ lura manjetiku fi blat igneous fil-qlub tat-tħaffir?</v>
      </c>
    </row>
    <row r="8054" ht="15.75" customHeight="1">
      <c r="A8054" s="2" t="s">
        <v>8054</v>
      </c>
      <c r="B8054" s="2" t="str">
        <f>IFERROR(__xludf.DUMMYFUNCTION("GOOGLETRANSLATE(A8054, ""en"", ""mt"")"),"Liema Premju Memorial Nobel fix-Xjenzi Brittaniċi huwa alumni?")</f>
        <v>Liema Premju Memorial Nobel fix-Xjenzi Brittaniċi huwa alumni?</v>
      </c>
    </row>
    <row r="8055" ht="15.75" customHeight="1">
      <c r="A8055" s="2" t="s">
        <v>8055</v>
      </c>
      <c r="B8055" s="2" t="str">
        <f>IFERROR(__xludf.DUMMYFUNCTION("GOOGLETRANSLATE(A8055, ""en"", ""mt"")"),"42")</f>
        <v>42</v>
      </c>
    </row>
    <row r="8056" ht="15.75" customHeight="1">
      <c r="A8056" s="2" t="s">
        <v>8056</v>
      </c>
      <c r="B8056" s="2" t="str">
        <f>IFERROR(__xludf.DUMMYFUNCTION("GOOGLETRANSLATE(A8056, ""en"", ""mt"")"),"bħala aħjar")</f>
        <v>bħala aħjar</v>
      </c>
    </row>
    <row r="8057" ht="15.75" customHeight="1">
      <c r="A8057" s="2" t="s">
        <v>8057</v>
      </c>
      <c r="B8057" s="2" t="str">
        <f>IFERROR(__xludf.DUMMYFUNCTION("GOOGLETRANSLATE(A8057, ""en"", ""mt"")"),"Nazzjonijiet industrijalizzati żiedu r-riservi tagħhom")</f>
        <v>Nazzjonijiet industrijalizzati żiedu r-riservi tagħhom</v>
      </c>
    </row>
    <row r="8058" ht="15.75" customHeight="1">
      <c r="A8058" s="2" t="s">
        <v>8058</v>
      </c>
      <c r="B8058" s="2" t="str">
        <f>IFERROR(__xludf.DUMMYFUNCTION("GOOGLETRANSLATE(A8058, ""en"", ""mt"")"),"lezzjonijiet")</f>
        <v>lezzjonijiet</v>
      </c>
    </row>
    <row r="8059" ht="15.75" customHeight="1">
      <c r="A8059" s="2" t="s">
        <v>8059</v>
      </c>
      <c r="B8059" s="2" t="str">
        <f>IFERROR(__xludf.DUMMYFUNCTION("GOOGLETRANSLATE(A8059, ""en"", ""mt"")"),"1851")</f>
        <v>1851</v>
      </c>
    </row>
    <row r="8060" ht="15.75" customHeight="1">
      <c r="A8060" s="2" t="s">
        <v>8060</v>
      </c>
      <c r="B8060" s="2" t="str">
        <f>IFERROR(__xludf.DUMMYFUNCTION("GOOGLETRANSLATE(A8060, ""en"", ""mt"")"),"2002")</f>
        <v>2002</v>
      </c>
    </row>
    <row r="8061" ht="15.75" customHeight="1">
      <c r="A8061" s="2" t="s">
        <v>8061</v>
      </c>
      <c r="B8061" s="2" t="str">
        <f>IFERROR(__xludf.DUMMYFUNCTION("GOOGLETRANSLATE(A8061, ""en"", ""mt"")"),"Meta waslet il-Kumpanija tat-Trazzjoni Fresno f'Fresno?")</f>
        <v>Meta waslet il-Kumpanija tat-Trazzjoni Fresno f'Fresno?</v>
      </c>
    </row>
    <row r="8062" ht="15.75" customHeight="1">
      <c r="A8062" s="2" t="s">
        <v>8062</v>
      </c>
      <c r="B8062" s="2" t="str">
        <f>IFERROR(__xludf.DUMMYFUNCTION("GOOGLETRANSLATE(A8062, ""en"", ""mt"")"),"X'Jirripelli Ċelloli Immuni?")</f>
        <v>X'Jirripelli Ċelloli Immuni?</v>
      </c>
    </row>
    <row r="8063" ht="15.75" customHeight="1">
      <c r="A8063" s="2" t="s">
        <v>8063</v>
      </c>
      <c r="B8063" s="2" t="str">
        <f>IFERROR(__xludf.DUMMYFUNCTION("GOOGLETRANSLATE(A8063, ""en"", ""mt"")"),"X'tip ta 'votazzjoni jintuża biex jeleġġi l-uffiċjal li jippresiedi u d-deputati tal-parlament?")</f>
        <v>X'tip ta 'votazzjoni jintuża biex jeleġġi l-uffiċjal li jippresiedi u d-deputati tal-parlament?</v>
      </c>
    </row>
    <row r="8064" ht="15.75" customHeight="1">
      <c r="A8064" s="2" t="s">
        <v>8064</v>
      </c>
      <c r="B8064" s="2" t="str">
        <f>IFERROR(__xludf.DUMMYFUNCTION("GOOGLETRANSLATE(A8064, ""en"", ""mt"")"),"Biex tiżgura li r-riċetta tkun valida")</f>
        <v>Biex tiżgura li r-riċetta tkun valida</v>
      </c>
    </row>
    <row r="8065" ht="15.75" customHeight="1">
      <c r="A8065" s="2" t="s">
        <v>8065</v>
      </c>
      <c r="B8065" s="2" t="str">
        <f>IFERROR(__xludf.DUMMYFUNCTION("GOOGLETRANSLATE(A8065, ""en"", ""mt"")"),"Liema servizz huwa riċevitur tal-vidjow tar-Renju Unit li qatt ma jista 'jiddekripta?")</f>
        <v>Liema servizz huwa riċevitur tal-vidjow tar-Renju Unit li qatt ma jista 'jiddekripta?</v>
      </c>
    </row>
    <row r="8066" ht="15.75" customHeight="1">
      <c r="A8066" s="2" t="s">
        <v>8066</v>
      </c>
      <c r="B8066" s="2" t="str">
        <f>IFERROR(__xludf.DUMMYFUNCTION("GOOGLETRANSLATE(A8066, ""en"", ""mt"")")," Min kien ubedanti fir-ribelljoni tal-ISPAH?")</f>
        <v> Min kien ubedanti fir-ribelljoni tal-ISPAH?</v>
      </c>
    </row>
    <row r="8067" ht="15.75" customHeight="1">
      <c r="A8067" s="2" t="s">
        <v>8067</v>
      </c>
      <c r="B8067" s="2" t="str">
        <f>IFERROR(__xludf.DUMMYFUNCTION("GOOGLETRANSLATE(A8067, ""en"", ""mt"")"),"Kważi żewġ terzi")</f>
        <v>Kważi żewġ terzi</v>
      </c>
    </row>
    <row r="8068" ht="15.75" customHeight="1">
      <c r="A8068" s="2" t="s">
        <v>8068</v>
      </c>
      <c r="B8068" s="2" t="str">
        <f>IFERROR(__xludf.DUMMYFUNCTION("GOOGLETRANSLATE(A8068, ""en"", ""mt"")"),"X'tip ta 'ritmu għandhom l-istatokisti?")</f>
        <v>X'tip ta 'ritmu għandhom l-istatokisti?</v>
      </c>
    </row>
    <row r="8069" ht="15.75" customHeight="1">
      <c r="A8069" s="2" t="s">
        <v>8069</v>
      </c>
      <c r="B8069" s="2" t="str">
        <f>IFERROR(__xludf.DUMMYFUNCTION("GOOGLETRANSLATE(A8069, ""en"", ""mt"")"),"William Stranahan")</f>
        <v>William Stranahan</v>
      </c>
    </row>
    <row r="8070" ht="15.75" customHeight="1">
      <c r="A8070" s="2" t="s">
        <v>8070</v>
      </c>
      <c r="B8070" s="2" t="str">
        <f>IFERROR(__xludf.DUMMYFUNCTION("GOOGLETRANSLATE(A8070, ""en"", ""mt"")"),"X'tip ta 'magna tal-fwar m'għandhiex bżonn valvi biex tidderieġi l-istim?")</f>
        <v>X'tip ta 'magna tal-fwar m'għandhiex bżonn valvi biex tidderieġi l-istim?</v>
      </c>
    </row>
    <row r="8071" ht="15.75" customHeight="1">
      <c r="A8071" s="2" t="s">
        <v>8071</v>
      </c>
      <c r="B8071" s="2" t="str">
        <f>IFERROR(__xludf.DUMMYFUNCTION("GOOGLETRANSLATE(A8071, ""en"", ""mt"")"),"Jiddikjara ħati għal għadd wieħed ta 'delitt u ma jirċievi l-ebda ħin ta' ħabs")</f>
        <v>Jiddikjara ħati għal għadd wieħed ta 'delitt u ma jirċievi l-ebda ħin ta' ħabs</v>
      </c>
    </row>
    <row r="8072" ht="15.75" customHeight="1">
      <c r="A8072" s="2" t="s">
        <v>8072</v>
      </c>
      <c r="B8072" s="2" t="str">
        <f>IFERROR(__xludf.DUMMYFUNCTION("GOOGLETRANSLATE(A8072, ""en"", ""mt"")"),"Liema tipi ta 'programmi ma jgħinux biex tqassam mill-ġdid il-ġid?")</f>
        <v>Liema tipi ta 'programmi ma jgħinux biex tqassam mill-ġdid il-ġid?</v>
      </c>
    </row>
    <row r="8073" ht="15.75" customHeight="1">
      <c r="A8073" s="2" t="s">
        <v>8073</v>
      </c>
      <c r="B8073" s="2" t="str">
        <f>IFERROR(__xludf.DUMMYFUNCTION("GOOGLETRANSLATE(A8073, ""en"", ""mt"")"),"Liema dokument Olandiż ikkundanna l-Inkwiżizzjoni Spanjola?")</f>
        <v>Liema dokument Olandiż ikkundanna l-Inkwiżizzjoni Spanjola?</v>
      </c>
    </row>
    <row r="8074" ht="15.75" customHeight="1">
      <c r="A8074" s="2" t="s">
        <v>8074</v>
      </c>
      <c r="B8074" s="2" t="str">
        <f>IFERROR(__xludf.DUMMYFUNCTION("GOOGLETRANSLATE(A8074, ""en"", ""mt"")"),"Kemm kienet paġni tad-dikjarazzjoni tar-rapport Kalven?")</f>
        <v>Kemm kienet paġni tad-dikjarazzjoni tar-rapport Kalven?</v>
      </c>
    </row>
    <row r="8075" ht="15.75" customHeight="1">
      <c r="A8075" s="2" t="s">
        <v>8075</v>
      </c>
      <c r="B8075" s="2" t="str">
        <f>IFERROR(__xludf.DUMMYFUNCTION("GOOGLETRANSLATE(A8075, ""en"", ""mt"")")," Min iddefenda d-dritt ta 'Kublai Khan li jirnexxi Mongke Khan?")</f>
        <v> Min iddefenda d-dritt ta 'Kublai Khan li jirnexxi Mongke Khan?</v>
      </c>
    </row>
    <row r="8076" ht="15.75" customHeight="1">
      <c r="A8076" s="2" t="s">
        <v>8076</v>
      </c>
      <c r="B8076" s="2" t="str">
        <f>IFERROR(__xludf.DUMMYFUNCTION("GOOGLETRANSLATE(A8076, ""en"", ""mt"")"),"Min ippropona li l-intertjali intrinsiku huwa l-istat naturali ta 'oġġetti?")</f>
        <v>Min ippropona li l-intertjali intrinsiku huwa l-istat naturali ta 'oġġetti?</v>
      </c>
    </row>
    <row r="8077" ht="15.75" customHeight="1">
      <c r="A8077" s="2" t="s">
        <v>8077</v>
      </c>
      <c r="B8077" s="2" t="str">
        <f>IFERROR(__xludf.DUMMYFUNCTION("GOOGLETRANSLATE(A8077, ""en"", ""mt"")"),"X'inhi kwalità ta 'servizz garantita?")</f>
        <v>X'inhi kwalità ta 'servizz garantita?</v>
      </c>
    </row>
    <row r="8078" ht="15.75" customHeight="1">
      <c r="A8078" s="2" t="s">
        <v>8078</v>
      </c>
      <c r="B8078" s="2" t="str">
        <f>IFERROR(__xludf.DUMMYFUNCTION("GOOGLETRANSLATE(A8078, ""en"", ""mt"")"),"Ir-Raba 'Rapport ta' Valutazzjoni tal-IPCC (AR4) ippubblikat fl-2007 deher graff li juri 12-il rikostruzzjoni tat-temperatura bbażati fuq il-prokura, inklużi t-tliet enfasizzati fit-tielet Rapport ta 'Valutazzjoni tal-2001 (TAR); Mann, Bradley &amp; Hughes 19"&amp;"99 bħal qabel, Jones et al. 1998 u Briffa 2000 kienu t-tnejn ġew ikkalibrati minn studji aktar ġodda. Barra minn hekk, analiżi tal-perjodu sħun medjevali kkwotaw rikostruzzjonijiet minn Crowley &amp; Lowery 2000 (kif iċċitat fil-qatran) u Osborn &amp; Briffa 2006"&amp;". Għaxra minn dawn l-14-il rikostruzzjoni koprew 1,000 sena jew itwal. Il-biċċa l-kbira tar-rikostruzzjonijiet qasmu xi serje tad-dejta, partikolarment dejta taċ-ċirku tas-siġar, iżda rikostruzzjonijiet aktar ġodda użaw dejta addizzjonali u koprew żona us"&amp;"a ', bl-użu ta' varjetà ta 'metodi statistiċi. It-taqsima ddiskutiet il-problema ta 'diverġenza li taffettwa ċerta dejta dwar iċ-ċirku tas-siġar.")</f>
        <v>Ir-Raba 'Rapport ta' Valutazzjoni tal-IPCC (AR4) ippubblikat fl-2007 deher graff li juri 12-il rikostruzzjoni tat-temperatura bbażati fuq il-prokura, inklużi t-tliet enfasizzati fit-tielet Rapport ta 'Valutazzjoni tal-2001 (TAR); Mann, Bradley &amp; Hughes 1999 bħal qabel, Jones et al. 1998 u Briffa 2000 kienu t-tnejn ġew ikkalibrati minn studji aktar ġodda. Barra minn hekk, analiżi tal-perjodu sħun medjevali kkwotaw rikostruzzjonijiet minn Crowley &amp; Lowery 2000 (kif iċċitat fil-qatran) u Osborn &amp; Briffa 2006. Għaxra minn dawn l-14-il rikostruzzjoni koprew 1,000 sena jew itwal. Il-biċċa l-kbira tar-rikostruzzjonijiet qasmu xi serje tad-dejta, partikolarment dejta taċ-ċirku tas-siġar, iżda rikostruzzjonijiet aktar ġodda użaw dejta addizzjonali u koprew żona usa ', bl-użu ta' varjetà ta 'metodi statistiċi. It-taqsima ddiskutiet il-problema ta 'diverġenza li taffettwa ċerta dejta dwar iċ-ċirku tas-siġar.</v>
      </c>
    </row>
    <row r="8079" ht="15.75" customHeight="1">
      <c r="A8079" s="2" t="s">
        <v>8079</v>
      </c>
      <c r="B8079" s="2" t="str">
        <f>IFERROR(__xludf.DUMMYFUNCTION("GOOGLETRANSLATE(A8079, ""en"", ""mt"")"),"Il-liġi primarja tal-UE tikkonsisti prinċipalment fit-trattati fundaturi, it-trattati ""ewlenin"" huma t-Trattat dwar l-Unjoni Ewropea (TEU) u t-Trattat dwar il-Funzjonament tal-Unjoni Ewropea (TFEU). It-trattati fihom dispożizzjonijiet formali u sostanti"&amp;"vi, li jiffurmaw politiki tal-istituzzjonijiet tal-Unjoni Ewropea u jiddeterminaw id-diviżjoni tal-kompetenzi bejn l-Unjoni Ewropea u l-istati membri tagħha. It-TEU jistabbilixxi li l-liġi tal-Unjoni Ewropea tapplika għat-territorji metropolitani tal-Ista"&amp;"ti Membri, kif ukoll għal ċerti gżejjer u territorji barranin, inklużi Madeira, il-Gżejjer Kanarji u d-dipartimenti barranin Franċiżi. Il-liġi tal-Unjoni Ewropea tapplika wkoll f'territorji fejn Stat Membru huwa responsabbli għar-relazzjonijiet esterni, p"&amp;"ereżempju Ġibiltà u l-Gżejjer Åland. It-TEU jippermetti lill-Kunsill Ewropew jagħmel dispożizzjonijiet speċifiċi għar-reġjuni, bħal pereżempju magħmul għal kwistjonijiet doganali f'Ġibiltà u Saint-Pierre-et-Miquelon. It-TEU teskludi speċifikament ċerti re"&amp;"ġjuni, pereżempju l-Gżejjer Faroe, mill-ġurisdizzjoni tal-liġi tal-Unjoni Ewropea. It-trattati japplikaw malli jidħlu fis-seħħ, sakemm ma jingħadx mod ieħor, u ġeneralment jiġu konklużi għal perjodu illimitat. It-TEU jipprovdi li l-impenji mdaħħla mill-is"&amp;"tati membri bejniethom qabel ma ġie ffirmat it-trattat ma jibqgħux japplikaw. [Vag] L-istati membri kollha tal-UE huma meqjusa bħala soġġetti għall-obbligu ġenerali tal-prinċipju ta 'kooperazzjoni, kif intqal fit-TEU, fejn L-istati membri huma obbligati l"&amp;"i ma jieħdu miżura li tista 'tipperikola l-kisba tal-għanijiet tat-TEU. Il-Qorti tal-Ġustizzja tal-Unjoni Ewropea tista 'tinterpreta t-trattati, iżda ma tistax tiddeċiedi fuq il-validità tagħhom, li hija soġġetta għal-liġi internazzjonali. L-individwi jis"&amp;"tgħu jiddependu fuq il-liġi primarja fil-Qorti tal-Ġustizzja tal-Unjoni Ewropea jekk id-dispożizzjonijiet tat-trattati jkollhom effett dirett u huma ċari biżżejjed, preċiżi u inkondizzjonati.")</f>
        <v>Il-liġi primarja tal-UE tikkonsisti prinċipalment fit-trattati fundaturi, it-trattati "ewlenin" huma t-Trattat dwar l-Unjoni Ewropea (TEU) u t-Trattat dwar il-Funzjonament tal-Unjoni Ewropea (TFEU). It-trattati fihom dispożizzjonijiet formali u sostantivi, li jiffurmaw politiki tal-istituzzjonijiet tal-Unjoni Ewropea u jiddeterminaw id-diviżjoni tal-kompetenzi bejn l-Unjoni Ewropea u l-istati membri tagħha. It-TEU jistabbilixxi li l-liġi tal-Unjoni Ewropea tapplika għat-territorji metropolitani tal-Istati Membri, kif ukoll għal ċerti gżejjer u territorji barranin, inklużi Madeira, il-Gżejjer Kanarji u d-dipartimenti barranin Franċiżi. Il-liġi tal-Unjoni Ewropea tapplika wkoll f'territorji fejn Stat Membru huwa responsabbli għar-relazzjonijiet esterni, pereżempju Ġibiltà u l-Gżejjer Åland. It-TEU jippermetti lill-Kunsill Ewropew jagħmel dispożizzjonijiet speċifiċi għar-reġjuni, bħal pereżempju magħmul għal kwistjonijiet doganali f'Ġibiltà u Saint-Pierre-et-Miquelon. It-TEU teskludi speċifikament ċerti reġjuni, pereżempju l-Gżejjer Faroe, mill-ġurisdizzjoni tal-liġi tal-Unjoni Ewropea. It-trattati japplikaw malli jidħlu fis-seħħ, sakemm ma jingħadx mod ieħor, u ġeneralment jiġu konklużi għal perjodu illimitat. It-TEU jipprovdi li l-impenji mdaħħla mill-istati membri bejniethom qabel ma ġie ffirmat it-trattat ma jibqgħux japplikaw. [Vag] L-istati membri kollha tal-UE huma meqjusa bħala soġġetti għall-obbligu ġenerali tal-prinċipju ta 'kooperazzjoni, kif intqal fit-TEU, fejn L-istati membri huma obbligati li ma jieħdu miżura li tista 'tipperikola l-kisba tal-għanijiet tat-TEU. Il-Qorti tal-Ġustizzja tal-Unjoni Ewropea tista 'tinterpreta t-trattati, iżda ma tistax tiddeċiedi fuq il-validità tagħhom, li hija soġġetta għal-liġi internazzjonali. L-individwi jistgħu jiddependu fuq il-liġi primarja fil-Qorti tal-Ġustizzja tal-Unjoni Ewropea jekk id-dispożizzjonijiet tat-trattati jkollhom effett dirett u huma ċari biżżejjed, preċiżi u inkondizzjonati.</v>
      </c>
    </row>
    <row r="8080" ht="15.75" customHeight="1">
      <c r="A8080" s="2" t="s">
        <v>8080</v>
      </c>
      <c r="B8080" s="2" t="str">
        <f>IFERROR(__xludf.DUMMYFUNCTION("GOOGLETRANSLATE(A8080, ""en"", ""mt"")"),"Fort Niagara")</f>
        <v>Fort Niagara</v>
      </c>
    </row>
    <row r="8081" ht="15.75" customHeight="1">
      <c r="A8081" s="2" t="s">
        <v>8081</v>
      </c>
      <c r="B8081" s="2" t="str">
        <f>IFERROR(__xludf.DUMMYFUNCTION("GOOGLETRANSLATE(A8081, ""en"", ""mt"")"),"X’beda jakkumula 5.2 biljun sena ilu?")</f>
        <v>X’beda jakkumula 5.2 biljun sena ilu?</v>
      </c>
    </row>
    <row r="8082" ht="15.75" customHeight="1">
      <c r="A8082" s="2" t="s">
        <v>8082</v>
      </c>
      <c r="B8082" s="2" t="str">
        <f>IFERROR(__xludf.DUMMYFUNCTION("GOOGLETRANSLATE(A8082, ""en"", ""mt"")"),"Liema żewġ gruppi jaħsbu li t-trade unions jaħsbu li d-diżubbidjenza ċivili hija ġġustifikata?")</f>
        <v>Liema żewġ gruppi jaħsbu li t-trade unions jaħsbu li d-diżubbidjenza ċivili hija ġġustifikata?</v>
      </c>
    </row>
    <row r="8083" ht="15.75" customHeight="1">
      <c r="A8083" s="2" t="s">
        <v>8083</v>
      </c>
      <c r="B8083" s="2" t="str">
        <f>IFERROR(__xludf.DUMMYFUNCTION("GOOGLETRANSLATE(A8083, ""en"", ""mt"")"),"blat, alka, jew uċuħ tal-ġisem ta 'invertebrati oħra")</f>
        <v>blat, alka, jew uċuħ tal-ġisem ta 'invertebrati oħra</v>
      </c>
    </row>
    <row r="8084" ht="15.75" customHeight="1">
      <c r="A8084" s="2" t="s">
        <v>8084</v>
      </c>
      <c r="B8084" s="2" t="str">
        <f>IFERROR(__xludf.DUMMYFUNCTION("GOOGLETRANSLATE(A8084, ""en"", ""mt"")"),"1,320 kilometru (820 mil)")</f>
        <v>1,320 kilometru (820 mil)</v>
      </c>
    </row>
    <row r="8085" ht="15.75" customHeight="1">
      <c r="A8085" s="2" t="s">
        <v>8085</v>
      </c>
      <c r="B8085" s="2" t="str">
        <f>IFERROR(__xludf.DUMMYFUNCTION("GOOGLETRANSLATE(A8085, ""en"", ""mt"")"),"Kwart kwadru")</f>
        <v>Kwart kwadru</v>
      </c>
    </row>
    <row r="8086" ht="15.75" customHeight="1">
      <c r="A8086" s="2" t="s">
        <v>8086</v>
      </c>
      <c r="B8086" s="2" t="str">
        <f>IFERROR(__xludf.DUMMYFUNCTION("GOOGLETRANSLATE(A8086, ""en"", ""mt"")"),"Paċifiku")</f>
        <v>Paċifiku</v>
      </c>
    </row>
    <row r="8087" ht="15.75" customHeight="1">
      <c r="A8087" s="2" t="s">
        <v>8087</v>
      </c>
      <c r="B8087" s="2" t="str">
        <f>IFERROR(__xludf.DUMMYFUNCTION("GOOGLETRANSLATE(A8087, ""en"", ""mt"")"),"Lorraine t'isfel")</f>
        <v>Lorraine t'isfel</v>
      </c>
    </row>
    <row r="8088" ht="15.75" customHeight="1">
      <c r="A8088" s="2" t="s">
        <v>8088</v>
      </c>
      <c r="B8088" s="2" t="str">
        <f>IFERROR(__xludf.DUMMYFUNCTION("GOOGLETRANSLATE(A8088, ""en"", ""mt"")"),"Fl-arti viżwali, in-Normanni ma kellhomx it-tradizzjonijiet sinjuri u distintivi tal-kulturi li ħakmu. Madankollu, fil-bidu tas-seklu 11 id-Dukes bdew programm ta 'riforma tal-knisja, li ħeġġew ir-riforma cluniac tal-monasteri u patronizzaw l-attivitajiet"&amp;" intellettwali, speċjalment il-proliferazzjoni ta' Scriptoria u r-rikostituzzjoni ta 'kumpilazzjoni ta' manuskritti mdawlin mitlufa. Il-knisja kienet użata mid-Dukes bħala forza li tgħaqqad għall-dukat differenti tagħhom. Il-monasteri ewlenin li qed jieħd"&amp;"u sehem f'dan ir- ""Rinaxximent"" ta 'l-arti Norman u l-borża ta' studju kienu Mont-Saint-Michel, Fécamp, Jumièges, Bec, Saint-Ouen, Saint-Evroul, u Saint-Wandrille. Dawn iċ-ċentri kienu f'kuntatt mal-hekk imsejħa ""Winchester School"", li biddlu tradizzj"&amp;"oni artistika Karolingjana pura għan-Normandija. Fl-aħħar għaxar snin tal-11 u l-ewwel tas-seklu 12, in-Normandija esperjenzat età tad-deheb ta 'manuskritti illustrati, iżda kienet qasira u l-iscriporia ewlenija tan-Normandija ma baqgħetx tiffunzjona wara"&amp;" l-punt tan-nofs tas-seklu.")</f>
        <v>Fl-arti viżwali, in-Normanni ma kellhomx it-tradizzjonijiet sinjuri u distintivi tal-kulturi li ħakmu. Madankollu, fil-bidu tas-seklu 11 id-Dukes bdew programm ta 'riforma tal-knisja, li ħeġġew ir-riforma cluniac tal-monasteri u patronizzaw l-attivitajiet intellettwali, speċjalment il-proliferazzjoni ta' Scriptoria u r-rikostituzzjoni ta 'kumpilazzjoni ta' manuskritti mdawlin mitlufa. Il-knisja kienet użata mid-Dukes bħala forza li tgħaqqad għall-dukat differenti tagħhom. Il-monasteri ewlenin li qed jieħdu sehem f'dan ir- "Rinaxximent" ta 'l-arti Norman u l-borża ta' studju kienu Mont-Saint-Michel, Fécamp, Jumièges, Bec, Saint-Ouen, Saint-Evroul, u Saint-Wandrille. Dawn iċ-ċentri kienu f'kuntatt mal-hekk imsejħa "Winchester School", li biddlu tradizzjoni artistika Karolingjana pura għan-Normandija. Fl-aħħar għaxar snin tal-11 u l-ewwel tas-seklu 12, in-Normandija esperjenzat età tad-deheb ta 'manuskritti illustrati, iżda kienet qasira u l-iscriporia ewlenija tan-Normandija ma baqgħetx tiffunzjona wara l-punt tan-nofs tas-seklu.</v>
      </c>
    </row>
    <row r="8089" ht="15.75" customHeight="1">
      <c r="A8089" s="2" t="s">
        <v>8089</v>
      </c>
      <c r="B8089" s="2" t="str">
        <f>IFERROR(__xludf.DUMMYFUNCTION("GOOGLETRANSLATE(A8089, ""en"", ""mt"")"),"Il-ħames liġi ta 'Newton tfisser li xi forzi huma biss interazzjonijiet bejn min?")</f>
        <v>Il-ħames liġi ta 'Newton tfisser li xi forzi huma biss interazzjonijiet bejn min?</v>
      </c>
    </row>
    <row r="8090" ht="15.75" customHeight="1">
      <c r="A8090" s="2" t="s">
        <v>8090</v>
      </c>
      <c r="B8090" s="2" t="str">
        <f>IFERROR(__xludf.DUMMYFUNCTION("GOOGLETRANSLATE(A8090, ""en"", ""mt"")"),"Min kien rebbieħ fl-elezzjoni tar-Renju Unit tal-2005?")</f>
        <v>Min kien rebbieħ fl-elezzjoni tar-Renju Unit tal-2005?</v>
      </c>
    </row>
    <row r="8091" ht="15.75" customHeight="1">
      <c r="A8091" s="2" t="s">
        <v>8091</v>
      </c>
      <c r="B8091" s="2" t="str">
        <f>IFERROR(__xludf.DUMMYFUNCTION("GOOGLETRANSLATE(A8091, ""en"", ""mt"")"),"Il-Kummissjoni Santer")</f>
        <v>Il-Kummissjoni Santer</v>
      </c>
    </row>
    <row r="8092" ht="15.75" customHeight="1">
      <c r="A8092" s="2" t="s">
        <v>8092</v>
      </c>
      <c r="B8092" s="2" t="str">
        <f>IFERROR(__xludf.DUMMYFUNCTION("GOOGLETRANSLATE(A8092, ""en"", ""mt"")"),"Mill-2010 [aġġornament], kien hemm 366,273 djar li minnhom 11.8% kienu vakanti. 23.9% tad-djar kellhom tfal taħt it-18-il sena li jgħixu magħhom, 43.8% kienu koppji miżżewġin, 15.2% kellhom familja femminili mingħajr l-ebda raġel preżenti, u 36.4% ma kinu"&amp;"x familji. 29.7% tad-djar kollha kienu magħmula minn individwi u 7.9% kellhom lil xi ħadd li jgħix waħdu li kellu 65 sena jew aktar. Id-daqs medju tad-dar kien 2.55 u d-daqs medju tal-familja kien 3.21. Fil-belt, il-popolazzjoni kienet mifruxa bi 23.9% ta"&amp;"ħt l-età ta '18, 10.5% minn 18 sa 24, 28.5% minn 25 għal 44, 26.2% minn 45 għal 64, u 10.9% li kellhom 65 sena jew aktar - L-età medjana kienet ta ’35 .5 snin. Għal kull 100 mara kien hemm 94.1 irġiel. Għal kull 100 mara ta '18 -il sena 'l fuq, kien hemm "&amp;"91.3 irġiel.")</f>
        <v>Mill-2010 [aġġornament], kien hemm 366,273 djar li minnhom 11.8% kienu vakanti. 23.9% tad-djar kellhom tfal taħt it-18-il sena li jgħixu magħhom, 43.8% kienu koppji miżżewġin, 15.2% kellhom familja femminili mingħajr l-ebda raġel preżenti, u 36.4% ma kinux familji. 29.7% tad-djar kollha kienu magħmula minn individwi u 7.9% kellhom lil xi ħadd li jgħix waħdu li kellu 65 sena jew aktar. Id-daqs medju tad-dar kien 2.55 u d-daqs medju tal-familja kien 3.21. Fil-belt, il-popolazzjoni kienet mifruxa bi 23.9% taħt l-età ta '18, 10.5% minn 18 sa 24, 28.5% minn 25 għal 44, 26.2% minn 45 għal 64, u 10.9% li kellhom 65 sena jew aktar - L-età medjana kienet ta ’35 .5 snin. Għal kull 100 mara kien hemm 94.1 irġiel. Għal kull 100 mara ta '18 -il sena 'l fuq, kien hemm 91.3 irġiel.</v>
      </c>
    </row>
    <row r="8093" ht="15.75" customHeight="1">
      <c r="A8093" s="2" t="s">
        <v>8093</v>
      </c>
      <c r="B8093" s="2" t="str">
        <f>IFERROR(__xludf.DUMMYFUNCTION("GOOGLETRANSLATE(A8093, ""en"", ""mt"")"),"Meta ġew megħluba n-nuqqasijiet tal-fiżika ta 'Aristotile?")</f>
        <v>Meta ġew megħluba n-nuqqasijiet tal-fiżika ta 'Aristotile?</v>
      </c>
    </row>
    <row r="8094" ht="15.75" customHeight="1">
      <c r="A8094" s="2" t="s">
        <v>8094</v>
      </c>
      <c r="B8094" s="2" t="str">
        <f>IFERROR(__xludf.DUMMYFUNCTION("GOOGLETRANSLATE(A8094, ""en"", ""mt"")"),"Meta ġew iffurmati l-Alpi?")</f>
        <v>Meta ġew iffurmati l-Alpi?</v>
      </c>
    </row>
    <row r="8095" ht="15.75" customHeight="1">
      <c r="A8095" s="2" t="s">
        <v>8095</v>
      </c>
      <c r="B8095" s="2" t="str">
        <f>IFERROR(__xludf.DUMMYFUNCTION("GOOGLETRANSLATE(A8095, ""en"", ""mt"")"),"Għaliex il-5 President tal-Università ddeċieda li jeħles mill-programm tal-futbol?")</f>
        <v>Għaliex il-5 President tal-Università ddeċieda li jeħles mill-programm tal-futbol?</v>
      </c>
    </row>
    <row r="8096" ht="15.75" customHeight="1">
      <c r="A8096" s="2" t="s">
        <v>8096</v>
      </c>
      <c r="B8096" s="2" t="str">
        <f>IFERROR(__xludf.DUMMYFUNCTION("GOOGLETRANSLATE(A8096, ""en"", ""mt"")"),"Dtime (f (n)).")</f>
        <v>Dtime (f (n)).</v>
      </c>
    </row>
    <row r="8097" ht="15.75" customHeight="1">
      <c r="A8097" s="2" t="s">
        <v>8097</v>
      </c>
      <c r="B8097" s="2" t="str">
        <f>IFERROR(__xludf.DUMMYFUNCTION("GOOGLETRANSLATE(A8097, ""en"", ""mt"")"),"Banda Ku Universali")</f>
        <v>Banda Ku Universali</v>
      </c>
    </row>
    <row r="8098" ht="15.75" customHeight="1">
      <c r="A8098" s="2" t="s">
        <v>8098</v>
      </c>
      <c r="B8098" s="2" t="str">
        <f>IFERROR(__xludf.DUMMYFUNCTION("GOOGLETRANSLATE(A8098, ""en"", ""mt"")"),"Liema kimika uża Priestley fl-esperimenti tiegħu fuq l-ossiġnu?")</f>
        <v>Liema kimika uża Priestley fl-esperimenti tiegħu fuq l-ossiġnu?</v>
      </c>
    </row>
    <row r="8099" ht="15.75" customHeight="1">
      <c r="A8099" s="2" t="s">
        <v>8099</v>
      </c>
      <c r="B8099" s="2" t="str">
        <f>IFERROR(__xludf.DUMMYFUNCTION("GOOGLETRANSLATE(A8099, ""en"", ""mt"")"),"Is-sid tipikament jagħti kuntratt lil min?")</f>
        <v>Is-sid tipikament jagħti kuntratt lil min?</v>
      </c>
    </row>
    <row r="8100" ht="15.75" customHeight="1">
      <c r="A8100" s="2" t="s">
        <v>8100</v>
      </c>
      <c r="B8100" s="2" t="str">
        <f>IFERROR(__xludf.DUMMYFUNCTION("GOOGLETRANSLATE(A8100, ""en"", ""mt"")"),"Motiv ta 'l-ebda konkors huwa kompromess bejn motiv kreattiv u xiex titlob?")</f>
        <v>Motiv ta 'l-ebda konkors huwa kompromess bejn motiv kreattiv u xiex titlob?</v>
      </c>
    </row>
    <row r="8101" ht="15.75" customHeight="1">
      <c r="A8101" s="2" t="s">
        <v>8101</v>
      </c>
      <c r="B8101" s="2" t="str">
        <f>IFERROR(__xludf.DUMMYFUNCTION("GOOGLETRANSLATE(A8101, ""en"", ""mt"")"),"Fejn jinstabu ctenophores f'numri kbar?")</f>
        <v>Fejn jinstabu ctenophores f'numri kbar?</v>
      </c>
    </row>
    <row r="8102" ht="15.75" customHeight="1">
      <c r="A8102" s="2" t="s">
        <v>8102</v>
      </c>
      <c r="B8102" s="2" t="str">
        <f>IFERROR(__xludf.DUMMYFUNCTION("GOOGLETRANSLATE(A8102, ""en"", ""mt"")"),"L-infjammazzjoni hija waħda mill-ewwel tweġibiet tas-sistema immuni għall-infezzjoni. Is-sintomi ta 'infjammazzjoni huma ħmura, nefħa, sħana u uġigħ, li huma kkawżati minn żieda fil-fluss tad-demm fit-tessut. Infjammazzjoni hija prodotta minn ekosanojdi u"&amp;" ċitokini, li huma rilaxxati minn ċelloli midruba jew infettati. L-ekosanojdi jinkludu prostaglandini li jipproduċu d-deni u d-dilatazzjoni ta 'vini tad-demm assoċjati ma' infjammazzjoni, u lewkotrienes li jattiraw ċerti ċelloli bojod tad-demm (lewkoċiti)"&amp;". Ċitokini komuni jinkludu interleukins li huma responsabbli għall-komunikazzjoni bejn iċ-ċelloli bojod tad-demm; kimokini li jippromwovu l-kimotaxis; u interferoni li għandhom effetti anti-virali, bħalma huma l-għeluq tas-sinteżi tal-proteina fiċ-ċellula"&amp;" ospitanti. Fatturi ta 'tkabbir u fatturi ċitotossiċi jistgħu wkoll jiġu rilaxxati. Dawn iċ-ċitokini u kimiċi oħra jirreklutaw ċelloli immuni fis-sit ta 'infezzjoni u jippromwovu l-fejqan ta' kwalunkwe tessut bil-ħsara wara t-tneħħija ta 'patoġeni.")</f>
        <v>L-infjammazzjoni hija waħda mill-ewwel tweġibiet tas-sistema immuni għall-infezzjoni. Is-sintomi ta 'infjammazzjoni huma ħmura, nefħa, sħana u uġigħ, li huma kkawżati minn żieda fil-fluss tad-demm fit-tessut. Infjammazzjoni hija prodotta minn ekosanojdi u ċitokini, li huma rilaxxati minn ċelloli midruba jew infettati. L-ekosanojdi jinkludu prostaglandini li jipproduċu d-deni u d-dilatazzjoni ta 'vini tad-demm assoċjati ma' infjammazzjoni, u lewkotrienes li jattiraw ċerti ċelloli bojod tad-demm (lewkoċiti). Ċitokini komuni jinkludu interleukins li huma responsabbli għall-komunikazzjoni bejn iċ-ċelloli bojod tad-demm; kimokini li jippromwovu l-kimotaxis; u interferoni li għandhom effetti anti-virali, bħalma huma l-għeluq tas-sinteżi tal-proteina fiċ-ċellula ospitanti. Fatturi ta 'tkabbir u fatturi ċitotossiċi jistgħu wkoll jiġu rilaxxati. Dawn iċ-ċitokini u kimiċi oħra jirreklutaw ċelloli immuni fis-sit ta 'infezzjoni u jippromwovu l-fejqan ta' kwalunkwe tessut bil-ħsara wara t-tneħħija ta 'patoġeni.</v>
      </c>
    </row>
    <row r="8103" ht="15.75" customHeight="1">
      <c r="A8103" s="2" t="s">
        <v>8103</v>
      </c>
      <c r="B8103" s="2" t="str">
        <f>IFERROR(__xludf.DUMMYFUNCTION("GOOGLETRANSLATE(A8103, ""en"", ""mt"")"),"aktar b'saħħtu fil-parlament Skoċċiż milli f'sistemi parlamentari oħra")</f>
        <v>aktar b'saħħtu fil-parlament Skoċċiż milli f'sistemi parlamentari oħra</v>
      </c>
    </row>
    <row r="8104" ht="15.75" customHeight="1">
      <c r="A8104" s="2" t="s">
        <v>8104</v>
      </c>
      <c r="B8104" s="2" t="str">
        <f>IFERROR(__xludf.DUMMYFUNCTION("GOOGLETRANSLATE(A8104, ""en"", ""mt"")"),"Għaliex Cambridge xtara art f'Allston?")</f>
        <v>Għaliex Cambridge xtara art f'Allston?</v>
      </c>
    </row>
    <row r="8105" ht="15.75" customHeight="1">
      <c r="A8105" s="2" t="s">
        <v>8105</v>
      </c>
      <c r="B8105" s="2" t="str">
        <f>IFERROR(__xludf.DUMMYFUNCTION("GOOGLETRANSLATE(A8105, ""en"", ""mt"")"),"madwar terz.")</f>
        <v>madwar terz.</v>
      </c>
    </row>
    <row r="8106" ht="15.75" customHeight="1">
      <c r="A8106" s="2" t="s">
        <v>8106</v>
      </c>
      <c r="B8106" s="2" t="str">
        <f>IFERROR(__xludf.DUMMYFUNCTION("GOOGLETRANSLATE(A8106, ""en"", ""mt"")"),"Letteratura voluminuża")</f>
        <v>Letteratura voluminuża</v>
      </c>
    </row>
    <row r="8107" ht="15.75" customHeight="1">
      <c r="A8107" s="2" t="s">
        <v>8107</v>
      </c>
      <c r="B8107" s="2" t="str">
        <f>IFERROR(__xludf.DUMMYFUNCTION("GOOGLETRANSLATE(A8107, ""en"", ""mt"")"),"Għal liema nazzjon Ribault inizjalment iddikjara x'inhu issa Jacksonville?")</f>
        <v>Għal liema nazzjon Ribault inizjalment iddikjara x'inhu issa Jacksonville?</v>
      </c>
    </row>
    <row r="8108" ht="15.75" customHeight="1">
      <c r="A8108" s="2" t="s">
        <v>8108</v>
      </c>
      <c r="B8108" s="2" t="str">
        <f>IFERROR(__xludf.DUMMYFUNCTION("GOOGLETRANSLATE(A8108, ""en"", ""mt"")"),"id-deżert")</f>
        <v>id-deżert</v>
      </c>
    </row>
    <row r="8109" ht="15.75" customHeight="1">
      <c r="A8109" s="2" t="s">
        <v>8109</v>
      </c>
      <c r="B8109" s="2" t="str">
        <f>IFERROR(__xludf.DUMMYFUNCTION("GOOGLETRANSLATE(A8109, ""en"", ""mt"")"),"Il-gwerra ġiet miġġielda primarjament tul il-fruntieri bejn New France u l-kolonji Ingliżi, minn Virginia fin-nofsinhar sa l-Iskozja fit-tramuntana. Dan beda b'tilwima dwar il-kontroll tal-konfluwenza tax-xmajjar Allegheny u Monongahela, imsejħa l-Forks o"&amp;"f the Ohio, u s-sit tal-Fort Franċiż Duquesne u l-lum Pittsburgh, Pennsylvania. It-tilwima faqqgħet fil-vjolenza fil-battalja ta ’Jumonville Glen f’Mejju 1754, li matulha l-milizjani ta’ Virginia taħt il-kmand ta ’George Washington ta ’22 sena ħabbru rond"&amp;"a Franċiża.")</f>
        <v>Il-gwerra ġiet miġġielda primarjament tul il-fruntieri bejn New France u l-kolonji Ingliżi, minn Virginia fin-nofsinhar sa l-Iskozja fit-tramuntana. Dan beda b'tilwima dwar il-kontroll tal-konfluwenza tax-xmajjar Allegheny u Monongahela, imsejħa l-Forks of the Ohio, u s-sit tal-Fort Franċiż Duquesne u l-lum Pittsburgh, Pennsylvania. It-tilwima faqqgħet fil-vjolenza fil-battalja ta ’Jumonville Glen f’Mejju 1754, li matulha l-milizjani ta’ Virginia taħt il-kmand ta ’George Washington ta ’22 sena ħabbru ronda Franċiża.</v>
      </c>
    </row>
    <row r="8110" ht="15.75" customHeight="1">
      <c r="A8110" s="2" t="s">
        <v>8110</v>
      </c>
      <c r="B8110" s="2" t="str">
        <f>IFERROR(__xludf.DUMMYFUNCTION("GOOGLETRANSLATE(A8110, ""en"", ""mt"")"),"Liema komunitajiet jevitaw id-distrett tat-torri?")</f>
        <v>Liema komunitajiet jevitaw id-distrett tat-torri?</v>
      </c>
    </row>
    <row r="8111" ht="15.75" customHeight="1">
      <c r="A8111" s="2" t="s">
        <v>8111</v>
      </c>
      <c r="B8111" s="2" t="str">
        <f>IFERROR(__xludf.DUMMYFUNCTION("GOOGLETRANSLATE(A8111, ""en"", ""mt"")"),"Vosges Mountains")</f>
        <v>Vosges Mountains</v>
      </c>
    </row>
    <row r="8112" ht="15.75" customHeight="1">
      <c r="A8112" s="2" t="s">
        <v>8112</v>
      </c>
      <c r="B8112" s="2" t="str">
        <f>IFERROR(__xludf.DUMMYFUNCTION("GOOGLETRANSLATE(A8112, ""en"", ""mt"")"),"Venerazzjoni tal-antenati Konfucian u l-antenati")</f>
        <v>Venerazzjoni tal-antenati Konfucian u l-antenati</v>
      </c>
    </row>
    <row r="8113" ht="15.75" customHeight="1">
      <c r="A8113" s="2" t="s">
        <v>8113</v>
      </c>
      <c r="B8113" s="2" t="str">
        <f>IFERROR(__xludf.DUMMYFUNCTION("GOOGLETRANSLATE(A8113, ""en"", ""mt"")"),"X'għandhom politiki politikament korretti dwar l-enerġija nukleari promossi fl-Amerika?")</f>
        <v>X'għandhom politiki politikament korretti dwar l-enerġija nukleari promossi fl-Amerika?</v>
      </c>
    </row>
    <row r="8114" ht="15.75" customHeight="1">
      <c r="A8114" s="2" t="s">
        <v>8114</v>
      </c>
      <c r="B8114" s="2" t="str">
        <f>IFERROR(__xludf.DUMMYFUNCTION("GOOGLETRANSLATE(A8114, ""en"", ""mt"")"),"ċittadin")</f>
        <v>ċittadin</v>
      </c>
    </row>
    <row r="8115" ht="15.75" customHeight="1">
      <c r="A8115" s="2" t="s">
        <v>8115</v>
      </c>
      <c r="B8115" s="2" t="str">
        <f>IFERROR(__xludf.DUMMYFUNCTION("GOOGLETRANSLATE(A8115, ""en"", ""mt"")"),"Liema trattament mediku huwa kompletament differenti mill-immunità akkwistata?")</f>
        <v>Liema trattament mediku huwa kompletament differenti mill-immunità akkwistata?</v>
      </c>
    </row>
    <row r="8116" ht="15.75" customHeight="1">
      <c r="A8116" s="2" t="s">
        <v>8116</v>
      </c>
      <c r="B8116" s="2" t="str">
        <f>IFERROR(__xludf.DUMMYFUNCTION("GOOGLETRANSLATE(A8116, ""en"", ""mt"")"),"Għal liema gżira l-fluss tal-ilma kiesaħ tar-Rhine u l-Lag Constance joħroġ?")</f>
        <v>Għal liema gżira l-fluss tal-ilma kiesaħ tar-Rhine u l-Lag Constance joħroġ?</v>
      </c>
    </row>
    <row r="8117" ht="15.75" customHeight="1">
      <c r="A8117" s="2" t="s">
        <v>8117</v>
      </c>
      <c r="B8117" s="2" t="str">
        <f>IFERROR(__xludf.DUMMYFUNCTION("GOOGLETRANSLATE(A8117, ""en"", ""mt"")")," X'intemm l-ambizzjonijiet imperjali Franċiżi?")</f>
        <v> X'intemm l-ambizzjonijiet imperjali Franċiżi?</v>
      </c>
    </row>
    <row r="8118" ht="15.75" customHeight="1">
      <c r="A8118" s="2" t="s">
        <v>8118</v>
      </c>
      <c r="B8118" s="2" t="str">
        <f>IFERROR(__xludf.DUMMYFUNCTION("GOOGLETRANSLATE(A8118, ""en"", ""mt"")"),"Irkupra s-sħana moħbija tal-vaporizzazzjoni")</f>
        <v>Irkupra s-sħana moħbija tal-vaporizzazzjoni</v>
      </c>
    </row>
    <row r="8119" ht="15.75" customHeight="1">
      <c r="A8119" s="2" t="s">
        <v>8119</v>
      </c>
      <c r="B8119" s="2" t="str">
        <f>IFERROR(__xludf.DUMMYFUNCTION("GOOGLETRANSLATE(A8119, ""en"", ""mt"")"),"Ed Whitfield")</f>
        <v>Ed Whitfield</v>
      </c>
    </row>
    <row r="8120" ht="15.75" customHeight="1">
      <c r="A8120" s="2" t="s">
        <v>8120</v>
      </c>
      <c r="B8120" s="2" t="str">
        <f>IFERROR(__xludf.DUMMYFUNCTION("GOOGLETRANSLATE(A8120, ""en"", ""mt"")"),"Minn liema snin għexet Santa Eliżabetta fil-bajja ta 'Hollands Diep?")</f>
        <v>Minn liema snin għexet Santa Eliżabetta fil-bajja ta 'Hollands Diep?</v>
      </c>
    </row>
    <row r="8121" ht="15.75" customHeight="1">
      <c r="A8121" s="2" t="s">
        <v>8121</v>
      </c>
      <c r="B8121" s="2" t="str">
        <f>IFERROR(__xludf.DUMMYFUNCTION("GOOGLETRANSLATE(A8121, ""en"", ""mt"")"),"In-newtrofili u l-makrofaġi huma fagoċiti li jivvjaġġaw mal-ġisem kollu fit-tfittxija ta 'patoġeni li jinvadu. In-newtrofili normalment jinstabu fin-nixxiegħa tad-demm u huma l-iktar tip abbundanti ta 'fagoċiti, li normalment jirrappreżentaw 50% sa 60% ta"&amp;"l-lewkoċiti totali li jiċċirkolaw. Matul il-fażi akuta ta 'infjammazzjoni, partikolarment bħala riżultat ta' infezzjoni batterika, in-newtrofili jemigraw lejn is-sit ta 'infjammazzjoni fi proċess imsejjaħ chemotaxis, u ġeneralment huma l-ewwel ċelloli li "&amp;"jaslu fix-xena ta' infezzjoni. Il-makrofaġi huma ċelloli versatili li joqogħdu fit-tessuti u jipproduċu firxa wiesgħa ta 'kimiċi inklużi enzimi, proteini li jikkumplimentaw, u fatturi regolatorji bħal interleukin 1. Il-makrofaġi jaġixxu wkoll bħala kennie"&amp;"sa, jeħilsu l-ġisem ta' ċelloli li jintlibsu u debris ieħor, u bħala antigen, u bħala antigen Iċ-ċelloli li jippreżentaw li jattivaw is-sistema immuni adatta.")</f>
        <v>In-newtrofili u l-makrofaġi huma fagoċiti li jivvjaġġaw mal-ġisem kollu fit-tfittxija ta 'patoġeni li jinvadu. In-newtrofili normalment jinstabu fin-nixxiegħa tad-demm u huma l-iktar tip abbundanti ta 'fagoċiti, li normalment jirrappreżentaw 50% sa 60% tal-lewkoċiti totali li jiċċirkolaw. Matul il-fażi akuta ta 'infjammazzjoni, partikolarment bħala riżultat ta' infezzjoni batterika, in-newtrofili jemigraw lejn is-sit ta 'infjammazzjoni fi proċess imsejjaħ chemotaxis, u ġeneralment huma l-ewwel ċelloli li jaslu fix-xena ta' infezzjoni. Il-makrofaġi huma ċelloli versatili li joqogħdu fit-tessuti u jipproduċu firxa wiesgħa ta 'kimiċi inklużi enzimi, proteini li jikkumplimentaw, u fatturi regolatorji bħal interleukin 1. Il-makrofaġi jaġixxu wkoll bħala kenniesa, jeħilsu l-ġisem ta' ċelloli li jintlibsu u debris ieħor, u bħala antigen, u bħala antigen Iċ-ċelloli li jippreżentaw li jattivaw is-sistema immuni adatta.</v>
      </c>
    </row>
    <row r="8122" ht="15.75" customHeight="1">
      <c r="A8122" s="2" t="s">
        <v>8122</v>
      </c>
      <c r="B8122" s="2" t="str">
        <f>IFERROR(__xludf.DUMMYFUNCTION("GOOGLETRANSLATE(A8122, ""en"", ""mt"")"),"Kemm korpi saħħet is-saħħa pubblika l-Ingilterra?")</f>
        <v>Kemm korpi saħħet is-saħħa pubblika l-Ingilterra?</v>
      </c>
    </row>
    <row r="8123" ht="15.75" customHeight="1">
      <c r="A8123" s="2" t="s">
        <v>8123</v>
      </c>
      <c r="B8123" s="2" t="str">
        <f>IFERROR(__xludf.DUMMYFUNCTION("GOOGLETRANSLATE(A8123, ""en"", ""mt"")"),"tifforma sħubijiet kummerċjali ma 'tobba")</f>
        <v>tifforma sħubijiet kummerċjali ma 'tobba</v>
      </c>
    </row>
    <row r="8124" ht="15.75" customHeight="1">
      <c r="A8124" s="2" t="s">
        <v>8124</v>
      </c>
      <c r="B8124" s="2" t="str">
        <f>IFERROR(__xludf.DUMMYFUNCTION("GOOGLETRANSLATE(A8124, ""en"", ""mt"")"),"il-bankier tal-ipoteki")</f>
        <v>il-bankier tal-ipoteki</v>
      </c>
    </row>
    <row r="8125" ht="15.75" customHeight="1">
      <c r="A8125" s="2" t="s">
        <v>8125</v>
      </c>
      <c r="B8125" s="2" t="str">
        <f>IFERROR(__xludf.DUMMYFUNCTION("GOOGLETRANSLATE(A8125, ""en"", ""mt"")"),"X'kien ikkunsidrat l-approċċ ta 'Platun?")</f>
        <v>X'kien ikkunsidrat l-approċċ ta 'Platun?</v>
      </c>
    </row>
    <row r="8126" ht="15.75" customHeight="1">
      <c r="A8126" s="2" t="s">
        <v>8126</v>
      </c>
      <c r="B8126" s="2" t="str">
        <f>IFERROR(__xludf.DUMMYFUNCTION("GOOGLETRANSLATE(A8126, ""en"", ""mt"")"),"It-tbassir tat-terremot mudelli liema karatteristiċi tat-terremoti f'Kalifornja?")</f>
        <v>It-tbassir tat-terremot mudelli liema karatteristiċi tat-terremoti f'Kalifornja?</v>
      </c>
    </row>
    <row r="8127" ht="15.75" customHeight="1">
      <c r="A8127" s="2" t="s">
        <v>8127</v>
      </c>
      <c r="B8127" s="2" t="str">
        <f>IFERROR(__xludf.DUMMYFUNCTION("GOOGLETRANSLATE(A8127, ""en"", ""mt"")"),"Dak li għamel lill-istudent jiddeċiedi li jokkupa l-uffiċċju tal-president bħala protesta?")</f>
        <v>Dak li għamel lill-istudent jiddeċiedi li jokkupa l-uffiċċju tal-president bħala protesta?</v>
      </c>
    </row>
    <row r="8128" ht="15.75" customHeight="1">
      <c r="A8128" s="2" t="s">
        <v>8128</v>
      </c>
      <c r="B8128" s="2" t="str">
        <f>IFERROR(__xludf.DUMMYFUNCTION("GOOGLETRANSLATE(A8128, ""en"", ""mt"")"),"Min hu kapaċi jilleġiżla dwar kwistjonijiet li huma riservati lil Westminster?")</f>
        <v>Min hu kapaċi jilleġiżla dwar kwistjonijiet li huma riservati lil Westminster?</v>
      </c>
    </row>
    <row r="8129" ht="15.75" customHeight="1">
      <c r="A8129" s="2" t="s">
        <v>8129</v>
      </c>
      <c r="B8129" s="2" t="str">
        <f>IFERROR(__xludf.DUMMYFUNCTION("GOOGLETRANSLATE(A8129, ""en"", ""mt"")"),"Eluf ta ’madrasahs nbidlu liema organizzazzjoni?")</f>
        <v>Eluf ta ’madrasahs nbidlu liema organizzazzjoni?</v>
      </c>
    </row>
    <row r="8130" ht="15.75" customHeight="1">
      <c r="A8130" s="2" t="s">
        <v>8130</v>
      </c>
      <c r="B8130" s="2" t="str">
        <f>IFERROR(__xludf.DUMMYFUNCTION("GOOGLETRANSLATE(A8130, ""en"", ""mt"")"),"Għall-ewwel huwa bagħat missjunarji, appoġġjat minn fond biex jippremja finanzjarjament konvertiti għall-Kattoliċiżmu")</f>
        <v>Għall-ewwel huwa bagħat missjunarji, appoġġjat minn fond biex jippremja finanzjarjament konvertiti għall-Kattoliċiżmu</v>
      </c>
    </row>
    <row r="8131" ht="15.75" customHeight="1">
      <c r="A8131" s="2" t="s">
        <v>8131</v>
      </c>
      <c r="B8131" s="2" t="str">
        <f>IFERROR(__xludf.DUMMYFUNCTION("GOOGLETRANSLATE(A8131, ""en"", ""mt"")"),"X'għamel l-NIF biex tgħaqqad l-oppożizzjoni Iżlamista?")</f>
        <v>X'għamel l-NIF biex tgħaqqad l-oppożizzjoni Iżlamista?</v>
      </c>
    </row>
    <row r="8132" ht="15.75" customHeight="1">
      <c r="A8132" s="2" t="s">
        <v>8132</v>
      </c>
      <c r="B8132" s="2" t="str">
        <f>IFERROR(__xludf.DUMMYFUNCTION("GOOGLETRANSLATE(A8132, ""en"", ""mt"")"),"X'jiġri lil Plankton meta jimmaturaw?")</f>
        <v>X'jiġri lil Plankton meta jimmaturaw?</v>
      </c>
    </row>
    <row r="8133" ht="15.75" customHeight="1">
      <c r="A8133" s="2" t="s">
        <v>8133</v>
      </c>
      <c r="B8133" s="2" t="str">
        <f>IFERROR(__xludf.DUMMYFUNCTION("GOOGLETRANSLATE(A8133, ""en"", ""mt"")"),"Liema battalja barra l-Belt ta 'Quebec tilfu l-Ingliżi fl-1760?")</f>
        <v>Liema battalja barra l-Belt ta 'Quebec tilfu l-Ingliżi fl-1760?</v>
      </c>
    </row>
    <row r="8134" ht="15.75" customHeight="1">
      <c r="A8134" s="2" t="s">
        <v>8134</v>
      </c>
      <c r="B8134" s="2" t="str">
        <f>IFERROR(__xludf.DUMMYFUNCTION("GOOGLETRANSLATE(A8134, ""en"", ""mt"")"),"Tissottometti l-inċertezza assoċjata mal-mudelli tal-klima")</f>
        <v>Tissottometti l-inċertezza assoċjata mal-mudelli tal-klima</v>
      </c>
    </row>
    <row r="8135" ht="15.75" customHeight="1">
      <c r="A8135" s="2" t="s">
        <v>8135</v>
      </c>
      <c r="B8135" s="2" t="str">
        <f>IFERROR(__xludf.DUMMYFUNCTION("GOOGLETRANSLATE(A8135, ""en"", ""mt"")"),"ex kaptan tat-tim tal-futbol Yale")</f>
        <v>ex kaptan tat-tim tal-futbol Yale</v>
      </c>
    </row>
    <row r="8136" ht="15.75" customHeight="1">
      <c r="A8136" s="2" t="s">
        <v>8136</v>
      </c>
      <c r="B8136" s="2" t="str">
        <f>IFERROR(__xludf.DUMMYFUNCTION("GOOGLETRANSLATE(A8136, ""en"", ""mt"")"),"Għaliex Franza għażlet li tagħti l-ebda artijiet kontinentali?")</f>
        <v>Għaliex Franza għażlet li tagħti l-ebda artijiet kontinentali?</v>
      </c>
    </row>
    <row r="8137" ht="15.75" customHeight="1">
      <c r="A8137" s="2" t="s">
        <v>8137</v>
      </c>
      <c r="B8137" s="2" t="str">
        <f>IFERROR(__xludf.DUMMYFUNCTION("GOOGLETRANSLATE(A8137, ""en"", ""mt"")"),"22,000–14,000 yr bp")</f>
        <v>22,000–14,000 yr bp</v>
      </c>
    </row>
    <row r="8138" ht="15.75" customHeight="1">
      <c r="A8138" s="2" t="s">
        <v>8138</v>
      </c>
      <c r="B8138" s="2" t="str">
        <f>IFERROR(__xludf.DUMMYFUNCTION("GOOGLETRANSLATE(A8138, ""en"", ""mt"")"),"Dak li jagħmel ir-riċerka fil-plaming integrat possibbli?")</f>
        <v>Dak li jagħmel ir-riċerka fil-plaming integrat possibbli?</v>
      </c>
    </row>
    <row r="8139" ht="15.75" customHeight="1">
      <c r="A8139" s="2" t="s">
        <v>8139</v>
      </c>
      <c r="B8139" s="2" t="str">
        <f>IFERROR(__xludf.DUMMYFUNCTION("GOOGLETRANSLATE(A8139, ""en"", ""mt"")"),"Astra 2a")</f>
        <v>Astra 2a</v>
      </c>
    </row>
    <row r="8140" ht="15.75" customHeight="1">
      <c r="A8140" s="2" t="s">
        <v>8140</v>
      </c>
      <c r="B8140" s="2" t="str">
        <f>IFERROR(__xludf.DUMMYFUNCTION("GOOGLETRANSLATE(A8140, ""en"", ""mt"")"),"X'inhu rilaxxat mill-pori fir-ringieli tal-moxt?")</f>
        <v>X'inhu rilaxxat mill-pori fir-ringieli tal-moxt?</v>
      </c>
    </row>
    <row r="8141" ht="15.75" customHeight="1">
      <c r="A8141" s="2" t="s">
        <v>8141</v>
      </c>
      <c r="B8141" s="2" t="str">
        <f>IFERROR(__xludf.DUMMYFUNCTION("GOOGLETRANSLATE(A8141, ""en"", ""mt"")"),"F’liema sena Louis XIV beda jxerred lill-Protestanti biex jikkonvertu għall-Kattoliċiżmu?")</f>
        <v>F’liema sena Louis XIV beda jxerred lill-Protestanti biex jikkonvertu għall-Kattoliċiżmu?</v>
      </c>
    </row>
    <row r="8142" ht="15.75" customHeight="1">
      <c r="A8142" s="2" t="s">
        <v>8142</v>
      </c>
      <c r="B8142" s="2" t="str">
        <f>IFERROR(__xludf.DUMMYFUNCTION("GOOGLETRANSLATE(A8142, ""en"", ""mt"")"),"Liema mekkaniżmu jiċċaqlaq il-faħam minn bunker għall-firebox?")</f>
        <v>Liema mekkaniżmu jiċċaqlaq il-faħam minn bunker għall-firebox?</v>
      </c>
    </row>
    <row r="8143" ht="15.75" customHeight="1">
      <c r="A8143" s="2" t="s">
        <v>8143</v>
      </c>
      <c r="B8143" s="2" t="str">
        <f>IFERROR(__xludf.DUMMYFUNCTION("GOOGLETRANSLATE(A8143, ""en"", ""mt"")"),"L-aġenda fit-tul tal-kappell kienet l-atti ta 'artijiet Musulmani li jisirqu mil-lvant?")</f>
        <v>L-aġenda fit-tul tal-kappell kienet l-atti ta 'artijiet Musulmani li jisirqu mil-lvant?</v>
      </c>
    </row>
    <row r="8144" ht="15.75" customHeight="1">
      <c r="A8144" s="2" t="s">
        <v>8144</v>
      </c>
      <c r="B8144" s="2" t="str">
        <f>IFERROR(__xludf.DUMMYFUNCTION("GOOGLETRANSLATE(A8144, ""en"", ""mt"")"),"1-3 cm (0.39–1.18 in) kull seklu")</f>
        <v>1-3 cm (0.39–1.18 in) kull seklu</v>
      </c>
    </row>
    <row r="8145" ht="15.75" customHeight="1">
      <c r="A8145" s="2" t="s">
        <v>8145</v>
      </c>
      <c r="B8145" s="2" t="str">
        <f>IFERROR(__xludf.DUMMYFUNCTION("GOOGLETRANSLATE(A8145, ""en"", ""mt"")"),"X'inhu R-OC-R?")</f>
        <v>X'inhu R-OC-R?</v>
      </c>
    </row>
    <row r="8146" ht="15.75" customHeight="1">
      <c r="A8146" s="2" t="s">
        <v>8146</v>
      </c>
      <c r="B8146" s="2" t="str">
        <f>IFERROR(__xludf.DUMMYFUNCTION("GOOGLETRANSLATE(A8146, ""en"", ""mt"")"),"F'liema kolonja Ingliża ġew imwiegħda l-art tal-kolonizzaturi Huguenot?")</f>
        <v>F'liema kolonja Ingliża ġew imwiegħda l-art tal-kolonizzaturi Huguenot?</v>
      </c>
    </row>
    <row r="8147" ht="15.75" customHeight="1">
      <c r="A8147" s="2" t="s">
        <v>8147</v>
      </c>
      <c r="B8147" s="2" t="str">
        <f>IFERROR(__xludf.DUMMYFUNCTION("GOOGLETRANSLATE(A8147, ""en"", ""mt"")"),"X'għandhom l-aktar tliet persuni sinjuri fid-dinja li għandhom aktar mill-inqas 48 nazzjon flimkien?")</f>
        <v>X'għandhom l-aktar tliet persuni sinjuri fid-dinja li għandhom aktar mill-inqas 48 nazzjon flimkien?</v>
      </c>
    </row>
    <row r="8148" ht="15.75" customHeight="1">
      <c r="A8148" s="2" t="s">
        <v>8148</v>
      </c>
      <c r="B8148" s="2" t="str">
        <f>IFERROR(__xludf.DUMMYFUNCTION("GOOGLETRANSLATE(A8148, ""en"", ""mt"")"),"takkwista nutrijenti")</f>
        <v>takkwista nutrijenti</v>
      </c>
    </row>
    <row r="8149" ht="15.75" customHeight="1">
      <c r="A8149" s="2" t="s">
        <v>8149</v>
      </c>
      <c r="B8149" s="2" t="str">
        <f>IFERROR(__xludf.DUMMYFUNCTION("GOOGLETRANSLATE(A8149, ""en"", ""mt"")"),"Kif ma kinux il-mexxejja lura fl-Ewropa li jħossu dwar aħbarijiet minn Celeron Expedition?")</f>
        <v>Kif ma kinux il-mexxejja lura fl-Ewropa li jħossu dwar aħbarijiet minn Celeron Expedition?</v>
      </c>
    </row>
    <row r="8150" ht="15.75" customHeight="1">
      <c r="A8150" s="2" t="s">
        <v>8150</v>
      </c>
      <c r="B8150" s="2" t="str">
        <f>IFERROR(__xludf.DUMMYFUNCTION("GOOGLETRANSLATE(A8150, ""en"", ""mt"")"),"priża planktonika")</f>
        <v>priża planktonika</v>
      </c>
    </row>
    <row r="8151" ht="15.75" customHeight="1">
      <c r="A8151" s="2" t="s">
        <v>8151</v>
      </c>
      <c r="B8151" s="2" t="str">
        <f>IFERROR(__xludf.DUMMYFUNCTION("GOOGLETRANSLATE(A8151, ""en"", ""mt"")"),"domanda baxxa")</f>
        <v>domanda baxxa</v>
      </c>
    </row>
    <row r="8152" ht="15.75" customHeight="1">
      <c r="A8152" s="2" t="s">
        <v>8152</v>
      </c>
      <c r="B8152" s="2" t="str">
        <f>IFERROR(__xludf.DUMMYFUNCTION("GOOGLETRANSLATE(A8152, ""en"", ""mt"")"),"Taħt liema kundizzjoni huwa element irreducibbli?")</f>
        <v>Taħt liema kundizzjoni huwa element irreducibbli?</v>
      </c>
    </row>
    <row r="8153" ht="15.75" customHeight="1">
      <c r="A8153" s="2" t="s">
        <v>8153</v>
      </c>
      <c r="B8153" s="2" t="str">
        <f>IFERROR(__xludf.DUMMYFUNCTION("GOOGLETRANSLATE(A8153, ""en"", ""mt"")"),"X'tip ta 'stħarriġ juri l-post ta' unitajiet stratigrafiċi fis-sub-wiċċ?")</f>
        <v>X'tip ta 'stħarriġ juri l-post ta' unitajiet stratigrafiċi fis-sub-wiċċ?</v>
      </c>
    </row>
    <row r="8154" ht="15.75" customHeight="1">
      <c r="A8154" s="2" t="s">
        <v>8154</v>
      </c>
      <c r="B8154" s="2" t="str">
        <f>IFERROR(__xludf.DUMMYFUNCTION("GOOGLETRANSLATE(A8154, ""en"", ""mt"")"),"Ċellola b")</f>
        <v>Ċellola b</v>
      </c>
    </row>
    <row r="8155" ht="15.75" customHeight="1">
      <c r="A8155" s="2" t="s">
        <v>8155</v>
      </c>
      <c r="B8155" s="2" t="str">
        <f>IFERROR(__xludf.DUMMYFUNCTION("GOOGLETRANSLATE(A8155, ""en"", ""mt"")"),"diskors pur")</f>
        <v>diskors pur</v>
      </c>
    </row>
    <row r="8156" ht="15.75" customHeight="1">
      <c r="A8156" s="2" t="s">
        <v>8156</v>
      </c>
      <c r="B8156" s="2" t="str">
        <f>IFERROR(__xludf.DUMMYFUNCTION("GOOGLETRANSLATE(A8156, ""en"", ""mt"")"),"Liema grad m'għadux obbligatorju fl-Istati Uniti sabiex ikun spiżjar liċenzjat?")</f>
        <v>Liema grad m'għadux obbligatorju fl-Istati Uniti sabiex ikun spiżjar liċenzjat?</v>
      </c>
    </row>
    <row r="8157" ht="15.75" customHeight="1">
      <c r="A8157" s="2" t="s">
        <v>8157</v>
      </c>
      <c r="B8157" s="2" t="str">
        <f>IFERROR(__xludf.DUMMYFUNCTION("GOOGLETRANSLATE(A8157, ""en"", ""mt"")"),"gwerra")</f>
        <v>gwerra</v>
      </c>
    </row>
    <row r="8158" ht="15.75" customHeight="1">
      <c r="A8158" s="2" t="s">
        <v>8158</v>
      </c>
      <c r="B8158" s="2" t="str">
        <f>IFERROR(__xludf.DUMMYFUNCTION("GOOGLETRANSLATE(A8158, ""en"", ""mt"")"),"Realiżmu Soċjalista")</f>
        <v>Realiżmu Soċjalista</v>
      </c>
    </row>
    <row r="8159" ht="15.75" customHeight="1">
      <c r="A8159" s="2" t="s">
        <v>8159</v>
      </c>
      <c r="B8159" s="2" t="str">
        <f>IFERROR(__xludf.DUMMYFUNCTION("GOOGLETRANSLATE(A8159, ""en"", ""mt"")"),"Skond 1 miljun kuntrattur x'kien id-dħul annwali fl-2014?")</f>
        <v>Skond 1 miljun kuntrattur x'kien id-dħul annwali fl-2014?</v>
      </c>
    </row>
    <row r="8160" ht="15.75" customHeight="1">
      <c r="A8160" s="2" t="s">
        <v>8160</v>
      </c>
      <c r="B8160" s="2" t="str">
        <f>IFERROR(__xludf.DUMMYFUNCTION("GOOGLETRANSLATE(A8160, ""en"", ""mt"")"),"Iż-żoni ta 'Savannah espandew matul l-aħħar kemm snin?")</f>
        <v>Iż-żoni ta 'Savannah espandew matul l-aħħar kemm snin?</v>
      </c>
    </row>
    <row r="8161" ht="15.75" customHeight="1">
      <c r="A8161" s="2" t="s">
        <v>8161</v>
      </c>
      <c r="B8161" s="2" t="str">
        <f>IFERROR(__xludf.DUMMYFUNCTION("GOOGLETRANSLATE(A8161, ""en"", ""mt"")"),"Xi tfisser il-pressjoni politika biex testendi biex tikkumpensa għall-istaġnar tal-poter tax-xiri?")</f>
        <v>Xi tfisser il-pressjoni politika biex testendi biex tikkumpensa għall-istaġnar tal-poter tax-xiri?</v>
      </c>
    </row>
    <row r="8162" ht="15.75" customHeight="1">
      <c r="A8162" s="2" t="s">
        <v>8162</v>
      </c>
      <c r="B8162" s="2" t="str">
        <f>IFERROR(__xludf.DUMMYFUNCTION("GOOGLETRANSLATE(A8162, ""en"", ""mt"")"),"Liema nazzjonalità kienet lavoisier?")</f>
        <v>Liema nazzjonalità kienet lavoisier?</v>
      </c>
    </row>
    <row r="8163" ht="15.75" customHeight="1">
      <c r="A8163" s="2" t="s">
        <v>8163</v>
      </c>
      <c r="B8163" s="2" t="str">
        <f>IFERROR(__xludf.DUMMYFUNCTION("GOOGLETRANSLATE(A8163, ""en"", ""mt"")"),"Liema kritika fl-artiklu ta 'NY Times li tħalli impatt fuq il-kwalità tal-edukazzjoni f'Harvard?")</f>
        <v>Liema kritika fl-artiklu ta 'NY Times li tħalli impatt fuq il-kwalità tal-edukazzjoni f'Harvard?</v>
      </c>
    </row>
    <row r="8164" ht="15.75" customHeight="1">
      <c r="A8164" s="2" t="s">
        <v>8164</v>
      </c>
      <c r="B8164" s="2" t="str">
        <f>IFERROR(__xludf.DUMMYFUNCTION("GOOGLETRANSLATE(A8164, ""en"", ""mt"")"),"$ 2 miljun")</f>
        <v>$ 2 miljun</v>
      </c>
    </row>
    <row r="8165" ht="15.75" customHeight="1">
      <c r="A8165" s="2" t="s">
        <v>8165</v>
      </c>
      <c r="B8165" s="2" t="str">
        <f>IFERROR(__xludf.DUMMYFUNCTION("GOOGLETRANSLATE(A8165, ""en"", ""mt"")"),"Meta ġiet żviluppata l-abbiltà li tuża iżotopi radjuattivi sal-lum il-formazzjonijiet tal-blat?")</f>
        <v>Meta ġiet żviluppata l-abbiltà li tuża iżotopi radjuattivi sal-lum il-formazzjonijiet tal-blat?</v>
      </c>
    </row>
    <row r="8166" ht="15.75" customHeight="1">
      <c r="A8166" s="2" t="s">
        <v>8166</v>
      </c>
      <c r="B8166" s="2" t="str">
        <f>IFERROR(__xludf.DUMMYFUNCTION("GOOGLETRANSLATE(A8166, ""en"", ""mt"")"),"Liema astronawt tad-DNA huwa wkoll U ta 'ex-studenti?")</f>
        <v>Liema astronawt tad-DNA huwa wkoll U ta 'ex-studenti?</v>
      </c>
    </row>
    <row r="8167" ht="15.75" customHeight="1">
      <c r="A8167" s="2" t="s">
        <v>8167</v>
      </c>
      <c r="B8167" s="2" t="str">
        <f>IFERROR(__xludf.DUMMYFUNCTION("GOOGLETRANSLATE(A8167, ""en"", ""mt"")"),"Xi tuża Ctenophore biex taqbad il-priża?")</f>
        <v>Xi tuża Ctenophore biex taqbad il-priża?</v>
      </c>
    </row>
    <row r="8168" ht="15.75" customHeight="1">
      <c r="A8168" s="2" t="s">
        <v>8168</v>
      </c>
      <c r="B8168" s="2" t="str">
        <f>IFERROR(__xludf.DUMMYFUNCTION("GOOGLETRANSLATE(A8168, ""en"", ""mt"")")," X’kambju kulturali skoraġġut taħt il-wan?")</f>
        <v> X’kambju kulturali skoraġġut taħt il-wan?</v>
      </c>
    </row>
    <row r="8169" ht="15.75" customHeight="1">
      <c r="A8169" s="2" t="s">
        <v>8169</v>
      </c>
      <c r="B8169" s="2" t="str">
        <f>IFERROR(__xludf.DUMMYFUNCTION("GOOGLETRANSLATE(A8169, ""en"", ""mt"")"),"X'kien l-isem mogħti lil sezzjoni ta 'Kearney Boulevard fl-isforzi biex tbiddel l-immaġni taż-żoni?")</f>
        <v>X'kien l-isem mogħti lil sezzjoni ta 'Kearney Boulevard fl-isforzi biex tbiddel l-immaġni taż-żoni?</v>
      </c>
    </row>
    <row r="8170" ht="15.75" customHeight="1">
      <c r="A8170" s="2" t="s">
        <v>8170</v>
      </c>
      <c r="B8170" s="2" t="str">
        <f>IFERROR(__xludf.DUMMYFUNCTION("GOOGLETRANSLATE(A8170, ""en"", ""mt"")"),"Kwalità ta 'istituzzjonijiet ta' pajjiż")</f>
        <v>Kwalità ta 'istituzzjonijiet ta' pajjiż</v>
      </c>
    </row>
    <row r="8171" ht="15.75" customHeight="1">
      <c r="A8171" s="2" t="s">
        <v>8171</v>
      </c>
      <c r="B8171" s="2" t="str">
        <f>IFERROR(__xludf.DUMMYFUNCTION("GOOGLETRANSLATE(A8171, ""en"", ""mt"")"),"Is-Sala tal-Assemblea Ġenerali tal-Knisja tal-Iskozja")</f>
        <v>Is-Sala tal-Assemblea Ġenerali tal-Knisja tal-Iskozja</v>
      </c>
    </row>
    <row r="8172" ht="15.75" customHeight="1">
      <c r="A8172" s="2" t="s">
        <v>8172</v>
      </c>
      <c r="B8172" s="2" t="str">
        <f>IFERROR(__xludf.DUMMYFUNCTION("GOOGLETRANSLATE(A8172, ""en"", ""mt"")"),"Min kien Vrisovci?")</f>
        <v>Min kien Vrisovci?</v>
      </c>
    </row>
    <row r="8173" ht="15.75" customHeight="1">
      <c r="A8173" s="2" t="s">
        <v>8173</v>
      </c>
      <c r="B8173" s="2" t="str">
        <f>IFERROR(__xludf.DUMMYFUNCTION("GOOGLETRANSLATE(A8173, ""en"", ""mt"")"),"Tumuri li kapaċi jevadu r-rispons immuni tal-ġisem jistgħu jsiru xiex?")</f>
        <v>Tumuri li kapaċi jevadu r-rispons immuni tal-ġisem jistgħu jsiru xiex?</v>
      </c>
    </row>
    <row r="8174" ht="15.75" customHeight="1">
      <c r="A8174" s="2" t="s">
        <v>8174</v>
      </c>
      <c r="B8174" s="2" t="str">
        <f>IFERROR(__xludf.DUMMYFUNCTION("GOOGLETRANSLATE(A8174, ""en"", ""mt"")"),"Fil-viċin, f'Ogród Saski (il-Ġnien Sassonu), it-Teatru tas-Sajf kien qed jopera mill-1870 sal-1939, u fil-perjodu ta 'bejn il-gwerra, il-kumpless tat-teatru inkluda wkoll Momus, l-ewwel kabaret letterarju ta' Varsavja, u l-melodram tat-teatru mużikali ta "&amp;"'Leon Schiller. It-Teatru Wojciech Bogusławski (1922-26), kien l-aħjar eżempju ta '""Teatru Monumentali Pollakk"". Minn nofs is-snin 1930, il-bini tat-teatru l-kbir kien fih l-Istitut tal-Arti Drammatiċi tal-Upati - l-ewwel Akkademja tal-Arti Dramatiċi mm"&amp;"exxija mill-istat, b'dipartiment tal-aġir u dipartiment li jidderieġi l-palk.")</f>
        <v>Fil-viċin, f'Ogród Saski (il-Ġnien Sassonu), it-Teatru tas-Sajf kien qed jopera mill-1870 sal-1939, u fil-perjodu ta 'bejn il-gwerra, il-kumpless tat-teatru inkluda wkoll Momus, l-ewwel kabaret letterarju ta' Varsavja, u l-melodram tat-teatru mużikali ta 'Leon Schiller. It-Teatru Wojciech Bogusławski (1922-26), kien l-aħjar eżempju ta '"Teatru Monumentali Pollakk". Minn nofs is-snin 1930, il-bini tat-teatru l-kbir kien fih l-Istitut tal-Arti Drammatiċi tal-Upati - l-ewwel Akkademja tal-Arti Dramatiċi mmexxija mill-istat, b'dipartiment tal-aġir u dipartiment li jidderieġi l-palk.</v>
      </c>
    </row>
    <row r="8175" ht="15.75" customHeight="1">
      <c r="A8175" s="2" t="s">
        <v>8175</v>
      </c>
      <c r="B8175" s="2" t="str">
        <f>IFERROR(__xludf.DUMMYFUNCTION("GOOGLETRANSLATE(A8175, ""en"", ""mt"")"),"radjuattività")</f>
        <v>radjuattività</v>
      </c>
    </row>
    <row r="8176" ht="15.75" customHeight="1">
      <c r="A8176" s="2" t="s">
        <v>8176</v>
      </c>
      <c r="B8176" s="2" t="str">
        <f>IFERROR(__xludf.DUMMYFUNCTION("GOOGLETRANSLATE(A8176, ""en"", ""mt"")"),"il-punent")</f>
        <v>il-punent</v>
      </c>
    </row>
    <row r="8177" ht="15.75" customHeight="1">
      <c r="A8177" s="2" t="s">
        <v>8177</v>
      </c>
      <c r="B8177" s="2" t="str">
        <f>IFERROR(__xludf.DUMMYFUNCTION("GOOGLETRANSLATE(A8177, ""en"", ""mt"")"),"F'liema każ ġie kkonstatat li d-dispożizzjonijiet tat-trattati huma effettivi direttament jekk huma ċari, inkondizzjonati, u m'għandhomx bżonn aktar azzjoni mill-UE jew mill-awtoritajiet nazzjonali?")</f>
        <v>F'liema każ ġie kkonstatat li d-dispożizzjonijiet tat-trattati huma effettivi direttament jekk huma ċari, inkondizzjonati, u m'għandhomx bżonn aktar azzjoni mill-UE jew mill-awtoritajiet nazzjonali?</v>
      </c>
    </row>
    <row r="8178" ht="15.75" customHeight="1">
      <c r="A8178" s="2" t="s">
        <v>8178</v>
      </c>
      <c r="B8178" s="2" t="str">
        <f>IFERROR(__xludf.DUMMYFUNCTION("GOOGLETRANSLATE(A8178, ""en"", ""mt"")"),"Il-konċentrazzjoni mhux tas-soltu għolja ta 'gass ta' ossiġnu fid-dinja hija r-riżultat taċ-ċiklu ta 'ossiġnu. Dan iċ-ċiklu bijokimiku jiddeskrivi l-moviment ta 'ossiġenu fi ħdan u bejn it-tliet ġibjuni ewlenin tiegħu fid-dinja: l-atmosfera, il-bijosfera,"&amp;" u l-litosfera. Il-fattur ewlieni tas-sewqan taċ-ċiklu tal-ossiġnu huwa l-fotosintesi, li hija responsabbli għall-atmosfera moderna tad-Dinja. Il-fotosintesi tirrilaxxa l-ossiġnu fl-atmosfera, filwaqt li r-respirazzjoni u t-tħassir ineħħuha mill-atmosfera"&amp;". Fl-ekwilibriju preżenti, il-produzzjoni u l-konsum iseħħu bl-istess rata ta 'bejn wieħed u ieħor 1/2000 ta' l-ossiġenu atmosferiku kollu fis-sena.")</f>
        <v>Il-konċentrazzjoni mhux tas-soltu għolja ta 'gass ta' ossiġnu fid-dinja hija r-riżultat taċ-ċiklu ta 'ossiġnu. Dan iċ-ċiklu bijokimiku jiddeskrivi l-moviment ta 'ossiġenu fi ħdan u bejn it-tliet ġibjuni ewlenin tiegħu fid-dinja: l-atmosfera, il-bijosfera, u l-litosfera. Il-fattur ewlieni tas-sewqan taċ-ċiklu tal-ossiġnu huwa l-fotosintesi, li hija responsabbli għall-atmosfera moderna tad-Dinja. Il-fotosintesi tirrilaxxa l-ossiġnu fl-atmosfera, filwaqt li r-respirazzjoni u t-tħassir ineħħuha mill-atmosfera. Fl-ekwilibriju preżenti, il-produzzjoni u l-konsum iseħħu bl-istess rata ta 'bejn wieħed u ieħor 1/2000 ta' l-ossiġenu atmosferiku kollu fis-sena.</v>
      </c>
    </row>
    <row r="8179" ht="15.75" customHeight="1">
      <c r="A8179" s="2" t="s">
        <v>8179</v>
      </c>
      <c r="B8179" s="2" t="str">
        <f>IFERROR(__xludf.DUMMYFUNCTION("GOOGLETRANSLATE(A8179, ""en"", ""mt"")"),"Is-servizz tan-netwerk tas-sinsla b'veloċità għolja ħafna")</f>
        <v>Is-servizz tan-netwerk tas-sinsla b'veloċità għolja ħafna</v>
      </c>
    </row>
    <row r="8180" ht="15.75" customHeight="1">
      <c r="A8180" s="2" t="s">
        <v>8180</v>
      </c>
      <c r="B8180" s="2" t="str">
        <f>IFERROR(__xludf.DUMMYFUNCTION("GOOGLETRANSLATE(A8180, ""en"", ""mt"")"),"Minkejja l-pożizzjoni għolja mogħtija lill-Musulmani, xi politiki tal-Imperaturi tal-Yuan jiddiskriminaw severament kontrihom, li jirrestrinġu l-qatla halal u prattiki Iżlamiċi oħra bħaċ-ċirkonċiżjoni, kif ukoll il-biċċier tal-kosher għal-Lhud, u ġiegħluh"&amp;"om jieklu l-ikel bil-Mongol. Lejn it-tmiem, il-korruzzjoni u l-persekuzzjoni saru daqshekk severi li l-Ġenerali Musulmani ngħaqdu maċ-Ċiniż Han fir-ribelli kontra l-Mongoli. Il-fundatur Ming Zhu Yuanzhang kellu ġenerali Musulmani bħal Lan Yu li rribella k"&amp;"ontra l-Mongoli u għelebhom fil-ġlieda kontra. Xi komunitajiet Musulmani kellhom kunjom Ċiniż li kien ifisser ""kwartieri"" u jistgħu jfissru wkoll ""grazzi"". Ħafna Musulmani Hui jiddikjaraw li dan huwa minħabba li kellhom rwol importanti fit-twaqqigħ ta"&amp;"l-Mongoli u ngħata grazzi miċ-Ċiniżi Han talli assistewhom. Matul il-ġlieda kontra l-Mongoli, fost l-armati tal-Imperatur Ming Zhu Yuanzhang kien hemm il-Hui Musulman Feng Sheng. Il-Musulmani fil-klassi Semu rrevoljaw ukoll kontra d-dinastija Yuan fir-rib"&amp;"elljoni tal-ISPAH iżda r-ribelljoni ġiet imfarrka u l-Musulmani ġew massakrati mill-kmandant lealista tal-wan Chen Youding.")</f>
        <v>Minkejja l-pożizzjoni għolja mogħtija lill-Musulmani, xi politiki tal-Imperaturi tal-Yuan jiddiskriminaw severament kontrihom, li jirrestrinġu l-qatla halal u prattiki Iżlamiċi oħra bħaċ-ċirkonċiżjoni, kif ukoll il-biċċier tal-kosher għal-Lhud, u ġiegħluhom jieklu l-ikel bil-Mongol. Lejn it-tmiem, il-korruzzjoni u l-persekuzzjoni saru daqshekk severi li l-Ġenerali Musulmani ngħaqdu maċ-Ċiniż Han fir-ribelli kontra l-Mongoli. Il-fundatur Ming Zhu Yuanzhang kellu ġenerali Musulmani bħal Lan Yu li rribella kontra l-Mongoli u għelebhom fil-ġlieda kontra. Xi komunitajiet Musulmani kellhom kunjom Ċiniż li kien ifisser "kwartieri" u jistgħu jfissru wkoll "grazzi". Ħafna Musulmani Hui jiddikjaraw li dan huwa minħabba li kellhom rwol importanti fit-twaqqigħ tal-Mongoli u ngħata grazzi miċ-Ċiniżi Han talli assistewhom. Matul il-ġlieda kontra l-Mongoli, fost l-armati tal-Imperatur Ming Zhu Yuanzhang kien hemm il-Hui Musulman Feng Sheng. Il-Musulmani fil-klassi Semu rrevoljaw ukoll kontra d-dinastija Yuan fir-ribelljoni tal-ISPAH iżda r-ribelljoni ġiet imfarrka u l-Musulmani ġew massakrati mill-kmandant lealista tal-wan Chen Youding.</v>
      </c>
    </row>
    <row r="8181" ht="15.75" customHeight="1">
      <c r="A8181" s="2" t="s">
        <v>8181</v>
      </c>
      <c r="B8181" s="2" t="str">
        <f>IFERROR(__xludf.DUMMYFUNCTION("GOOGLETRANSLATE(A8181, ""en"", ""mt"")"),"Kif huma msejħa dawk minn Jacksonville?")</f>
        <v>Kif huma msejħa dawk minn Jacksonville?</v>
      </c>
    </row>
    <row r="8182" ht="15.75" customHeight="1">
      <c r="A8182" s="2" t="s">
        <v>8182</v>
      </c>
      <c r="B8182" s="2" t="str">
        <f>IFERROR(__xludf.DUMMYFUNCTION("GOOGLETRANSLATE(A8182, ""en"", ""mt"")"),"Liema mekkaniżmi ma jużawx ħafna speċi?")</f>
        <v>Liema mekkaniżmi ma jużawx ħafna speċi?</v>
      </c>
    </row>
    <row r="8183" ht="15.75" customHeight="1">
      <c r="A8183" s="2" t="s">
        <v>8183</v>
      </c>
      <c r="B8183" s="2" t="str">
        <f>IFERROR(__xludf.DUMMYFUNCTION("GOOGLETRANSLATE(A8183, ""en"", ""mt"")"),"l-akbar ġid")</f>
        <v>l-akbar ġid</v>
      </c>
    </row>
    <row r="8184" ht="15.75" customHeight="1">
      <c r="A8184" s="2" t="s">
        <v>8184</v>
      </c>
      <c r="B8184" s="2" t="str">
        <f>IFERROR(__xludf.DUMMYFUNCTION("GOOGLETRANSLATE(A8184, ""en"", ""mt"")"),"Min offra lil Issac lil bintu?")</f>
        <v>Min offra lil Issac lil bintu?</v>
      </c>
    </row>
    <row r="8185" ht="15.75" customHeight="1">
      <c r="A8185" s="2" t="s">
        <v>8185</v>
      </c>
      <c r="B8185" s="2" t="str">
        <f>IFERROR(__xludf.DUMMYFUNCTION("GOOGLETRANSLATE(A8185, ""en"", ""mt"")"),"Pajjiżi Ewropej Kontinentali")</f>
        <v>Pajjiżi Ewropej Kontinentali</v>
      </c>
    </row>
    <row r="8186" ht="15.75" customHeight="1">
      <c r="A8186" s="2" t="s">
        <v>8186</v>
      </c>
      <c r="B8186" s="2" t="str">
        <f>IFERROR(__xludf.DUMMYFUNCTION("GOOGLETRANSLATE(A8186, ""en"", ""mt"")"),"X'jista 'jikkontribwixxi b'mod sinifikanti għall-inugwaljanza kontinwa f'soċjetà maż-żmien?")</f>
        <v>X'jista 'jikkontribwixxi b'mod sinifikanti għall-inugwaljanza kontinwa f'soċjetà maż-żmien?</v>
      </c>
    </row>
    <row r="8187" ht="15.75" customHeight="1">
      <c r="A8187" s="2" t="s">
        <v>8187</v>
      </c>
      <c r="B8187" s="2" t="str">
        <f>IFERROR(__xludf.DUMMYFUNCTION("GOOGLETRANSLATE(A8187, ""en"", ""mt"")"),"l-oċeani tad-dinja")</f>
        <v>l-oċeani tad-dinja</v>
      </c>
    </row>
    <row r="8188" ht="15.75" customHeight="1">
      <c r="A8188" s="2" t="s">
        <v>8188</v>
      </c>
      <c r="B8188" s="2" t="str">
        <f>IFERROR(__xludf.DUMMYFUNCTION("GOOGLETRANSLATE(A8188, ""en"", ""mt"")"),"Film irqiq ta 'ossidu")</f>
        <v>Film irqiq ta 'ossidu</v>
      </c>
    </row>
    <row r="8189" ht="15.75" customHeight="1">
      <c r="A8189" s="2" t="s">
        <v>8189</v>
      </c>
      <c r="B8189" s="2" t="str">
        <f>IFERROR(__xludf.DUMMYFUNCTION("GOOGLETRANSLATE(A8189, ""en"", ""mt"")"),"Liema ċelloli ma jistgħux jiftakru patoġeni speċifiċi?")</f>
        <v>Liema ċelloli ma jistgħux jiftakru patoġeni speċifiċi?</v>
      </c>
    </row>
    <row r="8190" ht="15.75" customHeight="1">
      <c r="A8190" s="2" t="s">
        <v>8190</v>
      </c>
      <c r="B8190" s="2" t="str">
        <f>IFERROR(__xludf.DUMMYFUNCTION("GOOGLETRANSLATE(A8190, ""en"", ""mt"")"),"Swiss-Awstrijan")</f>
        <v>Swiss-Awstrijan</v>
      </c>
    </row>
    <row r="8191" ht="15.75" customHeight="1">
      <c r="A8191" s="2" t="s">
        <v>8191</v>
      </c>
      <c r="B8191" s="2" t="str">
        <f>IFERROR(__xludf.DUMMYFUNCTION("GOOGLETRANSLATE(A8191, ""en"", ""mt"")"),"£ 34m fis-sena")</f>
        <v>£ 34m fis-sena</v>
      </c>
    </row>
    <row r="8192" ht="15.75" customHeight="1">
      <c r="A8192" s="2" t="s">
        <v>8192</v>
      </c>
      <c r="B8192" s="2" t="str">
        <f>IFERROR(__xludf.DUMMYFUNCTION("GOOGLETRANSLATE(A8192, ""en"", ""mt"")"),"30 sa 50 elf abitant")</f>
        <v>30 sa 50 elf abitant</v>
      </c>
    </row>
    <row r="8193" ht="15.75" customHeight="1">
      <c r="A8193" s="2" t="s">
        <v>8193</v>
      </c>
      <c r="B8193" s="2" t="str">
        <f>IFERROR(__xludf.DUMMYFUNCTION("GOOGLETRANSLATE(A8193, ""en"", ""mt"")"),"Fort San Mateo")</f>
        <v>Fort San Mateo</v>
      </c>
    </row>
    <row r="8194" ht="15.75" customHeight="1">
      <c r="A8194" s="2" t="s">
        <v>8194</v>
      </c>
      <c r="B8194" s="2" t="str">
        <f>IFERROR(__xludf.DUMMYFUNCTION("GOOGLETRANSLATE(A8194, ""en"", ""mt"")"),"6.7+")</f>
        <v>6.7+</v>
      </c>
    </row>
    <row r="8195" ht="15.75" customHeight="1">
      <c r="A8195" s="2" t="s">
        <v>8195</v>
      </c>
      <c r="B8195" s="2" t="str">
        <f>IFERROR(__xludf.DUMMYFUNCTION("GOOGLETRANSLATE(A8195, ""en"", ""mt"")"),"Editt ta 'Fontainebleau")</f>
        <v>Editt ta 'Fontainebleau</v>
      </c>
    </row>
    <row r="8196" ht="15.75" customHeight="1">
      <c r="A8196" s="2" t="s">
        <v>8196</v>
      </c>
      <c r="B8196" s="2" t="str">
        <f>IFERROR(__xludf.DUMMYFUNCTION("GOOGLETRANSLATE(A8196, ""en"", ""mt"")"),"X'kien l-isem taż-żmien li r-Renu ta 'Fuq jifforma fruntiera bejn Franza u l-Ġermanja?")</f>
        <v>X'kien l-isem taż-żmien li r-Renu ta 'Fuq jifforma fruntiera bejn Franza u l-Ġermanja?</v>
      </c>
    </row>
    <row r="8197" ht="15.75" customHeight="1">
      <c r="A8197" s="2" t="s">
        <v>8197</v>
      </c>
      <c r="B8197" s="2" t="str">
        <f>IFERROR(__xludf.DUMMYFUNCTION("GOOGLETRANSLATE(A8197, ""en"", ""mt"")"),"Minħabba l-korpi artab u ġelatinużi tagħhom")</f>
        <v>Minħabba l-korpi artab u ġelatinużi tagħhom</v>
      </c>
    </row>
    <row r="8198" ht="15.75" customHeight="1">
      <c r="A8198" s="2" t="s">
        <v>8198</v>
      </c>
      <c r="B8198" s="2" t="str">
        <f>IFERROR(__xludf.DUMMYFUNCTION("GOOGLETRANSLATE(A8198, ""en"", ""mt"")"),"X'inhu spiss imqassar tan-Nofsinhar ta 'California?")</f>
        <v>X'inhu spiss imqassar tan-Nofsinhar ta 'California?</v>
      </c>
    </row>
    <row r="8199" ht="15.75" customHeight="1">
      <c r="A8199" s="2" t="s">
        <v>8199</v>
      </c>
      <c r="B8199" s="2" t="str">
        <f>IFERROR(__xludf.DUMMYFUNCTION("GOOGLETRANSLATE(A8199, ""en"", ""mt"")"),"Il-konnessjoni bejn l-enerġija u dak li tippermetti forza elettromanjetika unifikata li taġixxi fuq ħlas?")</f>
        <v>Il-konnessjoni bejn l-enerġija u dak li tippermetti forza elettromanjetika unifikata li taġixxi fuq ħlas?</v>
      </c>
    </row>
    <row r="8200" ht="15.75" customHeight="1">
      <c r="A8200" s="2" t="s">
        <v>8200</v>
      </c>
      <c r="B8200" s="2" t="str">
        <f>IFERROR(__xludf.DUMMYFUNCTION("GOOGLETRANSLATE(A8200, ""en"", ""mt"")"),"ir-reġjun tal-fruntiera tan-Nofsinhar")</f>
        <v>ir-reġjun tal-fruntiera tan-Nofsinhar</v>
      </c>
    </row>
    <row r="8201" ht="15.75" customHeight="1">
      <c r="A8201" s="2" t="s">
        <v>8201</v>
      </c>
      <c r="B8201" s="2" t="str">
        <f>IFERROR(__xludf.DUMMYFUNCTION("GOOGLETRANSLATE(A8201, ""en"", ""mt"")"),"Hemm interess dejjem jikber f'liema grupp indiġenu fl-Amażonja?")</f>
        <v>Hemm interess dejjem jikber f'liema grupp indiġenu fl-Amażonja?</v>
      </c>
    </row>
    <row r="8202" ht="15.75" customHeight="1">
      <c r="A8202" s="2" t="s">
        <v>8202</v>
      </c>
      <c r="B8202" s="2" t="str">
        <f>IFERROR(__xludf.DUMMYFUNCTION("GOOGLETRANSLATE(A8202, ""en"", ""mt"")"),"Meta huma abbundanti l-popolazzjonijiet ta 'Copepod?")</f>
        <v>Meta huma abbundanti l-popolazzjonijiet ta 'Copepod?</v>
      </c>
    </row>
    <row r="8203" ht="15.75" customHeight="1">
      <c r="A8203" s="2" t="s">
        <v>8203</v>
      </c>
      <c r="B8203" s="2" t="str">
        <f>IFERROR(__xludf.DUMMYFUNCTION("GOOGLETRANSLATE(A8203, ""en"", ""mt"")"),"X'tip ta 'esperiment Philo ta' Pneumatica preforma?")</f>
        <v>X'tip ta 'esperiment Philo ta' Pneumatica preforma?</v>
      </c>
    </row>
    <row r="8204" ht="15.75" customHeight="1">
      <c r="A8204" s="2" t="s">
        <v>8204</v>
      </c>
      <c r="B8204" s="2" t="str">
        <f>IFERROR(__xludf.DUMMYFUNCTION("GOOGLETRANSLATE(A8204, ""en"", ""mt"")")," Meta miet Temur?")</f>
        <v> Meta miet Temur?</v>
      </c>
    </row>
    <row r="8205" ht="15.75" customHeight="1">
      <c r="A8205" s="2" t="s">
        <v>8205</v>
      </c>
      <c r="B8205" s="2" t="str">
        <f>IFERROR(__xludf.DUMMYFUNCTION("GOOGLETRANSLATE(A8205, ""en"", ""mt"")"),"F'liema sena l-eqdem spiżerija qalet li ġiet stabbilita?")</f>
        <v>F'liema sena l-eqdem spiżerija qalet li ġiet stabbilita?</v>
      </c>
    </row>
    <row r="8206" ht="15.75" customHeight="1">
      <c r="A8206" s="2" t="s">
        <v>8206</v>
      </c>
      <c r="B8206" s="2" t="str">
        <f>IFERROR(__xludf.DUMMYFUNCTION("GOOGLETRANSLATE(A8206, ""en"", ""mt"")"),"It-Tielet Liġi ta 'Newton")</f>
        <v>It-Tielet Liġi ta 'Newton</v>
      </c>
    </row>
    <row r="8207" ht="15.75" customHeight="1">
      <c r="A8207" s="2" t="s">
        <v>8207</v>
      </c>
      <c r="B8207" s="2" t="str">
        <f>IFERROR(__xludf.DUMMYFUNCTION("GOOGLETRANSLATE(A8207, ""en"", ""mt"")"),"Meta kienet qed tispiċċa l-amministrazzjoni ta 'Kublai?")</f>
        <v>Meta kienet qed tispiċċa l-amministrazzjoni ta 'Kublai?</v>
      </c>
    </row>
    <row r="8208" ht="15.75" customHeight="1">
      <c r="A8208" s="2" t="s">
        <v>8208</v>
      </c>
      <c r="B8208" s="2" t="str">
        <f>IFERROR(__xludf.DUMMYFUNCTION("GOOGLETRANSLATE(A8208, ""en"", ""mt"")"),"Elettorat ta 'Brandenburg u Elettorat tal-Palatinat")</f>
        <v>Elettorat ta 'Brandenburg u Elettorat tal-Palatinat</v>
      </c>
    </row>
    <row r="8209" ht="15.75" customHeight="1">
      <c r="A8209" s="2" t="s">
        <v>8209</v>
      </c>
      <c r="B8209" s="2" t="str">
        <f>IFERROR(__xludf.DUMMYFUNCTION("GOOGLETRANSLATE(A8209, ""en"", ""mt"")"),"Dak li jagħmel is-sejbien miċ-ċelloli T qattiel aktar probabbli?")</f>
        <v>Dak li jagħmel is-sejbien miċ-ċelloli T qattiel aktar probabbli?</v>
      </c>
    </row>
    <row r="8210" ht="15.75" customHeight="1">
      <c r="A8210" s="2" t="s">
        <v>8210</v>
      </c>
      <c r="B8210" s="2" t="str">
        <f>IFERROR(__xludf.DUMMYFUNCTION("GOOGLETRANSLATE(A8210, ""en"", ""mt"")"),"Min kien wieħed mix-xjenzati għas-saħħa pubblika l-Ingilterra fl-2014?")</f>
        <v>Min kien wieħed mix-xjenzati għas-saħħa pubblika l-Ingilterra fl-2014?</v>
      </c>
    </row>
    <row r="8211" ht="15.75" customHeight="1">
      <c r="A8211" s="2" t="s">
        <v>8211</v>
      </c>
      <c r="B8211" s="2" t="str">
        <f>IFERROR(__xludf.DUMMYFUNCTION("GOOGLETRANSLATE(A8211, ""en"", ""mt"")"),"L-Ingliżi")</f>
        <v>L-Ingliżi</v>
      </c>
    </row>
    <row r="8212" ht="15.75" customHeight="1">
      <c r="A8212" s="2" t="s">
        <v>8212</v>
      </c>
      <c r="B8212" s="2" t="str">
        <f>IFERROR(__xludf.DUMMYFUNCTION("GOOGLETRANSLATE(A8212, ""en"", ""mt"")"),"La żero u lanqas unità")</f>
        <v>La żero u lanqas unità</v>
      </c>
    </row>
    <row r="8213" ht="15.75" customHeight="1">
      <c r="A8213" s="2" t="s">
        <v>8213</v>
      </c>
      <c r="B8213" s="2" t="str">
        <f>IFERROR(__xludf.DUMMYFUNCTION("GOOGLETRANSLATE(A8213, ""en"", ""mt"")"),"Il-ġeografu ta 'Wilson")</f>
        <v>Il-ġeografu ta 'Wilson</v>
      </c>
    </row>
    <row r="8214" ht="15.75" customHeight="1">
      <c r="A8214" s="2" t="s">
        <v>8214</v>
      </c>
      <c r="B8214" s="2" t="str">
        <f>IFERROR(__xludf.DUMMYFUNCTION("GOOGLETRANSLATE(A8214, ""en"", ""mt"")"),"X'inhi t-tweġiba kwalitattiva għal din il-problema partikolari?")</f>
        <v>X'inhi t-tweġiba kwalitattiva għal din il-problema partikolari?</v>
      </c>
    </row>
    <row r="8215" ht="15.75" customHeight="1">
      <c r="A8215" s="2" t="s">
        <v>8215</v>
      </c>
      <c r="B8215" s="2" t="str">
        <f>IFERROR(__xludf.DUMMYFUNCTION("GOOGLETRANSLATE(A8215, ""en"", ""mt"")"),"Meta kien imlaqqa 'l-Parlament attwali tal-Iskozja?")</f>
        <v>Meta kien imlaqqa 'l-Parlament attwali tal-Iskozja?</v>
      </c>
    </row>
    <row r="8216" ht="15.75" customHeight="1">
      <c r="A8216" s="2" t="s">
        <v>8216</v>
      </c>
      <c r="B8216" s="2" t="str">
        <f>IFERROR(__xludf.DUMMYFUNCTION("GOOGLETRANSLATE(A8216, ""en"", ""mt"")"),"Meta twieled Zhu Shijie?")</f>
        <v>Meta twieled Zhu Shijie?</v>
      </c>
    </row>
    <row r="8217" ht="15.75" customHeight="1">
      <c r="A8217" s="2" t="s">
        <v>8217</v>
      </c>
      <c r="B8217" s="2" t="str">
        <f>IFERROR(__xludf.DUMMYFUNCTION("GOOGLETRANSLATE(A8217, ""en"", ""mt"")"),"Meta l-Meuse u Waal Diverge aktar 'il fuq f'Gorinchem?")</f>
        <v>Meta l-Meuse u Waal Diverge aktar 'il fuq f'Gorinchem?</v>
      </c>
    </row>
    <row r="8218" ht="15.75" customHeight="1">
      <c r="A8218" s="2" t="s">
        <v>8218</v>
      </c>
      <c r="B8218" s="2" t="str">
        <f>IFERROR(__xludf.DUMMYFUNCTION("GOOGLETRANSLATE(A8218, ""en"", ""mt"")"),"F'liema data ppreżenta John Lawrence Daly ir-rapport tal-IPCC 1995?")</f>
        <v>F'liema data ppreżenta John Lawrence Daly ir-rapport tal-IPCC 1995?</v>
      </c>
    </row>
    <row r="8219" ht="15.75" customHeight="1">
      <c r="A8219" s="2" t="s">
        <v>8219</v>
      </c>
      <c r="B8219" s="2" t="str">
        <f>IFERROR(__xludf.DUMMYFUNCTION("GOOGLETRANSLATE(A8219, ""en"", ""mt"")"),"unifikazzjoni")</f>
        <v>unifikazzjoni</v>
      </c>
    </row>
    <row r="8220" ht="15.75" customHeight="1">
      <c r="A8220" s="2" t="s">
        <v>8220</v>
      </c>
      <c r="B8220" s="2" t="str">
        <f>IFERROR(__xludf.DUMMYFUNCTION("GOOGLETRANSLATE(A8220, ""en"", ""mt"")"),"Liema Distrett ta 'Varsavja għażel il-president bejn l-1990 u l-1993?")</f>
        <v>Liema Distrett ta 'Varsavja għażel il-president bejn l-1990 u l-1993?</v>
      </c>
    </row>
    <row r="8221" ht="15.75" customHeight="1">
      <c r="A8221" s="2" t="s">
        <v>8221</v>
      </c>
      <c r="B8221" s="2" t="str">
        <f>IFERROR(__xludf.DUMMYFUNCTION("GOOGLETRANSLATE(A8221, ""en"", ""mt"")"),"X'tip ta 'teatru hija l-Katyn Fotoplastikon?")</f>
        <v>X'tip ta 'teatru hija l-Katyn Fotoplastikon?</v>
      </c>
    </row>
    <row r="8222" ht="15.75" customHeight="1">
      <c r="A8222" s="2" t="s">
        <v>8222</v>
      </c>
      <c r="B8222" s="2" t="str">
        <f>IFERROR(__xludf.DUMMYFUNCTION("GOOGLETRANSLATE(A8222, ""en"", ""mt"")"),"maġġoranza tas-siġġijiet,")</f>
        <v>maġġoranza tas-siġġijiet,</v>
      </c>
    </row>
    <row r="8223" ht="15.75" customHeight="1">
      <c r="A8223" s="2" t="s">
        <v>8223</v>
      </c>
      <c r="B8223" s="2" t="str">
        <f>IFERROR(__xludf.DUMMYFUNCTION("GOOGLETRANSLATE(A8223, ""en"", ""mt"")"),"Interkonnessjoni tan-Netwerks Nazzjonali X.25")</f>
        <v>Interkonnessjoni tan-Netwerks Nazzjonali X.25</v>
      </c>
    </row>
    <row r="8224" ht="15.75" customHeight="1">
      <c r="A8224" s="2" t="s">
        <v>8224</v>
      </c>
      <c r="B8224" s="2" t="str">
        <f>IFERROR(__xludf.DUMMYFUNCTION("GOOGLETRANSLATE(A8224, ""en"", ""mt"")"),"X’qal l-Eġittu li l-Iran żied il-prezz tal-qamħ li jbigħu minnu?")</f>
        <v>X’qal l-Eġittu li l-Iran żied il-prezz tal-qamħ li jbigħu minnu?</v>
      </c>
    </row>
    <row r="8225" ht="15.75" customHeight="1">
      <c r="A8225" s="2" t="s">
        <v>8225</v>
      </c>
      <c r="B8225" s="2" t="str">
        <f>IFERROR(__xludf.DUMMYFUNCTION("GOOGLETRANSLATE(A8225, ""en"", ""mt"")"),"X'jista 'xi kultant jieħu sa 14-il sena biex jikseb permess biex jibni?")</f>
        <v>X'jista 'xi kultant jieħu sa 14-il sena biex jikseb permess biex jibni?</v>
      </c>
    </row>
    <row r="8226" ht="15.75" customHeight="1">
      <c r="A8226" s="2" t="s">
        <v>8226</v>
      </c>
      <c r="B8226" s="2" t="str">
        <f>IFERROR(__xludf.DUMMYFUNCTION("GOOGLETRANSLATE(A8226, ""en"", ""mt"")"),"Wara t-trattat, ir-Re Ġorġ III ħareġ il-Proklamazzjoni Rjali tal-1763 fis-7 ta 'Ottubru, 1763, li ddeskriviet id-diviżjoni u l-amministrazzjoni tat-territorju li għadu kif ġie maħkuma, u sa ċertu punt ikompli jirregola r-relazzjonijiet bejn il-gvern tal-K"&amp;"anada moderna u l-Ewwel Nazzjonijiet. Inkluża fid-dispożizzjonijiet tagħha kienet ir-riserva ta 'artijiet fil-punent tal-muntanji Appalaċi għall-popolazzjoni Indjana tagħha, demarkazzjoni li kienet fl-aħjar mod impediment temporanju għal marea dejjem tiżd"&amp;"ied ta' kolonizzaturi marbuta mill-punent. Il-proklama kien fih ukoll dispożizzjonijiet li ma ħallewx il-parteċipazzjoni ċivika mill-Kanadiżi Kattoliċi Rumani. Meta saru akkomodazzjonijiet fl-Att dwar il-Quebec fl-1774 biex jindirizzaw dan u kwistjonijiet"&amp;" oħra, tqajmu t-tħassib reliġjuż fil-biċċa l-kbira Protestanti Tlettax-il Kolonja fuq l-avvanz ta '""Popery""; L-Att żamm il-liġi ċivili Franċiża, inkluża s-sistema seigneurial, kodiċi medjevali dalwaqt se jitneħħa minn Franza fi ħdan ġenerazzjoni mir-Riv"&amp;"oluzzjoni Franċiża.")</f>
        <v>Wara t-trattat, ir-Re Ġorġ III ħareġ il-Proklamazzjoni Rjali tal-1763 fis-7 ta 'Ottubru, 1763, li ddeskriviet id-diviżjoni u l-amministrazzjoni tat-territorju li għadu kif ġie maħkuma, u sa ċertu punt ikompli jirregola r-relazzjonijiet bejn il-gvern tal-Kanada moderna u l-Ewwel Nazzjonijiet. Inkluża fid-dispożizzjonijiet tagħha kienet ir-riserva ta 'artijiet fil-punent tal-muntanji Appalaċi għall-popolazzjoni Indjana tagħha, demarkazzjoni li kienet fl-aħjar mod impediment temporanju għal marea dejjem tiżdied ta' kolonizzaturi marbuta mill-punent. Il-proklama kien fih ukoll dispożizzjonijiet li ma ħallewx il-parteċipazzjoni ċivika mill-Kanadiżi Kattoliċi Rumani. Meta saru akkomodazzjonijiet fl-Att dwar il-Quebec fl-1774 biex jindirizzaw dan u kwistjonijiet oħra, tqajmu t-tħassib reliġjuż fil-biċċa l-kbira Protestanti Tlettax-il Kolonja fuq l-avvanz ta '"Popery"; L-Att żamm il-liġi ċivili Franċiża, inkluża s-sistema seigneurial, kodiċi medjevali dalwaqt se jitneħħa minn Franza fi ħdan ġenerazzjoni mir-Rivoluzzjoni Franċiża.</v>
      </c>
    </row>
    <row r="8227" ht="15.75" customHeight="1">
      <c r="A8227" s="2" t="s">
        <v>8227</v>
      </c>
      <c r="B8227" s="2" t="str">
        <f>IFERROR(__xludf.DUMMYFUNCTION("GOOGLETRANSLATE(A8227, ""en"", ""mt"")"),"1804")</f>
        <v>1804</v>
      </c>
    </row>
    <row r="8228" ht="15.75" customHeight="1">
      <c r="A8228" s="2" t="s">
        <v>8228</v>
      </c>
      <c r="B8228" s="2" t="str">
        <f>IFERROR(__xludf.DUMMYFUNCTION("GOOGLETRANSLATE(A8228, ""en"", ""mt"")"),"1932")</f>
        <v>1932</v>
      </c>
    </row>
    <row r="8229" ht="15.75" customHeight="1">
      <c r="A8229" s="2" t="s">
        <v>8229</v>
      </c>
      <c r="B8229" s="2" t="str">
        <f>IFERROR(__xludf.DUMMYFUNCTION("GOOGLETRANSLATE(A8229, ""en"", ""mt"")"),"Min huma komunement assoċjati mal-algoritmu tipikament ikkunsidrat bħala l-iktar effettiv fir-rigward tal-ġerarkija polinomjali finita u l-isomorfiżmu tal-graff?")</f>
        <v>Min huma komunement assoċjati mal-algoritmu tipikament ikkunsidrat bħala l-iktar effettiv fir-rigward tal-ġerarkija polinomjali finita u l-isomorfiżmu tal-graff?</v>
      </c>
    </row>
    <row r="8230" ht="15.75" customHeight="1">
      <c r="A8230" s="2" t="s">
        <v>8230</v>
      </c>
      <c r="B8230" s="2" t="str">
        <f>IFERROR(__xludf.DUMMYFUNCTION("GOOGLETRANSLATE(A8230, ""en"", ""mt"")"),"Kemm idum wara banquet ma 'Tugh Temur li miet Kusala?")</f>
        <v>Kemm idum wara banquet ma 'Tugh Temur li miet Kusala?</v>
      </c>
    </row>
    <row r="8231" ht="15.75" customHeight="1">
      <c r="A8231" s="2" t="s">
        <v>8231</v>
      </c>
      <c r="B8231" s="2" t="str">
        <f>IFERROR(__xludf.DUMMYFUNCTION("GOOGLETRANSLATE(A8231, ""en"", ""mt"")"),"X'għamel nsfnet eventwalment")</f>
        <v>X'għamel nsfnet eventwalment</v>
      </c>
    </row>
    <row r="8232" ht="15.75" customHeight="1">
      <c r="A8232" s="2" t="s">
        <v>8232</v>
      </c>
      <c r="B8232" s="2" t="str">
        <f>IFERROR(__xludf.DUMMYFUNCTION("GOOGLETRANSLATE(A8232, ""en"", ""mt"")"),"nuqqas ta ’vjolenza")</f>
        <v>nuqqas ta ’vjolenza</v>
      </c>
    </row>
    <row r="8233" ht="15.75" customHeight="1">
      <c r="A8233" s="2" t="s">
        <v>8233</v>
      </c>
      <c r="B8233" s="2" t="str">
        <f>IFERROR(__xludf.DUMMYFUNCTION("GOOGLETRANSLATE(A8233, ""en"", ""mt"")"),"Liema rwol ma ġiex rispettat matul il-perjodu Asuka?")</f>
        <v>Liema rwol ma ġiex rispettat matul il-perjodu Asuka?</v>
      </c>
    </row>
    <row r="8234" ht="15.75" customHeight="1">
      <c r="A8234" s="2" t="s">
        <v>8234</v>
      </c>
      <c r="B8234" s="2" t="str">
        <f>IFERROR(__xludf.DUMMYFUNCTION("GOOGLETRANSLATE(A8234, ""en"", ""mt"")"),"Hemm ħafna primes infinitament, kif muri mill-Ewklide madwar 300 QK. M'hemm l-ebda formula sempliċi magħrufa li tifred in-numri ewlenin minn numri komposti. Madankollu, id-distribuzzjoni tal-primes, jiġifieri, l-imġieba statistika tal-primes fil-kbir, tis"&amp;"ta 'tkun immudellata. L-ewwel riżultat f'dik id-direzzjoni huwa t-teorema tan-numru ewlieni, ippruvat fl-aħħar tas-seklu 19, li jgħid li l-probabbiltà li n-numru magħżul mogħti bl-addoċċ huwa prim huwa inversament proporzjonali għan-numru ta 'ċifri tiegħu"&amp;", jew għall-logaritmu ta' n.")</f>
        <v>Hemm ħafna primes infinitament, kif muri mill-Ewklide madwar 300 QK. M'hemm l-ebda formula sempliċi magħrufa li tifred in-numri ewlenin minn numri komposti. Madankollu, id-distribuzzjoni tal-primes, jiġifieri, l-imġieba statistika tal-primes fil-kbir, tista 'tkun immudellata. L-ewwel riżultat f'dik id-direzzjoni huwa t-teorema tan-numru ewlieni, ippruvat fl-aħħar tas-seklu 19, li jgħid li l-probabbiltà li n-numru magħżul mogħti bl-addoċċ huwa prim huwa inversament proporzjonali għan-numru ta 'ċifri tiegħu, jew għall-logaritmu ta' n.</v>
      </c>
    </row>
    <row r="8235" ht="15.75" customHeight="1">
      <c r="A8235" s="2" t="s">
        <v>8235</v>
      </c>
      <c r="B8235" s="2" t="str">
        <f>IFERROR(__xludf.DUMMYFUNCTION("GOOGLETRANSLATE(A8235, ""en"", ""mt"")"),"1806")</f>
        <v>1806</v>
      </c>
    </row>
    <row r="8236" ht="15.75" customHeight="1">
      <c r="A8236" s="2" t="s">
        <v>8236</v>
      </c>
      <c r="B8236" s="2" t="str">
        <f>IFERROR(__xludf.DUMMYFUNCTION("GOOGLETRANSLATE(A8236, ""en"", ""mt"")"),"L-università esperjenzat is-sehem tagħha ta 'inkwiet ta' studenti matul is-snin 1960, li bdiet fl-1962, meta l-istudenti okkupaw l-uffiċċju tal-President George Beadle fi protesta fuq il-politiki ta 'kiri ta' kampus barra mill-kampus. Wara t-taqlib kontin"&amp;"wu, kumitat universitarju fl-1967 ħareġ dak li sar magħruf bħala r-Rapport Kalven. Ir-rapport, dikjarazzjoni ta 'żewġ paġni tal-politika tal-università f' ""azzjoni soċjali u politika,"" iddikjara li ""biex twettaq il-missjoni tagħha fis-soċjetà, universi"&amp;"tà trid issostni ambjent straordinarju ta 'libertà ta' inkjesta u żżomm indipendenza mill-moda politika, passjonijiet, u pressjonijiet. "" Ir-rapport minn dakinhar intuża biex jiġġustifika deċiżjonijiet bħar-rifjut tal-università li jinvesti mill-Afrika t"&amp;"'Isfel fis-snin 80 u d-Darfur fl-aħħar tas-snin 2000.")</f>
        <v>L-università esperjenzat is-sehem tagħha ta 'inkwiet ta' studenti matul is-snin 1960, li bdiet fl-1962, meta l-istudenti okkupaw l-uffiċċju tal-President George Beadle fi protesta fuq il-politiki ta 'kiri ta' kampus barra mill-kampus. Wara t-taqlib kontinwu, kumitat universitarju fl-1967 ħareġ dak li sar magħruf bħala r-Rapport Kalven. Ir-rapport, dikjarazzjoni ta 'żewġ paġni tal-politika tal-università f' "azzjoni soċjali u politika," iddikjara li "biex twettaq il-missjoni tagħha fis-soċjetà, università trid issostni ambjent straordinarju ta 'libertà ta' inkjesta u żżomm indipendenza mill-moda politika, passjonijiet, u pressjonijiet. " Ir-rapport minn dakinhar intuża biex jiġġustifika deċiżjonijiet bħar-rifjut tal-università li jinvesti mill-Afrika t'Isfel fis-snin 80 u d-Darfur fl-aħħar tas-snin 2000.</v>
      </c>
    </row>
    <row r="8237" ht="15.75" customHeight="1">
      <c r="A8237" s="2" t="s">
        <v>8237</v>
      </c>
      <c r="B8237" s="2" t="str">
        <f>IFERROR(__xludf.DUMMYFUNCTION("GOOGLETRANSLATE(A8237, ""en"", ""mt"")"),"oqsma mimlija (jew lokali)")</f>
        <v>oqsma mimlija (jew lokali)</v>
      </c>
    </row>
    <row r="8238" ht="15.75" customHeight="1">
      <c r="A8238" s="2" t="s">
        <v>8238</v>
      </c>
      <c r="B8238" s="2" t="str">
        <f>IFERROR(__xludf.DUMMYFUNCTION("GOOGLETRANSLATE(A8238, ""en"", ""mt"")"),"X'inhi l-professjoni ta 'Thomas B. Edsall?")</f>
        <v>X'inhi l-professjoni ta 'Thomas B. Edsall?</v>
      </c>
    </row>
    <row r="8239" ht="15.75" customHeight="1">
      <c r="A8239" s="2" t="s">
        <v>8239</v>
      </c>
      <c r="B8239" s="2" t="str">
        <f>IFERROR(__xludf.DUMMYFUNCTION("GOOGLETRANSLATE(A8239, ""en"", ""mt"")"),"667,000 ditta")</f>
        <v>667,000 ditta</v>
      </c>
    </row>
    <row r="8240" ht="15.75" customHeight="1">
      <c r="A8240" s="2" t="s">
        <v>8240</v>
      </c>
      <c r="B8240" s="2" t="str">
        <f>IFERROR(__xludf.DUMMYFUNCTION("GOOGLETRANSLATE(A8240, ""en"", ""mt"")"),"ex re ta 'Tebes")</f>
        <v>ex re ta 'Tebes</v>
      </c>
    </row>
    <row r="8241" ht="15.75" customHeight="1">
      <c r="A8241" s="2" t="s">
        <v>8241</v>
      </c>
      <c r="B8241" s="2" t="str">
        <f>IFERROR(__xludf.DUMMYFUNCTION("GOOGLETRANSLATE(A8241, ""en"", ""mt"")"),"F'valv aġġustabbli mgħobbi bir-rebbiegħa, x'hemm bżonn li jkun miksur biex jippermetti lill-operatur ibagħbah?")</f>
        <v>F'valv aġġustabbli mgħobbi bir-rebbiegħa, x'hemm bżonn li jkun miksur biex jippermetti lill-operatur ibagħbah?</v>
      </c>
    </row>
    <row r="8242" ht="15.75" customHeight="1">
      <c r="A8242" s="2" t="s">
        <v>8242</v>
      </c>
      <c r="B8242" s="2" t="str">
        <f>IFERROR(__xludf.DUMMYFUNCTION("GOOGLETRANSLATE(A8242, ""en"", ""mt"")")," X'tip ta 'sanzjonijiet idderieġa l-Kanada lejn l-Iran?")</f>
        <v> X'tip ta 'sanzjonijiet idderieġa l-Kanada lejn l-Iran?</v>
      </c>
    </row>
    <row r="8243" ht="15.75" customHeight="1">
      <c r="A8243" s="2" t="s">
        <v>8243</v>
      </c>
      <c r="B8243" s="2" t="str">
        <f>IFERROR(__xludf.DUMMYFUNCTION("GOOGLETRANSLATE(A8243, ""en"", ""mt"")"),"Sainte-Foy")</f>
        <v>Sainte-Foy</v>
      </c>
    </row>
    <row r="8244" ht="15.75" customHeight="1">
      <c r="A8244" s="2" t="s">
        <v>8244</v>
      </c>
      <c r="B8244" s="2" t="str">
        <f>IFERROR(__xludf.DUMMYFUNCTION("GOOGLETRANSLATE(A8244, ""en"", ""mt"")"),"Il-Mewt l-Iswed huwa maħsub li oriġina fil-pjanuri aridi ta 'l-Asja Ċentrali, fejn imbagħad ivvjaġġa fit-triq tal-ħarir, u laħaq il-Krimea sal-1343. Minn hemm, x'aktarx kien jinġarr minn briegħed tal-far orjentali li jgħixu fuq il-firien suwed li kienu re"&amp;"golari passiġġieri fuq vapuri merkantili. It-tixrid madwar il-Mediterran u l-Ewropa, il-mewt sewda hija stmata li qatlet 30-60% tal-popolazzjoni totali tal-Ewropa. B'kollox, il-pesta naqqset il-popolazzjoni dinjija minn madwar 450 miljun għal 350-375 milj"&amp;"un fis-seklu 14. Il-popolazzjoni dinjija kollha kemm hi ma rkupratx għal-livelli ta 'qabel il-pesta sas-seklu 17. Il-pesta reġgħet ħarġet kultant fl-Ewropa sas-seklu 19.")</f>
        <v>Il-Mewt l-Iswed huwa maħsub li oriġina fil-pjanuri aridi ta 'l-Asja Ċentrali, fejn imbagħad ivvjaġġa fit-triq tal-ħarir, u laħaq il-Krimea sal-1343. Minn hemm, x'aktarx kien jinġarr minn briegħed tal-far orjentali li jgħixu fuq il-firien suwed li kienu regolari passiġġieri fuq vapuri merkantili. It-tixrid madwar il-Mediterran u l-Ewropa, il-mewt sewda hija stmata li qatlet 30-60% tal-popolazzjoni totali tal-Ewropa. B'kollox, il-pesta naqqset il-popolazzjoni dinjija minn madwar 450 miljun għal 350-375 miljun fis-seklu 14. Il-popolazzjoni dinjija kollha kemm hi ma rkupratx għal-livelli ta 'qabel il-pesta sas-seklu 17. Il-pesta reġgħet ħarġet kultant fl-Ewropa sas-seklu 19.</v>
      </c>
    </row>
    <row r="8245" ht="15.75" customHeight="1">
      <c r="A8245" s="2" t="s">
        <v>8245</v>
      </c>
      <c r="B8245" s="2" t="str">
        <f>IFERROR(__xludf.DUMMYFUNCTION("GOOGLETRANSLATE(A8245, ""en"", ""mt"")"),"Matul l-ewwel gwerra Sino-Ġappuniża fl-1894, il-Ġappun assorba t-Tajwan. Bħala riżultat tal-gwerra Russo-Ġappuniża fl-1905, il-Ġappun ħa parti mill-Gżira Sakhalin mir-Russja. Il-Korea ġiet annessa fl-1910. Matul l-Ewwel Gwerra Dinjija, il-Ġappun ħa territ"&amp;"orji mikrija Ġermaniżi fil-provinċja ta 'Shandong taċ-Ċina, kif ukoll fil-Gżejjer Mariana, Caroline u Marshall. Fl-1918, il-Ġappun okkupa partijiet tar-Russja tal-Lvant Imbiegħed u partijiet tas-Siberja tal-Lvant bħala parteċipant fl-intervent tas-Siberja"&amp;". Fl-1931 il-Ġappun ħakmu Manchuria miċ-Ċina. Matul it-tieni gwerra Sino-Ġappuniża fl-1937, il-militar tal-Ġappun invada ċ-Ċina Ċentrali u sa tmiem il-Gwerra tal-Paċifiku, il-Ġappun kien ħakem ħafna mil-Lvant Imbiegħed, inklużi Ħong Kong, il-Vjetnam, il-K"&amp;"ambodja, il-Mjanmar, il-Filippini, l-Indoneżja, parti minn New Guinea u xi gżejjer tal-Oċean Paċifiku. Il-Ġappun invada wkoll it-Tajlandja, billi tagħfas il-pajjiż f'alleanza Tajlandiża / Ġappuniża. L-ambizzjonijiet kolonjali tagħha ntemmu mir-rebħa ta 'l"&amp;"-Istati Uniti fit-Tieni Gwerra Dinjija u t-trattati li ġejjin li ntbagħtu dawk it-territorji lill-Amministrazzjoni Amerikana jew is-sidien oriġinali tagħhom.")</f>
        <v>Matul l-ewwel gwerra Sino-Ġappuniża fl-1894, il-Ġappun assorba t-Tajwan. Bħala riżultat tal-gwerra Russo-Ġappuniża fl-1905, il-Ġappun ħa parti mill-Gżira Sakhalin mir-Russja. Il-Korea ġiet annessa fl-1910. Matul l-Ewwel Gwerra Dinjija, il-Ġappun ħa territorji mikrija Ġermaniżi fil-provinċja ta 'Shandong taċ-Ċina, kif ukoll fil-Gżejjer Mariana, Caroline u Marshall. Fl-1918, il-Ġappun okkupa partijiet tar-Russja tal-Lvant Imbiegħed u partijiet tas-Siberja tal-Lvant bħala parteċipant fl-intervent tas-Siberja. Fl-1931 il-Ġappun ħakmu Manchuria miċ-Ċina. Matul it-tieni gwerra Sino-Ġappuniża fl-1937, il-militar tal-Ġappun invada ċ-Ċina Ċentrali u sa tmiem il-Gwerra tal-Paċifiku, il-Ġappun kien ħakem ħafna mil-Lvant Imbiegħed, inklużi Ħong Kong, il-Vjetnam, il-Kambodja, il-Mjanmar, il-Filippini, l-Indoneżja, parti minn New Guinea u xi gżejjer tal-Oċean Paċifiku. Il-Ġappun invada wkoll it-Tajlandja, billi tagħfas il-pajjiż f'alleanza Tajlandiża / Ġappuniża. L-ambizzjonijiet kolonjali tagħha ntemmu mir-rebħa ta 'l-Istati Uniti fit-Tieni Gwerra Dinjija u t-trattati li ġejjin li ntbagħtu dawk it-territorji lill-Amministrazzjoni Amerikana jew is-sidien oriġinali tagħhom.</v>
      </c>
    </row>
    <row r="8246" ht="15.75" customHeight="1">
      <c r="A8246" s="2" t="s">
        <v>8246</v>
      </c>
      <c r="B8246" s="2" t="str">
        <f>IFERROR(__xludf.DUMMYFUNCTION("GOOGLETRANSLATE(A8246, ""en"", ""mt"")"),"Kull naħa li tipproponi dik l-azzjoni tittieħed")</f>
        <v>Kull naħa li tipproponi dik l-azzjoni tittieħed</v>
      </c>
    </row>
    <row r="8247" ht="15.75" customHeight="1">
      <c r="A8247" s="2" t="s">
        <v>8247</v>
      </c>
      <c r="B8247" s="2" t="str">
        <f>IFERROR(__xludf.DUMMYFUNCTION("GOOGLETRANSLATE(A8247, ""en"", ""mt"")"),"Sa l-1990, l-Arabja Sawdita kellha rwol mhux importanti fit-trażżin ta 'liema gruppi?")</f>
        <v>Sa l-1990, l-Arabja Sawdita kellha rwol mhux importanti fit-trażżin ta 'liema gruppi?</v>
      </c>
    </row>
    <row r="8248" ht="15.75" customHeight="1">
      <c r="A8248" s="2" t="s">
        <v>8248</v>
      </c>
      <c r="B8248" s="2" t="str">
        <f>IFERROR(__xludf.DUMMYFUNCTION("GOOGLETRANSLATE(A8248, ""en"", ""mt"")"),"Volum taċ-ċilindru")</f>
        <v>Volum taċ-ċilindru</v>
      </c>
    </row>
    <row r="8249" ht="15.75" customHeight="1">
      <c r="A8249" s="2" t="s">
        <v>8249</v>
      </c>
      <c r="B8249" s="2" t="str">
        <f>IFERROR(__xludf.DUMMYFUNCTION("GOOGLETRANSLATE(A8249, ""en"", ""mt"")"),"_____ jgħin lill-Biospher mill-UV.")</f>
        <v>_____ jgħin lill-Biospher mill-UV.</v>
      </c>
    </row>
    <row r="8250" ht="15.75" customHeight="1">
      <c r="A8250" s="2" t="s">
        <v>8250</v>
      </c>
      <c r="B8250" s="2" t="str">
        <f>IFERROR(__xludf.DUMMYFUNCTION("GOOGLETRANSLATE(A8250, ""en"", ""mt"")"),"Storybook")</f>
        <v>Storybook</v>
      </c>
    </row>
    <row r="8251" ht="15.75" customHeight="1">
      <c r="A8251" s="2" t="s">
        <v>8251</v>
      </c>
      <c r="B8251" s="2" t="str">
        <f>IFERROR(__xludf.DUMMYFUNCTION("GOOGLETRANSLATE(A8251, ""en"", ""mt"")"),"Solventi organiċi")</f>
        <v>Solventi organiċi</v>
      </c>
    </row>
    <row r="8252" ht="15.75" customHeight="1">
      <c r="A8252" s="2" t="s">
        <v>8252</v>
      </c>
      <c r="B8252" s="2" t="str">
        <f>IFERROR(__xludf.DUMMYFUNCTION("GOOGLETRANSLATE(A8252, ""en"", ""mt"")")," X'kien l-isem tal-politika mhux imperjalista fiċ-Ċina?")</f>
        <v> X'kien l-isem tal-politika mhux imperjalista fiċ-Ċina?</v>
      </c>
    </row>
    <row r="8253" ht="15.75" customHeight="1">
      <c r="A8253" s="2" t="s">
        <v>8253</v>
      </c>
      <c r="B8253" s="2" t="str">
        <f>IFERROR(__xludf.DUMMYFUNCTION("GOOGLETRANSLATE(A8253, ""en"", ""mt"")"),"X'kien l-isem tar-rapport tal-WWF?")</f>
        <v>X'kien l-isem tar-rapport tal-WWF?</v>
      </c>
    </row>
    <row r="8254" ht="15.75" customHeight="1">
      <c r="A8254" s="2" t="s">
        <v>8254</v>
      </c>
      <c r="B8254" s="2" t="str">
        <f>IFERROR(__xludf.DUMMYFUNCTION("GOOGLETRANSLATE(A8254, ""en"", ""mt"")"),"X'inhuma l-zkuk sew?")</f>
        <v>X'inhuma l-zkuk sew?</v>
      </c>
    </row>
    <row r="8255" ht="15.75" customHeight="1">
      <c r="A8255" s="2" t="s">
        <v>8255</v>
      </c>
      <c r="B8255" s="2" t="str">
        <f>IFERROR(__xludf.DUMMYFUNCTION("GOOGLETRANSLATE(A8255, ""en"", ""mt"")"),"Donald Davies")</f>
        <v>Donald Davies</v>
      </c>
    </row>
    <row r="8256" ht="15.75" customHeight="1">
      <c r="A8256" s="2" t="s">
        <v>8256</v>
      </c>
      <c r="B8256" s="2" t="str">
        <f>IFERROR(__xludf.DUMMYFUNCTION("GOOGLETRANSLATE(A8256, ""en"", ""mt"")"),"Meta kien komplut l-akkwist Spanjol tat-territorju ta 'Louisiana?")</f>
        <v>Meta kien komplut l-akkwist Spanjol tat-territorju ta 'Louisiana?</v>
      </c>
    </row>
    <row r="8257" ht="15.75" customHeight="1">
      <c r="A8257" s="2" t="s">
        <v>8257</v>
      </c>
      <c r="B8257" s="2" t="str">
        <f>IFERROR(__xludf.DUMMYFUNCTION("GOOGLETRANSLATE(A8257, ""en"", ""mt"")"),"X'inhi l-firxa tal-ħlas għall-aċċess għall-EPG ta 'BSKYB?")</f>
        <v>X'inhi l-firxa tal-ħlas għall-aċċess għall-EPG ta 'BSKYB?</v>
      </c>
    </row>
    <row r="8258" ht="15.75" customHeight="1">
      <c r="A8258" s="2" t="s">
        <v>8258</v>
      </c>
      <c r="B8258" s="2" t="str">
        <f>IFERROR(__xludf.DUMMYFUNCTION("GOOGLETRANSLATE(A8258, ""en"", ""mt"")"),"Il-forzi konservattivi ħafna drabi huma assoċjati mat-trasferiment ta 'xiex?")</f>
        <v>Il-forzi konservattivi ħafna drabi huma assoċjati mat-trasferiment ta 'xiex?</v>
      </c>
    </row>
    <row r="8259" ht="15.75" customHeight="1">
      <c r="A8259" s="2" t="s">
        <v>8259</v>
      </c>
      <c r="B8259" s="2" t="str">
        <f>IFERROR(__xludf.DUMMYFUNCTION("GOOGLETRANSLATE(A8259, ""en"", ""mt"")")," Liema liġi ma ġġustifikatx l-imperjalizmu Brittaniku?")</f>
        <v> Liema liġi ma ġġustifikatx l-imperjalizmu Brittaniku?</v>
      </c>
    </row>
    <row r="8260" ht="15.75" customHeight="1">
      <c r="A8260" s="2" t="s">
        <v>8260</v>
      </c>
      <c r="B8260" s="2" t="str">
        <f>IFERROR(__xludf.DUMMYFUNCTION("GOOGLETRANSLATE(A8260, ""en"", ""mt"")"),"828,000 mara")</f>
        <v>828,000 mara</v>
      </c>
    </row>
    <row r="8261" ht="15.75" customHeight="1">
      <c r="A8261" s="2" t="s">
        <v>8261</v>
      </c>
      <c r="B8261" s="2" t="str">
        <f>IFERROR(__xludf.DUMMYFUNCTION("GOOGLETRANSLATE(A8261, ""en"", ""mt"")"),"In-nies bi dħul aktar baxx għandhom inqas aċċess għalih?")</f>
        <v>In-nies bi dħul aktar baxx għandhom inqas aċċess għalih?</v>
      </c>
    </row>
    <row r="8262" ht="15.75" customHeight="1">
      <c r="A8262" s="2" t="s">
        <v>8262</v>
      </c>
      <c r="B8262" s="2" t="str">
        <f>IFERROR(__xludf.DUMMYFUNCTION("GOOGLETRANSLATE(A8262, ""en"", ""mt"")"),"X’naqsmu fl-għadd bejn l-1948 u l-1991?")</f>
        <v>X’naqsmu fl-għadd bejn l-1948 u l-1991?</v>
      </c>
    </row>
    <row r="8263" ht="15.75" customHeight="1">
      <c r="A8263" s="2" t="s">
        <v>8263</v>
      </c>
      <c r="B8263" s="2" t="str">
        <f>IFERROR(__xludf.DUMMYFUNCTION("GOOGLETRANSLATE(A8263, ""en"", ""mt"")"),"batterjofagi")</f>
        <v>batterjofagi</v>
      </c>
    </row>
    <row r="8264" ht="15.75" customHeight="1">
      <c r="A8264" s="2" t="s">
        <v>8264</v>
      </c>
      <c r="B8264" s="2" t="str">
        <f>IFERROR(__xludf.DUMMYFUNCTION("GOOGLETRANSLATE(A8264, ""en"", ""mt"")"),"Dak li jinkludi 69 fil-mija?")</f>
        <v>Dak li jinkludi 69 fil-mija?</v>
      </c>
    </row>
    <row r="8265" ht="15.75" customHeight="1">
      <c r="A8265" s="2" t="s">
        <v>8265</v>
      </c>
      <c r="B8265" s="2" t="str">
        <f>IFERROR(__xludf.DUMMYFUNCTION("GOOGLETRANSLATE(A8265, ""en"", ""mt"")"),"Tbattal l-art tal-madwar")</f>
        <v>Tbattal l-art tal-madwar</v>
      </c>
    </row>
    <row r="8266" ht="15.75" customHeight="1">
      <c r="A8266" s="2" t="s">
        <v>8266</v>
      </c>
      <c r="B8266" s="2" t="str">
        <f>IFERROR(__xludf.DUMMYFUNCTION("GOOGLETRANSLATE(A8266, ""en"", ""mt"")"),"Żewġ differenzi fundamentali kienu jinvolvu d-diviżjoni tal-funzjonijiet u l-kompiti bejn l-ospiti fit-tarf tan-netwerk u l-qalba tan-netwerk")</f>
        <v>Żewġ differenzi fundamentali kienu jinvolvu d-diviżjoni tal-funzjonijiet u l-kompiti bejn l-ospiti fit-tarf tan-netwerk u l-qalba tan-netwerk</v>
      </c>
    </row>
    <row r="8267" ht="15.75" customHeight="1">
      <c r="A8267" s="2" t="s">
        <v>8267</v>
      </c>
      <c r="B8267" s="2" t="str">
        <f>IFERROR(__xludf.DUMMYFUNCTION("GOOGLETRANSLATE(A8267, ""en"", ""mt"")"),"X'qed tieħu l-istorja tal-partit fuq l-istorja Musulmana?")</f>
        <v>X'qed tieħu l-istorja tal-partit fuq l-istorja Musulmana?</v>
      </c>
    </row>
    <row r="8268" ht="15.75" customHeight="1">
      <c r="A8268" s="2" t="s">
        <v>8268</v>
      </c>
      <c r="B8268" s="2" t="str">
        <f>IFERROR(__xludf.DUMMYFUNCTION("GOOGLETRANSLATE(A8268, ""en"", ""mt"")"),"IgE")</f>
        <v>IgE</v>
      </c>
    </row>
    <row r="8269" ht="15.75" customHeight="1">
      <c r="A8269" s="2" t="s">
        <v>8269</v>
      </c>
      <c r="B8269" s="2" t="str">
        <f>IFERROR(__xludf.DUMMYFUNCTION("GOOGLETRANSLATE(A8269, ""en"", ""mt"")"),"Erba 'skejjel charter pubbliċi")</f>
        <v>Erba 'skejjel charter pubbliċi</v>
      </c>
    </row>
    <row r="8270" ht="15.75" customHeight="1">
      <c r="A8270" s="2" t="s">
        <v>8270</v>
      </c>
      <c r="B8270" s="2" t="str">
        <f>IFERROR(__xludf.DUMMYFUNCTION("GOOGLETRANSLATE(A8270, ""en"", ""mt"")"),"X'inhu l-kulur tal-Istat tar-Rabat?")</f>
        <v>X'inhu l-kulur tal-Istat tar-Rabat?</v>
      </c>
    </row>
    <row r="8271" ht="15.75" customHeight="1">
      <c r="A8271" s="2" t="s">
        <v>8271</v>
      </c>
      <c r="B8271" s="2" t="str">
        <f>IFERROR(__xludf.DUMMYFUNCTION("GOOGLETRANSLATE(A8271, ""en"", ""mt"")"),"Sħubija ma 'komunikazzjonijiet ta' Livell 3 biex tniedi netwerk ġdid fjamant fuq livell nazzjonali")</f>
        <v>Sħubija ma 'komunikazzjonijiet ta' Livell 3 biex tniedi netwerk ġdid fjamant fuq livell nazzjonali</v>
      </c>
    </row>
    <row r="8272" ht="15.75" customHeight="1">
      <c r="A8272" s="2" t="s">
        <v>8272</v>
      </c>
      <c r="B8272" s="2" t="str">
        <f>IFERROR(__xludf.DUMMYFUNCTION("GOOGLETRANSLATE(A8272, ""en"", ""mt"")"),"il-parlament kollu")</f>
        <v>il-parlament kollu</v>
      </c>
    </row>
    <row r="8273" ht="15.75" customHeight="1">
      <c r="A8273" s="2" t="s">
        <v>8273</v>
      </c>
      <c r="B8273" s="2" t="str">
        <f>IFERROR(__xludf.DUMMYFUNCTION("GOOGLETRANSLATE(A8273, ""en"", ""mt"")"),"Lejl ta 'nofs is-sajf")</f>
        <v>Lejl ta 'nofs is-sajf</v>
      </c>
    </row>
    <row r="8274" ht="15.75" customHeight="1">
      <c r="A8274" s="2" t="s">
        <v>8274</v>
      </c>
      <c r="B8274" s="2" t="str">
        <f>IFERROR(__xludf.DUMMYFUNCTION("GOOGLETRANSLATE(A8274, ""en"", ""mt"")"),"Liema ċiviltà kienet l-ewwel magħrufa li studja b'mod ċar numri infiniti?")</f>
        <v>Liema ċiviltà kienet l-ewwel magħrufa li studja b'mod ċar numri infiniti?</v>
      </c>
    </row>
    <row r="8275" ht="15.75" customHeight="1">
      <c r="A8275" s="2" t="s">
        <v>8275</v>
      </c>
      <c r="B8275" s="2" t="str">
        <f>IFERROR(__xludf.DUMMYFUNCTION("GOOGLETRANSLATE(A8275, ""en"", ""mt"")"),"Liema persentaġġ ta 'studenti attendew skejjel privati ​​fi Grundgesetz fl-1992?")</f>
        <v>Liema persentaġġ ta 'studenti attendew skejjel privati ​​fi Grundgesetz fl-1992?</v>
      </c>
    </row>
    <row r="8276" ht="15.75" customHeight="1">
      <c r="A8276" s="2" t="s">
        <v>8276</v>
      </c>
      <c r="B8276" s="2" t="str">
        <f>IFERROR(__xludf.DUMMYFUNCTION("GOOGLETRANSLATE(A8276, ""en"", ""mt"")"),"anerobiku")</f>
        <v>anerobiku</v>
      </c>
    </row>
    <row r="8277" ht="15.75" customHeight="1">
      <c r="A8277" s="2" t="s">
        <v>8277</v>
      </c>
      <c r="B8277" s="2" t="str">
        <f>IFERROR(__xludf.DUMMYFUNCTION("GOOGLETRANSLATE(A8277, ""en"", ""mt"")"),"7.5")</f>
        <v>7.5</v>
      </c>
    </row>
    <row r="8278" ht="15.75" customHeight="1">
      <c r="A8278" s="2" t="s">
        <v>8278</v>
      </c>
      <c r="B8278" s="2" t="str">
        <f>IFERROR(__xludf.DUMMYFUNCTION("GOOGLETRANSLATE(A8278, ""en"", ""mt"")"),"Downtown Santa Monica u Downtown Glendale huma parti minn liema żona?")</f>
        <v>Downtown Santa Monica u Downtown Glendale huma parti minn liema żona?</v>
      </c>
    </row>
    <row r="8279" ht="15.75" customHeight="1">
      <c r="A8279" s="2" t="s">
        <v>8279</v>
      </c>
      <c r="B8279" s="2" t="str">
        <f>IFERROR(__xludf.DUMMYFUNCTION("GOOGLETRANSLATE(A8279, ""en"", ""mt"")"),"Il-forzi kollha fl-univers huma bbażati fuq erba 'interazzjonijiet fundamentali. Il-forzi b'saħħithom u dgħajfa huma forzi nukleari li jaġixxu biss fuq distanzi qosra ħafna, u huma responsabbli għall-interazzjonijiet bejn partiċelli subatomiċi, inklużi nu"&amp;"kleoni u nuklei komposti. Il-forza elettromanjetika taġixxi bejn il-piżijiet elettriċi, u l-forza gravitazzjonali taġixxi bejn il-mases. Il-forzi l-oħra kollha fin-natura joħorġu minn dawn l-erba 'interazzjonijiet fundamentali. Pereżempju, il-frizzjoni hi"&amp;"ja manifestazzjoni tal-forza elettromanjetika li taġixxi bejn l-atomi ta 'żewġ uċuħ, u l-prinċipju ta' esklużjoni ta 'Pauli, li ma jippermettix li l-atomi jgħaddu minn xulxin. Bl-istess mod, il-forzi fil-molol, immudellati mil-liġi ta 'Hooke, huma r-riżul"&amp;"tat tal-forzi elettromanjetiċi u l-prinċipju ta' esklużjoni li jaġixxu flimkien biex jirritornaw oġġett għall-pożizzjoni ta 'ekwilibriju tiegħu. Il-forzi ċentrifugali huma forzi ta 'aċċellerazzjoni li jinqalgħu sempliċement mill-aċċellerazzjoni ta' frejms"&amp;" li jduru ta 'referenza.: 12-11:359")</f>
        <v>Il-forzi kollha fl-univers huma bbażati fuq erba 'interazzjonijiet fundamentali. Il-forzi b'saħħithom u dgħajfa huma forzi nukleari li jaġixxu biss fuq distanzi qosra ħafna, u huma responsabbli għall-interazzjonijiet bejn partiċelli subatomiċi, inklużi nukleoni u nuklei komposti. Il-forza elettromanjetika taġixxi bejn il-piżijiet elettriċi, u l-forza gravitazzjonali taġixxi bejn il-mases. Il-forzi l-oħra kollha fin-natura joħorġu minn dawn l-erba 'interazzjonijiet fundamentali. Pereżempju, il-frizzjoni hija manifestazzjoni tal-forza elettromanjetika li taġixxi bejn l-atomi ta 'żewġ uċuħ, u l-prinċipju ta' esklużjoni ta 'Pauli, li ma jippermettix li l-atomi jgħaddu minn xulxin. Bl-istess mod, il-forzi fil-molol, immudellati mil-liġi ta 'Hooke, huma r-riżultat tal-forzi elettromanjetiċi u l-prinċipju ta' esklużjoni li jaġixxu flimkien biex jirritornaw oġġett għall-pożizzjoni ta 'ekwilibriju tiegħu. Il-forzi ċentrifugali huma forzi ta 'aċċellerazzjoni li jinqalgħu sempliċement mill-aċċellerazzjoni ta' frejms li jduru ta 'referenza.: 12-11:359</v>
      </c>
    </row>
    <row r="8280" ht="15.75" customHeight="1">
      <c r="A8280" s="2" t="s">
        <v>8280</v>
      </c>
      <c r="B8280" s="2" t="str">
        <f>IFERROR(__xludf.DUMMYFUNCTION("GOOGLETRANSLATE(A8280, ""en"", ""mt"")"),"X'kien l-għan tas-sistema")</f>
        <v>X'kien l-għan tas-sistema</v>
      </c>
    </row>
    <row r="8281" ht="15.75" customHeight="1">
      <c r="A8281" s="2" t="s">
        <v>8281</v>
      </c>
      <c r="B8281" s="2" t="str">
        <f>IFERROR(__xludf.DUMMYFUNCTION("GOOGLETRANSLATE(A8281, ""en"", ""mt"")"),"mhux restawrat mill-awtoritajiet komunisti wara l-gwerra")</f>
        <v>mhux restawrat mill-awtoritajiet komunisti wara l-gwerra</v>
      </c>
    </row>
    <row r="8282" ht="15.75" customHeight="1">
      <c r="A8282" s="2" t="s">
        <v>8282</v>
      </c>
      <c r="B8282" s="2" t="str">
        <f>IFERROR(__xludf.DUMMYFUNCTION("GOOGLETRANSLATE(A8282, ""en"", ""mt"")"),"X'inhu s-paragun mal-livell tal-baħar mal-livell ta 'ossiġnu fl-ispazju ilbiesi?")</f>
        <v>X'inhu s-paragun mal-livell tal-baħar mal-livell ta 'ossiġnu fl-ispazju ilbiesi?</v>
      </c>
    </row>
    <row r="8283" ht="15.75" customHeight="1">
      <c r="A8283" s="2" t="s">
        <v>8283</v>
      </c>
      <c r="B8283" s="2" t="str">
        <f>IFERROR(__xludf.DUMMYFUNCTION("GOOGLETRANSLATE(A8283, ""en"", ""mt"")"),"Liema grupp huwa mwaqqaf biex jifli l-kontijiet pubbliċi sottomessi lill-Parlament Skoċċiż?")</f>
        <v>Liema grupp huwa mwaqqaf biex jifli l-kontijiet pubbliċi sottomessi lill-Parlament Skoċċiż?</v>
      </c>
    </row>
    <row r="8284" ht="15.75" customHeight="1">
      <c r="A8284" s="2" t="s">
        <v>8284</v>
      </c>
      <c r="B8284" s="2" t="str">
        <f>IFERROR(__xludf.DUMMYFUNCTION("GOOGLETRANSLATE(A8284, ""en"", ""mt"")"),"L-Interi Gaussjani Z [i]")</f>
        <v>L-Interi Gaussjani Z [i]</v>
      </c>
    </row>
    <row r="8285" ht="15.75" customHeight="1">
      <c r="A8285" s="2" t="s">
        <v>8285</v>
      </c>
      <c r="B8285" s="2" t="str">
        <f>IFERROR(__xludf.DUMMYFUNCTION("GOOGLETRANSLATE(A8285, ""en"", ""mt"")"),"X'toffri l-inġiniera lilhom infushom għal proġett?")</f>
        <v>X'toffri l-inġiniera lilhom infushom għal proġett?</v>
      </c>
    </row>
    <row r="8286" ht="15.75" customHeight="1">
      <c r="A8286" s="2" t="s">
        <v>8286</v>
      </c>
      <c r="B8286" s="2" t="str">
        <f>IFERROR(__xludf.DUMMYFUNCTION("GOOGLETRANSLATE(A8286, ""en"", ""mt"")"),"Liema organizzazzjonijiet huma ffinanzjati mill-gvern tal-istudenti?")</f>
        <v>Liema organizzazzjonijiet huma ffinanzjati mill-gvern tal-istudenti?</v>
      </c>
    </row>
    <row r="8287" ht="15.75" customHeight="1">
      <c r="A8287" s="2" t="s">
        <v>8287</v>
      </c>
      <c r="B8287" s="2" t="str">
        <f>IFERROR(__xludf.DUMMYFUNCTION("GOOGLETRANSLATE(A8287, ""en"", ""mt"")"),"il-pubbliku.")</f>
        <v>il-pubbliku.</v>
      </c>
    </row>
    <row r="8288" ht="15.75" customHeight="1">
      <c r="A8288" s="2" t="s">
        <v>8288</v>
      </c>
      <c r="B8288" s="2" t="str">
        <f>IFERROR(__xludf.DUMMYFUNCTION("GOOGLETRANSLATE(A8288, ""en"", ""mt"")"),"X'inhi l-forza bejn in-nukleoni?")</f>
        <v>X'inhi l-forza bejn in-nukleoni?</v>
      </c>
    </row>
    <row r="8289" ht="15.75" customHeight="1">
      <c r="A8289" s="2" t="s">
        <v>8289</v>
      </c>
      <c r="B8289" s="2" t="str">
        <f>IFERROR(__xludf.DUMMYFUNCTION("GOOGLETRANSLATE(A8289, ""en"", ""mt"")"),"Il-problema ta 'fatturizzazzjoni sħiħa")</f>
        <v>Il-problema ta 'fatturizzazzjoni sħiħa</v>
      </c>
    </row>
    <row r="8290" ht="15.75" customHeight="1">
      <c r="A8290" s="2" t="s">
        <v>8290</v>
      </c>
      <c r="B8290" s="2" t="str">
        <f>IFERROR(__xludf.DUMMYFUNCTION("GOOGLETRANSLATE(A8290, ""en"", ""mt"")"),"Il-fratellanza kienet l-uniku grupp ta ’oppożizzjoni barra mill-Eġittu kapaċi jagħmel dak waqt l-elezzjonijiet?")</f>
        <v>Il-fratellanza kienet l-uniku grupp ta ’oppożizzjoni barra mill-Eġittu kapaċi jagħmel dak waqt l-elezzjonijiet?</v>
      </c>
    </row>
    <row r="8291" ht="15.75" customHeight="1">
      <c r="A8291" s="2" t="s">
        <v>8291</v>
      </c>
      <c r="B8291" s="2" t="str">
        <f>IFERROR(__xludf.DUMMYFUNCTION("GOOGLETRANSLATE(A8291, ""en"", ""mt"")"),"X'inhu l-punt ewlieni li tkun konservattiv u tipprotesta?")</f>
        <v>X'inhu l-punt ewlieni li tkun konservattiv u tipprotesta?</v>
      </c>
    </row>
    <row r="8292" ht="15.75" customHeight="1">
      <c r="A8292" s="2" t="s">
        <v>8292</v>
      </c>
      <c r="B8292" s="2" t="str">
        <f>IFERROR(__xludf.DUMMYFUNCTION("GOOGLETRANSLATE(A8292, ""en"", ""mt"")"),"Mhux Ministru Skoċċiż")</f>
        <v>Mhux Ministru Skoċċiż</v>
      </c>
    </row>
    <row r="8293" ht="15.75" customHeight="1">
      <c r="A8293" s="2" t="s">
        <v>8293</v>
      </c>
      <c r="B8293" s="2" t="str">
        <f>IFERROR(__xludf.DUMMYFUNCTION("GOOGLETRANSLATE(A8293, ""en"", ""mt"")"),"Il-kontrolli u s-sistema tal-bilanċi tal-Istati Uniti u ta ’ħafna gvernijiet oħra.")</f>
        <v>Il-kontrolli u s-sistema tal-bilanċi tal-Istati Uniti u ta ’ħafna gvernijiet oħra.</v>
      </c>
    </row>
    <row r="8294" ht="15.75" customHeight="1">
      <c r="A8294" s="2" t="s">
        <v>8294</v>
      </c>
      <c r="B8294" s="2" t="str">
        <f>IFERROR(__xludf.DUMMYFUNCTION("GOOGLETRANSLATE(A8294, ""en"", ""mt"")"),"il-mezzi biex tinvesti f'sorsi ġodda ta 'ħolqien ta' ġid jew biex inkella nfissru l-akkumulazzjoni ta 'ġid")</f>
        <v>il-mezzi biex tinvesti f'sorsi ġodda ta 'ħolqien ta' ġid jew biex inkella nfissru l-akkumulazzjoni ta 'ġid</v>
      </c>
    </row>
    <row r="8295" ht="15.75" customHeight="1">
      <c r="A8295" s="2" t="s">
        <v>8295</v>
      </c>
      <c r="B8295" s="2" t="str">
        <f>IFERROR(__xludf.DUMMYFUNCTION("GOOGLETRANSLATE(A8295, ""en"", ""mt"")"),"Imperjalizmu ""Informali""")</f>
        <v>Imperjalizmu "Informali"</v>
      </c>
    </row>
    <row r="8296" ht="15.75" customHeight="1">
      <c r="A8296" s="2" t="s">
        <v>8296</v>
      </c>
      <c r="B8296" s="2" t="str">
        <f>IFERROR(__xludf.DUMMYFUNCTION("GOOGLETRANSLATE(A8296, ""en"", ""mt"")"),"X'inhu l-isem għall-programm tax-xjenza soċjali użat fl-iskejjel primarji u sekondarji urbani?")</f>
        <v>X'inhu l-isem għall-programm tax-xjenza soċjali użat fl-iskejjel primarji u sekondarji urbani?</v>
      </c>
    </row>
    <row r="8297" ht="15.75" customHeight="1">
      <c r="A8297" s="2" t="s">
        <v>8297</v>
      </c>
      <c r="B8297" s="2" t="str">
        <f>IFERROR(__xludf.DUMMYFUNCTION("GOOGLETRANSLATE(A8297, ""en"", ""mt"")"),"Kull kapitolu għandu numru ta ’awturi li huma responsabbli għall-kitba u l-editjar tal-materjal. Kapitolu tipikament għandu żewġ ""awturi ewlenin li jikkoordinaw"", għaxra sa ħmistax ""awturi ewlenin"", u numru kemmxejn ikbar ta '""awturi li jikkontribwix"&amp;"xu"". L-awturi ewlenin li jikkoordinaw huma responsabbli biex jiġbru l-kontribuzzjonijiet tal-awturi l-oħra, u jiżguraw li jissodisfaw ir-rekwiżiti stilistiċi u l-ifformattjar, u jirrappurtaw lis-siġġijiet tal-grupp ta 'ħidma. L-awturi ewlenin huma respon"&amp;"sabbli biex jiktbu sezzjonijiet ta ’kapitoli. L-awturi li jikkontribwixxu jħejju test, graffs jew dejta għall-inklużjoni mill-awturi ewlenin.")</f>
        <v>Kull kapitolu għandu numru ta ’awturi li huma responsabbli għall-kitba u l-editjar tal-materjal. Kapitolu tipikament għandu żewġ "awturi ewlenin li jikkoordinaw", għaxra sa ħmistax "awturi ewlenin", u numru kemmxejn ikbar ta '"awturi li jikkontribwixxu". L-awturi ewlenin li jikkoordinaw huma responsabbli biex jiġbru l-kontribuzzjonijiet tal-awturi l-oħra, u jiżguraw li jissodisfaw ir-rekwiżiti stilistiċi u l-ifformattjar, u jirrappurtaw lis-siġġijiet tal-grupp ta 'ħidma. L-awturi ewlenin huma responsabbli biex jiktbu sezzjonijiet ta ’kapitoli. L-awturi li jikkontribwixxu jħejju test, graffs jew dejta għall-inklużjoni mill-awturi ewlenin.</v>
      </c>
    </row>
    <row r="8298" ht="15.75" customHeight="1">
      <c r="A8298" s="2" t="s">
        <v>8298</v>
      </c>
      <c r="B8298" s="2" t="str">
        <f>IFERROR(__xludf.DUMMYFUNCTION("GOOGLETRANSLATE(A8298, ""en"", ""mt"")"),"Liema belt fir-Rabat tissejjaħ il-Ground tal-Cricket tal-Awstralja?")</f>
        <v>Liema belt fir-Rabat tissejjaħ il-Ground tal-Cricket tal-Awstralja?</v>
      </c>
    </row>
    <row r="8299" ht="15.75" customHeight="1">
      <c r="A8299" s="2" t="s">
        <v>8299</v>
      </c>
      <c r="B8299" s="2" t="str">
        <f>IFERROR(__xludf.DUMMYFUNCTION("GOOGLETRANSLATE(A8299, ""en"", ""mt"")"),"Private_school")</f>
        <v>Private_school</v>
      </c>
    </row>
    <row r="8300" ht="15.75" customHeight="1">
      <c r="A8300" s="2" t="s">
        <v>8300</v>
      </c>
      <c r="B8300" s="2" t="str">
        <f>IFERROR(__xludf.DUMMYFUNCTION("GOOGLETRANSLATE(A8300, ""en"", ""mt"")"),"Amministrazzjoni Kolonjali Nażista Ġermaniża")</f>
        <v>Amministrazzjoni Kolonjali Nażista Ġermaniża</v>
      </c>
    </row>
    <row r="8301" ht="15.75" customHeight="1">
      <c r="A8301" s="2" t="s">
        <v>8301</v>
      </c>
      <c r="B8301" s="2" t="str">
        <f>IFERROR(__xludf.DUMMYFUNCTION("GOOGLETRANSLATE(A8301, ""en"", ""mt"")"),"Fuq xiex l-irqad m'għandux effett fuq?")</f>
        <v>Fuq xiex l-irqad m'għandux effett fuq?</v>
      </c>
    </row>
    <row r="8302" ht="15.75" customHeight="1">
      <c r="A8302" s="2" t="s">
        <v>8302</v>
      </c>
      <c r="B8302" s="2" t="str">
        <f>IFERROR(__xludf.DUMMYFUNCTION("GOOGLETRANSLATE(A8302, ""en"", ""mt"")"),"In-nies indiġeni tal-Amażonja Peruvjani u liema grupp ieħor ikomplu jikbru fl-Amażonja?")</f>
        <v>In-nies indiġeni tal-Amażonja Peruvjani u liema grupp ieħor ikomplu jikbru fl-Amażonja?</v>
      </c>
    </row>
    <row r="8303" ht="15.75" customHeight="1">
      <c r="A8303" s="2" t="s">
        <v>8303</v>
      </c>
      <c r="B8303" s="2" t="str">
        <f>IFERROR(__xludf.DUMMYFUNCTION("GOOGLETRANSLATE(A8303, ""en"", ""mt"")"),"Fl-2007, BSKYB u Virgin Media saru involuti f'tilwima dwar il-ġarr ta 'stazzjonijiet tas-sema fuq it-TV bil-kejbil. In-nuqqas ta 'ġedded il-ftehimiet ta' ġarr eżistenti nnegozjati ma 'NTL u t-telewest irriżulta f'Virgin Media li tneħħi l-kanali bażiċi min"&amp;"-netwerk fl-1 ta' Marzu 2007. Virgin Media sostniet li BSKYB żiedet sostanzjalment il-prezz mitlub għall-kanali, talba li BSKYB ċaħad, Fuq il-bażi li l-ftehim il-ġdid tagħhom offra ""sostanzjalment aktar valur"" billi jinkludi kanali HD u kontenut ta 'vid"&amp;"jow fuq talba li qabel ma kienx imwettaq minn cable.")</f>
        <v>Fl-2007, BSKYB u Virgin Media saru involuti f'tilwima dwar il-ġarr ta 'stazzjonijiet tas-sema fuq it-TV bil-kejbil. In-nuqqas ta 'ġedded il-ftehimiet ta' ġarr eżistenti nnegozjati ma 'NTL u t-telewest irriżulta f'Virgin Media li tneħħi l-kanali bażiċi min-netwerk fl-1 ta' Marzu 2007. Virgin Media sostniet li BSKYB żiedet sostanzjalment il-prezz mitlub għall-kanali, talba li BSKYB ċaħad, Fuq il-bażi li l-ftehim il-ġdid tagħhom offra "sostanzjalment aktar valur" billi jinkludi kanali HD u kontenut ta 'vidjow fuq talba li qabel ma kienx imwettaq minn cable.</v>
      </c>
    </row>
    <row r="8304" ht="15.75" customHeight="1">
      <c r="A8304" s="2" t="s">
        <v>8304</v>
      </c>
      <c r="B8304" s="2" t="str">
        <f>IFERROR(__xludf.DUMMYFUNCTION("GOOGLETRANSLATE(A8304, ""en"", ""mt"")"),"Fqar u l-klassi tan-nofs")</f>
        <v>Fqar u l-klassi tan-nofs</v>
      </c>
    </row>
    <row r="8305" ht="15.75" customHeight="1">
      <c r="A8305" s="2" t="s">
        <v>8305</v>
      </c>
      <c r="B8305" s="2" t="str">
        <f>IFERROR(__xludf.DUMMYFUNCTION("GOOGLETRANSLATE(A8305, ""en"", ""mt"")"),"Kemm-il darba jsiru l-elezzjonijiet għall-Parlament Vittorjan?")</f>
        <v>Kemm-il darba jsiru l-elezzjonijiet għall-Parlament Vittorjan?</v>
      </c>
    </row>
    <row r="8306" ht="15.75" customHeight="1">
      <c r="A8306" s="2" t="s">
        <v>8306</v>
      </c>
      <c r="B8306" s="2" t="str">
        <f>IFERROR(__xludf.DUMMYFUNCTION("GOOGLETRANSLATE(A8306, ""en"", ""mt"")"),"Kemm idum biex tkun taf ir-riżultat ta 'diviżjoni?")</f>
        <v>Kemm idum biex tkun taf ir-riżultat ta 'diviżjoni?</v>
      </c>
    </row>
    <row r="8307" ht="15.75" customHeight="1">
      <c r="A8307" s="2" t="s">
        <v>8307</v>
      </c>
      <c r="B8307" s="2" t="str">
        <f>IFERROR(__xludf.DUMMYFUNCTION("GOOGLETRANSLATE(A8307, ""en"", ""mt"")"),"Għal liema belt fi Sqallija ħarbu n-negozjanti Ġenesi?")</f>
        <v>Għal liema belt fi Sqallija ħarbu n-negozjanti Ġenesi?</v>
      </c>
    </row>
    <row r="8308" ht="15.75" customHeight="1">
      <c r="A8308" s="2" t="s">
        <v>8308</v>
      </c>
      <c r="B8308" s="2" t="str">
        <f>IFERROR(__xludf.DUMMYFUNCTION("GOOGLETRANSLATE(A8308, ""en"", ""mt"")"),"F'liema sena bdiet l-era Tudor fl-Ingilterra?")</f>
        <v>F'liema sena bdiet l-era Tudor fl-Ingilterra?</v>
      </c>
    </row>
    <row r="8309" ht="15.75" customHeight="1">
      <c r="A8309" s="2" t="s">
        <v>8309</v>
      </c>
      <c r="B8309" s="2" t="str">
        <f>IFERROR(__xludf.DUMMYFUNCTION("GOOGLETRANSLATE(A8309, ""en"", ""mt"")"),"Azzjoni Soċjali u Politika")</f>
        <v>Azzjoni Soċjali u Politika</v>
      </c>
    </row>
    <row r="8310" ht="15.75" customHeight="1">
      <c r="A8310" s="2" t="s">
        <v>8310</v>
      </c>
      <c r="B8310" s="2" t="str">
        <f>IFERROR(__xludf.DUMMYFUNCTION("GOOGLETRANSLATE(A8310, ""en"", ""mt"")"),"Rebels Red Turban")</f>
        <v>Rebels Red Turban</v>
      </c>
    </row>
    <row r="8311" ht="15.75" customHeight="1">
      <c r="A8311" s="2" t="s">
        <v>8311</v>
      </c>
      <c r="B8311" s="2" t="str">
        <f>IFERROR(__xludf.DUMMYFUNCTION("GOOGLETRANSLATE(A8311, ""en"", ""mt"")"),"Liema Kumitat tas-Senat Kellem il-Kantant f'Lulju 2000?")</f>
        <v>Liema Kumitat tas-Senat Kellem il-Kantant f'Lulju 2000?</v>
      </c>
    </row>
    <row r="8312" ht="15.75" customHeight="1">
      <c r="A8312" s="2" t="s">
        <v>8312</v>
      </c>
      <c r="B8312" s="2" t="str">
        <f>IFERROR(__xludf.DUMMYFUNCTION("GOOGLETRANSLATE(A8312, ""en"", ""mt"")"),"Min għamel l-appoġġ tal-KEE matul il-gwerra ta 'sitt ijiem?")</f>
        <v>Min għamel l-appoġġ tal-KEE matul il-gwerra ta 'sitt ijiem?</v>
      </c>
    </row>
    <row r="8313" ht="15.75" customHeight="1">
      <c r="A8313" s="2" t="s">
        <v>8313</v>
      </c>
      <c r="B8313" s="2" t="str">
        <f>IFERROR(__xludf.DUMMYFUNCTION("GOOGLETRANSLATE(A8313, ""en"", ""mt"")"),"Perjodu Pliocene")</f>
        <v>Perjodu Pliocene</v>
      </c>
    </row>
    <row r="8314" ht="15.75" customHeight="1">
      <c r="A8314" s="2" t="s">
        <v>8314</v>
      </c>
      <c r="B8314" s="2" t="str">
        <f>IFERROR(__xludf.DUMMYFUNCTION("GOOGLETRANSLATE(A8314, ""en"", ""mt"")"),"Liema sena Robert J. Shiller rebaħ Premju Nobel tal-Ekonomija?")</f>
        <v>Liema sena Robert J. Shiller rebaħ Premju Nobel tal-Ekonomija?</v>
      </c>
    </row>
    <row r="8315" ht="15.75" customHeight="1">
      <c r="A8315" s="2" t="s">
        <v>8315</v>
      </c>
      <c r="B8315" s="2" t="str">
        <f>IFERROR(__xludf.DUMMYFUNCTION("GOOGLETRANSLATE(A8315, ""en"", ""mt"")"),"Kemm kienu armati f'kull tumen?")</f>
        <v>Kemm kienu armati f'kull tumen?</v>
      </c>
    </row>
    <row r="8316" ht="15.75" customHeight="1">
      <c r="A8316" s="2" t="s">
        <v>8316</v>
      </c>
      <c r="B8316" s="2" t="str">
        <f>IFERROR(__xludf.DUMMYFUNCTION("GOOGLETRANSLATE(A8316, ""en"", ""mt"")"),"Il-Qorti tal-Ġustizzja tal-Unjoni Ewropea")</f>
        <v>Il-Qorti tal-Ġustizzja tal-Unjoni Ewropea</v>
      </c>
    </row>
    <row r="8317" ht="15.75" customHeight="1">
      <c r="A8317" s="2" t="s">
        <v>8317</v>
      </c>
      <c r="B8317" s="2" t="str">
        <f>IFERROR(__xludf.DUMMYFUNCTION("GOOGLETRANSLATE(A8317, ""en"", ""mt"")"),"Kif tissejjaħ id-dar t'isfel tal-Parlament Vittorjan?")</f>
        <v>Kif tissejjaħ id-dar t'isfel tal-Parlament Vittorjan?</v>
      </c>
    </row>
    <row r="8318" ht="15.75" customHeight="1">
      <c r="A8318" s="2" t="s">
        <v>8318</v>
      </c>
      <c r="B8318" s="2" t="str">
        <f>IFERROR(__xludf.DUMMYFUNCTION("GOOGLETRANSLATE(A8318, ""en"", ""mt"")"),"Brażil")</f>
        <v>Brażil</v>
      </c>
    </row>
    <row r="8319" ht="15.75" customHeight="1">
      <c r="A8319" s="2" t="s">
        <v>8319</v>
      </c>
      <c r="B8319" s="2" t="str">
        <f>IFERROR(__xludf.DUMMYFUNCTION("GOOGLETRANSLATE(A8319, ""en"", ""mt"")"),"Fejn ir-reġjun tal-Amażonja jivvaluta fost id-Dinja kollha għall-ammont ta 'bijodiversità tiegħu?")</f>
        <v>Fejn ir-reġjun tal-Amażonja jivvaluta fost id-Dinja kollha għall-ammont ta 'bijodiversità tiegħu?</v>
      </c>
    </row>
    <row r="8320" ht="15.75" customHeight="1">
      <c r="A8320" s="2" t="s">
        <v>8320</v>
      </c>
      <c r="B8320" s="2" t="str">
        <f>IFERROR(__xludf.DUMMYFUNCTION("GOOGLETRANSLATE(A8320, ""en"", ""mt"")"),"soċjetajiet")</f>
        <v>soċjetajiet</v>
      </c>
    </row>
    <row r="8321" ht="15.75" customHeight="1">
      <c r="A8321" s="2" t="s">
        <v>8321</v>
      </c>
      <c r="B8321" s="2" t="str">
        <f>IFERROR(__xludf.DUMMYFUNCTION("GOOGLETRANSLATE(A8321, ""en"", ""mt"")"),"L-analiżi reġjonali tal-kost-benefiċċju u l-qsim tal-piż li jvarjaw fir-rigward tad-distribuzzjoni tat-tnaqqis tal-emissjonijiet")</f>
        <v>L-analiżi reġjonali tal-kost-benefiċċju u l-qsim tal-piż li jvarjaw fir-rigward tad-distribuzzjoni tat-tnaqqis tal-emissjonijiet</v>
      </c>
    </row>
    <row r="8322" ht="15.75" customHeight="1">
      <c r="A8322" s="2" t="s">
        <v>8322</v>
      </c>
      <c r="B8322" s="2" t="str">
        <f>IFERROR(__xludf.DUMMYFUNCTION("GOOGLETRANSLATE(A8322, ""en"", ""mt"")"),"F'liema sena laħqet il-Mewt l-Iswed fil-Mediterran?")</f>
        <v>F'liema sena laħqet il-Mewt l-Iswed fil-Mediterran?</v>
      </c>
    </row>
    <row r="8323" ht="15.75" customHeight="1">
      <c r="A8323" s="2" t="s">
        <v>8323</v>
      </c>
      <c r="B8323" s="2" t="str">
        <f>IFERROR(__xludf.DUMMYFUNCTION("GOOGLETRANSLATE(A8323, ""en"", ""mt"")"),"Min żied mal-ktieb ta 'Dioscorides fl-Età tad-Deheb Iżlamika?")</f>
        <v>Min żied mal-ktieb ta 'Dioscorides fl-Età tad-Deheb Iżlamika?</v>
      </c>
    </row>
    <row r="8324" ht="15.75" customHeight="1">
      <c r="A8324" s="2" t="s">
        <v>8324</v>
      </c>
      <c r="B8324" s="2" t="str">
        <f>IFERROR(__xludf.DUMMYFUNCTION("GOOGLETRANSLATE(A8324, ""en"", ""mt"")"),"Kemm Prinċpijiet Rival kienu involuti fl-Assassinanti ta 'Gegeen?")</f>
        <v>Kemm Prinċpijiet Rival kienu involuti fl-Assassinanti ta 'Gegeen?</v>
      </c>
    </row>
    <row r="8325" ht="15.75" customHeight="1">
      <c r="A8325" s="2" t="s">
        <v>8325</v>
      </c>
      <c r="B8325" s="2" t="str">
        <f>IFERROR(__xludf.DUMMYFUNCTION("GOOGLETRANSLATE(A8325, ""en"", ""mt"")"),"Qabbad żewġ minikompjuters PDP-11")</f>
        <v>Qabbad żewġ minikompjuters PDP-11</v>
      </c>
    </row>
    <row r="8326" ht="15.75" customHeight="1">
      <c r="A8326" s="2" t="s">
        <v>8326</v>
      </c>
      <c r="B8326" s="2" t="str">
        <f>IFERROR(__xludf.DUMMYFUNCTION("GOOGLETRANSLATE(A8326, ""en"", ""mt"")"),"F'Antigone, min kien il-mira ta 'diżubbidjenza ċivili?")</f>
        <v>F'Antigone, min kien il-mira ta 'diżubbidjenza ċivili?</v>
      </c>
    </row>
    <row r="8327" ht="15.75" customHeight="1">
      <c r="A8327" s="2" t="s">
        <v>8327</v>
      </c>
      <c r="B8327" s="2" t="str">
        <f>IFERROR(__xludf.DUMMYFUNCTION("GOOGLETRANSLATE(A8327, ""en"", ""mt"")"),"Żomm veloċità stabbilita")</f>
        <v>Żomm veloċità stabbilita</v>
      </c>
    </row>
    <row r="8328" ht="15.75" customHeight="1">
      <c r="A8328" s="2" t="s">
        <v>8328</v>
      </c>
      <c r="B8328" s="2" t="str">
        <f>IFERROR(__xludf.DUMMYFUNCTION("GOOGLETRANSLATE(A8328, ""en"", ""mt"")"),"""Isel""")</f>
        <v>"Isel"</v>
      </c>
    </row>
    <row r="8329" ht="15.75" customHeight="1">
      <c r="A8329" s="2" t="s">
        <v>8329</v>
      </c>
      <c r="B8329" s="2" t="str">
        <f>IFERROR(__xludf.DUMMYFUNCTION("GOOGLETRANSLATE(A8329, ""en"", ""mt"")"),"821.784")</f>
        <v>821.784</v>
      </c>
    </row>
    <row r="8330" ht="15.75" customHeight="1">
      <c r="A8330" s="2" t="s">
        <v>8330</v>
      </c>
      <c r="B8330" s="2" t="str">
        <f>IFERROR(__xludf.DUMMYFUNCTION("GOOGLETRANSLATE(A8330, ""en"", ""mt"")"),"sponoż")</f>
        <v>sponoż</v>
      </c>
    </row>
    <row r="8331" ht="15.75" customHeight="1">
      <c r="A8331" s="2" t="s">
        <v>8331</v>
      </c>
      <c r="B8331" s="2" t="str">
        <f>IFERROR(__xludf.DUMMYFUNCTION("GOOGLETRANSLATE(A8331, ""en"", ""mt"")"),"X’tesplika l-għerq Grieg Pharmakos?")</f>
        <v>X’tesplika l-għerq Grieg Pharmakos?</v>
      </c>
    </row>
    <row r="8332" ht="15.75" customHeight="1">
      <c r="A8332" s="2" t="s">
        <v>8332</v>
      </c>
      <c r="B8332" s="2" t="str">
        <f>IFERROR(__xludf.DUMMYFUNCTION("GOOGLETRANSLATE(A8332, ""en"", ""mt"")"),"X'kellu n-numru ta 'nies li jgħixu f'Varsavja sal-1945?")</f>
        <v>X'kellu n-numru ta 'nies li jgħixu f'Varsavja sal-1945?</v>
      </c>
    </row>
    <row r="8333" ht="15.75" customHeight="1">
      <c r="A8333" s="2" t="s">
        <v>8333</v>
      </c>
      <c r="B8333" s="2" t="str">
        <f>IFERROR(__xludf.DUMMYFUNCTION("GOOGLETRANSLATE(A8333, ""en"", ""mt"")"),"Għal liema tip ta 'djar huwa magħruf Fresno?")</f>
        <v>Għal liema tip ta 'djar huwa magħruf Fresno?</v>
      </c>
    </row>
    <row r="8334" ht="15.75" customHeight="1">
      <c r="A8334" s="2" t="s">
        <v>8334</v>
      </c>
      <c r="B8334" s="2" t="str">
        <f>IFERROR(__xludf.DUMMYFUNCTION("GOOGLETRANSLATE(A8334, ""en"", ""mt"")"),"X'inhu l-prinċipju dwar ir-relazzjoni tal-varjabbli tal-ispin u tal-ispazju?")</f>
        <v>X'inhu l-prinċipju dwar ir-relazzjoni tal-varjabbli tal-ispin u tal-ispazju?</v>
      </c>
    </row>
    <row r="8335" ht="15.75" customHeight="1">
      <c r="A8335" s="2" t="s">
        <v>8335</v>
      </c>
      <c r="B8335" s="2" t="str">
        <f>IFERROR(__xludf.DUMMYFUNCTION("GOOGLETRANSLATE(A8335, ""en"", ""mt"")"),"Minn 7500 yr ilu, sitwazzjoni kienet teżisti sitwazzjoni bil-marea u l-kurrenti, simili ħafna għall-preżent. Ir-rati ta 'żieda fil-livell tal-baħar naqsu s'issa, li s-sedimentazzjoni naturali mill-proċessi tar-Renu u tal-Kosta flimkien, tista' tikkumpensa"&amp;" t-trasgressjoni mill-baħar; Fl-aħħar 7000 sena, il-linja tal-kosta kienet bejn wieħed u ieħor fl-istess post. Fil-Baħar tan-Nofsinhar tat-Tramuntana, minħabba sussidju tettoniku kontinwu, il-livell tal-baħar għadu qed jiżdied, bir-rata ta 'madwar 1-3 cm "&amp;"(0.39–1.18 in) kull seklu (1 metru jew 39 pulzier fl-aħħar 3000 sena).")</f>
        <v>Minn 7500 yr ilu, sitwazzjoni kienet teżisti sitwazzjoni bil-marea u l-kurrenti, simili ħafna għall-preżent. Ir-rati ta 'żieda fil-livell tal-baħar naqsu s'issa, li s-sedimentazzjoni naturali mill-proċessi tar-Renu u tal-Kosta flimkien, tista' tikkumpensa t-trasgressjoni mill-baħar; Fl-aħħar 7000 sena, il-linja tal-kosta kienet bejn wieħed u ieħor fl-istess post. Fil-Baħar tan-Nofsinhar tat-Tramuntana, minħabba sussidju tettoniku kontinwu, il-livell tal-baħar għadu qed jiżdied, bir-rata ta 'madwar 1-3 cm (0.39–1.18 in) kull seklu (1 metru jew 39 pulzier fl-aħħar 3000 sena).</v>
      </c>
    </row>
    <row r="8336" ht="15.75" customHeight="1">
      <c r="A8336" s="2" t="s">
        <v>8336</v>
      </c>
      <c r="B8336" s="2" t="str">
        <f>IFERROR(__xludf.DUMMYFUNCTION("GOOGLETRANSLATE(A8336, ""en"", ""mt"")"),"Fejn huma l-ebda biża 'u RCVA bil-kwartjieri ġenerali?")</f>
        <v>Fejn huma l-ebda biża 'u RCVA bil-kwartjieri ġenerali?</v>
      </c>
    </row>
    <row r="8337" ht="15.75" customHeight="1">
      <c r="A8337" s="2" t="s">
        <v>8337</v>
      </c>
      <c r="B8337" s="2" t="str">
        <f>IFERROR(__xludf.DUMMYFUNCTION("GOOGLETRANSLATE(A8337, ""en"", ""mt"")"),"Kemm kumpaniji ġew elenkati fuq il-WSE f'April 2009?")</f>
        <v>Kemm kumpaniji ġew elenkati fuq il-WSE f'April 2009?</v>
      </c>
    </row>
    <row r="8338" ht="15.75" customHeight="1">
      <c r="A8338" s="2" t="s">
        <v>8338</v>
      </c>
      <c r="B8338" s="2" t="str">
        <f>IFERROR(__xludf.DUMMYFUNCTION("GOOGLETRANSLATE(A8338, ""en"", ""mt"")"),"Impass kostituzzjonali huwa differenti mid-diżubbidjenza ċivili għaliex ma jinkludix liema tip ta 'persuna?")</f>
        <v>Impass kostituzzjonali huwa differenti mid-diżubbidjenza ċivili għaliex ma jinkludix liema tip ta 'persuna?</v>
      </c>
    </row>
    <row r="8339" ht="15.75" customHeight="1">
      <c r="A8339" s="2" t="s">
        <v>8339</v>
      </c>
      <c r="B8339" s="2" t="str">
        <f>IFERROR(__xludf.DUMMYFUNCTION("GOOGLETRANSLATE(A8339, ""en"", ""mt"")"),"ir-rivoluzzjoni tal-kant")</f>
        <v>ir-rivoluzzjoni tal-kant</v>
      </c>
    </row>
    <row r="8340" ht="15.75" customHeight="1">
      <c r="A8340" s="2" t="s">
        <v>8340</v>
      </c>
      <c r="B8340" s="2" t="str">
        <f>IFERROR(__xludf.DUMMYFUNCTION("GOOGLETRANSLATE(A8340, ""en"", ""mt"")"),"X'għandhom studji dwar l-inugwaljanza fid-dħul kultant sabu evidenza li tikkonferma?")</f>
        <v>X'għandhom studji dwar l-inugwaljanza fid-dħul kultant sabu evidenza li tikkonferma?</v>
      </c>
    </row>
    <row r="8341" ht="15.75" customHeight="1">
      <c r="A8341" s="2" t="s">
        <v>8341</v>
      </c>
      <c r="B8341" s="2" t="str">
        <f>IFERROR(__xludf.DUMMYFUNCTION("GOOGLETRANSLATE(A8341, ""en"", ""mt"")"),"definizzjonijiet")</f>
        <v>definizzjonijiet</v>
      </c>
    </row>
    <row r="8342" ht="15.75" customHeight="1">
      <c r="A8342" s="2" t="s">
        <v>8342</v>
      </c>
      <c r="B8342" s="2" t="str">
        <f>IFERROR(__xludf.DUMMYFUNCTION("GOOGLETRANSLATE(A8342, ""en"", ""mt"")"),"Dak li ġeneralment ma jiġix iddikjarat bl-użu tan-notazzjoni l-kbira?")</f>
        <v>Dak li ġeneralment ma jiġix iddikjarat bl-użu tan-notazzjoni l-kbira?</v>
      </c>
    </row>
    <row r="8343" ht="15.75" customHeight="1">
      <c r="A8343" s="2" t="s">
        <v>8343</v>
      </c>
      <c r="B8343" s="2" t="str">
        <f>IFERROR(__xludf.DUMMYFUNCTION("GOOGLETRANSLATE(A8343, ""en"", ""mt"")"),"X'inhi d-densità tal-wraps kollha kompatibbli ma 'Modulo 9?")</f>
        <v>X'inhi d-densità tal-wraps kollha kompatibbli ma 'Modulo 9?</v>
      </c>
    </row>
    <row r="8344" ht="15.75" customHeight="1">
      <c r="A8344" s="2" t="s">
        <v>8344</v>
      </c>
      <c r="B8344" s="2" t="str">
        <f>IFERROR(__xludf.DUMMYFUNCTION("GOOGLETRANSLATE(A8344, ""en"", ""mt"")"),"Il-Gwerra taż-Żewġ Kapitali")</f>
        <v>Il-Gwerra taż-Żewġ Kapitali</v>
      </c>
    </row>
    <row r="8345" ht="15.75" customHeight="1">
      <c r="A8345" s="2" t="s">
        <v>8345</v>
      </c>
      <c r="B8345" s="2" t="str">
        <f>IFERROR(__xludf.DUMMYFUNCTION("GOOGLETRANSLATE(A8345, ""en"", ""mt"")"),"Algoritmu")</f>
        <v>Algoritmu</v>
      </c>
    </row>
    <row r="8346" ht="15.75" customHeight="1">
      <c r="A8346" s="2" t="s">
        <v>8346</v>
      </c>
      <c r="B8346" s="2" t="str">
        <f>IFERROR(__xludf.DUMMYFUNCTION("GOOGLETRANSLATE(A8346, ""en"", ""mt"")"),"Fil-forma tripletta, o
2 molekuli huma paramagnetiċi. Jiġifieri, jagħtu karattru manjetiku lill-ossiġnu meta jkun fil-preżenza ta 'kamp manjetiku, minħabba l-mumenti manjetiċi spin ta' l-elettroni mhux imqabbla fil-molekula, u l-enerġija negattiva tal-isk"&amp;"ambju bejn l-O ġirien
2 molekuli. L-ossiġnu likwidu huwa attirat minn kalamita sa ċertu punt li, f'dimostrazzjonijiet tal-laboratorju, pont ta 'ossiġnu likwidu jista' jkun sostnut kontra l-piż tiegħu stess bejn l-arbli ta 'kalamita qawwija. [C]")</f>
        <v>Fil-forma tripletta, o
2 molekuli huma paramagnetiċi. Jiġifieri, jagħtu karattru manjetiku lill-ossiġnu meta jkun fil-preżenza ta 'kamp manjetiku, minħabba l-mumenti manjetiċi spin ta' l-elettroni mhux imqabbla fil-molekula, u l-enerġija negattiva tal-iskambju bejn l-O ġirien
2 molekuli. L-ossiġnu likwidu huwa attirat minn kalamita sa ċertu punt li, f'dimostrazzjonijiet tal-laboratorju, pont ta 'ossiġnu likwidu jista' jkun sostnut kontra l-piż tiegħu stess bejn l-arbli ta 'kalamita qawwija. [C]</v>
      </c>
    </row>
    <row r="8347" ht="15.75" customHeight="1">
      <c r="A8347" s="2" t="s">
        <v>8347</v>
      </c>
      <c r="B8347" s="2" t="str">
        <f>IFERROR(__xludf.DUMMYFUNCTION("GOOGLETRANSLATE(A8347, ""en"", ""mt"")"),"L-arrest tiegħu ma kien kopert fl-ebda gazzetti fil-jiem, ġimgħat u xhur wara li ġara")</f>
        <v>L-arrest tiegħu ma kien kopert fl-ebda gazzetti fil-jiem, ġimgħat u xhur wara li ġara</v>
      </c>
    </row>
    <row r="8348" ht="15.75" customHeight="1">
      <c r="A8348" s="2" t="s">
        <v>8348</v>
      </c>
      <c r="B8348" s="2" t="str">
        <f>IFERROR(__xludf.DUMMYFUNCTION("GOOGLETRANSLATE(A8348, ""en"", ""mt"")"),"Liema marbut taż-żmien huwa iktar diffiċli biex jiġi stabbilit?")</f>
        <v>Liema marbut taż-żmien huwa iktar diffiċli biex jiġi stabbilit?</v>
      </c>
    </row>
    <row r="8349" ht="15.75" customHeight="1">
      <c r="A8349" s="2" t="s">
        <v>8349</v>
      </c>
      <c r="B8349" s="2" t="str">
        <f>IFERROR(__xludf.DUMMYFUNCTION("GOOGLETRANSLATE(A8349, ""en"", ""mt"")"),"Aare")</f>
        <v>Aare</v>
      </c>
    </row>
    <row r="8350" ht="15.75" customHeight="1">
      <c r="A8350" s="2" t="s">
        <v>8350</v>
      </c>
      <c r="B8350" s="2" t="str">
        <f>IFERROR(__xludf.DUMMYFUNCTION("GOOGLETRANSLATE(A8350, ""en"", ""mt"")"),"Jules Ferry ħaseb li r- ""tiġrijiet ogħla"" m'għandhomx id-dmir għal xiex?")</f>
        <v>Jules Ferry ħaseb li r- "tiġrijiet ogħla" m'għandhomx id-dmir għal xiex?</v>
      </c>
    </row>
    <row r="8351" ht="15.75" customHeight="1">
      <c r="A8351" s="2" t="s">
        <v>8351</v>
      </c>
      <c r="B8351" s="2" t="str">
        <f>IFERROR(__xludf.DUMMYFUNCTION("GOOGLETRANSLATE(A8351, ""en"", ""mt"")"),"Normans")</f>
        <v>Normans</v>
      </c>
    </row>
    <row r="8352" ht="15.75" customHeight="1">
      <c r="A8352" s="2" t="s">
        <v>8352</v>
      </c>
      <c r="B8352" s="2" t="str">
        <f>IFERROR(__xludf.DUMMYFUNCTION("GOOGLETRANSLATE(A8352, ""en"", ""mt"")"),"X’kien qed ifittex Sadat billi jeħles lill-Iżlamisti mill-ħabs?")</f>
        <v>X’kien qed ifittex Sadat billi jeħles lill-Iżlamisti mill-ħabs?</v>
      </c>
    </row>
    <row r="8353" ht="15.75" customHeight="1">
      <c r="A8353" s="2" t="s">
        <v>8353</v>
      </c>
      <c r="B8353" s="2" t="str">
        <f>IFERROR(__xludf.DUMMYFUNCTION("GOOGLETRANSLATE(A8353, ""en"", ""mt"")"),"Tferrix tal-baħar")</f>
        <v>Tferrix tal-baħar</v>
      </c>
    </row>
    <row r="8354" ht="15.75" customHeight="1">
      <c r="A8354" s="2" t="s">
        <v>8354</v>
      </c>
      <c r="B8354" s="2" t="str">
        <f>IFERROR(__xludf.DUMMYFUNCTION("GOOGLETRANSLATE(A8354, ""en"", ""mt"")"),"Asja")</f>
        <v>Asja</v>
      </c>
    </row>
    <row r="8355" ht="15.75" customHeight="1">
      <c r="A8355" s="2" t="s">
        <v>8355</v>
      </c>
      <c r="B8355" s="2" t="str">
        <f>IFERROR(__xludf.DUMMYFUNCTION("GOOGLETRANSLATE(A8355, ""en"", ""mt"")"),"X'inhi applikazzjoni notevoli tal-magni tal-ġett illum?")</f>
        <v>X'inhi applikazzjoni notevoli tal-magni tal-ġett illum?</v>
      </c>
    </row>
    <row r="8356" ht="15.75" customHeight="1">
      <c r="A8356" s="2" t="s">
        <v>8356</v>
      </c>
      <c r="B8356" s="2" t="str">
        <f>IFERROR(__xludf.DUMMYFUNCTION("GOOGLETRANSLATE(A8356, ""en"", ""mt"")"),"Louis Agassiz")</f>
        <v>Louis Agassiz</v>
      </c>
    </row>
    <row r="8357" ht="15.75" customHeight="1">
      <c r="A8357" s="2" t="s">
        <v>8357</v>
      </c>
      <c r="B8357" s="2" t="str">
        <f>IFERROR(__xludf.DUMMYFUNCTION("GOOGLETRANSLATE(A8357, ""en"", ""mt"")"),"Liema kunċett ġie żviluppat minn Baran waqt ir-riċerka fuq Rand")</f>
        <v>Liema kunċett ġie żviluppat minn Baran waqt ir-riċerka fuq Rand</v>
      </c>
    </row>
    <row r="8358" ht="15.75" customHeight="1">
      <c r="A8358" s="2" t="s">
        <v>8358</v>
      </c>
      <c r="B8358" s="2" t="str">
        <f>IFERROR(__xludf.DUMMYFUNCTION("GOOGLETRANSLATE(A8358, ""en"", ""mt"")"),"fil-kumitat jew kumitati rilevanti")</f>
        <v>fil-kumitat jew kumitati rilevanti</v>
      </c>
    </row>
    <row r="8359" ht="15.75" customHeight="1">
      <c r="A8359" s="2" t="s">
        <v>8359</v>
      </c>
      <c r="B8359" s="2" t="str">
        <f>IFERROR(__xludf.DUMMYFUNCTION("GOOGLETRANSLATE(A8359, ""en"", ""mt"")"),"Ma żżewweġ ir-Re David I tal-Iskozja?")</f>
        <v>Ma żżewweġ ir-Re David I tal-Iskozja?</v>
      </c>
    </row>
    <row r="8360" ht="15.75" customHeight="1">
      <c r="A8360" s="2" t="s">
        <v>8360</v>
      </c>
      <c r="B8360" s="2" t="str">
        <f>IFERROR(__xludf.DUMMYFUNCTION("GOOGLETRANSLATE(A8360, ""en"", ""mt"")"),"F'liema kompost huwa l-ossiġnu parti ta 'arranġament ta' ċirku?")</f>
        <v>F'liema kompost huwa l-ossiġnu parti ta 'arranġament ta' ċirku?</v>
      </c>
    </row>
    <row r="8361" ht="15.75" customHeight="1">
      <c r="A8361" s="2" t="s">
        <v>8361</v>
      </c>
      <c r="B8361" s="2" t="str">
        <f>IFERROR(__xludf.DUMMYFUNCTION("GOOGLETRANSLATE(A8361, ""en"", ""mt"")"),"frizzjoni kinetika")</f>
        <v>frizzjoni kinetika</v>
      </c>
    </row>
    <row r="8362" ht="15.75" customHeight="1">
      <c r="A8362" s="2" t="s">
        <v>8362</v>
      </c>
      <c r="B8362" s="2" t="str">
        <f>IFERROR(__xludf.DUMMYFUNCTION("GOOGLETRANSLATE(A8362, ""en"", ""mt"")"),"Id-disponibbiltà tal-Bibbja f'lingwi vernakulari")</f>
        <v>Id-disponibbiltà tal-Bibbja f'lingwi vernakulari</v>
      </c>
    </row>
    <row r="8363" ht="15.75" customHeight="1">
      <c r="A8363" s="2" t="s">
        <v>8363</v>
      </c>
      <c r="B8363" s="2" t="str">
        <f>IFERROR(__xludf.DUMMYFUNCTION("GOOGLETRANSLATE(A8363, ""en"", ""mt"")"),"Dan ir-reġjun jinkludi territorju li jappartjeni għal disa 'nazzjonijiet.")</f>
        <v>Dan ir-reġjun jinkludi territorju li jappartjeni għal disa 'nazzjonijiet.</v>
      </c>
    </row>
    <row r="8364" ht="15.75" customHeight="1">
      <c r="A8364" s="2" t="s">
        <v>8364</v>
      </c>
      <c r="B8364" s="2" t="str">
        <f>IFERROR(__xludf.DUMMYFUNCTION("GOOGLETRANSLATE(A8364, ""en"", ""mt"")"),"Il-Mainframe CDC fil-Michigan State University fil-East Lansing")</f>
        <v>Il-Mainframe CDC fil-Michigan State University fil-East Lansing</v>
      </c>
    </row>
    <row r="8365" ht="15.75" customHeight="1">
      <c r="A8365" s="2" t="s">
        <v>8365</v>
      </c>
      <c r="B8365" s="2" t="str">
        <f>IFERROR(__xludf.DUMMYFUNCTION("GOOGLETRANSLATE(A8365, ""en"", ""mt"")"),"Telenet u Transpac ġew implimentati b'liema?")</f>
        <v>Telenet u Transpac ġew implimentati b'liema?</v>
      </c>
    </row>
    <row r="8366" ht="15.75" customHeight="1">
      <c r="A8366" s="2" t="s">
        <v>8366</v>
      </c>
      <c r="B8366" s="2" t="str">
        <f>IFERROR(__xludf.DUMMYFUNCTION("GOOGLETRANSLATE(A8366, ""en"", ""mt"")"),"Liema tekniki jistgħu jintużaw biex tiddetermina l-paleotopografija?")</f>
        <v>Liema tekniki jistgħu jintużaw biex tiddetermina l-paleotopografija?</v>
      </c>
    </row>
    <row r="8367" ht="15.75" customHeight="1">
      <c r="A8367" s="2" t="s">
        <v>8367</v>
      </c>
      <c r="B8367" s="2" t="str">
        <f>IFERROR(__xludf.DUMMYFUNCTION("GOOGLETRANSLATE(A8367, ""en"", ""mt"")"),"Fejn hi l-fruntiera tal-Bavarja?")</f>
        <v>Fejn hi l-fruntiera tal-Bavarja?</v>
      </c>
    </row>
    <row r="8368" ht="15.75" customHeight="1">
      <c r="A8368" s="2" t="s">
        <v>8368</v>
      </c>
      <c r="B8368" s="2" t="str">
        <f>IFERROR(__xludf.DUMMYFUNCTION("GOOGLETRANSLATE(A8368, ""en"", ""mt"")"),"Għaliex ma kienet l-ebda ħsara kkawżata minn nifs pur O f'applikazzjonijiet spazjali?")</f>
        <v>Għaliex ma kienet l-ebda ħsara kkawżata minn nifs pur O f'applikazzjonijiet spazjali?</v>
      </c>
    </row>
    <row r="8369" ht="15.75" customHeight="1">
      <c r="A8369" s="2" t="s">
        <v>8369</v>
      </c>
      <c r="B8369" s="2" t="str">
        <f>IFERROR(__xludf.DUMMYFUNCTION("GOOGLETRANSLATE(A8369, ""en"", ""mt"")"),"X'hemm bżonn li jiġi evitat bid-diżubbidjenza ċivili?")</f>
        <v>X'hemm bżonn li jiġi evitat bid-diżubbidjenza ċivili?</v>
      </c>
    </row>
    <row r="8370" ht="15.75" customHeight="1">
      <c r="A8370" s="2" t="s">
        <v>8370</v>
      </c>
      <c r="B8370" s="2" t="str">
        <f>IFERROR(__xludf.DUMMYFUNCTION("GOOGLETRANSLATE(A8370, ""en"", ""mt"")"),"Dai Ön Ulus, mogħti wkoll bħala ikh yuan üls jew yekhe yuan ulus")</f>
        <v>Dai Ön Ulus, mogħti wkoll bħala ikh yuan üls jew yekhe yuan ulus</v>
      </c>
    </row>
    <row r="8371" ht="15.75" customHeight="1">
      <c r="A8371" s="2" t="s">
        <v>8371</v>
      </c>
      <c r="B8371" s="2" t="str">
        <f>IFERROR(__xludf.DUMMYFUNCTION("GOOGLETRANSLATE(A8371, ""en"", ""mt"")"),"Kemm tista 'tikber Ctenophora?")</f>
        <v>Kemm tista 'tikber Ctenophora?</v>
      </c>
    </row>
    <row r="8372" ht="15.75" customHeight="1">
      <c r="A8372" s="2" t="s">
        <v>8372</v>
      </c>
      <c r="B8372" s="2" t="str">
        <f>IFERROR(__xludf.DUMMYFUNCTION("GOOGLETRANSLATE(A8372, ""en"", ""mt"")"),"Liema kanal tilef id-dħul tar-reklamar minħabba l-pjanijiet tagħhom?")</f>
        <v>Liema kanal tilef id-dħul tar-reklamar minħabba l-pjanijiet tagħhom?</v>
      </c>
    </row>
    <row r="8373" ht="15.75" customHeight="1">
      <c r="A8373" s="2" t="s">
        <v>8373</v>
      </c>
      <c r="B8373" s="2" t="str">
        <f>IFERROR(__xludf.DUMMYFUNCTION("GOOGLETRANSLATE(A8373, ""en"", ""mt"")"),"L-attività tal-bini seħħet f'ħafna palazzi nobbli u knejjes matul id-deċennji aktar tard tas-seklu 17. Wieħed mill-aħjar eżempji ta 'din l-arkitettura huma l-Palazz Krasiński (1677-1683), il-Palazz Wiranów (1677-1696) u l-Knisja ta' San Kazimierz (1688-16"&amp;"92). L-iktar eżempji impressjonanti ta 'arkitettura ta' Rococo huma l-Palazz Czapski (1712-1721), Palazz ta 'l-Erba' Irjieħ (1730s) u Knisja Viżitantista (Faċċata 1728-1761). L-arkitettura neoklassika f'Varsavja tista 'tiġi deskritta mis-sempliċità tal-fo"&amp;"rom ġeometriċi magħquda b'ispirazzjoni kbira mill-perjodu Ruman. Uħud mill-aħjar eżempji ta 'l-istil neoklasiku huma l-palazz fuq l-ilma (mibnija mill-ġdid 1775-1795), Królikarnia (1782-1786), Knisja Karmelitana (Faċċata 1761-1783) u Knisja Evanġelika Mqa"&amp;"ddsa tat-Trinità (1777-1782). It-tkabbir ekonomiku matul l-ewwel snin tal-Kungress il-Polonja kkawża arkitettura ta 'żieda mgħaġġla. Il-qawmien mill-ġdid neoklassiku affettwa l-aspetti kollha tal-arkitettura, l-iktar notevoli huma t-Teatru l-Kbir (1825-18"&amp;"33) u bini li jinsab fil-Pjazza Bank (1825-1828).")</f>
        <v>L-attività tal-bini seħħet f'ħafna palazzi nobbli u knejjes matul id-deċennji aktar tard tas-seklu 17. Wieħed mill-aħjar eżempji ta 'din l-arkitettura huma l-Palazz Krasiński (1677-1683), il-Palazz Wiranów (1677-1696) u l-Knisja ta' San Kazimierz (1688-1692). L-iktar eżempji impressjonanti ta 'arkitettura ta' Rococo huma l-Palazz Czapski (1712-1721), Palazz ta 'l-Erba' Irjieħ (1730s) u Knisja Viżitantista (Faċċata 1728-1761). L-arkitettura neoklassika f'Varsavja tista 'tiġi deskritta mis-sempliċità tal-forom ġeometriċi magħquda b'ispirazzjoni kbira mill-perjodu Ruman. Uħud mill-aħjar eżempji ta 'l-istil neoklasiku huma l-palazz fuq l-ilma (mibnija mill-ġdid 1775-1795), Królikarnia (1782-1786), Knisja Karmelitana (Faċċata 1761-1783) u Knisja Evanġelika Mqaddsa tat-Trinità (1777-1782). It-tkabbir ekonomiku matul l-ewwel snin tal-Kungress il-Polonja kkawża arkitettura ta 'żieda mgħaġġla. Il-qawmien mill-ġdid neoklassiku affettwa l-aspetti kollha tal-arkitettura, l-iktar notevoli huma t-Teatru l-Kbir (1825-1833) u bini li jinsab fil-Pjazza Bank (1825-1828).</v>
      </c>
    </row>
    <row r="8374" ht="15.75" customHeight="1">
      <c r="A8374" s="2" t="s">
        <v>8374</v>
      </c>
      <c r="B8374" s="2" t="str">
        <f>IFERROR(__xludf.DUMMYFUNCTION("GOOGLETRANSLATE(A8374, ""en"", ""mt"")"),"1300")</f>
        <v>1300</v>
      </c>
    </row>
    <row r="8375" ht="15.75" customHeight="1">
      <c r="A8375" s="2" t="s">
        <v>8375</v>
      </c>
      <c r="B8375" s="2" t="str">
        <f>IFERROR(__xludf.DUMMYFUNCTION("GOOGLETRANSLATE(A8375, ""en"", ""mt"")"),"Lampea")</f>
        <v>Lampea</v>
      </c>
    </row>
    <row r="8376" ht="15.75" customHeight="1">
      <c r="A8376" s="2" t="s">
        <v>8376</v>
      </c>
      <c r="B8376" s="2" t="str">
        <f>IFERROR(__xludf.DUMMYFUNCTION("GOOGLETRANSLATE(A8376, ""en"", ""mt"")"),"Liema dehra għandhom ċelloli dendritiċi u dendrites newronali ma jaqsmux?")</f>
        <v>Liema dehra għandhom ċelloli dendritiċi u dendrites newronali ma jaqsmux?</v>
      </c>
    </row>
    <row r="8377" ht="15.75" customHeight="1">
      <c r="A8377" s="2" t="s">
        <v>8377</v>
      </c>
      <c r="B8377" s="2" t="str">
        <f>IFERROR(__xludf.DUMMYFUNCTION("GOOGLETRANSLATE(A8377, ""en"", ""mt"")"),"X'kien Dover iċ-ċentru Ingliż ewlieni ta 'dak iż-żmien?")</f>
        <v>X'kien Dover iċ-ċentru Ingliż ewlieni ta 'dak iż-żmien?</v>
      </c>
    </row>
    <row r="8378" ht="15.75" customHeight="1">
      <c r="A8378" s="2" t="s">
        <v>8378</v>
      </c>
      <c r="B8378" s="2" t="str">
        <f>IFERROR(__xludf.DUMMYFUNCTION("GOOGLETRANSLATE(A8378, ""en"", ""mt"")"),"Montpellier kien fost l-aktar importanti mis-66 ""Ville de Sûreté"" li l-editt tal-1598 ingħata lill-Huguenots. L-istituzzjonijiet politiċi tal-belt u l-università ngħataw lill-Huguenots. It-tensjoni ma 'Pariġi wasslet għal assedju mill-Armata Rjali fl-16"&amp;"22. It-termini tal-paċi talbu ż-żarmar tal-fortifikazzjonijiet tal-belt. Inbniet Ċittadella rjali u l-università u l-konsulat ittieħdu mill-Partit Kattoliku. Anke qabel l-Editt ta 'Alès (1629), il-ħakma Protestanta kienet mejta u l-Ville de Sûreté ma kien"&amp;"x aktar. [Ċitazzjoni meħtieġa]")</f>
        <v>Montpellier kien fost l-aktar importanti mis-66 "Ville de Sûreté" li l-editt tal-1598 ingħata lill-Huguenots. L-istituzzjonijiet politiċi tal-belt u l-università ngħataw lill-Huguenots. It-tensjoni ma 'Pariġi wasslet għal assedju mill-Armata Rjali fl-1622. It-termini tal-paċi talbu ż-żarmar tal-fortifikazzjonijiet tal-belt. Inbniet Ċittadella rjali u l-università u l-konsulat ittieħdu mill-Partit Kattoliku. Anke qabel l-Editt ta 'Alès (1629), il-ħakma Protestanta kienet mejta u l-Ville de Sûreté ma kienx aktar. [Ċitazzjoni meħtieġa]</v>
      </c>
    </row>
    <row r="8379" ht="15.75" customHeight="1">
      <c r="A8379" s="2" t="s">
        <v>8379</v>
      </c>
      <c r="B8379" s="2" t="str">
        <f>IFERROR(__xludf.DUMMYFUNCTION("GOOGLETRANSLATE(A8379, ""en"", ""mt"")"),"Liema ekwazzjoni ħassret il-fiżika tal-forza qabel l-ekwazzjoni attwali ta 'Schrodinger?")</f>
        <v>Liema ekwazzjoni ħassret il-fiżika tal-forza qabel l-ekwazzjoni attwali ta 'Schrodinger?</v>
      </c>
    </row>
    <row r="8380" ht="15.75" customHeight="1">
      <c r="A8380" s="2" t="s">
        <v>8380</v>
      </c>
      <c r="B8380" s="2" t="str">
        <f>IFERROR(__xludf.DUMMYFUNCTION("GOOGLETRANSLATE(A8380, ""en"", ""mt"")"),"Agrikoltura dwar l-Età tal-Bronż")</f>
        <v>Agrikoltura dwar l-Età tal-Bronż</v>
      </c>
    </row>
    <row r="8381" ht="15.75" customHeight="1">
      <c r="A8381" s="2" t="s">
        <v>8381</v>
      </c>
      <c r="B8381" s="2" t="str">
        <f>IFERROR(__xludf.DUMMYFUNCTION("GOOGLETRANSLATE(A8381, ""en"", ""mt"")"),"Stati ta 'mard kroniku u kumpless bħal kanċer, epatite, u artrite rewmatojde")</f>
        <v>Stati ta 'mard kroniku u kumpless bħal kanċer, epatite, u artrite rewmatojde</v>
      </c>
    </row>
    <row r="8382" ht="15.75" customHeight="1">
      <c r="A8382" s="2" t="s">
        <v>8382</v>
      </c>
      <c r="B8382" s="2" t="str">
        <f>IFERROR(__xludf.DUMMYFUNCTION("GOOGLETRANSLATE(A8382, ""en"", ""mt"")"),"Xi jfisser l-isem Fresno bl-Ispanjol?")</f>
        <v>Xi jfisser l-isem Fresno bl-Ispanjol?</v>
      </c>
    </row>
    <row r="8383" ht="15.75" customHeight="1">
      <c r="A8383" s="2" t="s">
        <v>8383</v>
      </c>
      <c r="B8383" s="2" t="str">
        <f>IFERROR(__xludf.DUMMYFUNCTION("GOOGLETRANSLATE(A8383, ""en"", ""mt"")"),"X'inhu terminu li jfisser temperatura kostanti?")</f>
        <v>X'inhu terminu li jfisser temperatura kostanti?</v>
      </c>
    </row>
    <row r="8384" ht="15.75" customHeight="1">
      <c r="A8384" s="2" t="s">
        <v>8384</v>
      </c>
      <c r="B8384" s="2" t="str">
        <f>IFERROR(__xludf.DUMMYFUNCTION("GOOGLETRANSLATE(A8384, ""en"", ""mt"")")," Min kien maħsub li kien iħobb lil Tugh Temur?")</f>
        <v> Min kien maħsub li kien iħobb lil Tugh Temur?</v>
      </c>
    </row>
    <row r="8385" ht="15.75" customHeight="1">
      <c r="A8385" s="2" t="s">
        <v>8385</v>
      </c>
      <c r="B8385" s="2" t="str">
        <f>IFERROR(__xludf.DUMMYFUNCTION("GOOGLETRANSLATE(A8385, ""en"", ""mt"")"),"San Mateo")</f>
        <v>San Mateo</v>
      </c>
    </row>
    <row r="8386" ht="15.75" customHeight="1">
      <c r="A8386" s="2" t="s">
        <v>8386</v>
      </c>
      <c r="B8386" s="2" t="str">
        <f>IFERROR(__xludf.DUMMYFUNCTION("GOOGLETRANSLATE(A8386, ""en"", ""mt"")"),"Il-Viċi Konslu tal-Afrika t'Isfel Duke Kent-Brown.")</f>
        <v>Il-Viċi Konslu tal-Afrika t'Isfel Duke Kent-Brown.</v>
      </c>
    </row>
    <row r="8387" ht="15.75" customHeight="1">
      <c r="A8387" s="2" t="s">
        <v>8387</v>
      </c>
      <c r="B8387" s="2" t="str">
        <f>IFERROR(__xludf.DUMMYFUNCTION("GOOGLETRANSLATE(A8387, ""en"", ""mt"")"),"Ħdejn il-postijiet attwali tagħhom")</f>
        <v>Ħdejn il-postijiet attwali tagħhom</v>
      </c>
    </row>
    <row r="8388" ht="15.75" customHeight="1">
      <c r="A8388" s="2" t="s">
        <v>8388</v>
      </c>
      <c r="B8388" s="2" t="str">
        <f>IFERROR(__xludf.DUMMYFUNCTION("GOOGLETRANSLATE(A8388, ""en"", ""mt"")"),"Miżuri ta 'kumplessità")</f>
        <v>Miżuri ta 'kumplessità</v>
      </c>
    </row>
    <row r="8389" ht="15.75" customHeight="1">
      <c r="A8389" s="2" t="s">
        <v>8389</v>
      </c>
      <c r="B8389" s="2" t="str">
        <f>IFERROR(__xludf.DUMMYFUNCTION("GOOGLETRANSLATE(A8389, ""en"", ""mt"")"),"X'inhi l-unika komunità tat-tip tagħha fl-Istati Uniti?")</f>
        <v>X'inhi l-unika komunità tat-tip tagħha fl-Istati Uniti?</v>
      </c>
    </row>
    <row r="8390" ht="15.75" customHeight="1">
      <c r="A8390" s="2" t="s">
        <v>8390</v>
      </c>
      <c r="B8390" s="2" t="str">
        <f>IFERROR(__xludf.DUMMYFUNCTION("GOOGLETRANSLATE(A8390, ""en"", ""mt"")"),"Il-popolazzjoni Franċiża kienet tgħodd madwar 75,000 u kienet ikkonċentrata ħafna tul il-Wied tax-Xmara St Lawrence, b'xi wħud ukoll f'Acadia (New Brunswick tal-lum u partijiet ta 'Nova Scotia, inkluża île Royale (preżenti l-ġurnata Cape Breton Island)). "&amp;"Anqas għexet fi New Orleans, Biloxi, Mississippi, Mobile, Alabama u insedjamenti żgħar fil-pajjiż ta 'l-Illinois, li tgħannqu n-naħa tal-lvant tax-Xmara Mississippi u t-tributarji tagħha. In-negozjanti tal-pil Franċiżi u n-nassaba vvjaġġaw madwar il-Water"&amp;"sheds ta ’San Lawrenz u l-Mississippi, għamlu negozju ma’ tribujiet lokali, u ħafna drabi żżewġu nisa Indjani. In-negozjanti żżewġu ibniet ta 'kapijiet, u ħolqu unjonijiet ta' grad għoli.")</f>
        <v>Il-popolazzjoni Franċiża kienet tgħodd madwar 75,000 u kienet ikkonċentrata ħafna tul il-Wied tax-Xmara St Lawrence, b'xi wħud ukoll f'Acadia (New Brunswick tal-lum u partijiet ta 'Nova Scotia, inkluża île Royale (preżenti l-ġurnata Cape Breton Island)). Anqas għexet fi New Orleans, Biloxi, Mississippi, Mobile, Alabama u insedjamenti żgħar fil-pajjiż ta 'l-Illinois, li tgħannqu n-naħa tal-lvant tax-Xmara Mississippi u t-tributarji tagħha. In-negozjanti tal-pil Franċiżi u n-nassaba vvjaġġaw madwar il-Watersheds ta ’San Lawrenz u l-Mississippi, għamlu negozju ma’ tribujiet lokali, u ħafna drabi żżewġu nisa Indjani. In-negozjanti żżewġu ibniet ta 'kapijiet, u ħolqu unjonijiet ta' grad għoli.</v>
      </c>
    </row>
    <row r="8391" ht="15.75" customHeight="1">
      <c r="A8391" s="2" t="s">
        <v>8391</v>
      </c>
      <c r="B8391" s="2" t="str">
        <f>IFERROR(__xludf.DUMMYFUNCTION("GOOGLETRANSLATE(A8391, ""en"", ""mt"")"),"X'inhi d-diżubbidjenza ċivili reċenti f'forma ta 'grupp?")</f>
        <v>X'inhi d-diżubbidjenza ċivili reċenti f'forma ta 'grupp?</v>
      </c>
    </row>
    <row r="8392" ht="15.75" customHeight="1">
      <c r="A8392" s="2" t="s">
        <v>8392</v>
      </c>
      <c r="B8392" s="2" t="str">
        <f>IFERROR(__xludf.DUMMYFUNCTION("GOOGLETRANSLATE(A8392, ""en"", ""mt"")"),"Groove ciliary")</f>
        <v>Groove ciliary</v>
      </c>
    </row>
    <row r="8393" ht="15.75" customHeight="1">
      <c r="A8393" s="2" t="s">
        <v>8393</v>
      </c>
      <c r="B8393" s="2" t="str">
        <f>IFERROR(__xludf.DUMMYFUNCTION("GOOGLETRANSLATE(A8393, ""en"", ""mt"")"),"Apple Inc ħolqot dak fl-1985?")</f>
        <v>Apple Inc ħolqot dak fl-1985?</v>
      </c>
    </row>
    <row r="8394" ht="15.75" customHeight="1">
      <c r="A8394" s="2" t="s">
        <v>8394</v>
      </c>
      <c r="B8394" s="2" t="str">
        <f>IFERROR(__xludf.DUMMYFUNCTION("GOOGLETRANSLATE(A8394, ""en"", ""mt"")"),"1920s")</f>
        <v>1920s</v>
      </c>
    </row>
    <row r="8395" ht="15.75" customHeight="1">
      <c r="A8395" s="2" t="s">
        <v>8395</v>
      </c>
      <c r="B8395" s="2" t="str">
        <f>IFERROR(__xludf.DUMMYFUNCTION("GOOGLETRANSLATE(A8395, ""en"", ""mt"")"),"Kemm-il linji tal-ferrovija tal-kejl dojoq kienu proprjetà tal-gvern?")</f>
        <v>Kemm-il linji tal-ferrovija tal-kejl dojoq kienu proprjetà tal-gvern?</v>
      </c>
    </row>
    <row r="8396" ht="15.75" customHeight="1">
      <c r="A8396" s="2" t="s">
        <v>8396</v>
      </c>
      <c r="B8396" s="2" t="str">
        <f>IFERROR(__xludf.DUMMYFUNCTION("GOOGLETRANSLATE(A8396, ""en"", ""mt"")"),"Fejn l-ispiżjara kliniċi mhumiex permessi jaħdmu mal-pazjenti?")</f>
        <v>Fejn l-ispiżjara kliniċi mhumiex permessi jaħdmu mal-pazjenti?</v>
      </c>
    </row>
    <row r="8397" ht="15.75" customHeight="1">
      <c r="A8397" s="2" t="s">
        <v>8397</v>
      </c>
      <c r="B8397" s="2" t="str">
        <f>IFERROR(__xludf.DUMMYFUNCTION("GOOGLETRANSLATE(A8397, ""en"", ""mt"")"),"Kemm jinstab ossiġnu huwa litru ta 'ilma ħelu f'kundizzjonijiet normali?")</f>
        <v>Kemm jinstab ossiġnu huwa litru ta 'ilma ħelu f'kundizzjonijiet normali?</v>
      </c>
    </row>
    <row r="8398" ht="15.75" customHeight="1">
      <c r="A8398" s="2" t="s">
        <v>8398</v>
      </c>
      <c r="B8398" s="2" t="str">
        <f>IFERROR(__xludf.DUMMYFUNCTION("GOOGLETRANSLATE(A8398, ""en"", ""mt"")"),"Kif huma differenti l-iskejjel 'mhux megħjuna' minn skejjel 'megħjuna'?")</f>
        <v>Kif huma differenti l-iskejjel 'mhux megħjuna' minn skejjel 'megħjuna'?</v>
      </c>
    </row>
    <row r="8399" ht="15.75" customHeight="1">
      <c r="A8399" s="2" t="s">
        <v>8399</v>
      </c>
      <c r="B8399" s="2" t="str">
        <f>IFERROR(__xludf.DUMMYFUNCTION("GOOGLETRANSLATE(A8399, ""en"", ""mt"")"),"Belt Ġdida Bold tan-Nofsinhar")</f>
        <v>Belt Ġdida Bold tan-Nofsinhar</v>
      </c>
    </row>
    <row r="8400" ht="15.75" customHeight="1">
      <c r="A8400" s="2" t="s">
        <v>8400</v>
      </c>
      <c r="B8400" s="2" t="str">
        <f>IFERROR(__xludf.DUMMYFUNCTION("GOOGLETRANSLATE(A8400, ""en"", ""mt"")"),"iktar għali")</f>
        <v>iktar għali</v>
      </c>
    </row>
    <row r="8401" ht="15.75" customHeight="1">
      <c r="A8401" s="2" t="s">
        <v>8401</v>
      </c>
      <c r="B8401" s="2" t="str">
        <f>IFERROR(__xludf.DUMMYFUNCTION("GOOGLETRANSLATE(A8401, ""en"", ""mt"")"),"Liema reliġjon ippreferiet Kublai?")</f>
        <v>Liema reliġjon ippreferiet Kublai?</v>
      </c>
    </row>
    <row r="8402" ht="15.75" customHeight="1">
      <c r="A8402" s="2" t="s">
        <v>8402</v>
      </c>
      <c r="B8402" s="2" t="str">
        <f>IFERROR(__xludf.DUMMYFUNCTION("GOOGLETRANSLATE(A8402, ""en"", ""mt"")"),"Disa 'wieħed")</f>
        <v>Disa 'wieħed</v>
      </c>
    </row>
    <row r="8403" ht="15.75" customHeight="1">
      <c r="A8403" s="2" t="s">
        <v>8403</v>
      </c>
      <c r="B8403" s="2" t="str">
        <f>IFERROR(__xludf.DUMMYFUNCTION("GOOGLETRANSLATE(A8403, ""en"", ""mt"")"),"Il-Knisja Kattolika Rumana")</f>
        <v>Il-Knisja Kattolika Rumana</v>
      </c>
    </row>
    <row r="8404" ht="15.75" customHeight="1">
      <c r="A8404" s="2" t="s">
        <v>8404</v>
      </c>
      <c r="B8404" s="2" t="str">
        <f>IFERROR(__xludf.DUMMYFUNCTION("GOOGLETRANSLATE(A8404, ""en"", ""mt"")"),"Il-blat fil-Grand Canyon ilhom fis-seħħ minn meta?")</f>
        <v>Il-blat fil-Grand Canyon ilhom fis-seħħ minn meta?</v>
      </c>
    </row>
    <row r="8405" ht="15.75" customHeight="1">
      <c r="A8405" s="2" t="s">
        <v>8405</v>
      </c>
      <c r="B8405" s="2" t="str">
        <f>IFERROR(__xludf.DUMMYFUNCTION("GOOGLETRANSLATE(A8405, ""en"", ""mt"")"),"63%")</f>
        <v>63%</v>
      </c>
    </row>
    <row r="8406" ht="15.75" customHeight="1">
      <c r="A8406" s="2" t="s">
        <v>8406</v>
      </c>
      <c r="B8406" s="2" t="str">
        <f>IFERROR(__xludf.DUMMYFUNCTION("GOOGLETRANSLATE(A8406, ""en"", ""mt"")"),"Liema problema tal-komputazzjoni mhix komunement assoċjata ma 'fatturizzazzjoni ewlenija?")</f>
        <v>Liema problema tal-komputazzjoni mhix komunement assoċjata ma 'fatturizzazzjoni ewlenija?</v>
      </c>
    </row>
    <row r="8407" ht="15.75" customHeight="1">
      <c r="A8407" s="2" t="s">
        <v>8407</v>
      </c>
      <c r="B8407" s="2" t="str">
        <f>IFERROR(__xludf.DUMMYFUNCTION("GOOGLETRANSLATE(A8407, ""en"", ""mt"")"),"David Bevington")</f>
        <v>David Bevington</v>
      </c>
    </row>
    <row r="8408" ht="15.75" customHeight="1">
      <c r="A8408" s="2" t="s">
        <v>8408</v>
      </c>
      <c r="B8408" s="2" t="str">
        <f>IFERROR(__xludf.DUMMYFUNCTION("GOOGLETRANSLATE(A8408, ""en"", ""mt"")"),"F'liema sena l-iżviluppaturi Billings &amp; Meyering akkwistaw il-passaġġ Alta Vista?")</f>
        <v>F'liema sena l-iżviluppaturi Billings &amp; Meyering akkwistaw il-passaġġ Alta Vista?</v>
      </c>
    </row>
    <row r="8409" ht="15.75" customHeight="1">
      <c r="A8409" s="2" t="s">
        <v>8409</v>
      </c>
      <c r="B8409" s="2" t="str">
        <f>IFERROR(__xludf.DUMMYFUNCTION("GOOGLETRANSLATE(A8409, ""en"", ""mt"")"),"It-temperaturi u l-livelli tal-baħar kienu qed jiżdiedu fuq jew 'il fuq mir-rati massimi")</f>
        <v>It-temperaturi u l-livelli tal-baħar kienu qed jiżdiedu fuq jew 'il fuq mir-rati massimi</v>
      </c>
    </row>
    <row r="8410" ht="15.75" customHeight="1">
      <c r="A8410" s="2" t="s">
        <v>8410</v>
      </c>
      <c r="B8410" s="2" t="str">
        <f>IFERROR(__xludf.DUMMYFUNCTION("GOOGLETRANSLATE(A8410, ""en"", ""mt"")"),"X'jissegwi l-Bord tal-Presidenti?")</f>
        <v>X'jissegwi l-Bord tal-Presidenti?</v>
      </c>
    </row>
    <row r="8411" ht="15.75" customHeight="1">
      <c r="A8411" s="2" t="s">
        <v>8411</v>
      </c>
      <c r="B8411" s="2" t="str">
        <f>IFERROR(__xludf.DUMMYFUNCTION("GOOGLETRANSLATE(A8411, ""en"", ""mt"")"),"kriżi tal-enerġija")</f>
        <v>kriżi tal-enerġija</v>
      </c>
    </row>
    <row r="8412" ht="15.75" customHeight="1">
      <c r="A8412" s="2" t="s">
        <v>8412</v>
      </c>
      <c r="B8412" s="2" t="str">
        <f>IFERROR(__xludf.DUMMYFUNCTION("GOOGLETRANSLATE(A8412, ""en"", ""mt"")"),"25m")</f>
        <v>25m</v>
      </c>
    </row>
    <row r="8413" ht="15.75" customHeight="1">
      <c r="A8413" s="2" t="s">
        <v>8413</v>
      </c>
      <c r="B8413" s="2" t="str">
        <f>IFERROR(__xludf.DUMMYFUNCTION("GOOGLETRANSLATE(A8413, ""en"", ""mt"")"),"1,000 m3 / s (35,000 cu ft / s)")</f>
        <v>1,000 m3 / s (35,000 cu ft / s)</v>
      </c>
    </row>
    <row r="8414" ht="15.75" customHeight="1">
      <c r="A8414" s="2" t="s">
        <v>8414</v>
      </c>
      <c r="B8414" s="2" t="str">
        <f>IFERROR(__xludf.DUMMYFUNCTION("GOOGLETRANSLATE(A8414, ""en"", ""mt"")"),"Meta ġiet inkorporata d-Dukat Masovjan fil-kuruna Pollakka?")</f>
        <v>Meta ġiet inkorporata d-Dukat Masovjan fil-kuruna Pollakka?</v>
      </c>
    </row>
    <row r="8415" ht="15.75" customHeight="1">
      <c r="A8415" s="2" t="s">
        <v>8415</v>
      </c>
      <c r="B8415" s="2" t="str">
        <f>IFERROR(__xludf.DUMMYFUNCTION("GOOGLETRANSLATE(A8415, ""en"", ""mt"")"),"Min rebaħ il-battalja tal-Lag George?")</f>
        <v>Min rebaħ il-battalja tal-Lag George?</v>
      </c>
    </row>
    <row r="8416" ht="15.75" customHeight="1">
      <c r="A8416" s="2" t="s">
        <v>8416</v>
      </c>
      <c r="B8416" s="2" t="str">
        <f>IFERROR(__xludf.DUMMYFUNCTION("GOOGLETRANSLATE(A8416, ""en"", ""mt"")"),"Kemm jista 'malajr algoritmu jsolvi problema ta' ħabta kompluta NP?")</f>
        <v>Kemm jista 'malajr algoritmu jsolvi problema ta' ħabta kompluta NP?</v>
      </c>
    </row>
    <row r="8417" ht="15.75" customHeight="1">
      <c r="A8417" s="2" t="s">
        <v>8417</v>
      </c>
      <c r="B8417" s="2" t="str">
        <f>IFERROR(__xludf.DUMMYFUNCTION("GOOGLETRANSLATE(A8417, ""en"", ""mt"")"),"Filwaqt li tirrikonoxxi r-rwol ċentrali tat-tkabbir ekonomiku jista 'potenzjalment jilgħab fl-iżvilupp tal-bniedem, it-tnaqqis tal-faqar u l-kisba tal-għanijiet tal-iżvilupp tal-millennju, qed jinftiehem ħafna fost il-komunità tal-iżvilupp li għandhom isi"&amp;"ru sforzi speċjali biex jiżguraw li sezzjonijiet ifqar tas-soċjetà jkunu kapaċi jipparteċipaw fit-tkabbir ekonomiku. L-effett tat-tkabbir ekonomiku fuq it-tnaqqis tal-faqar - l-elastiċità tat-tkabbir tal-faqar - jista 'jiddependi fuq il-livell eżistenti t"&amp;"a' inugwaljanza. Pereżempju, bl-inugwaljanza baxxa pajjiż b'rata ta 'tkabbir ta' 2% għal kull ras u 40% tal-popolazzjoni tiegħu li tgħix fil-faqar, tista 'tnaqqas bin-nofs il-faqar f'għaxar snin, iżda pajjiż b'inugwaljanza għolja jieħu kważi 60 sena biex "&amp;"jinkiseb l-istess tnaqqis - Fi kliem is-Segretarju Ġenerali tal-projbizzjoni tan-Nazzjonijiet Uniti Ki-moon: ""Filwaqt li t-tkabbir ekonomiku huwa meħtieġ, mhuwiex biżżejjed għall-progress fit-tnaqqis tal-faqar.""")</f>
        <v>Filwaqt li tirrikonoxxi r-rwol ċentrali tat-tkabbir ekonomiku jista 'potenzjalment jilgħab fl-iżvilupp tal-bniedem, it-tnaqqis tal-faqar u l-kisba tal-għanijiet tal-iżvilupp tal-millennju, qed jinftiehem ħafna fost il-komunità tal-iżvilupp li għandhom isiru sforzi speċjali biex jiżguraw li sezzjonijiet ifqar tas-soċjetà jkunu kapaċi jipparteċipaw fit-tkabbir ekonomiku. L-effett tat-tkabbir ekonomiku fuq it-tnaqqis tal-faqar - l-elastiċità tat-tkabbir tal-faqar - jista 'jiddependi fuq il-livell eżistenti ta' inugwaljanza. Pereżempju, bl-inugwaljanza baxxa pajjiż b'rata ta 'tkabbir ta' 2% għal kull ras u 40% tal-popolazzjoni tiegħu li tgħix fil-faqar, tista 'tnaqqas bin-nofs il-faqar f'għaxar snin, iżda pajjiż b'inugwaljanza għolja jieħu kważi 60 sena biex jinkiseb l-istess tnaqqis - Fi kliem is-Segretarju Ġenerali tal-projbizzjoni tan-Nazzjonijiet Uniti Ki-moon: "Filwaqt li t-tkabbir ekonomiku huwa meħtieġ, mhuwiex biżżejjed għall-progress fit-tnaqqis tal-faqar."</v>
      </c>
    </row>
    <row r="8418" ht="15.75" customHeight="1">
      <c r="A8418" s="2" t="s">
        <v>8418</v>
      </c>
      <c r="B8418" s="2" t="str">
        <f>IFERROR(__xludf.DUMMYFUNCTION("GOOGLETRANSLATE(A8418, ""en"", ""mt"")"),"Liema organizzazzjoni argumentat li n-nixfa, fost effetti oħra, tista 'tikkawża li l-Forest Amazon jilħaq ""punt li jbaxxi?""")</f>
        <v>Liema organizzazzjoni argumentat li n-nixfa, fost effetti oħra, tista 'tikkawża li l-Forest Amazon jilħaq "punt li jbaxxi?"</v>
      </c>
    </row>
    <row r="8419" ht="15.75" customHeight="1">
      <c r="A8419" s="2" t="s">
        <v>8419</v>
      </c>
      <c r="B8419" s="2" t="str">
        <f>IFERROR(__xludf.DUMMYFUNCTION("GOOGLETRANSLATE(A8419, ""en"", ""mt"")"),"Meta beda r-rewwixta ta 'Varsavja?")</f>
        <v>Meta beda r-rewwixta ta 'Varsavja?</v>
      </c>
    </row>
    <row r="8420" ht="15.75" customHeight="1">
      <c r="A8420" s="2" t="s">
        <v>8420</v>
      </c>
      <c r="B8420" s="2" t="str">
        <f>IFERROR(__xludf.DUMMYFUNCTION("GOOGLETRANSLATE(A8420, ""en"", ""mt"")"),"Liema uragan kellu inqas effett fuq Jacksonville minn bliet oħra tul il-kosta?")</f>
        <v>Liema uragan kellu inqas effett fuq Jacksonville minn bliet oħra tul il-kosta?</v>
      </c>
    </row>
    <row r="8421" ht="15.75" customHeight="1">
      <c r="A8421" s="2" t="s">
        <v>8421</v>
      </c>
      <c r="B8421" s="2" t="str">
        <f>IFERROR(__xludf.DUMMYFUNCTION("GOOGLETRANSLATE(A8421, ""en"", ""mt"")"),"Telfa mgħaġġla u deċiżiva")</f>
        <v>Telfa mgħaġġla u deċiżiva</v>
      </c>
    </row>
    <row r="8422" ht="15.75" customHeight="1">
      <c r="A8422" s="2" t="s">
        <v>8422</v>
      </c>
      <c r="B8422" s="2" t="str">
        <f>IFERROR(__xludf.DUMMYFUNCTION("GOOGLETRANSLATE(A8422, ""en"", ""mt"")"),"Liema qorti ma argumentatx li t-Trattat ta 'Ruma ma waqqafx in-nazzjonaliżmu tal-enerġija?")</f>
        <v>Liema qorti ma argumentatx li t-Trattat ta 'Ruma ma waqqafx in-nazzjonaliżmu tal-enerġija?</v>
      </c>
    </row>
    <row r="8423" ht="15.75" customHeight="1">
      <c r="A8423" s="2" t="s">
        <v>8423</v>
      </c>
      <c r="B8423" s="2" t="str">
        <f>IFERROR(__xludf.DUMMYFUNCTION("GOOGLETRANSLATE(A8423, ""en"", ""mt"")"),"L-ewwel xogħol ewlieni biex jikkontesta direttament it-teorija tal-pesta bubonika,")</f>
        <v>L-ewwel xogħol ewlieni biex jikkontesta direttament it-teorija tal-pesta bubonika,</v>
      </c>
    </row>
    <row r="8424" ht="15.75" customHeight="1">
      <c r="A8424" s="2" t="s">
        <v>8424</v>
      </c>
      <c r="B8424" s="2" t="str">
        <f>IFERROR(__xludf.DUMMYFUNCTION("GOOGLETRANSLATE(A8424, ""en"", ""mt"")"),"X'jista 'jsir għar-rekwiżiti tal-ispazju?")</f>
        <v>X'jista 'jsir għar-rekwiżiti tal-ispazju?</v>
      </c>
    </row>
    <row r="8425" ht="15.75" customHeight="1">
      <c r="A8425" s="2" t="s">
        <v>8425</v>
      </c>
      <c r="B8425" s="2" t="str">
        <f>IFERROR(__xludf.DUMMYFUNCTION("GOOGLETRANSLATE(A8425, ""en"", ""mt"")"),"is-smewwiet")</f>
        <v>is-smewwiet</v>
      </c>
    </row>
    <row r="8426" ht="15.75" customHeight="1">
      <c r="A8426" s="2" t="s">
        <v>8426</v>
      </c>
      <c r="B8426" s="2" t="str">
        <f>IFERROR(__xludf.DUMMYFUNCTION("GOOGLETRANSLATE(A8426, ""en"", ""mt"")"),"Xi dibattitu li hemm korrelazzjoni bejn il-kapitaliżmu, l-imperjalizmu, u xiex?")</f>
        <v>Xi dibattitu li hemm korrelazzjoni bejn il-kapitaliżmu, l-imperjalizmu, u xiex?</v>
      </c>
    </row>
    <row r="8427" ht="15.75" customHeight="1">
      <c r="A8427" s="2" t="s">
        <v>8427</v>
      </c>
      <c r="B8427" s="2" t="str">
        <f>IFERROR(__xludf.DUMMYFUNCTION("GOOGLETRANSLATE(A8427, ""en"", ""mt"")"),"Aktar minn $ 20 biljun")</f>
        <v>Aktar minn $ 20 biljun</v>
      </c>
    </row>
    <row r="8428" ht="15.75" customHeight="1">
      <c r="A8428" s="2" t="s">
        <v>8428</v>
      </c>
      <c r="B8428" s="2" t="str">
        <f>IFERROR(__xludf.DUMMYFUNCTION("GOOGLETRANSLATE(A8428, ""en"", ""mt"")"),"X'inhu kkonċentrat fix-xhur l-iktar kesħin tas-sena?")</f>
        <v>X'inhu kkonċentrat fix-xhur l-iktar kesħin tas-sena?</v>
      </c>
    </row>
    <row r="8429" ht="15.75" customHeight="1">
      <c r="A8429" s="2" t="s">
        <v>8429</v>
      </c>
      <c r="B8429" s="2" t="str">
        <f>IFERROR(__xludf.DUMMYFUNCTION("GOOGLETRANSLATE(A8429, ""en"", ""mt"")"),"Min ġab il-Mongoli liċ-Ċina bħala amministraturi?")</f>
        <v>Min ġab il-Mongoli liċ-Ċina bħala amministraturi?</v>
      </c>
    </row>
    <row r="8430" ht="15.75" customHeight="1">
      <c r="A8430" s="2" t="s">
        <v>8430</v>
      </c>
      <c r="B8430" s="2" t="str">
        <f>IFERROR(__xludf.DUMMYFUNCTION("GOOGLETRANSLATE(A8430, ""en"", ""mt"")"),"X’sar is-sigriet għat-tkabbir ekonomiku?")</f>
        <v>X’sar is-sigriet għat-tkabbir ekonomiku?</v>
      </c>
    </row>
    <row r="8431" ht="15.75" customHeight="1">
      <c r="A8431" s="2" t="s">
        <v>8431</v>
      </c>
      <c r="B8431" s="2" t="str">
        <f>IFERROR(__xludf.DUMMYFUNCTION("GOOGLETRANSLATE(A8431, ""en"", ""mt"")"),"Il-president tal-kummissjoni (")</f>
        <v>Il-president tal-kummissjoni (</v>
      </c>
    </row>
    <row r="8432" ht="15.75" customHeight="1">
      <c r="A8432" s="2" t="s">
        <v>8432</v>
      </c>
      <c r="B8432" s="2" t="str">
        <f>IFERROR(__xludf.DUMMYFUNCTION("GOOGLETRANSLATE(A8432, ""en"", ""mt"")"),"0.3 sa 0.6 ° C")</f>
        <v>0.3 sa 0.6 ° C</v>
      </c>
    </row>
    <row r="8433" ht="15.75" customHeight="1">
      <c r="A8433" s="2" t="s">
        <v>8433</v>
      </c>
      <c r="B8433" s="2" t="str">
        <f>IFERROR(__xludf.DUMMYFUNCTION("GOOGLETRANSLATE(A8433, ""en"", ""mt"")"),"X'inhuma klassifikati bħala ""kwantitajiet vintage""?")</f>
        <v>X'inhuma klassifikati bħala "kwantitajiet vintage"?</v>
      </c>
    </row>
    <row r="8434" ht="15.75" customHeight="1">
      <c r="A8434" s="2" t="s">
        <v>8434</v>
      </c>
      <c r="B8434" s="2" t="str">
        <f>IFERROR(__xludf.DUMMYFUNCTION("GOOGLETRANSLATE(A8434, ""en"", ""mt"")"),"Filmmakers ibbażati fuq New York")</f>
        <v>Filmmakers ibbażati fuq New York</v>
      </c>
    </row>
    <row r="8435" ht="15.75" customHeight="1">
      <c r="A8435" s="2" t="s">
        <v>8435</v>
      </c>
      <c r="B8435" s="2" t="str">
        <f>IFERROR(__xludf.DUMMYFUNCTION("GOOGLETRANSLATE(A8435, ""en"", ""mt"")"),"numru sħiħ ta 'oqsma ta' numri kwadratiċi")</f>
        <v>numru sħiħ ta 'oqsma ta' numri kwadratiċi</v>
      </c>
    </row>
    <row r="8436" ht="15.75" customHeight="1">
      <c r="A8436" s="2" t="s">
        <v>8436</v>
      </c>
      <c r="B8436" s="2" t="str">
        <f>IFERROR(__xludf.DUMMYFUNCTION("GOOGLETRANSLATE(A8436, ""en"", ""mt"")"),"Min ma kellux immunità mill-prosekuzzjoni talli għamel atti uffiċjali?")</f>
        <v>Min ma kellux immunità mill-prosekuzzjoni talli għamel atti uffiċjali?</v>
      </c>
    </row>
    <row r="8437" ht="15.75" customHeight="1">
      <c r="A8437" s="2" t="s">
        <v>8437</v>
      </c>
      <c r="B8437" s="2" t="str">
        <f>IFERROR(__xludf.DUMMYFUNCTION("GOOGLETRANSLATE(A8437, ""en"", ""mt"")"),"Trypanosoma Brucei")</f>
        <v>Trypanosoma Brucei</v>
      </c>
    </row>
    <row r="8438" ht="15.75" customHeight="1">
      <c r="A8438" s="2" t="s">
        <v>8438</v>
      </c>
      <c r="B8438" s="2" t="str">
        <f>IFERROR(__xludf.DUMMYFUNCTION("GOOGLETRANSLATE(A8438, ""en"", ""mt"")"),"Fejn inbnew il-linji tal-ferrovija tal-kejl dojoq fir-Rabat?")</f>
        <v>Fejn inbnew il-linji tal-ferrovija tal-kejl dojoq fir-Rabat?</v>
      </c>
    </row>
    <row r="8439" ht="15.75" customHeight="1">
      <c r="A8439" s="2" t="s">
        <v>8439</v>
      </c>
      <c r="B8439" s="2" t="str">
        <f>IFERROR(__xludf.DUMMYFUNCTION("GOOGLETRANSLATE(A8439, ""en"", ""mt"")"),"X'inhi t-temperatura medjana fix-xitwa?")</f>
        <v>X'inhi t-temperatura medjana fix-xitwa?</v>
      </c>
    </row>
    <row r="8440" ht="15.75" customHeight="1">
      <c r="A8440" s="2" t="s">
        <v>8440</v>
      </c>
      <c r="B8440" s="2" t="str">
        <f>IFERROR(__xludf.DUMMYFUNCTION("GOOGLETRANSLATE(A8440, ""en"", ""mt"")"),"it-trattati li jistabbilixxu l-Unjoni Ewropea")</f>
        <v>it-trattati li jistabbilixxu l-Unjoni Ewropea</v>
      </c>
    </row>
    <row r="8441" ht="15.75" customHeight="1">
      <c r="A8441" s="2" t="s">
        <v>8441</v>
      </c>
      <c r="B8441" s="2" t="str">
        <f>IFERROR(__xludf.DUMMYFUNCTION("GOOGLETRANSLATE(A8441, ""en"", ""mt"")"),"Ir-Royal Geographic Society ta ’Londra u soċjetajiet ġeografiċi oħra fl-Ewropa kellhom influwenza kbira u setgħu jiffinanzjaw vjaġġaturi li kienu se jerġgħu lura bir-rakkonti tal-iskoperti tagħhom. Dawn is-soċjetajiet servew ukoll bħala spazju għall-vjaġġ"&amp;"aturi biex jaqsmu dawn l-istejjer. Ġeografi politiċi bħal Friedrich Ratzel tal-Ġermanja u Halford Mackinder tal-Gran Brittanja appoġġjaw ukoll l-imperjalizmu. Ratzel jemmen li l-espansjoni kienet meħtieġa għas-sopravivenza ta 'stat filwaqt li Mackinder ap"&amp;"poġġa l-espansjoni imperjali tal-Gran Brittanja; Dawn iż-żewġ argumenti ddominaw id-dixxiplina għal għexieren ta ’snin.")</f>
        <v>Ir-Royal Geographic Society ta ’Londra u soċjetajiet ġeografiċi oħra fl-Ewropa kellhom influwenza kbira u setgħu jiffinanzjaw vjaġġaturi li kienu se jerġgħu lura bir-rakkonti tal-iskoperti tagħhom. Dawn is-soċjetajiet servew ukoll bħala spazju għall-vjaġġaturi biex jaqsmu dawn l-istejjer. Ġeografi politiċi bħal Friedrich Ratzel tal-Ġermanja u Halford Mackinder tal-Gran Brittanja appoġġjaw ukoll l-imperjalizmu. Ratzel jemmen li l-espansjoni kienet meħtieġa għas-sopravivenza ta 'stat filwaqt li Mackinder appoġġa l-espansjoni imperjali tal-Gran Brittanja; Dawn iż-żewġ argumenti ddominaw id-dixxiplina għal għexieren ta ’snin.</v>
      </c>
    </row>
    <row r="8442" ht="15.75" customHeight="1">
      <c r="A8442" s="2" t="s">
        <v>8442</v>
      </c>
      <c r="B8442" s="2" t="str">
        <f>IFERROR(__xludf.DUMMYFUNCTION("GOOGLETRANSLATE(A8442, ""en"", ""mt"")"),"Kemm tipi ta 'movimenti għandhom l-euplokamis tentilla?")</f>
        <v>Kemm tipi ta 'movimenti għandhom l-euplokamis tentilla?</v>
      </c>
    </row>
    <row r="8443" ht="15.75" customHeight="1">
      <c r="A8443" s="2" t="s">
        <v>8443</v>
      </c>
      <c r="B8443" s="2" t="str">
        <f>IFERROR(__xludf.DUMMYFUNCTION("GOOGLETRANSLATE(A8443, ""en"", ""mt"")"),"Il-Prinċep ta ’Płock")</f>
        <v>Il-Prinċep ta ’Płock</v>
      </c>
    </row>
    <row r="8444" ht="15.75" customHeight="1">
      <c r="A8444" s="2" t="s">
        <v>8444</v>
      </c>
      <c r="B8444" s="2" t="str">
        <f>IFERROR(__xludf.DUMMYFUNCTION("GOOGLETRANSLATE(A8444, ""en"", ""mt"")"),"Għaliex illum l-eżempji ta 'arkitettura ta' Bouregois illum?")</f>
        <v>Għaliex illum l-eżempji ta 'arkitettura ta' Bouregois illum?</v>
      </c>
    </row>
    <row r="8445" ht="15.75" customHeight="1">
      <c r="A8445" s="2" t="s">
        <v>8445</v>
      </c>
      <c r="B8445" s="2" t="str">
        <f>IFERROR(__xludf.DUMMYFUNCTION("GOOGLETRANSLATE(A8445, ""en"", ""mt"")"),"Il-Parlament Ewropew u l-Kunsill tal-Unjoni Ewropea")</f>
        <v>Il-Parlament Ewropew u l-Kunsill tal-Unjoni Ewropea</v>
      </c>
    </row>
    <row r="8446" ht="15.75" customHeight="1">
      <c r="A8446" s="2" t="s">
        <v>8446</v>
      </c>
      <c r="B8446" s="2" t="str">
        <f>IFERROR(__xludf.DUMMYFUNCTION("GOOGLETRANSLATE(A8446, ""en"", ""mt"")"),"Kif jissejjaħ iċ-ċentru tal-belt ta ’Berlin bil-Pollakk?")</f>
        <v>Kif jissejjaħ iċ-ċentru tal-belt ta ’Berlin bil-Pollakk?</v>
      </c>
    </row>
    <row r="8447" ht="15.75" customHeight="1">
      <c r="A8447" s="2" t="s">
        <v>8447</v>
      </c>
      <c r="B8447" s="2" t="str">
        <f>IFERROR(__xludf.DUMMYFUNCTION("GOOGLETRANSLATE(A8447, ""en"", ""mt"")"),"ċelloli T tal-għajnuna, ċelloli T ċitotossiċi u ċelloli NK")</f>
        <v>ċelloli T tal-għajnuna, ċelloli T ċitotossiċi u ċelloli NK</v>
      </c>
    </row>
    <row r="8448" ht="15.75" customHeight="1">
      <c r="A8448" s="2" t="s">
        <v>8448</v>
      </c>
      <c r="B8448" s="2" t="str">
        <f>IFERROR(__xludf.DUMMYFUNCTION("GOOGLETRANSLATE(A8448, ""en"", ""mt"")"),"Kemm idumu l-Olanda?")</f>
        <v>Kemm idumu l-Olanda?</v>
      </c>
    </row>
    <row r="8449" ht="15.75" customHeight="1">
      <c r="A8449" s="2" t="s">
        <v>8449</v>
      </c>
      <c r="B8449" s="2" t="str">
        <f>IFERROR(__xludf.DUMMYFUNCTION("GOOGLETRANSLATE(A8449, ""en"", ""mt"")"),"Liema stati huma kliniċi tal-ispiżjar li ma jingħataw l-ebda awtorità preskrittiva u dijanjostika?")</f>
        <v>Liema stati huma kliniċi tal-ispiżjar li ma jingħataw l-ebda awtorità preskrittiva u dijanjostika?</v>
      </c>
    </row>
    <row r="8450" ht="15.75" customHeight="1">
      <c r="A8450" s="2" t="s">
        <v>8450</v>
      </c>
      <c r="B8450" s="2" t="str">
        <f>IFERROR(__xludf.DUMMYFUNCTION("GOOGLETRANSLATE(A8450, ""en"", ""mt"")"),"Meta sar studju tal-kontej Żvediżi?")</f>
        <v>Meta sar studju tal-kontej Żvediżi?</v>
      </c>
    </row>
    <row r="8451" ht="15.75" customHeight="1">
      <c r="A8451" s="2" t="s">
        <v>8451</v>
      </c>
      <c r="B8451" s="2" t="str">
        <f>IFERROR(__xludf.DUMMYFUNCTION("GOOGLETRANSLATE(A8451, ""en"", ""mt"")"),"Liema monasteru stabbilixxew il-patrijiet Saint-Evroul fl-Italja?")</f>
        <v>Liema monasteru stabbilixxew il-patrijiet Saint-Evroul fl-Italja?</v>
      </c>
    </row>
    <row r="8452" ht="15.75" customHeight="1">
      <c r="A8452" s="2" t="s">
        <v>8452</v>
      </c>
      <c r="B8452" s="2" t="str">
        <f>IFERROR(__xludf.DUMMYFUNCTION("GOOGLETRANSLATE(A8452, ""en"", ""mt"")"),"X'għandhom il-veterani mhux Afgani li rritornaw id-dar minbarra l-prestiġju tagħhom?")</f>
        <v>X'għandhom il-veterani mhux Afgani li rritornaw id-dar minbarra l-prestiġju tagħhom?</v>
      </c>
    </row>
    <row r="8453" ht="15.75" customHeight="1">
      <c r="A8453" s="2" t="s">
        <v>8453</v>
      </c>
      <c r="B8453" s="2" t="str">
        <f>IFERROR(__xludf.DUMMYFUNCTION("GOOGLETRANSLATE(A8453, ""en"", ""mt"")"),"il-Komunità Ewropea")</f>
        <v>il-Komunità Ewropea</v>
      </c>
    </row>
    <row r="8454" ht="15.75" customHeight="1">
      <c r="A8454" s="2" t="s">
        <v>8454</v>
      </c>
      <c r="B8454" s="2" t="str">
        <f>IFERROR(__xludf.DUMMYFUNCTION("GOOGLETRANSLATE(A8454, ""en"", ""mt"")"),"id-direzzjoni li fiha l-ħalq qed jipponta")</f>
        <v>id-direzzjoni li fiha l-ħalq qed jipponta</v>
      </c>
    </row>
    <row r="8455" ht="15.75" customHeight="1">
      <c r="A8455" s="2" t="s">
        <v>8455</v>
      </c>
      <c r="B8455" s="2" t="str">
        <f>IFERROR(__xludf.DUMMYFUNCTION("GOOGLETRANSLATE(A8455, ""en"", ""mt"")"),"2p - 1")</f>
        <v>2p - 1</v>
      </c>
    </row>
    <row r="8456" ht="15.75" customHeight="1">
      <c r="A8456" s="2" t="s">
        <v>8456</v>
      </c>
      <c r="B8456" s="2" t="str">
        <f>IFERROR(__xludf.DUMMYFUNCTION("GOOGLETRANSLATE(A8456, ""en"", ""mt"")"),"varjetà wiesgħa ta 'industriji")</f>
        <v>varjetà wiesgħa ta 'industriji</v>
      </c>
    </row>
    <row r="8457" ht="15.75" customHeight="1">
      <c r="A8457" s="2" t="s">
        <v>8457</v>
      </c>
      <c r="B8457" s="2" t="str">
        <f>IFERROR(__xludf.DUMMYFUNCTION("GOOGLETRANSLATE(A8457, ""en"", ""mt"")"),"F'każijiet ta 'mezz fiżiku mhux kondiviż kif jitwasslu l-pakketti?")</f>
        <v>F'każijiet ta 'mezz fiżiku mhux kondiviż kif jitwasslu l-pakketti?</v>
      </c>
    </row>
    <row r="8458" ht="15.75" customHeight="1">
      <c r="A8458" s="2" t="s">
        <v>8458</v>
      </c>
      <c r="B8458" s="2" t="str">
        <f>IFERROR(__xludf.DUMMYFUNCTION("GOOGLETRANSLATE(A8458, ""en"", ""mt"")"),"Ħafna ċelloli tat-tumur għandhom inqas minn liema tip ta 'molekula fuq wiċċhom?")</f>
        <v>Ħafna ċelloli tat-tumur għandhom inqas minn liema tip ta 'molekula fuq wiċċhom?</v>
      </c>
    </row>
    <row r="8459" ht="15.75" customHeight="1">
      <c r="A8459" s="2" t="s">
        <v>8459</v>
      </c>
      <c r="B8459" s="2" t="str">
        <f>IFERROR(__xludf.DUMMYFUNCTION("GOOGLETRANSLATE(A8459, ""en"", ""mt"")"),"Min kiteb dwar il-Pompa tal-Ilma tas-Savery fit-Tranżazzjonijiet Filosofiċi tal-1751?")</f>
        <v>Min kiteb dwar il-Pompa tal-Ilma tas-Savery fit-Tranżazzjonijiet Filosofiċi tal-1751?</v>
      </c>
    </row>
    <row r="8460" ht="15.75" customHeight="1">
      <c r="A8460" s="2" t="s">
        <v>8460</v>
      </c>
      <c r="B8460" s="2" t="str">
        <f>IFERROR(__xludf.DUMMYFUNCTION("GOOGLETRANSLATE(A8460, ""en"", ""mt"")"),"ugwaljanza fid-distribuzzjoni tad-dħul")</f>
        <v>ugwaljanza fid-distribuzzjoni tad-dħul</v>
      </c>
    </row>
    <row r="8461" ht="15.75" customHeight="1">
      <c r="A8461" s="2" t="s">
        <v>8461</v>
      </c>
      <c r="B8461" s="2" t="str">
        <f>IFERROR(__xludf.DUMMYFUNCTION("GOOGLETRANSLATE(A8461, ""en"", ""mt"")"),"John Smeaton")</f>
        <v>John Smeaton</v>
      </c>
    </row>
    <row r="8462" ht="15.75" customHeight="1">
      <c r="A8462" s="2" t="s">
        <v>8462</v>
      </c>
      <c r="B8462" s="2" t="str">
        <f>IFERROR(__xludf.DUMMYFUNCTION("GOOGLETRANSLATE(A8462, ""en"", ""mt"")"),"Liema kosta tmiss in-Nofsinhar ta 'California?")</f>
        <v>Liema kosta tmiss in-Nofsinhar ta 'California?</v>
      </c>
    </row>
    <row r="8463" ht="15.75" customHeight="1">
      <c r="A8463" s="2" t="s">
        <v>8463</v>
      </c>
      <c r="B8463" s="2" t="str">
        <f>IFERROR(__xludf.DUMMYFUNCTION("GOOGLETRANSLATE(A8463, ""en"", ""mt"")"),"Sostituzzjoni ta 'tagħmir kapitali għax-xogħol")</f>
        <v>Sostituzzjoni ta 'tagħmir kapitali għax-xogħol</v>
      </c>
    </row>
    <row r="8464" ht="15.75" customHeight="1">
      <c r="A8464" s="2" t="s">
        <v>8464</v>
      </c>
      <c r="B8464" s="2" t="str">
        <f>IFERROR(__xludf.DUMMYFUNCTION("GOOGLETRANSLATE(A8464, ""en"", ""mt"")"),"Dak li ma jistax jaħdem anki d-distribuzzjoni tal-ġid?")</f>
        <v>Dak li ma jistax jaħdem anki d-distribuzzjoni tal-ġid?</v>
      </c>
    </row>
    <row r="8465" ht="15.75" customHeight="1">
      <c r="A8465" s="2" t="s">
        <v>8465</v>
      </c>
      <c r="B8465" s="2" t="str">
        <f>IFERROR(__xludf.DUMMYFUNCTION("GOOGLETRANSLATE(A8465, ""en"", ""mt"")"),"relazzjoni ta 'ċittadin mal-istat u l-liġijiet tiegħu,")</f>
        <v>relazzjoni ta 'ċittadin mal-istat u l-liġijiet tiegħu,</v>
      </c>
    </row>
    <row r="8466" ht="15.75" customHeight="1">
      <c r="A8466" s="2" t="s">
        <v>8466</v>
      </c>
      <c r="B8466" s="2" t="str">
        <f>IFERROR(__xludf.DUMMYFUNCTION("GOOGLETRANSLATE(A8466, ""en"", ""mt"")"),"Liema komunalità jagħmlu mudelli ta 'magni alternattivi, bħal magni ta' aċċess bl-addoċċ, jaqsmu ma 'magni tat-Turing?")</f>
        <v>Liema komunalità jagħmlu mudelli ta 'magni alternattivi, bħal magni ta' aċċess bl-addoċċ, jaqsmu ma 'magni tat-Turing?</v>
      </c>
    </row>
    <row r="8467" ht="15.75" customHeight="1">
      <c r="A8467" s="2" t="s">
        <v>8467</v>
      </c>
      <c r="B8467" s="2" t="str">
        <f>IFERROR(__xludf.DUMMYFUNCTION("GOOGLETRANSLATE(A8467, ""en"", ""mt"")"),"Għal xiex ifisser CDB?")</f>
        <v>Għal xiex ifisser CDB?</v>
      </c>
    </row>
    <row r="8468" ht="15.75" customHeight="1">
      <c r="A8468" s="2" t="s">
        <v>8468</v>
      </c>
      <c r="B8468" s="2" t="str">
        <f>IFERROR(__xludf.DUMMYFUNCTION("GOOGLETRANSLATE(A8468, ""en"", ""mt"")"),"X'qed issostitwixxa ħaddiema b'ħiliet ogħla fl-Istati Uniti?")</f>
        <v>X'qed issostitwixxa ħaddiema b'ħiliet ogħla fl-Istati Uniti?</v>
      </c>
    </row>
    <row r="8469" ht="15.75" customHeight="1">
      <c r="A8469" s="2" t="s">
        <v>8469</v>
      </c>
      <c r="B8469" s="2" t="str">
        <f>IFERROR(__xludf.DUMMYFUNCTION("GOOGLETRANSLATE(A8469, ""en"", ""mt"")"),"X’taħseb John Dalton li l-elementi kollha kienu preżenti fil-komposti?")</f>
        <v>X’taħseb John Dalton li l-elementi kollha kienu preżenti fil-komposti?</v>
      </c>
    </row>
    <row r="8470" ht="15.75" customHeight="1">
      <c r="A8470" s="2" t="s">
        <v>8470</v>
      </c>
      <c r="B8470" s="2" t="str">
        <f>IFERROR(__xludf.DUMMYFUNCTION("GOOGLETRANSLATE(A8470, ""en"", ""mt"")"),"Liema korp ta 'tmexxija jaħtar kummissarji u l-Bord tal-Bank Ċentrali Ewropew?")</f>
        <v>Liema korp ta 'tmexxija jaħtar kummissarji u l-Bord tal-Bank Ċentrali Ewropew?</v>
      </c>
    </row>
    <row r="8471" ht="15.75" customHeight="1">
      <c r="A8471" s="2" t="s">
        <v>8471</v>
      </c>
      <c r="B8471" s="2" t="str">
        <f>IFERROR(__xludf.DUMMYFUNCTION("GOOGLETRANSLATE(A8471, ""en"", ""mt"")"),"Trotsky, u oħrajn, emmnu li r-rivoluzzjoni tista 'tirnexxi biss fir-Russja bħala parti minn rivoluzzjoni dinjija. Lenin kiteb b'mod estensiv dwar il-kwistjoni u ddikjara famuż li l-imperjalizmu kien l-ogħla stadju tal-kapitaliżmu. Madankollu, wara l-mewt "&amp;"ta 'Lenin, Joseph Stalin stabbilixxa ""Soċjaliżmu f'pajjiż wieħed"" għall-Unjoni Sovjetika, u ħoloq il-mudell għal stati stalinisti sussegwenti li jħarsu' l ġewwa u jnaddfu l-elementi internazzjonalisti bikrija. It-tendenzi internazzjonalisti tar-rivoluzz"&amp;"joni bikrija jiġu abbandunati sakemm jirritornaw fil-qafas ta 'stat ta' klijent f'kompetizzjoni mal-Amerikani matul il-Gwerra Bierda. Bil-bidu tal-era l-ġdida, il-perjodu ta 'wara Stalin sejjaħ ""jinħall"", fl-aħħar tas-snin 1950, il-mexxej politiku l-ġdi"&amp;"d Nikita Khrushchev għamel pressjoni saħansitra aktar fuq ir-relazzjonijiet Sovjetiċi-Amerikani li jibdew mewġa ġdida ta' propaganda anti-imperialista. Fid-diskors tiegħu dwar il-Konferenza tan-NU fl-1960, huwa ħabbar it-tkomplija tal-gwerra għall-imperja"&amp;"lizmu, u ddikjara li dalwaqt in-nies ta 'pajjiżi differenti se jingħaqdu flimkien u jwaqqa' l-mexxejja imperjalisti tagħhom. Għalkemm l-Unjoni Sovjetika ddikjarat lilha nnifisha anti-imperjalista, il-kritiċi jargumentaw li hija wriet tendenzi komuni għall"&amp;"-imperi storiċi. Xi studjużi jsostnu li l-Unjoni Sovjetika kienet entità ibrida li fiha elementi komuni kemm għall-imperi multinazzjonali kif ukoll għall-istati nazzjon. Ġie argumentat ukoll li l-URSS ipprattika l-kolonjaliżmu bħalma għamlu poteri imperja"&amp;"li oħra u kienet qed tmexxi t-tradizzjoni antika Russa ta 'espansjoni u kontroll. Mao Zedong darba argumenta li l-Unjoni Sovjetika kienet stess saret poter imperjalista waqt li żżomm faċċata soċjalista. Barra minn hekk, l-ideat tal-imperjalizmu kienu mifr"&amp;"uxa ħafna fl-azzjoni fuq il-livelli ogħla tal-gvern. Marxisti mhux Russi fil-Federazzjoni Russa u aktar tard l-USSR, bħas-Sultan Galiev u l-Vasyl Shakhrai, ikkunsidraw ir-reġim Sovjetiku verżjoni mġedda tal-imperjalizmu u l-kolonjaliżmu Russu.")</f>
        <v>Trotsky, u oħrajn, emmnu li r-rivoluzzjoni tista 'tirnexxi biss fir-Russja bħala parti minn rivoluzzjoni dinjija. Lenin kiteb b'mod estensiv dwar il-kwistjoni u ddikjara famuż li l-imperjalizmu kien l-ogħla stadju tal-kapitaliżmu. Madankollu, wara l-mewt ta 'Lenin, Joseph Stalin stabbilixxa "Soċjaliżmu f'pajjiż wieħed" għall-Unjoni Sovjetika, u ħoloq il-mudell għal stati stalinisti sussegwenti li jħarsu' l ġewwa u jnaddfu l-elementi internazzjonalisti bikrija. It-tendenzi internazzjonalisti tar-rivoluzzjoni bikrija jiġu abbandunati sakemm jirritornaw fil-qafas ta 'stat ta' klijent f'kompetizzjoni mal-Amerikani matul il-Gwerra Bierda. Bil-bidu tal-era l-ġdida, il-perjodu ta 'wara Stalin sejjaħ "jinħall", fl-aħħar tas-snin 1950, il-mexxej politiku l-ġdid Nikita Khrushchev għamel pressjoni saħansitra aktar fuq ir-relazzjonijiet Sovjetiċi-Amerikani li jibdew mewġa ġdida ta' propaganda anti-imperialista. Fid-diskors tiegħu dwar il-Konferenza tan-NU fl-1960, huwa ħabbar it-tkomplija tal-gwerra għall-imperjalizmu, u ddikjara li dalwaqt in-nies ta 'pajjiżi differenti se jingħaqdu flimkien u jwaqqa' l-mexxejja imperjalisti tagħhom. Għalkemm l-Unjoni Sovjetika ddikjarat lilha nnifisha anti-imperjalista, il-kritiċi jargumentaw li hija wriet tendenzi komuni għall-imperi storiċi. Xi studjużi jsostnu li l-Unjoni Sovjetika kienet entità ibrida li fiha elementi komuni kemm għall-imperi multinazzjonali kif ukoll għall-istati nazzjon. Ġie argumentat ukoll li l-URSS ipprattika l-kolonjaliżmu bħalma għamlu poteri imperjali oħra u kienet qed tmexxi t-tradizzjoni antika Russa ta 'espansjoni u kontroll. Mao Zedong darba argumenta li l-Unjoni Sovjetika kienet stess saret poter imperjalista waqt li żżomm faċċata soċjalista. Barra minn hekk, l-ideat tal-imperjalizmu kienu mifruxa ħafna fl-azzjoni fuq il-livelli ogħla tal-gvern. Marxisti mhux Russi fil-Federazzjoni Russa u aktar tard l-USSR, bħas-Sultan Galiev u l-Vasyl Shakhrai, ikkunsidraw ir-reġim Sovjetiku verżjoni mġedda tal-imperjalizmu u l-kolonjaliżmu Russu.</v>
      </c>
    </row>
    <row r="8472" ht="15.75" customHeight="1">
      <c r="A8472" s="2" t="s">
        <v>8472</v>
      </c>
      <c r="B8472" s="2" t="str">
        <f>IFERROR(__xludf.DUMMYFUNCTION("GOOGLETRANSLATE(A8472, ""en"", ""mt"")"),"L-Att tal-Iskozja ppermetta lill-Parlament Spanjol biex jgħaddi?")</f>
        <v>L-Att tal-Iskozja ppermetta lill-Parlament Spanjol biex jgħaddi?</v>
      </c>
    </row>
    <row r="8473" ht="15.75" customHeight="1">
      <c r="A8473" s="2" t="s">
        <v>8473</v>
      </c>
      <c r="B8473" s="2" t="str">
        <f>IFERROR(__xludf.DUMMYFUNCTION("GOOGLETRANSLATE(A8473, ""en"", ""mt"")"),"1916")</f>
        <v>1916</v>
      </c>
    </row>
    <row r="8474" ht="15.75" customHeight="1">
      <c r="A8474" s="2" t="s">
        <v>8474</v>
      </c>
      <c r="B8474" s="2" t="str">
        <f>IFERROR(__xludf.DUMMYFUNCTION("GOOGLETRANSLATE(A8474, ""en"", ""mt"")"),"X'inhi l-espressjoni użata biex tindika kumplessità tal-agħar każ kif espress mill-ħin meħud?")</f>
        <v>X'inhi l-espressjoni użata biex tindika kumplessità tal-agħar każ kif espress mill-ħin meħud?</v>
      </c>
    </row>
    <row r="8475" ht="15.75" customHeight="1">
      <c r="A8475" s="2" t="s">
        <v>8475</v>
      </c>
      <c r="B8475" s="2" t="str">
        <f>IFERROR(__xludf.DUMMYFUNCTION("GOOGLETRANSLATE(A8475, ""en"", ""mt"")"),"Fejn huma ċ-ċelloli speċjalizzati li jeliminaw iċ-ċelloli li jirrikonoxxu l-antiġeni li jinsabu?")</f>
        <v>Fejn huma ċ-ċelloli speċjalizzati li jeliminaw iċ-ċelloli li jirrikonoxxu l-antiġeni li jinsabu?</v>
      </c>
    </row>
    <row r="8476" ht="15.75" customHeight="1">
      <c r="A8476" s="2" t="s">
        <v>8476</v>
      </c>
      <c r="B8476" s="2" t="str">
        <f>IFERROR(__xludf.DUMMYFUNCTION("GOOGLETRANSLATE(A8476, ""en"", ""mt"")"),"Knisja Kattolika")</f>
        <v>Knisja Kattolika</v>
      </c>
    </row>
    <row r="8477" ht="15.75" customHeight="1">
      <c r="A8477" s="2" t="s">
        <v>8477</v>
      </c>
      <c r="B8477" s="2" t="str">
        <f>IFERROR(__xludf.DUMMYFUNCTION("GOOGLETRANSLATE(A8477, ""en"", ""mt"")"),"Minn fejn beda l-Grand Canal?")</f>
        <v>Minn fejn beda l-Grand Canal?</v>
      </c>
    </row>
    <row r="8478" ht="15.75" customHeight="1">
      <c r="A8478" s="2" t="s">
        <v>8478</v>
      </c>
      <c r="B8478" s="2" t="str">
        <f>IFERROR(__xludf.DUMMYFUNCTION("GOOGLETRANSLATE(A8478, ""en"", ""mt"")"),"Meta Buyantu waqaf jittestja impjegati potenzjali tal-gvern?")</f>
        <v>Meta Buyantu waqaf jittestja impjegati potenzjali tal-gvern?</v>
      </c>
    </row>
    <row r="8479" ht="15.75" customHeight="1">
      <c r="A8479" s="2" t="s">
        <v>8479</v>
      </c>
      <c r="B8479" s="2" t="str">
        <f>IFERROR(__xludf.DUMMYFUNCTION("GOOGLETRANSLATE(A8479, ""en"", ""mt"")"),"Kif hija involuta l-iċċekkjar tal-iżbalji fil-kunsinna?")</f>
        <v>Kif hija involuta l-iċċekkjar tal-iżbalji fil-kunsinna?</v>
      </c>
    </row>
    <row r="8480" ht="15.75" customHeight="1">
      <c r="A8480" s="2" t="s">
        <v>8480</v>
      </c>
      <c r="B8480" s="2" t="str">
        <f>IFERROR(__xludf.DUMMYFUNCTION("GOOGLETRANSLATE(A8480, ""en"", ""mt"")"),"X'inhu l-korp intergovernattiv taħt il-kontroll ta 'l-Istati Uniti?")</f>
        <v>X'inhu l-korp intergovernattiv taħt il-kontroll ta 'l-Istati Uniti?</v>
      </c>
    </row>
    <row r="8481" ht="15.75" customHeight="1">
      <c r="A8481" s="2" t="s">
        <v>8481</v>
      </c>
      <c r="B8481" s="2" t="str">
        <f>IFERROR(__xludf.DUMMYFUNCTION("GOOGLETRANSLATE(A8481, ""en"", ""mt"")"),"Bejn iż-żmien tal-pubblikazzjoni tal-ktieb Domesday u s-sena 1377")</f>
        <v>Bejn iż-żmien tal-pubblikazzjoni tal-ktieb Domesday u s-sena 1377</v>
      </c>
    </row>
    <row r="8482" ht="15.75" customHeight="1">
      <c r="A8482" s="2" t="s">
        <v>8482</v>
      </c>
      <c r="B8482" s="2" t="str">
        <f>IFERROR(__xludf.DUMMYFUNCTION("GOOGLETRANSLATE(A8482, ""en"", ""mt"")"),"Flora commensali tista 'tbiddel liema kundizzjonijiet speċifiċi ta' l-ambjent tagħhom fil-passaġġ gastro-intestinali?")</f>
        <v>Flora commensali tista 'tbiddel liema kundizzjonijiet speċifiċi ta' l-ambjent tagħhom fil-passaġġ gastro-intestinali?</v>
      </c>
    </row>
    <row r="8483" ht="15.75" customHeight="1">
      <c r="A8483" s="2" t="s">
        <v>8483</v>
      </c>
      <c r="B8483" s="2" t="str">
        <f>IFERROR(__xludf.DUMMYFUNCTION("GOOGLETRANSLATE(A8483, ""en"", ""mt"")"),"Fil-ħarifa tal-1991, saru taħdidiet għad-drittijiet tax-xandir għall-Premier League għal perjodu ta 'ħames snin, mill-istaġun tal-1992. L-ITV kienu d-detenturi tad-drittijiet attwali, u ġġieldu ħafna biex iżommu d-drittijiet il-ġodda. L-ITV żiedet l-offer"&amp;"ta tagħha minn £ 18m għal £ 34m fis-sena biex iżżomm il-kontroll tad-drittijiet. BSKYB ingħaqad mal-BBC biex jagħmel offerta ta 'kontro. Il-BBC ingħata l-punti ewlenin tal-biċċa l-kbira tal-logħbiet, filwaqt li BSKYB li tħallas £ 304m għad-drittijiet tal-"&amp;"Premier League, kienet tagħtihom monopolju tal-logħbiet kollha ħajjin, sa 60 fis-sena mill-istaġun tal-1992. Murdoch iddeskriva l-isport bħala ""muntun li jbattal"" għat-televiżjoni bi ħlas, li jipprovdi bażi ta 'klijenti b'saħħitha. Ftit ġimgħat wara l-f"&amp;"tehim, ITV mar il-Qorti Għolja biex jikseb mandat ta ’inibizzjoni peress li kien jemmen li d-dettalji tal-offerta tagħhom kienu nixxew qabel ma ttieħdet id-deċiżjoni. ITV talab ukoll lill-Uffiċċju tal-Kummerċ Ġust biex jinvestiga peress li kien jemmen li "&amp;"l-imperu tal-midja ta 'Rupert Murdoch permezz tal-gazzetti tiegħu influwenza l-ftehim. Ftit jiem wara l-ebda azzjoni ma daħlet fis-seħħ, ITV jemmen li BSKYB ġie ċempel u infurmat bl-offerta ta '£ 262m tiegħu, u l-Premier League tat parir lil BSKYB biex iż"&amp;"id l-offerta tal-kontro.")</f>
        <v>Fil-ħarifa tal-1991, saru taħdidiet għad-drittijiet tax-xandir għall-Premier League għal perjodu ta 'ħames snin, mill-istaġun tal-1992. L-ITV kienu d-detenturi tad-drittijiet attwali, u ġġieldu ħafna biex iżommu d-drittijiet il-ġodda. L-ITV żiedet l-offerta tagħha minn £ 18m għal £ 34m fis-sena biex iżżomm il-kontroll tad-drittijiet. BSKYB ingħaqad mal-BBC biex jagħmel offerta ta 'kontro. Il-BBC ingħata l-punti ewlenin tal-biċċa l-kbira tal-logħbiet, filwaqt li BSKYB li tħallas £ 304m għad-drittijiet tal-Premier League, kienet tagħtihom monopolju tal-logħbiet kollha ħajjin, sa 60 fis-sena mill-istaġun tal-1992. Murdoch iddeskriva l-isport bħala "muntun li jbattal" għat-televiżjoni bi ħlas, li jipprovdi bażi ta 'klijenti b'saħħitha. Ftit ġimgħat wara l-ftehim, ITV mar il-Qorti Għolja biex jikseb mandat ta ’inibizzjoni peress li kien jemmen li d-dettalji tal-offerta tagħhom kienu nixxew qabel ma ttieħdet id-deċiżjoni. ITV talab ukoll lill-Uffiċċju tal-Kummerċ Ġust biex jinvestiga peress li kien jemmen li l-imperu tal-midja ta 'Rupert Murdoch permezz tal-gazzetti tiegħu influwenza l-ftehim. Ftit jiem wara l-ebda azzjoni ma daħlet fis-seħħ, ITV jemmen li BSKYB ġie ċempel u infurmat bl-offerta ta '£ 262m tiegħu, u l-Premier League tat parir lil BSKYB biex iżid l-offerta tal-kontro.</v>
      </c>
    </row>
    <row r="8484" ht="15.75" customHeight="1">
      <c r="A8484" s="2" t="s">
        <v>8484</v>
      </c>
      <c r="B8484" s="2" t="str">
        <f>IFERROR(__xludf.DUMMYFUNCTION("GOOGLETRANSLATE(A8484, ""en"", ""mt"")"),"F’liema sena ġie mqassar il-Pont Rhine Old?")</f>
        <v>F’liema sena ġie mqassar il-Pont Rhine Old?</v>
      </c>
    </row>
    <row r="8485" ht="15.75" customHeight="1">
      <c r="A8485" s="2" t="s">
        <v>8485</v>
      </c>
      <c r="B8485" s="2" t="str">
        <f>IFERROR(__xludf.DUMMYFUNCTION("GOOGLETRANSLATE(A8485, ""en"", ""mt"")"),"Kif intużaw X.75, ASCII, u interfaces oħra?")</f>
        <v>Kif intużaw X.75, ASCII, u interfaces oħra?</v>
      </c>
    </row>
    <row r="8486" ht="15.75" customHeight="1">
      <c r="A8486" s="2" t="s">
        <v>8486</v>
      </c>
      <c r="B8486" s="2" t="str">
        <f>IFERROR(__xludf.DUMMYFUNCTION("GOOGLETRANSLATE(A8486, ""en"", ""mt"")"),"Meta jkunu miżżewġin, u lil min")</f>
        <v>Meta jkunu miżżewġin, u lil min</v>
      </c>
    </row>
    <row r="8487" ht="15.75" customHeight="1">
      <c r="A8487" s="2" t="s">
        <v>8487</v>
      </c>
      <c r="B8487" s="2" t="str">
        <f>IFERROR(__xludf.DUMMYFUNCTION("GOOGLETRANSLATE(A8487, ""en"", ""mt"")"),"Tama għal kampanji fuq il-Lag Ontario")</f>
        <v>Tama għal kampanji fuq il-Lag Ontario</v>
      </c>
    </row>
    <row r="8488" ht="15.75" customHeight="1">
      <c r="A8488" s="2" t="s">
        <v>8488</v>
      </c>
      <c r="B8488" s="2" t="str">
        <f>IFERROR(__xludf.DUMMYFUNCTION("GOOGLETRANSLATE(A8488, ""en"", ""mt"")"),"BSKYB inizjalment iċċarġja miżati ta 'abbonament addizzjonali għall-użu ta' Sky + PVR bis-servizz tagħhom; It-tneħħija tal-ħlas għall-abbonati li l-pakkett tagħhom kien jinkludi żewġ kanali premium jew aktar. Dan inbidel mill-1 ta 'Lulju 2007, u issa l-kl"&amp;"ijenti li għandhom Sky + u jissottoskrivu għal kwalunkwe pakkett ta' abbonament BSKYB jiksbu Sky + inklużi mingħajr ħlas żejjed. Klijenti li ma jissottoskrivux għall-kanali ta 'BSKYB xorta jistgħu jħallsu miżata kull xahar biex jippermettu funzjonijiet Sk"&amp;"y +. F'Jannar 2010 BSKYB waqqaf il-kaxxa Sky +, illimitat il-kaxxa tas-sema standard għal upgrade multiroom biss u beda joħroġ il-kaxxa Sky + HD bħala standard, u b'hekk tagħti lill-abbonati l-ġodda kollha l-funzjonijiet ta 'Sky +. Fi Frar 2011 BSKYB waqq"&amp;"fet il-varjant mhux HD tal-kaxxa multiroom tagħha, li toffri verżjoni iżgħar tal-kaxxa SkyHD mingħajr Sky + Funzjonalità. F’Settembru 2007, Sky nediet kampanja ta ’reklamar tat-TV ġdida mmirata lejn Sky + fuq in-nisa. Mill-31 ta 'Marzu 2008, Sky kellha 3,"&amp;"393,000 utent Sky +.")</f>
        <v>BSKYB inizjalment iċċarġja miżati ta 'abbonament addizzjonali għall-użu ta' Sky + PVR bis-servizz tagħhom; It-tneħħija tal-ħlas għall-abbonati li l-pakkett tagħhom kien jinkludi żewġ kanali premium jew aktar. Dan inbidel mill-1 ta 'Lulju 2007, u issa l-klijenti li għandhom Sky + u jissottoskrivu għal kwalunkwe pakkett ta' abbonament BSKYB jiksbu Sky + inklużi mingħajr ħlas żejjed. Klijenti li ma jissottoskrivux għall-kanali ta 'BSKYB xorta jistgħu jħallsu miżata kull xahar biex jippermettu funzjonijiet Sky +. F'Jannar 2010 BSKYB waqqaf il-kaxxa Sky +, illimitat il-kaxxa tas-sema standard għal upgrade multiroom biss u beda joħroġ il-kaxxa Sky + HD bħala standard, u b'hekk tagħti lill-abbonati l-ġodda kollha l-funzjonijiet ta 'Sky +. Fi Frar 2011 BSKYB waqqfet il-varjant mhux HD tal-kaxxa multiroom tagħha, li toffri verżjoni iżgħar tal-kaxxa SkyHD mingħajr Sky + Funzjonalità. F’Settembru 2007, Sky nediet kampanja ta ’reklamar tat-TV ġdida mmirata lejn Sky + fuq in-nisa. Mill-31 ta 'Marzu 2008, Sky kellha 3,393,000 utent Sky +.</v>
      </c>
    </row>
    <row r="8489" ht="15.75" customHeight="1">
      <c r="A8489" s="2" t="s">
        <v>8489</v>
      </c>
      <c r="B8489" s="2" t="str">
        <f>IFERROR(__xludf.DUMMYFUNCTION("GOOGLETRANSLATE(A8489, ""en"", ""mt"")"),"F'liema ġurnal ġew ippubblikati l-fatti tat-tibdil fil-klima?")</f>
        <v>F'liema ġurnal ġew ippubblikati l-fatti tat-tibdil fil-klima?</v>
      </c>
    </row>
    <row r="8490" ht="15.75" customHeight="1">
      <c r="A8490" s="2" t="s">
        <v>8490</v>
      </c>
      <c r="B8490" s="2" t="str">
        <f>IFERROR(__xludf.DUMMYFUNCTION("GOOGLETRANSLATE(A8490, ""en"", ""mt"")"),"Jassoċjaw forzi ma 'vettori")</f>
        <v>Jassoċjaw forzi ma 'vettori</v>
      </c>
    </row>
    <row r="8491" ht="15.75" customHeight="1">
      <c r="A8491" s="2" t="s">
        <v>8491</v>
      </c>
      <c r="B8491" s="2" t="str">
        <f>IFERROR(__xludf.DUMMYFUNCTION("GOOGLETRANSLATE(A8491, ""en"", ""mt"")"),"Applikazzjonijiet bħal imħatri onlajn, applikazzjonijiet finanzjarji")</f>
        <v>Applikazzjonijiet bħal imħatri onlajn, applikazzjonijiet finanzjarji</v>
      </c>
    </row>
    <row r="8492" ht="15.75" customHeight="1">
      <c r="A8492" s="2" t="s">
        <v>8492</v>
      </c>
      <c r="B8492" s="2" t="str">
        <f>IFERROR(__xludf.DUMMYFUNCTION("GOOGLETRANSLATE(A8492, ""en"", ""mt"")"),"Kemm biljunarji issa qed jgħixu f'Cambridge?")</f>
        <v>Kemm biljunarji issa qed jgħixu f'Cambridge?</v>
      </c>
    </row>
    <row r="8493" ht="15.75" customHeight="1">
      <c r="A8493" s="2" t="s">
        <v>8493</v>
      </c>
      <c r="B8493" s="2" t="str">
        <f>IFERROR(__xludf.DUMMYFUNCTION("GOOGLETRANSLATE(A8493, ""en"", ""mt"")"),"X'kienet is-sekwenza mġebbda fil-Grand Canyon imsemmi?")</f>
        <v>X'kienet is-sekwenza mġebbda fil-Grand Canyon imsemmi?</v>
      </c>
    </row>
    <row r="8494" ht="15.75" customHeight="1">
      <c r="A8494" s="2" t="s">
        <v>8494</v>
      </c>
      <c r="B8494" s="2" t="str">
        <f>IFERROR(__xludf.DUMMYFUNCTION("GOOGLETRANSLATE(A8494, ""en"", ""mt"")"),"Spazji ħodor oħra fil-belt jinkludu l-Ġnien Botaniku u l-Ġnien tal-Librerija tal-Università. Huma għandhom ġabra botanika estensiva ta 'pjanti domestiċi u barranin rari, filwaqt li dar tal-palm fl-oranġerija l-ġdida turi pjanti ta' subtropiċi mid-dinja ko"&amp;"llha. Barra minn hekk, fil-fruntieri tal-belt, hemm ukoll: Pole Mokotowskie (park kbir fil-Mokotów tat-Tramuntana, fejn kien l-ewwel korsa taż-żwiemel u mbagħad l-ajruport), Park Ujazdowski (viċin it-Triq SEJM u John Lennon), Park tal-Kultura), Park tal-K"&amp;"ultura u mistrieħ f'Powsin, mill-fruntiera tan-Nofsinhar tal-Belt, Park Skaryszewski mill-Vistula Bank tal-lemin, fi Praga. L-eqdem park fi Praga, il-Park Praga, ġie stabbilit fl-1865-1871 u ddisinjat minn Jan Dobrowolski. Fl-1927 ġie stabbilit ġnien żool"&amp;"oġiku (Ogród Zoologiczny) fuq il-bażi tal-park, u fl-1952 ġirja tal-ors, għadha miftuħa sal-lum.")</f>
        <v>Spazji ħodor oħra fil-belt jinkludu l-Ġnien Botaniku u l-Ġnien tal-Librerija tal-Università. Huma għandhom ġabra botanika estensiva ta 'pjanti domestiċi u barranin rari, filwaqt li dar tal-palm fl-oranġerija l-ġdida turi pjanti ta' subtropiċi mid-dinja kollha. Barra minn hekk, fil-fruntieri tal-belt, hemm ukoll: Pole Mokotowskie (park kbir fil-Mokotów tat-Tramuntana, fejn kien l-ewwel korsa taż-żwiemel u mbagħad l-ajruport), Park Ujazdowski (viċin it-Triq SEJM u John Lennon), Park tal-Kultura), Park tal-Kultura u mistrieħ f'Powsin, mill-fruntiera tan-Nofsinhar tal-Belt, Park Skaryszewski mill-Vistula Bank tal-lemin, fi Praga. L-eqdem park fi Praga, il-Park Praga, ġie stabbilit fl-1865-1871 u ddisinjat minn Jan Dobrowolski. Fl-1927 ġie stabbilit ġnien żooloġiku (Ogród Zoologiczny) fuq il-bażi tal-park, u fl-1952 ġirja tal-ors, għadha miftuħa sal-lum.</v>
      </c>
    </row>
    <row r="8495" ht="15.75" customHeight="1">
      <c r="A8495" s="2" t="s">
        <v>8495</v>
      </c>
      <c r="B8495" s="2" t="str">
        <f>IFERROR(__xludf.DUMMYFUNCTION("GOOGLETRANSLATE(A8495, ""en"", ""mt"")"),"Iż-żona ta 'San Diego")</f>
        <v>Iż-żona ta 'San Diego</v>
      </c>
    </row>
    <row r="8496" ht="15.75" customHeight="1">
      <c r="A8496" s="2" t="s">
        <v>8496</v>
      </c>
      <c r="B8496" s="2" t="str">
        <f>IFERROR(__xludf.DUMMYFUNCTION("GOOGLETRANSLATE(A8496, ""en"", ""mt"")"),"Daewoo")</f>
        <v>Daewoo</v>
      </c>
    </row>
    <row r="8497" ht="15.75" customHeight="1">
      <c r="A8497" s="2" t="s">
        <v>8497</v>
      </c>
      <c r="B8497" s="2" t="str">
        <f>IFERROR(__xludf.DUMMYFUNCTION("GOOGLETRANSLATE(A8497, ""en"", ""mt"")"),"Liema astronomi huwa wkoll membru tal-alumni tal-università?")</f>
        <v>Liema astronomi huwa wkoll membru tal-alumni tal-università?</v>
      </c>
    </row>
    <row r="8498" ht="15.75" customHeight="1">
      <c r="A8498" s="2" t="s">
        <v>8498</v>
      </c>
      <c r="B8498" s="2" t="str">
        <f>IFERROR(__xludf.DUMMYFUNCTION("GOOGLETRANSLATE(A8498, ""en"", ""mt"")"),"l-agħar kumplessità tal-ħin")</f>
        <v>l-agħar kumplessità tal-ħin</v>
      </c>
    </row>
    <row r="8499" ht="15.75" customHeight="1">
      <c r="A8499" s="2" t="s">
        <v>8499</v>
      </c>
      <c r="B8499" s="2" t="str">
        <f>IFERROR(__xludf.DUMMYFUNCTION("GOOGLETRANSLATE(A8499, ""en"", ""mt"")"),"Shiphrah u Puah")</f>
        <v>Shiphrah u Puah</v>
      </c>
    </row>
    <row r="8500" ht="15.75" customHeight="1">
      <c r="A8500" s="2" t="s">
        <v>8500</v>
      </c>
      <c r="B8500" s="2" t="str">
        <f>IFERROR(__xludf.DUMMYFUNCTION("GOOGLETRANSLATE(A8500, ""en"", ""mt"")"),"X'inhuma spiss assoċjati mat-trasferiment tal-kesħa?")</f>
        <v>X'inhuma spiss assoċjati mat-trasferiment tal-kesħa?</v>
      </c>
    </row>
    <row r="8501" ht="15.75" customHeight="1">
      <c r="A8501" s="2" t="s">
        <v>8501</v>
      </c>
      <c r="B8501" s="2" t="str">
        <f>IFERROR(__xludf.DUMMYFUNCTION("GOOGLETRANSLATE(A8501, ""en"", ""mt"")"),"Liema kwistjoni pesta l-letteratura dwar id-diżubbidjenza ċivili?")</f>
        <v>Liema kwistjoni pesta l-letteratura dwar id-diżubbidjenza ċivili?</v>
      </c>
    </row>
    <row r="8502" ht="15.75" customHeight="1">
      <c r="A8502" s="2" t="s">
        <v>8502</v>
      </c>
      <c r="B8502" s="2" t="str">
        <f>IFERROR(__xludf.DUMMYFUNCTION("GOOGLETRANSLATE(A8502, ""en"", ""mt"")"),"Kumitati differenti għandhom dak li stipulaw b’modi differenti?")</f>
        <v>Kumitati differenti għandhom dak li stipulaw b’modi differenti?</v>
      </c>
    </row>
    <row r="8503" ht="15.75" customHeight="1">
      <c r="A8503" s="2" t="s">
        <v>8503</v>
      </c>
      <c r="B8503" s="2" t="str">
        <f>IFERROR(__xludf.DUMMYFUNCTION("GOOGLETRANSLATE(A8503, ""en"", ""mt"")"),"Kunflitti ta 'qsim ta' piż reġjonali")</f>
        <v>Kunflitti ta 'qsim ta' piż reġjonali</v>
      </c>
    </row>
    <row r="8504" ht="15.75" customHeight="1">
      <c r="A8504" s="2" t="s">
        <v>8504</v>
      </c>
      <c r="B8504" s="2" t="str">
        <f>IFERROR(__xludf.DUMMYFUNCTION("GOOGLETRANSLATE(A8504, ""en"", ""mt"")"),"Problema tal-komputazzjoni tista 'titqies bħala ġabra infinita ta' każijiet flimkien ma 'soluzzjoni għal kull istanza. Is-sekwenza tal-input għal problema tal-komputazzjoni hija msejħa bħala problema ta 'problema, u m'għandhiex titħawwad mal-problema nnif"&amp;"isha. Fit-teorija tal-kumplessità tal-komputazzjoni, problema tirreferi għall-kwistjoni astratta li trid tissolva. B'kuntrast, eżempju ta 'din il-problema huwa kelma pjuttost konkreta, li tista' sservi bħala l-kontribut għal problema ta 'deċiżjoni. Pereże"&amp;"mpju, ikkunsidra l-problema tal-ittestjar tal-primalità. L-istanza hija numru (eż. 15) u s-soluzzjoni hija ""iva"" jekk in-numru huwa prim u ""le"" mod ieħor (f'dan il-każ ""le""). Iddikjarat mod ieħor, l-istanza hija input partikolari għall-problema, u s"&amp;"-soluzzjoni hija l-output li jikkorrispondi għall-input mogħti.")</f>
        <v>Problema tal-komputazzjoni tista 'titqies bħala ġabra infinita ta' każijiet flimkien ma 'soluzzjoni għal kull istanza. Is-sekwenza tal-input għal problema tal-komputazzjoni hija msejħa bħala problema ta 'problema, u m'għandhiex titħawwad mal-problema nnifisha. Fit-teorija tal-kumplessità tal-komputazzjoni, problema tirreferi għall-kwistjoni astratta li trid tissolva. B'kuntrast, eżempju ta 'din il-problema huwa kelma pjuttost konkreta, li tista' sservi bħala l-kontribut għal problema ta 'deċiżjoni. Pereżempju, ikkunsidra l-problema tal-ittestjar tal-primalità. L-istanza hija numru (eż. 15) u s-soluzzjoni hija "iva" jekk in-numru huwa prim u "le" mod ieħor (f'dan il-każ "le"). Iddikjarat mod ieħor, l-istanza hija input partikolari għall-problema, u s-soluzzjoni hija l-output li jikkorrispondi għall-input mogħti.</v>
      </c>
    </row>
    <row r="8505" ht="15.75" customHeight="1">
      <c r="A8505" s="2" t="s">
        <v>8505</v>
      </c>
      <c r="B8505" s="2" t="str">
        <f>IFERROR(__xludf.DUMMYFUNCTION("GOOGLETRANSLATE(A8505, ""en"", ""mt"")"),"L-Amazon tirrilaxxa kemm dijossidu tal-karbonju kull sena?")</f>
        <v>L-Amazon tirrilaxxa kemm dijossidu tal-karbonju kull sena?</v>
      </c>
    </row>
    <row r="8506" ht="15.75" customHeight="1">
      <c r="A8506" s="2" t="s">
        <v>8506</v>
      </c>
      <c r="B8506" s="2" t="str">
        <f>IFERROR(__xludf.DUMMYFUNCTION("GOOGLETRANSLATE(A8506, ""en"", ""mt"")"),"Klabbs tal-karozzi AAA")</f>
        <v>Klabbs tal-karozzi AAA</v>
      </c>
    </row>
    <row r="8507" ht="15.75" customHeight="1">
      <c r="A8507" s="2" t="s">
        <v>8507</v>
      </c>
      <c r="B8507" s="2" t="str">
        <f>IFERROR(__xludf.DUMMYFUNCTION("GOOGLETRANSLATE(A8507, ""en"", ""mt"")"),"Olanda, Prussja, u l-Afrika t'Isfel")</f>
        <v>Olanda, Prussja, u l-Afrika t'Isfel</v>
      </c>
    </row>
    <row r="8508" ht="15.75" customHeight="1">
      <c r="A8508" s="2" t="s">
        <v>8508</v>
      </c>
      <c r="B8508" s="2" t="str">
        <f>IFERROR(__xludf.DUMMYFUNCTION("GOOGLETRANSLATE(A8508, ""en"", ""mt"")")," Liema żona kien Kublai jipprova jaqbad billi jiddefendi lil Xiangyang?")</f>
        <v> Liema żona kien Kublai jipprova jaqbad billi jiddefendi lil Xiangyang?</v>
      </c>
    </row>
    <row r="8509" ht="15.75" customHeight="1">
      <c r="A8509" s="2" t="s">
        <v>8509</v>
      </c>
      <c r="B8509" s="2" t="str">
        <f>IFERROR(__xludf.DUMMYFUNCTION("GOOGLETRANSLATE(A8509, ""en"", ""mt"")"),"L-ormoni jistgħu jbiddlu s-sensittività tas-sistema immunitarja, sabiex ikunu jistgħu jiġu msemmija bħala?")</f>
        <v>L-ormoni jistgħu jbiddlu s-sensittività tas-sistema immunitarja, sabiex ikunu jistgħu jiġu msemmija bħala?</v>
      </c>
    </row>
    <row r="8510" ht="15.75" customHeight="1">
      <c r="A8510" s="2" t="s">
        <v>8510</v>
      </c>
      <c r="B8510" s="2" t="str">
        <f>IFERROR(__xludf.DUMMYFUNCTION("GOOGLETRANSLATE(A8510, ""en"", ""mt"")"),"1672")</f>
        <v>1672</v>
      </c>
    </row>
    <row r="8511" ht="15.75" customHeight="1">
      <c r="A8511" s="2" t="s">
        <v>8511</v>
      </c>
      <c r="B8511" s="2" t="str">
        <f>IFERROR(__xludf.DUMMYFUNCTION("GOOGLETRANSLATE(A8511, ""en"", ""mt"")"),"ossidi")</f>
        <v>ossidi</v>
      </c>
    </row>
    <row r="8512" ht="15.75" customHeight="1">
      <c r="A8512" s="2" t="s">
        <v>8512</v>
      </c>
      <c r="B8512" s="2" t="str">
        <f>IFERROR(__xludf.DUMMYFUNCTION("GOOGLETRANSLATE(A8512, ""en"", ""mt"")"),"X'inhi l-forza repulsiva ta 'interazzjoni ta' atomu ta 'firxa mill-qrib?")</f>
        <v>X'inhi l-forza repulsiva ta 'interazzjoni ta' atomu ta 'firxa mill-qrib?</v>
      </c>
    </row>
    <row r="8513" ht="15.75" customHeight="1">
      <c r="A8513" s="2" t="s">
        <v>8513</v>
      </c>
      <c r="B8513" s="2" t="str">
        <f>IFERROR(__xludf.DUMMYFUNCTION("GOOGLETRANSLATE(A8513, ""en"", ""mt"")"),"X'inhu mnaqqas għas-siġġijiet tal-kostitwenza tagħha?")</f>
        <v>X'inhu mnaqqas għas-siġġijiet tal-kostitwenza tagħha?</v>
      </c>
    </row>
    <row r="8514" ht="15.75" customHeight="1">
      <c r="A8514" s="2" t="s">
        <v>8514</v>
      </c>
      <c r="B8514" s="2" t="str">
        <f>IFERROR(__xludf.DUMMYFUNCTION("GOOGLETRANSLATE(A8514, ""en"", ""mt"")"),"Tang, Song, kif ukoll Khitan Liao u Jurchen Jin Dynasties")</f>
        <v>Tang, Song, kif ukoll Khitan Liao u Jurchen Jin Dynasties</v>
      </c>
    </row>
    <row r="8515" ht="15.75" customHeight="1">
      <c r="A8515" s="2" t="s">
        <v>8515</v>
      </c>
      <c r="B8515" s="2" t="str">
        <f>IFERROR(__xludf.DUMMYFUNCTION("GOOGLETRANSLATE(A8515, ""en"", ""mt"")"),"X'effett għandha l-liġi tal-Unjoni Ewropea dwar il-liġijiet tal-istati membri?")</f>
        <v>X'effett għandha l-liġi tal-Unjoni Ewropea dwar il-liġijiet tal-istati membri?</v>
      </c>
    </row>
    <row r="8516" ht="15.75" customHeight="1">
      <c r="A8516" s="2" t="s">
        <v>8516</v>
      </c>
      <c r="B8516" s="2" t="str">
        <f>IFERROR(__xludf.DUMMYFUNCTION("GOOGLETRANSLATE(A8516, ""en"", ""mt"")"),"Streptococcus (Proteina G)")</f>
        <v>Streptococcus (Proteina G)</v>
      </c>
    </row>
    <row r="8517" ht="15.75" customHeight="1">
      <c r="A8517" s="2" t="s">
        <v>8517</v>
      </c>
      <c r="B8517" s="2" t="str">
        <f>IFERROR(__xludf.DUMMYFUNCTION("GOOGLETRANSLATE(A8517, ""en"", ""mt"")"),"Goldman Sachs")</f>
        <v>Goldman Sachs</v>
      </c>
    </row>
    <row r="8518" ht="15.75" customHeight="1">
      <c r="A8518" s="2" t="s">
        <v>8518</v>
      </c>
      <c r="B8518" s="2" t="str">
        <f>IFERROR(__xludf.DUMMYFUNCTION("GOOGLETRANSLATE(A8518, ""en"", ""mt"")"),"Meta l-bennejja jitolbu ftit flus biex jitlestew il-proġett")</f>
        <v>Meta l-bennejja jitolbu ftit flus biex jitlestew il-proġett</v>
      </c>
    </row>
    <row r="8519" ht="15.75" customHeight="1">
      <c r="A8519" s="2" t="s">
        <v>8519</v>
      </c>
      <c r="B8519" s="2" t="str">
        <f>IFERROR(__xludf.DUMMYFUNCTION("GOOGLETRANSLATE(A8519, ""en"", ""mt"")"),"Kosta tal-Lvant tal-Kontinent")</f>
        <v>Kosta tal-Lvant tal-Kontinent</v>
      </c>
    </row>
    <row r="8520" ht="15.75" customHeight="1">
      <c r="A8520" s="2" t="s">
        <v>8520</v>
      </c>
      <c r="B8520" s="2" t="str">
        <f>IFERROR(__xludf.DUMMYFUNCTION("GOOGLETRANSLATE(A8520, ""en"", ""mt"")"),"X'jiġri mit-tkabbir tal-PDG ta 'pajjiż jekk is-sehem tad-dħul tal-aqwa 20 fil-mija jonqos, skond l-ekonomisti tal-persunal tal-FMI?")</f>
        <v>X'jiġri mit-tkabbir tal-PDG ta 'pajjiż jekk is-sehem tad-dħul tal-aqwa 20 fil-mija jonqos, skond l-ekonomisti tal-persunal tal-FMI?</v>
      </c>
    </row>
    <row r="8521" ht="15.75" customHeight="1">
      <c r="A8521" s="2" t="s">
        <v>8521</v>
      </c>
      <c r="B8521" s="2" t="str">
        <f>IFERROR(__xludf.DUMMYFUNCTION("GOOGLETRANSLATE(A8521, ""en"", ""mt"")"),"Truppi Ingliżi")</f>
        <v>Truppi Ingliżi</v>
      </c>
    </row>
    <row r="8522" ht="15.75" customHeight="1">
      <c r="A8522" s="2" t="s">
        <v>8522</v>
      </c>
      <c r="B8522" s="2" t="str">
        <f>IFERROR(__xludf.DUMMYFUNCTION("GOOGLETRANSLATE(A8522, ""en"", ""mt"")"),"Hemm 231 siġġu f'liema kamra?")</f>
        <v>Hemm 231 siġġu f'liema kamra?</v>
      </c>
    </row>
    <row r="8523" ht="15.75" customHeight="1">
      <c r="A8523" s="2" t="s">
        <v>8523</v>
      </c>
      <c r="B8523" s="2" t="str">
        <f>IFERROR(__xludf.DUMMYFUNCTION("GOOGLETRANSLATE(A8523, ""en"", ""mt"")"),"Ctenophora (/ tᵻˈnɒfərə /; ctenophore singular, / ˈtɛnəfɔːr / jew / ˈtiːnəfɔːr /; mill-Grieg κτείς kteis 'comb' u φέρω pherō 'carry'; magħrufa bħala mellies tal-moxt) huwa l-phylu li jgħixu fid-dinja tal-baħar. L-iktar karatteristika distintiva tagħhom hi"&amp;"ja l- ""pettnijiet"" - gruppi ta 'ċili li jużaw għall-għawm - huma l-akbar annimali li jgħumu permezz ta' ċili. Adulti ta 'speċi varji jvarjaw minn ftit millimetri sa 1.5 m (4 ft 11 in) fid-daqs. Bħal cnidarians, ġisimhom jikkonsistu minn massa ta 'ġelati"&amp;"na, b'saff wieħed ta' ċelloli fuq barra u ieħor inforra l-kavità interna. Fis-ctenophores, dawn is-saffi huma żewġ ċelloli fil-fond, filwaqt li dawk fis-cnidarians huma ċellola waħda fil-fond biss. Xi awturi kkombinaw ctenophores u cnidarians fi phylum wi"&amp;"eħed, coelenterata, billi ż-żewġ gruppi jiddependu fuq il-fluss tal-ilma mill-kavità tal-ġisem kemm għad-diġestjoni kif ukoll għar-respirazzjoni. Iż-żieda fl-għarfien tad-differenzi kkonvinċiet lill-awturi aktar riċenti biex jikklassifikawhom bħala phyla "&amp;"separati.")</f>
        <v>Ctenophora (/ tᵻˈnɒfərə /; ctenophore singular, / ˈtɛnəfɔːr / jew / ˈtiːnəfɔːr /; mill-Grieg κτείς kteis 'comb' u φέρω pherō 'carry'; magħrufa bħala mellies tal-moxt) huwa l-phylu li jgħixu fid-dinja tal-baħar. L-iktar karatteristika distintiva tagħhom hija l- "pettnijiet" - gruppi ta 'ċili li jużaw għall-għawm - huma l-akbar annimali li jgħumu permezz ta' ċili. Adulti ta 'speċi varji jvarjaw minn ftit millimetri sa 1.5 m (4 ft 11 in) fid-daqs. Bħal cnidarians, ġisimhom jikkonsistu minn massa ta 'ġelatina, b'saff wieħed ta' ċelloli fuq barra u ieħor inforra l-kavità interna. Fis-ctenophores, dawn is-saffi huma żewġ ċelloli fil-fond, filwaqt li dawk fis-cnidarians huma ċellola waħda fil-fond biss. Xi awturi kkombinaw ctenophores u cnidarians fi phylum wieħed, coelenterata, billi ż-żewġ gruppi jiddependu fuq il-fluss tal-ilma mill-kavità tal-ġisem kemm għad-diġestjoni kif ukoll għar-respirazzjoni. Iż-żieda fl-għarfien tad-differenzi kkonvinċiet lill-awturi aktar riċenti biex jikklassifikawhom bħala phyla separati.</v>
      </c>
    </row>
    <row r="8524" ht="15.75" customHeight="1">
      <c r="A8524" s="2" t="s">
        <v>8524</v>
      </c>
      <c r="B8524" s="2" t="str">
        <f>IFERROR(__xludf.DUMMYFUNCTION("GOOGLETRANSLATE(A8524, ""en"", ""mt"")"),"Il-Kostituzzjoni Kolonjali tal-1855")</f>
        <v>Il-Kostituzzjoni Kolonjali tal-1855</v>
      </c>
    </row>
    <row r="8525" ht="15.75" customHeight="1">
      <c r="A8525" s="2" t="s">
        <v>8525</v>
      </c>
      <c r="B8525" s="2" t="str">
        <f>IFERROR(__xludf.DUMMYFUNCTION("GOOGLETRANSLATE(A8525, ""en"", ""mt"")"),"Liema prinċipju jiddikjara li l-blat aktar fil-fond fis-saff għandhom it-tendenza li jkunu iżgħar?")</f>
        <v>Liema prinċipju jiddikjara li l-blat aktar fil-fond fis-saff għandhom it-tendenza li jkunu iżgħar?</v>
      </c>
    </row>
    <row r="8526" ht="15.75" customHeight="1">
      <c r="A8526" s="2" t="s">
        <v>8526</v>
      </c>
      <c r="B8526" s="2" t="str">
        <f>IFERROR(__xludf.DUMMYFUNCTION("GOOGLETRANSLATE(A8526, ""en"", ""mt"")"),"impatt konsiderevoli")</f>
        <v>impatt konsiderevoli</v>
      </c>
    </row>
    <row r="8527" ht="15.75" customHeight="1">
      <c r="A8527" s="2" t="s">
        <v>8527</v>
      </c>
      <c r="B8527" s="2" t="str">
        <f>IFERROR(__xludf.DUMMYFUNCTION("GOOGLETRANSLATE(A8527, ""en"", ""mt"")"),"X'inhi l-iktar kawża komuni ta 'korriment fuq il-post?")</f>
        <v>X'inhi l-iktar kawża komuni ta 'korriment fuq il-post?</v>
      </c>
    </row>
    <row r="8528" ht="15.75" customHeight="1">
      <c r="A8528" s="2" t="s">
        <v>8528</v>
      </c>
      <c r="B8528" s="2" t="str">
        <f>IFERROR(__xludf.DUMMYFUNCTION("GOOGLETRANSLATE(A8528, ""en"", ""mt"")"),"Ħsad tal-kerrejja Ċiniżi tagħhom")</f>
        <v>Ħsad tal-kerrejja Ċiniżi tagħhom</v>
      </c>
    </row>
    <row r="8529" ht="15.75" customHeight="1">
      <c r="A8529" s="2" t="s">
        <v>8529</v>
      </c>
      <c r="B8529" s="2" t="str">
        <f>IFERROR(__xludf.DUMMYFUNCTION("GOOGLETRANSLATE(A8529, ""en"", ""mt"")"),"X'inhu d-Distrett tan-Negozju Ċentrali ta 'Downtown San Diego?")</f>
        <v>X'inhu d-Distrett tan-Negozju Ċentrali ta 'Downtown San Diego?</v>
      </c>
    </row>
    <row r="8530" ht="15.75" customHeight="1">
      <c r="A8530" s="2" t="s">
        <v>8530</v>
      </c>
      <c r="B8530" s="2" t="str">
        <f>IFERROR(__xludf.DUMMYFUNCTION("GOOGLETRANSLATE(A8530, ""en"", ""mt"")"),"X'inhu meqjus bħala żvantaġġ potenzjali għall-ġid għal xi Amerikani?")</f>
        <v>X'inhu meqjus bħala żvantaġġ potenzjali għall-ġid għal xi Amerikani?</v>
      </c>
    </row>
    <row r="8531" ht="15.75" customHeight="1">
      <c r="A8531" s="2" t="s">
        <v>8531</v>
      </c>
      <c r="B8531" s="2" t="str">
        <f>IFERROR(__xludf.DUMMYFUNCTION("GOOGLETRANSLATE(A8531, ""en"", ""mt"")"),"abbuż ta 'pożizzjoni dominanti")</f>
        <v>abbuż ta 'pożizzjoni dominanti</v>
      </c>
    </row>
    <row r="8532" ht="15.75" customHeight="1">
      <c r="A8532" s="2" t="s">
        <v>8532</v>
      </c>
      <c r="B8532" s="2" t="str">
        <f>IFERROR(__xludf.DUMMYFUNCTION("GOOGLETRANSLATE(A8532, ""en"", ""mt"")")," Meta spiċċat id-dinastija JIP?")</f>
        <v> Meta spiċċat id-dinastija JIP?</v>
      </c>
    </row>
    <row r="8533" ht="15.75" customHeight="1">
      <c r="A8533" s="2" t="s">
        <v>8533</v>
      </c>
      <c r="B8533" s="2" t="str">
        <f>IFERROR(__xludf.DUMMYFUNCTION("GOOGLETRANSLATE(A8533, ""en"", ""mt"")"),"Capitol Hill, Washington, D.C.")</f>
        <v>Capitol Hill, Washington, D.C.</v>
      </c>
    </row>
    <row r="8534" ht="15.75" customHeight="1">
      <c r="A8534" s="2" t="s">
        <v>8534</v>
      </c>
      <c r="B8534" s="2" t="str">
        <f>IFERROR(__xludf.DUMMYFUNCTION("GOOGLETRANSLATE(A8534, ""en"", ""mt"")"),"X'inhu l-isem tas-satellita li kejjel l-ammont ta 'trab?")</f>
        <v>X'inhu l-isem tas-satellita li kejjel l-ammont ta 'trab?</v>
      </c>
    </row>
    <row r="8535" ht="15.75" customHeight="1">
      <c r="A8535" s="2" t="s">
        <v>8535</v>
      </c>
      <c r="B8535" s="2" t="str">
        <f>IFERROR(__xludf.DUMMYFUNCTION("GOOGLETRANSLATE(A8535, ""en"", ""mt"")"),"Charles Brenton Huggins u Janet Rowley")</f>
        <v>Charles Brenton Huggins u Janet Rowley</v>
      </c>
    </row>
    <row r="8536" ht="15.75" customHeight="1">
      <c r="A8536" s="2" t="s">
        <v>8536</v>
      </c>
      <c r="B8536" s="2" t="str">
        <f>IFERROR(__xludf.DUMMYFUNCTION("GOOGLETRANSLATE(A8536, ""en"", ""mt"")"),"In-nazzjonaliżmu Għarbi sekulari ġie akkużat kemm għas-suċċess tat-truppi Għarab kif ukoll għal liema tip ta 'staġnar?")</f>
        <v>In-nazzjonaliżmu Għarbi sekulari ġie akkużat kemm għas-suċċess tat-truppi Għarab kif ukoll għal liema tip ta 'staġnar?</v>
      </c>
    </row>
    <row r="8537" ht="15.75" customHeight="1">
      <c r="A8537" s="2" t="s">
        <v>8537</v>
      </c>
      <c r="B8537" s="2" t="str">
        <f>IFERROR(__xludf.DUMMYFUNCTION("GOOGLETRANSLATE(A8537, ""en"", ""mt"")"),"X'inhi r-raġuni sekondarja li tikkonsulta l-ispiżjara qed jaħdmu dejjem aktar direttament mal-pazjenti?")</f>
        <v>X'inhi r-raġuni sekondarja li tikkonsulta l-ispiżjara qed jaħdmu dejjem aktar direttament mal-pazjenti?</v>
      </c>
    </row>
    <row r="8538" ht="15.75" customHeight="1">
      <c r="A8538" s="2" t="s">
        <v>8538</v>
      </c>
      <c r="B8538" s="2" t="str">
        <f>IFERROR(__xludf.DUMMYFUNCTION("GOOGLETRANSLATE(A8538, ""en"", ""mt"")"),"Kemm il-kapital ma kellux għalfejn jibda kumpanija?")</f>
        <v>Kemm il-kapital ma kellux għalfejn jibda kumpanija?</v>
      </c>
    </row>
    <row r="8539" ht="15.75" customHeight="1">
      <c r="A8539" s="2" t="s">
        <v>8539</v>
      </c>
      <c r="B8539" s="2" t="str">
        <f>IFERROR(__xludf.DUMMYFUNCTION("GOOGLETRANSLATE(A8539, ""en"", ""mt"")"),"Liema belt Żvizzera kienet iċ-ċentru tal-moviment kalvinista?")</f>
        <v>Liema belt Żvizzera kienet iċ-ċentru tal-moviment kalvinista?</v>
      </c>
    </row>
    <row r="8540" ht="15.75" customHeight="1">
      <c r="A8540" s="2" t="s">
        <v>8540</v>
      </c>
      <c r="B8540" s="2" t="str">
        <f>IFERROR(__xludf.DUMMYFUNCTION("GOOGLETRANSLATE(A8540, ""en"", ""mt"")"),"X'ġara bħala riżultat ta 'ventijiet idrotermali u vulkani taħt l-ilma li qed jittrasformaw il-konfini?")</f>
        <v>X'ġara bħala riżultat ta 'ventijiet idrotermali u vulkani taħt l-ilma li qed jittrasformaw il-konfini?</v>
      </c>
    </row>
    <row r="8541" ht="15.75" customHeight="1">
      <c r="A8541" s="2" t="s">
        <v>8541</v>
      </c>
      <c r="B8541" s="2" t="str">
        <f>IFERROR(__xludf.DUMMYFUNCTION("GOOGLETRANSLATE(A8541, ""en"", ""mt"")"),"Meta l-Ġermanja invadiet il-Polonja u meta għamlet hekk tibda l-Ewwel Gwerra Dinjija?")</f>
        <v>Meta l-Ġermanja invadiet il-Polonja u meta għamlet hekk tibda l-Ewwel Gwerra Dinjija?</v>
      </c>
    </row>
    <row r="8542" ht="15.75" customHeight="1">
      <c r="A8542" s="2" t="s">
        <v>8542</v>
      </c>
      <c r="B8542" s="2" t="str">
        <f>IFERROR(__xludf.DUMMYFUNCTION("GOOGLETRANSLATE(A8542, ""en"", ""mt"")"),"Liema renju annessa Varsavja fl-1796?")</f>
        <v>Liema renju annessa Varsavja fl-1796?</v>
      </c>
    </row>
    <row r="8543" ht="15.75" customHeight="1">
      <c r="A8543" s="2" t="s">
        <v>8543</v>
      </c>
      <c r="B8543" s="2" t="str">
        <f>IFERROR(__xludf.DUMMYFUNCTION("GOOGLETRANSLATE(A8543, ""en"", ""mt"")"),"Kemm hemm rotazzjonijiet tal-krank f'ċiklu taċ-ċilindru?")</f>
        <v>Kemm hemm rotazzjonijiet tal-krank f'ċiklu taċ-ċilindru?</v>
      </c>
    </row>
    <row r="8544" ht="15.75" customHeight="1">
      <c r="A8544" s="2" t="s">
        <v>8544</v>
      </c>
      <c r="B8544" s="2" t="str">
        <f>IFERROR(__xludf.DUMMYFUNCTION("GOOGLETRANSLATE(A8544, ""en"", ""mt"")"),"Xi jfisser l-ossiġnu li jifforma bonds mat-tipi l-oħra kollha ta '?")</f>
        <v>Xi jfisser l-ossiġnu li jifforma bonds mat-tipi l-oħra kollha ta '?</v>
      </c>
    </row>
    <row r="8545" ht="15.75" customHeight="1">
      <c r="A8545" s="2" t="s">
        <v>8545</v>
      </c>
      <c r="B8545" s="2" t="str">
        <f>IFERROR(__xludf.DUMMYFUNCTION("GOOGLETRANSLATE(A8545, ""en"", ""mt"")"),"L-ideat ta 'min ma sarux dejjem aktar radikali matul il-ħabs tiegħu?")</f>
        <v>L-ideat ta 'min ma sarux dejjem aktar radikali matul il-ħabs tiegħu?</v>
      </c>
    </row>
    <row r="8546" ht="15.75" customHeight="1">
      <c r="A8546" s="2" t="s">
        <v>8546</v>
      </c>
      <c r="B8546" s="2" t="str">
        <f>IFERROR(__xludf.DUMMYFUNCTION("GOOGLETRANSLATE(A8546, ""en"", ""mt"")"),"X'inhu l-għan tal-puplesija addizzjonali?")</f>
        <v>X'inhu l-għan tal-puplesija addizzjonali?</v>
      </c>
    </row>
    <row r="8547" ht="15.75" customHeight="1">
      <c r="A8547" s="2" t="s">
        <v>8547</v>
      </c>
      <c r="B8547" s="2" t="str">
        <f>IFERROR(__xludf.DUMMYFUNCTION("GOOGLETRANSLATE(A8547, ""en"", ""mt"")"),"Imperu Mongol")</f>
        <v>Imperu Mongol</v>
      </c>
    </row>
    <row r="8548" ht="15.75" customHeight="1">
      <c r="A8548" s="2" t="s">
        <v>8548</v>
      </c>
      <c r="B8548" s="2" t="str">
        <f>IFERROR(__xludf.DUMMYFUNCTION("GOOGLETRANSLATE(A8548, ""en"", ""mt"")"),"Xi wħud ix-xerrejja ma jħobbux dwar Acuras?")</f>
        <v>Xi wħud ix-xerrejja ma jħobbux dwar Acuras?</v>
      </c>
    </row>
    <row r="8549" ht="15.75" customHeight="1">
      <c r="A8549" s="2" t="s">
        <v>8549</v>
      </c>
      <c r="B8549" s="2" t="str">
        <f>IFERROR(__xludf.DUMMYFUNCTION("GOOGLETRANSLATE(A8549, ""en"", ""mt"")"),"X'inhu CSNET")</f>
        <v>X'inhu CSNET</v>
      </c>
    </row>
    <row r="8550" ht="15.75" customHeight="1">
      <c r="A8550" s="2" t="s">
        <v>8550</v>
      </c>
      <c r="B8550" s="2" t="str">
        <f>IFERROR(__xludf.DUMMYFUNCTION("GOOGLETRANSLATE(A8550, ""en"", ""mt"")"),"It-Trattat ta 'Aix-La-Chapelle")</f>
        <v>It-Trattat ta 'Aix-La-Chapelle</v>
      </c>
    </row>
    <row r="8551" ht="15.75" customHeight="1">
      <c r="A8551" s="2" t="s">
        <v>8551</v>
      </c>
      <c r="B8551" s="2" t="str">
        <f>IFERROR(__xludf.DUMMYFUNCTION("GOOGLETRANSLATE(A8551, ""en"", ""mt"")"),"Nobbli tas-seklu 12/13")</f>
        <v>Nobbli tas-seklu 12/13</v>
      </c>
    </row>
    <row r="8552" ht="15.75" customHeight="1">
      <c r="A8552" s="2" t="s">
        <v>8552</v>
      </c>
      <c r="B8552" s="2" t="str">
        <f>IFERROR(__xludf.DUMMYFUNCTION("GOOGLETRANSLATE(A8552, ""en"", ""mt"")"),"Għal xiex iservi l-Pavillion Lavietes bħala post bis-satellita?")</f>
        <v>Għal xiex iservi l-Pavillion Lavietes bħala post bis-satellita?</v>
      </c>
    </row>
    <row r="8553" ht="15.75" customHeight="1">
      <c r="A8553" s="2" t="s">
        <v>8553</v>
      </c>
      <c r="B8553" s="2" t="str">
        <f>IFERROR(__xludf.DUMMYFUNCTION("GOOGLETRANSLATE(A8553, ""en"", ""mt"")"),"Għaliex il-qgħad jagħmel ħsara lit-tkabbir?")</f>
        <v>Għaliex il-qgħad jagħmel ħsara lit-tkabbir?</v>
      </c>
    </row>
    <row r="8554" ht="15.75" customHeight="1">
      <c r="A8554" s="2" t="s">
        <v>8554</v>
      </c>
      <c r="B8554" s="2" t="str">
        <f>IFERROR(__xludf.DUMMYFUNCTION("GOOGLETRANSLATE(A8554, ""en"", ""mt"")"),"Liners tal-Oċean")</f>
        <v>Liners tal-Oċean</v>
      </c>
    </row>
    <row r="8555" ht="15.75" customHeight="1">
      <c r="A8555" s="2" t="s">
        <v>8555</v>
      </c>
      <c r="B8555" s="2" t="str">
        <f>IFERROR(__xludf.DUMMYFUNCTION("GOOGLETRANSLATE(A8555, ""en"", ""mt"")"),"X’ma ppruvax tirrapressa l-Arabja Sawdita biex tikkumpensa għat-telf ta ’statura tagħha?")</f>
        <v>X’ma ppruvax tirrapressa l-Arabja Sawdita biex tikkumpensa għat-telf ta ’statura tagħha?</v>
      </c>
    </row>
    <row r="8556" ht="15.75" customHeight="1">
      <c r="A8556" s="2" t="s">
        <v>8556</v>
      </c>
      <c r="B8556" s="2" t="str">
        <f>IFERROR(__xludf.DUMMYFUNCTION("GOOGLETRANSLATE(A8556, ""en"", ""mt"")"),"In-numru ta 'servizzi soċjali li n-nies jistgħu jaċċessaw kull fejn jimxu")</f>
        <v>In-numru ta 'servizzi soċjali li n-nies jistgħu jaċċessaw kull fejn jimxu</v>
      </c>
    </row>
    <row r="8557" ht="15.75" customHeight="1">
      <c r="A8557" s="2" t="s">
        <v>8557</v>
      </c>
      <c r="B8557" s="2" t="str">
        <f>IFERROR(__xludf.DUMMYFUNCTION("GOOGLETRANSLATE(A8557, ""en"", ""mt"")"),"veduta differenti")</f>
        <v>veduta differenti</v>
      </c>
    </row>
    <row r="8558" ht="15.75" customHeight="1">
      <c r="A8558" s="2" t="s">
        <v>8558</v>
      </c>
      <c r="B8558" s="2" t="str">
        <f>IFERROR(__xludf.DUMMYFUNCTION("GOOGLETRANSLATE(A8558, ""en"", ""mt"")"),"Fl-aħħar tas-snin 1870")</f>
        <v>Fl-aħħar tas-snin 1870</v>
      </c>
    </row>
    <row r="8559" ht="15.75" customHeight="1">
      <c r="A8559" s="2" t="s">
        <v>8559</v>
      </c>
      <c r="B8559" s="2" t="str">
        <f>IFERROR(__xludf.DUMMYFUNCTION("GOOGLETRANSLATE(A8559, ""en"", ""mt"")"),"""Annimali taċ-Ċinturin""")</f>
        <v>"Annimali taċ-Ċinturin"</v>
      </c>
    </row>
    <row r="8560" ht="15.75" customHeight="1">
      <c r="A8560" s="2" t="s">
        <v>8560</v>
      </c>
      <c r="B8560" s="2" t="str">
        <f>IFERROR(__xludf.DUMMYFUNCTION("GOOGLETRANSLATE(A8560, ""en"", ""mt"")"),"Liema qorti hija l-ogħla qorti fl-Unjoni Ewropea?")</f>
        <v>Liema qorti hija l-ogħla qorti fl-Unjoni Ewropea?</v>
      </c>
    </row>
    <row r="8561" ht="15.75" customHeight="1">
      <c r="A8561" s="2" t="s">
        <v>8561</v>
      </c>
      <c r="B8561" s="2" t="str">
        <f>IFERROR(__xludf.DUMMYFUNCTION("GOOGLETRANSLATE(A8561, ""en"", ""mt"")"),"L-oriġini tal-figura leġġendarja mhix magħrufa għal kollox. Il-leġġenda l-iktar magħrufa, ta 'Artur Oppman, hija li żmien ilu tnejn mill-bniet ta' Triton waqqfu vjaġġ fil-fond tal-oċeani u l-ibħra. Wieħed minnhom iddeċieda li jibqa ’fuq il-kosta tad-Danim"&amp;"arka u jista’ jidher bilqiegħda fid-daħla tal-Port ta ’Kopenħagen. It-tieni sirena laħqet il-ħalq tax-xmara Vistula u tefgħet fl-ilmijiet tagħha. Hija waqfet tistrieħ fuq bajja bir-ramel mill-villaġġ ta 'Warszowa, fejn is-sajjieda waslu biex jammiraw is-s"&amp;"buħija tagħha u jisimgħu l-vuċi sabiħa tagħha. Merkantili greedy sema ’wkoll il-kanzunetti tagħha; Huwa segwa s-sajjieda u qabad il-sirena.")</f>
        <v>L-oriġini tal-figura leġġendarja mhix magħrufa għal kollox. Il-leġġenda l-iktar magħrufa, ta 'Artur Oppman, hija li żmien ilu tnejn mill-bniet ta' Triton waqqfu vjaġġ fil-fond tal-oċeani u l-ibħra. Wieħed minnhom iddeċieda li jibqa ’fuq il-kosta tad-Danimarka u jista’ jidher bilqiegħda fid-daħla tal-Port ta ’Kopenħagen. It-tieni sirena laħqet il-ħalq tax-xmara Vistula u tefgħet fl-ilmijiet tagħha. Hija waqfet tistrieħ fuq bajja bir-ramel mill-villaġġ ta 'Warszowa, fejn is-sajjieda waslu biex jammiraw is-sbuħija tagħha u jisimgħu l-vuċi sabiħa tagħha. Merkantili greedy sema ’wkoll il-kanzunetti tagħha; Huwa segwa s-sajjieda u qabad il-sirena.</v>
      </c>
    </row>
    <row r="8562" ht="15.75" customHeight="1">
      <c r="A8562" s="2" t="s">
        <v>8562</v>
      </c>
      <c r="B8562" s="2" t="str">
        <f>IFERROR(__xludf.DUMMYFUNCTION("GOOGLETRANSLATE(A8562, ""en"", ""mt"")"),"Liema xmara tinsab ħdejn l-Università ta 'Cornell?")</f>
        <v>Liema xmara tinsab ħdejn l-Università ta 'Cornell?</v>
      </c>
    </row>
    <row r="8563" ht="15.75" customHeight="1">
      <c r="A8563" s="2" t="s">
        <v>8563</v>
      </c>
      <c r="B8563" s="2" t="str">
        <f>IFERROR(__xludf.DUMMYFUNCTION("GOOGLETRANSLATE(A8563, ""en"", ""mt"")"),"Sistema immuni innata")</f>
        <v>Sistema immuni innata</v>
      </c>
    </row>
    <row r="8564" ht="15.75" customHeight="1">
      <c r="A8564" s="2" t="s">
        <v>8564</v>
      </c>
      <c r="B8564" s="2" t="str">
        <f>IFERROR(__xludf.DUMMYFUNCTION("GOOGLETRANSLATE(A8564, ""en"", ""mt"")"),"X'tip ta 'numri huma dejjem multipli ta' diviżuri distinti?")</f>
        <v>X'tip ta 'numri huma dejjem multipli ta' diviżuri distinti?</v>
      </c>
    </row>
    <row r="8565" ht="15.75" customHeight="1">
      <c r="A8565" s="2" t="s">
        <v>8565</v>
      </c>
      <c r="B8565" s="2" t="str">
        <f>IFERROR(__xludf.DUMMYFUNCTION("GOOGLETRANSLATE(A8565, ""en"", ""mt"")"),"X'impatt iżgħar fuq l-ekonomija ta 'l-Istati Uniti aktar mill-kummerċ?")</f>
        <v>X'impatt iżgħar fuq l-ekonomija ta 'l-Istati Uniti aktar mill-kummerċ?</v>
      </c>
    </row>
    <row r="8566" ht="15.75" customHeight="1">
      <c r="A8566" s="2" t="s">
        <v>8566</v>
      </c>
      <c r="B8566" s="2" t="str">
        <f>IFERROR(__xludf.DUMMYFUNCTION("GOOGLETRANSLATE(A8566, ""en"", ""mt"")"),"Minn xiex il-ħarifa tospita ħafna?")</f>
        <v>Minn xiex il-ħarifa tospita ħafna?</v>
      </c>
    </row>
    <row r="8567" ht="15.75" customHeight="1">
      <c r="A8567" s="2" t="s">
        <v>8567</v>
      </c>
      <c r="B8567" s="2" t="str">
        <f>IFERROR(__xludf.DUMMYFUNCTION("GOOGLETRANSLATE(A8567, ""en"", ""mt"")"),"Minn liema sena kienu disponibbli 1700 magna tal-horsepower?")</f>
        <v>Minn liema sena kienu disponibbli 1700 magna tal-horsepower?</v>
      </c>
    </row>
    <row r="8568" ht="15.75" customHeight="1">
      <c r="A8568" s="2" t="s">
        <v>8568</v>
      </c>
      <c r="B8568" s="2" t="str">
        <f>IFERROR(__xludf.DUMMYFUNCTION("GOOGLETRANSLATE(A8568, ""en"", ""mt"")"),"Brocard's")</f>
        <v>Brocard's</v>
      </c>
    </row>
    <row r="8569" ht="15.75" customHeight="1">
      <c r="A8569" s="2" t="s">
        <v>8569</v>
      </c>
      <c r="B8569" s="2" t="str">
        <f>IFERROR(__xludf.DUMMYFUNCTION("GOOGLETRANSLATE(A8569, ""en"", ""mt"")"),"X'inhu inkluż flimkien ma 'aċċerazzjoni gravitazzjonali, u l-massa tad-dinja f'formula dwar rotazzjoni madwar id-dinja?")</f>
        <v>X'inhu inkluż flimkien ma 'aċċerazzjoni gravitazzjonali, u l-massa tad-dinja f'formula dwar rotazzjoni madwar id-dinja?</v>
      </c>
    </row>
    <row r="8570" ht="15.75" customHeight="1">
      <c r="A8570" s="2" t="s">
        <v>8570</v>
      </c>
      <c r="B8570" s="2" t="str">
        <f>IFERROR(__xludf.DUMMYFUNCTION("GOOGLETRANSLATE(A8570, ""en"", ""mt"")"),"Satellita Calipso tan-NASA")</f>
        <v>Satellita Calipso tan-NASA</v>
      </c>
    </row>
    <row r="8571" ht="15.75" customHeight="1">
      <c r="A8571" s="2" t="s">
        <v>8571</v>
      </c>
      <c r="B8571" s="2" t="str">
        <f>IFERROR(__xludf.DUMMYFUNCTION("GOOGLETRANSLATE(A8571, ""en"", ""mt"")"),"X'kien il-prezz taż-żejt wara ż-żieda?")</f>
        <v>X'kien il-prezz taż-żejt wara ż-żieda?</v>
      </c>
    </row>
    <row r="8572" ht="15.75" customHeight="1">
      <c r="A8572" s="2" t="s">
        <v>8572</v>
      </c>
      <c r="B8572" s="2" t="str">
        <f>IFERROR(__xludf.DUMMYFUNCTION("GOOGLETRANSLATE(A8572, ""en"", ""mt"")"),"200 ta 'Marzu")</f>
        <v>200 ta 'Marzu</v>
      </c>
    </row>
    <row r="8573" ht="15.75" customHeight="1">
      <c r="A8573" s="2" t="s">
        <v>8573</v>
      </c>
      <c r="B8573" s="2" t="str">
        <f>IFERROR(__xludf.DUMMYFUNCTION("GOOGLETRANSLATE(A8573, ""en"", ""mt"")"),"Kemm aktar art għandha l-iskola f'Allston minn Cambridge?")</f>
        <v>Kemm aktar art għandha l-iskola f'Allston minn Cambridge?</v>
      </c>
    </row>
    <row r="8574" ht="15.75" customHeight="1">
      <c r="A8574" s="2" t="s">
        <v>8574</v>
      </c>
      <c r="B8574" s="2" t="str">
        <f>IFERROR(__xludf.DUMMYFUNCTION("GOOGLETRANSLATE(A8574, ""en"", ""mt"")"),"Preparazzjonijiet ta 'riskju għoli u xi funzjonijiet oħra ta' taħlit")</f>
        <v>Preparazzjonijiet ta 'riskju għoli u xi funzjonijiet oħra ta' taħlit</v>
      </c>
    </row>
    <row r="8575" ht="15.75" customHeight="1">
      <c r="A8575" s="2" t="s">
        <v>8575</v>
      </c>
      <c r="B8575" s="2" t="str">
        <f>IFERROR(__xludf.DUMMYFUNCTION("GOOGLETRANSLATE(A8575, ""en"", ""mt"")"),"Liema bliet Ingliżi oħra kienu siti ta 'soluzzjoni ta' Huguenot?")</f>
        <v>Liema bliet Ingliżi oħra kienu siti ta 'soluzzjoni ta' Huguenot?</v>
      </c>
    </row>
    <row r="8576" ht="15.75" customHeight="1">
      <c r="A8576" s="2" t="s">
        <v>8576</v>
      </c>
      <c r="B8576" s="2" t="str">
        <f>IFERROR(__xludf.DUMMYFUNCTION("GOOGLETRANSLATE(A8576, ""en"", ""mt"")"),"Xi jfisser ir-Rhine ma 'barra l-Ġermanja?")</f>
        <v>Xi jfisser ir-Rhine ma 'barra l-Ġermanja?</v>
      </c>
    </row>
    <row r="8577" ht="15.75" customHeight="1">
      <c r="A8577" s="2" t="s">
        <v>8577</v>
      </c>
      <c r="B8577" s="2" t="str">
        <f>IFERROR(__xludf.DUMMYFUNCTION("GOOGLETRANSLATE(A8577, ""en"", ""mt"")"),"It-Taliban kien daqshekk differenti minn mumenti oħra li jistgħu jiġu deskritti b'mod aktar preċiż bħala x'inhu?")</f>
        <v>It-Taliban kien daqshekk differenti minn mumenti oħra li jistgħu jiġu deskritti b'mod aktar preċiż bħala x'inhu?</v>
      </c>
    </row>
    <row r="8578" ht="15.75" customHeight="1">
      <c r="A8578" s="2" t="s">
        <v>8578</v>
      </c>
      <c r="B8578" s="2" t="str">
        <f>IFERROR(__xludf.DUMMYFUNCTION("GOOGLETRANSLATE(A8578, ""en"", ""mt"")"),"X'inhi l-ġustifikatin ġenerali biex ma tillimita l-moviment liberu fit-tfeurticles 45 (3)?")</f>
        <v>X'inhi l-ġustifikatin ġenerali biex ma tillimita l-moviment liberu fit-tfeurticles 45 (3)?</v>
      </c>
    </row>
    <row r="8579" ht="15.75" customHeight="1">
      <c r="A8579" s="2" t="s">
        <v>8579</v>
      </c>
      <c r="B8579" s="2" t="str">
        <f>IFERROR(__xludf.DUMMYFUNCTION("GOOGLETRANSLATE(A8579, ""en"", ""mt"")"),"L-imperjalizmu u l-kolonjaliżmu t-tnejn jaffermaw dominanza ta 'stati fuq xiex?")</f>
        <v>L-imperjalizmu u l-kolonjaliżmu t-tnejn jaffermaw dominanza ta 'stati fuq xiex?</v>
      </c>
    </row>
    <row r="8580" ht="15.75" customHeight="1">
      <c r="A8580" s="2" t="s">
        <v>8580</v>
      </c>
      <c r="B8580" s="2" t="str">
        <f>IFERROR(__xludf.DUMMYFUNCTION("GOOGLETRANSLATE(A8580, ""en"", ""mt"")"),"Meta kienu Joseph Schumpeter u Norman Angell fil-perjodu l-iktar prolifiku tagħhom?")</f>
        <v>Meta kienu Joseph Schumpeter u Norman Angell fil-perjodu l-iktar prolifiku tagħhom?</v>
      </c>
    </row>
    <row r="8581" ht="15.75" customHeight="1">
      <c r="A8581" s="2" t="s">
        <v>8581</v>
      </c>
      <c r="B8581" s="2" t="str">
        <f>IFERROR(__xludf.DUMMYFUNCTION("GOOGLETRANSLATE(A8581, ""en"", ""mt"")"),"Meta Khan ma jwaqqafx il-Yuan il-Kbir?")</f>
        <v>Meta Khan ma jwaqqafx il-Yuan il-Kbir?</v>
      </c>
    </row>
    <row r="8582" ht="15.75" customHeight="1">
      <c r="A8582" s="2" t="s">
        <v>8582</v>
      </c>
      <c r="B8582" s="2" t="str">
        <f>IFERROR(__xludf.DUMMYFUNCTION("GOOGLETRANSLATE(A8582, ""en"", ""mt"")"),"Oranġjo")</f>
        <v>Oranġjo</v>
      </c>
    </row>
    <row r="8583" ht="15.75" customHeight="1">
      <c r="A8583" s="2" t="s">
        <v>8583</v>
      </c>
      <c r="B8583" s="2" t="str">
        <f>IFERROR(__xludf.DUMMYFUNCTION("GOOGLETRANSLATE(A8583, ""en"", ""mt"")"),"Fis-snin 1960, serje ta 'skoperti, li l-iktar importanti minnhom kienet tinfirex il-baħar, wriet li l-litosfera tad-Dinja, li tinkludi l-qoxra tal-qoxra u l-ogħla riġida tal-mantell ta' fuq, hija separata f'numru ta 'pjanċi tettoniċi li jiċċaqalqu madwar "&amp;"il-plastikament Deformazzjoni, solidu, mantell ta 'fuq, li jissejjaħ l-astenosfera. Hemm akkoppjar intimu bejn il-moviment tal-pjanċi fuq il-wiċċ u l-konvezzjoni tal-mantell: mozzjonijiet tal-pjanċa oċeanika u kurrenti tal-konvezzjoni tal-mantell dejjem j"&amp;"iċċaqalqu fl-istess direzzjoni, minħabba li l-litosfera oċeanika hija s-saff tal-konfini termali ta 'fuq tal-mantell tal-konvezzjoni - Dan l-akkoppjar bejn pjanċi riġidi li jiċċaqilqu fuq il-wiċċ tad-dinja u l-mantell tal-konvetti huwa msejjaħ tettonika t"&amp;"al-pjanċa.")</f>
        <v>Fis-snin 1960, serje ta 'skoperti, li l-iktar importanti minnhom kienet tinfirex il-baħar, wriet li l-litosfera tad-Dinja, li tinkludi l-qoxra tal-qoxra u l-ogħla riġida tal-mantell ta' fuq, hija separata f'numru ta 'pjanċi tettoniċi li jiċċaqalqu madwar il-plastikament Deformazzjoni, solidu, mantell ta 'fuq, li jissejjaħ l-astenosfera. Hemm akkoppjar intimu bejn il-moviment tal-pjanċi fuq il-wiċċ u l-konvezzjoni tal-mantell: mozzjonijiet tal-pjanċa oċeanika u kurrenti tal-konvezzjoni tal-mantell dejjem jiċċaqalqu fl-istess direzzjoni, minħabba li l-litosfera oċeanika hija s-saff tal-konfini termali ta 'fuq tal-mantell tal-konvezzjoni - Dan l-akkoppjar bejn pjanċi riġidi li jiċċaqilqu fuq il-wiċċ tad-dinja u l-mantell tal-konvetti huwa msejjaħ tettonika tal-pjanċa.</v>
      </c>
    </row>
    <row r="8584" ht="15.75" customHeight="1">
      <c r="A8584" s="2" t="s">
        <v>8584</v>
      </c>
      <c r="B8584" s="2" t="str">
        <f>IFERROR(__xludf.DUMMYFUNCTION("GOOGLETRANSLATE(A8584, ""en"", ""mt"")"),"Hija kunċett żbaljat komuni biex tattribwixxi l-ebusija u r-riġidità ta 'materja solida għar-repulsjoni ta' piżijiet simili taħt l-influwenza tal-forza elettromanjetika. Madankollu, dawn il-karatteristiċi fil-fatt jirriżultaw mill-prinċipju ta 'esklużjoni"&amp;" ta' Pauli. [Ċitazzjoni meħtieġa] Peress li l-elettroni huma fermions, ma jistgħux jokkupaw l-istess stat mekkaniku kwantistiku bħal elettroni oħra. Meta l-elettroni f'materjal huma densament ippakkjati flimkien, m'hemmx biżżejjed stati mekkaniċi kwantist"&amp;"iċi ta 'enerġija aktar baxxa għalihom kollha, u għalhekk xi wħud minnhom għandhom ikunu fi stati ta' enerġija ogħla. Dan ifisser li tieħu l-enerġija biex tippakkjahom flimkien. Filwaqt li dan l-effett huwa manifestat makroskopikament bħala forza struttura"&amp;"li, huwa teknikament biss ir-riżultat tal-eżistenza ta 'sett finit ta' stati elettroni.")</f>
        <v>Hija kunċett żbaljat komuni biex tattribwixxi l-ebusija u r-riġidità ta 'materja solida għar-repulsjoni ta' piżijiet simili taħt l-influwenza tal-forza elettromanjetika. Madankollu, dawn il-karatteristiċi fil-fatt jirriżultaw mill-prinċipju ta 'esklużjoni ta' Pauli. [Ċitazzjoni meħtieġa] Peress li l-elettroni huma fermions, ma jistgħux jokkupaw l-istess stat mekkaniku kwantistiku bħal elettroni oħra. Meta l-elettroni f'materjal huma densament ippakkjati flimkien, m'hemmx biżżejjed stati mekkaniċi kwantistiċi ta 'enerġija aktar baxxa għalihom kollha, u għalhekk xi wħud minnhom għandhom ikunu fi stati ta' enerġija ogħla. Dan ifisser li tieħu l-enerġija biex tippakkjahom flimkien. Filwaqt li dan l-effett huwa manifestat makroskopikament bħala forza strutturali, huwa teknikament biss ir-riżultat tal-eżistenza ta 'sett finit ta' stati elettroni.</v>
      </c>
    </row>
    <row r="8585" ht="15.75" customHeight="1">
      <c r="A8585" s="2" t="s">
        <v>8585</v>
      </c>
      <c r="B8585" s="2" t="str">
        <f>IFERROR(__xludf.DUMMYFUNCTION("GOOGLETRANSLATE(A8585, ""en"", ""mt"")"),"In-nazzjonijiet Ewropej u liema pajjiż diżassoċjaw ruħhom mill-Istati Uniti għal din ir-raġuni?")</f>
        <v>In-nazzjonijiet Ewropej u liema pajjiż diżassoċjaw ruħhom mill-Istati Uniti għal din ir-raġuni?</v>
      </c>
    </row>
    <row r="8586" ht="15.75" customHeight="1">
      <c r="A8586" s="2" t="s">
        <v>8586</v>
      </c>
      <c r="B8586" s="2" t="str">
        <f>IFERROR(__xludf.DUMMYFUNCTION("GOOGLETRANSLATE(A8586, ""en"", ""mt"")"),"Kemm tunnellata ta 'trab tas-Saħara taqa' fuq il-baċin tal-Amażonja kull sena?")</f>
        <v>Kemm tunnellata ta 'trab tas-Saħara taqa' fuq il-baċin tal-Amażonja kull sena?</v>
      </c>
    </row>
    <row r="8587" ht="15.75" customHeight="1">
      <c r="A8587" s="2" t="s">
        <v>8587</v>
      </c>
      <c r="B8587" s="2" t="str">
        <f>IFERROR(__xludf.DUMMYFUNCTION("GOOGLETRANSLATE(A8587, ""en"", ""mt"")"),"Il-bżonnijiet tal-bdiewa tas-sojja ntużaw biex jiġġustifikaw ħafna mill-proġetti ta 'trasport kontroversjali li bħalissa qed jiżviluppaw fl-Amażonja. L-ewwel żewġ awtostradi fetħu b'suċċess il-foresta tropikali u wasslu għal żieda fis-soluzzjoni u d-defor"&amp;"estazzjoni. Ir-rata medja ta 'deforestazzjoni annwali mill-2000 sal-2005 (22,392 km2 jew 8,646 sq mi fis-sena) kienet 18% ogħla milli fil-ħames snin ta' qabel (19,018 km2 jew 7,343 sq mi fis-sena). Għalkemm id-deforestazzjoni naqset b'mod sinifikanti fl-A"&amp;"mażonja Brażiljana bejn l-2004 u l-2014, kien hemm żieda sal-lum.")</f>
        <v>Il-bżonnijiet tal-bdiewa tas-sojja ntużaw biex jiġġustifikaw ħafna mill-proġetti ta 'trasport kontroversjali li bħalissa qed jiżviluppaw fl-Amażonja. L-ewwel żewġ awtostradi fetħu b'suċċess il-foresta tropikali u wasslu għal żieda fis-soluzzjoni u d-deforestazzjoni. Ir-rata medja ta 'deforestazzjoni annwali mill-2000 sal-2005 (22,392 km2 jew 8,646 sq mi fis-sena) kienet 18% ogħla milli fil-ħames snin ta' qabel (19,018 km2 jew 7,343 sq mi fis-sena). Għalkemm id-deforestazzjoni naqset b'mod sinifikanti fl-Amażonja Brażiljana bejn l-2004 u l-2014, kien hemm żieda sal-lum.</v>
      </c>
    </row>
    <row r="8588" ht="15.75" customHeight="1">
      <c r="A8588" s="2" t="s">
        <v>8588</v>
      </c>
      <c r="B8588" s="2" t="str">
        <f>IFERROR(__xludf.DUMMYFUNCTION("GOOGLETRANSLATE(A8588, ""en"", ""mt"")"),"X'kienet il-kalkulatur tat-tidwir ta 'simplifikazzjoni robusta u flessibbli?")</f>
        <v>X'kienet il-kalkulatur tat-tidwir ta 'simplifikazzjoni robusta u flessibbli?</v>
      </c>
    </row>
    <row r="8589" ht="15.75" customHeight="1">
      <c r="A8589" s="2" t="s">
        <v>8589</v>
      </c>
      <c r="B8589" s="2" t="str">
        <f>IFERROR(__xludf.DUMMYFUNCTION("GOOGLETRANSLATE(A8589, ""en"", ""mt"")"),"Il-ġnien tas-Sassonu, li jkopri l-erja ta ’15 .5 ettaru, kien formalment ġnien irjali. Hemm aktar minn 100 speċi differenti ta 'siġar u t-toroq huma post fejn joqogħdu u jirrilassaw. Fit-tarf tal-lvant tal-park, jinsab il-qabar tas-suldat mhux magħruf. Fi"&amp;"s-seklu 19 il-ġnien tal-Palazz Krasiński ġie mibdul mill-ġdid minn Franciszek Szanior. Fiż-żona ċentrali tal-park wieħed xorta jista 'jsib siġar qodma li jmorru minn dak il-perjodu: siġra tal-maidenhair, ġewż iswed, ġellewża Torka u siġar tal-ġwienaħ Kawk"&amp;"asi. Bil-bankijiet tagħha, twapet tal-fjuri, għadira bil-papri u bitħa għat-tfal, il-ġnien tal-palazz Krasiński huwa destinazzjoni popolari għall-varsovians. Il-monument tar-rewwixta tal-ghetto ta 'Varsavja jinsab ukoll hawn. Il-park łazienki jkopri l-erj"&amp;"a ta '76 ettaru. Il-karattru u l-istorja uniċi tal-park huma riflessi fl-arkitettura tal-pajsaġġ tiegħu (pavaljuni, skulturi, pontijiet, kaskati, għadajjar) u veġetazzjoni (speċi domestiċi u barranin ta 'siġar u arbuxxelli). Dak li jagħmel dan il-park dif"&amp;"ferenti minn spazji ħodor oħra f'Varsavja huwa l-preżenza ta 'paguni u faġani, li jistgħu jidhru hawn mixi liberament, u carps rjali fl-għadira. Il-Park tal-Palazz Wilanów, imur lura għat-tieni nofs tas-seklu 17. Ikopri l-erja ta '43 ha. Iż-żona ċentrali "&amp;"tagħha ta 'stil Franċiż tikkorrispondi għall-forom barokki tal-qedem tal-palazz. Is-sezzjoni tal-Lvant tal-park, l-eqreb lejn il-palazz, hija l-ġnien b'żewġ livelli bi terrazzin li jħares lejn l-għadira. Il-park madwar il-Palazz tal-Królikania jinsab fuq "&amp;"l-escarpment il-qadim tal-Vistula. Il-park għandu karreġġjati li jiġru fuq ftit livelli fil-fond fir-ravini fuq iż-żewġ naħat tal-palazz.")</f>
        <v>Il-ġnien tas-Sassonu, li jkopri l-erja ta ’15 .5 ettaru, kien formalment ġnien irjali. Hemm aktar minn 100 speċi differenti ta 'siġar u t-toroq huma post fejn joqogħdu u jirrilassaw. Fit-tarf tal-lvant tal-park, jinsab il-qabar tas-suldat mhux magħruf. Fis-seklu 19 il-ġnien tal-Palazz Krasiński ġie mibdul mill-ġdid minn Franciszek Szanior. Fiż-żona ċentrali tal-park wieħed xorta jista 'jsib siġar qodma li jmorru minn dak il-perjodu: siġra tal-maidenhair, ġewż iswed, ġellewża Torka u siġar tal-ġwienaħ Kawkasi. Bil-bankijiet tagħha, twapet tal-fjuri, għadira bil-papri u bitħa għat-tfal, il-ġnien tal-palazz Krasiński huwa destinazzjoni popolari għall-varsovians. Il-monument tar-rewwixta tal-ghetto ta 'Varsavja jinsab ukoll hawn. Il-park łazienki jkopri l-erja ta '76 ettaru. Il-karattru u l-istorja uniċi tal-park huma riflessi fl-arkitettura tal-pajsaġġ tiegħu (pavaljuni, skulturi, pontijiet, kaskati, għadajjar) u veġetazzjoni (speċi domestiċi u barranin ta 'siġar u arbuxxelli). Dak li jagħmel dan il-park differenti minn spazji ħodor oħra f'Varsavja huwa l-preżenza ta 'paguni u faġani, li jistgħu jidhru hawn mixi liberament, u carps rjali fl-għadira. Il-Park tal-Palazz Wilanów, imur lura għat-tieni nofs tas-seklu 17. Ikopri l-erja ta '43 ha. Iż-żona ċentrali tagħha ta 'stil Franċiż tikkorrispondi għall-forom barokki tal-qedem tal-palazz. Is-sezzjoni tal-Lvant tal-park, l-eqreb lejn il-palazz, hija l-ġnien b'żewġ livelli bi terrazzin li jħares lejn l-għadira. Il-park madwar il-Palazz tal-Królikania jinsab fuq l-escarpment il-qadim tal-Vistula. Il-park għandu karreġġjati li jiġru fuq ftit livelli fil-fond fir-ravini fuq iż-żewġ naħat tal-palazz.</v>
      </c>
    </row>
    <row r="8590" ht="15.75" customHeight="1">
      <c r="A8590" s="2" t="s">
        <v>8590</v>
      </c>
      <c r="B8590" s="2" t="str">
        <f>IFERROR(__xludf.DUMMYFUNCTION("GOOGLETRANSLATE(A8590, ""en"", ""mt"")"),"Mainau")</f>
        <v>Mainau</v>
      </c>
    </row>
    <row r="8591" ht="15.75" customHeight="1">
      <c r="A8591" s="2" t="s">
        <v>8591</v>
      </c>
      <c r="B8591" s="2" t="str">
        <f>IFERROR(__xludf.DUMMYFUNCTION("GOOGLETRANSLATE(A8591, ""en"", ""mt"")"),"X'kien l-isem tal-ħabs infami Ġermaniż ta 'Gestapo?")</f>
        <v>X'kien l-isem tal-ħabs infami Ġermaniż ta 'Gestapo?</v>
      </c>
    </row>
    <row r="8592" ht="15.75" customHeight="1">
      <c r="A8592" s="2" t="s">
        <v>8592</v>
      </c>
      <c r="B8592" s="2" t="str">
        <f>IFERROR(__xludf.DUMMYFUNCTION("GOOGLETRANSLATE(A8592, ""en"", ""mt"")"),"Kontra dak li jilgħab l-ossiġnu reattiv fid-difiża tal-pjanti?")</f>
        <v>Kontra dak li jilgħab l-ossiġnu reattiv fid-difiża tal-pjanti?</v>
      </c>
    </row>
    <row r="8593" ht="15.75" customHeight="1">
      <c r="A8593" s="2" t="s">
        <v>8593</v>
      </c>
      <c r="B8593" s="2" t="str">
        <f>IFERROR(__xludf.DUMMYFUNCTION("GOOGLETRANSLATE(A8593, ""en"", ""mt"")"),"Lil min is-sid jagħti kont ta 'kwantitajiet?")</f>
        <v>Lil min is-sid jagħti kont ta 'kwantitajiet?</v>
      </c>
    </row>
    <row r="8594" ht="15.75" customHeight="1">
      <c r="A8594" s="2" t="s">
        <v>8594</v>
      </c>
      <c r="B8594" s="2" t="str">
        <f>IFERROR(__xludf.DUMMYFUNCTION("GOOGLETRANSLATE(A8594, ""en"", ""mt"")"),"X’ħeġġeġ il-kummerċ taħt il-wan?")</f>
        <v>X’ħeġġeġ il-kummerċ taħt il-wan?</v>
      </c>
    </row>
    <row r="8595" ht="15.75" customHeight="1">
      <c r="A8595" s="2" t="s">
        <v>8595</v>
      </c>
      <c r="B8595" s="2" t="str">
        <f>IFERROR(__xludf.DUMMYFUNCTION("GOOGLETRANSLATE(A8595, ""en"", ""mt"")"),"Kemm kien jiswa biex tibni Harvard Stadium?")</f>
        <v>Kemm kien jiswa biex tibni Harvard Stadium?</v>
      </c>
    </row>
    <row r="8596" ht="15.75" customHeight="1">
      <c r="A8596" s="2" t="s">
        <v>8596</v>
      </c>
      <c r="B8596" s="2" t="str">
        <f>IFERROR(__xludf.DUMMYFUNCTION("GOOGLETRANSLATE(A8596, ""en"", ""mt"")"),"ultravjola")</f>
        <v>ultravjola</v>
      </c>
    </row>
    <row r="8597" ht="15.75" customHeight="1">
      <c r="A8597" s="2" t="s">
        <v>8597</v>
      </c>
      <c r="B8597" s="2" t="str">
        <f>IFERROR(__xludf.DUMMYFUNCTION("GOOGLETRANSLATE(A8597, ""en"", ""mt"")"),"X'jista 'kwalunkwe numru ikbar minn 6 jista' jkun irrappreżentat bħala?")</f>
        <v>X'jista 'kwalunkwe numru ikbar minn 6 jista' jkun irrappreżentat bħala?</v>
      </c>
    </row>
    <row r="8598" ht="15.75" customHeight="1">
      <c r="A8598" s="2" t="s">
        <v>8598</v>
      </c>
      <c r="B8598" s="2" t="str">
        <f>IFERROR(__xludf.DUMMYFUNCTION("GOOGLETRANSLATE(A8598, ""en"", ""mt"")"),"Irena Bajerska")</f>
        <v>Irena Bajerska</v>
      </c>
    </row>
    <row r="8599" ht="15.75" customHeight="1">
      <c r="A8599" s="2" t="s">
        <v>8599</v>
      </c>
      <c r="B8599" s="2" t="str">
        <f>IFERROR(__xludf.DUMMYFUNCTION("GOOGLETRANSLATE(A8599, ""en"", ""mt"")"),"Liema pajjiż kien magħruf ħafna għall-offerta ta 'edukazzjoni Protestanti?")</f>
        <v>Liema pajjiż kien magħruf ħafna għall-offerta ta 'edukazzjoni Protestanti?</v>
      </c>
    </row>
    <row r="8600" ht="15.75" customHeight="1">
      <c r="A8600" s="2" t="s">
        <v>8600</v>
      </c>
      <c r="B8600" s="2" t="str">
        <f>IFERROR(__xludf.DUMMYFUNCTION("GOOGLETRANSLATE(A8600, ""en"", ""mt"")"),"Kif jitwasslu l-messaġġi tal-forza tal-ajru")</f>
        <v>Kif jitwasslu l-messaġġi tal-forza tal-ajru</v>
      </c>
    </row>
    <row r="8601" ht="15.75" customHeight="1">
      <c r="A8601" s="2" t="s">
        <v>8601</v>
      </c>
      <c r="B8601" s="2" t="str">
        <f>IFERROR(__xludf.DUMMYFUNCTION("GOOGLETRANSLATE(A8601, ""en"", ""mt"")"),"1950")</f>
        <v>1950</v>
      </c>
    </row>
    <row r="8602" ht="15.75" customHeight="1">
      <c r="A8602" s="2" t="s">
        <v>8602</v>
      </c>
      <c r="B8602" s="2" t="str">
        <f>IFERROR(__xludf.DUMMYFUNCTION("GOOGLETRANSLATE(A8602, ""en"", ""mt"")"),"X'inhu dan it-tip ta 'rispons attivat mill-pjanti?")</f>
        <v>X'inhu dan it-tip ta 'rispons attivat mill-pjanti?</v>
      </c>
    </row>
    <row r="8603" ht="15.75" customHeight="1">
      <c r="A8603" s="2" t="s">
        <v>8603</v>
      </c>
      <c r="B8603" s="2" t="str">
        <f>IFERROR(__xludf.DUMMYFUNCTION("GOOGLETRANSLATE(A8603, ""en"", ""mt"")"),"Gvern")</f>
        <v>Gvern</v>
      </c>
    </row>
    <row r="8604" ht="15.75" customHeight="1">
      <c r="A8604" s="2" t="s">
        <v>8604</v>
      </c>
      <c r="B8604" s="2" t="str">
        <f>IFERROR(__xludf.DUMMYFUNCTION("GOOGLETRANSLATE(A8604, ""en"", ""mt"")"),"X'dritt għandhom skejjel privati ​​li l-iskejjel pubbliċi m'għandhomx?")</f>
        <v>X'dritt għandhom skejjel privati ​​li l-iskejjel pubbliċi m'għandhomx?</v>
      </c>
    </row>
    <row r="8605" ht="15.75" customHeight="1">
      <c r="A8605" s="2" t="s">
        <v>8605</v>
      </c>
      <c r="B8605" s="2" t="str">
        <f>IFERROR(__xludf.DUMMYFUNCTION("GOOGLETRANSLATE(A8605, ""en"", ""mt"")"),"Xi jagħmlu xi spiżeriji tal-komunità?")</f>
        <v>Xi jagħmlu xi spiżeriji tal-komunità?</v>
      </c>
    </row>
    <row r="8606" ht="15.75" customHeight="1">
      <c r="A8606" s="2" t="s">
        <v>8606</v>
      </c>
      <c r="B8606" s="2" t="str">
        <f>IFERROR(__xludf.DUMMYFUNCTION("GOOGLETRANSLATE(A8606, ""en"", ""mt"")"),"F'liema sena twaqqaf ir-Reġiment tal-Infanterija AltPreubissche Nru 13?")</f>
        <v>F'liema sena twaqqaf ir-Reġiment tal-Infanterija AltPreubissche Nru 13?</v>
      </c>
    </row>
    <row r="8607" ht="15.75" customHeight="1">
      <c r="A8607" s="2" t="s">
        <v>8607</v>
      </c>
      <c r="B8607" s="2" t="str">
        <f>IFERROR(__xludf.DUMMYFUNCTION("GOOGLETRANSLATE(A8607, ""en"", ""mt"")"),"Flimkien ma 'trusts, liema profitti oħra huma permessi li jmexxu skejjel fl-Indja?")</f>
        <v>Flimkien ma 'trusts, liema profitti oħra huma permessi li jmexxu skejjel fl-Indja?</v>
      </c>
    </row>
    <row r="8608" ht="15.75" customHeight="1">
      <c r="A8608" s="2" t="s">
        <v>8608</v>
      </c>
      <c r="B8608" s="2" t="str">
        <f>IFERROR(__xludf.DUMMYFUNCTION("GOOGLETRANSLATE(A8608, ""en"", ""mt"")"),"baħar")</f>
        <v>baħar</v>
      </c>
    </row>
    <row r="8609" ht="15.75" customHeight="1">
      <c r="A8609" s="2" t="s">
        <v>8609</v>
      </c>
      <c r="B8609" s="2" t="str">
        <f>IFERROR(__xludf.DUMMYFUNCTION("GOOGLETRANSLATE(A8609, ""en"", ""mt"")"),"X'inhi destinazzjoni ta 'strolling popolari għall-Varsovians?")</f>
        <v>X'inhi destinazzjoni ta 'strolling popolari għall-Varsovians?</v>
      </c>
    </row>
    <row r="8610" ht="15.75" customHeight="1">
      <c r="A8610" s="2" t="s">
        <v>8610</v>
      </c>
      <c r="B8610" s="2" t="str">
        <f>IFERROR(__xludf.DUMMYFUNCTION("GOOGLETRANSLATE(A8610, ""en"", ""mt"")"),"pjanti u fabbriki")</f>
        <v>pjanti u fabbriki</v>
      </c>
    </row>
    <row r="8611" ht="15.75" customHeight="1">
      <c r="A8611" s="2" t="s">
        <v>8611</v>
      </c>
      <c r="B8611" s="2" t="str">
        <f>IFERROR(__xludf.DUMMYFUNCTION("GOOGLETRANSLATE(A8611, ""en"", ""mt"")"),"Madwar 1,000")</f>
        <v>Madwar 1,000</v>
      </c>
    </row>
    <row r="8612" ht="15.75" customHeight="1">
      <c r="A8612" s="2" t="s">
        <v>8612</v>
      </c>
      <c r="B8612" s="2" t="str">
        <f>IFERROR(__xludf.DUMMYFUNCTION("GOOGLETRANSLATE(A8612, ""en"", ""mt"")"),"Gandhi's")</f>
        <v>Gandhi's</v>
      </c>
    </row>
    <row r="8613" ht="15.75" customHeight="1">
      <c r="A8613" s="2" t="s">
        <v>8613</v>
      </c>
      <c r="B8613" s="2" t="str">
        <f>IFERROR(__xludf.DUMMYFUNCTION("GOOGLETRANSLATE(A8613, ""en"", ""mt"")"),"X'kienet il-premessa tal-inkjesta ta 'Woodrow Wilson?")</f>
        <v>X'kienet il-premessa tal-inkjesta ta 'Woodrow Wilson?</v>
      </c>
    </row>
    <row r="8614" ht="15.75" customHeight="1">
      <c r="A8614" s="2" t="s">
        <v>8614</v>
      </c>
      <c r="B8614" s="2" t="str">
        <f>IFERROR(__xludf.DUMMYFUNCTION("GOOGLETRANSLATE(A8614, ""en"", ""mt"")"),"Liema persentaġġ tal-popolazzjoni huwa Hmong?")</f>
        <v>Liema persentaġġ tal-popolazzjoni huwa Hmong?</v>
      </c>
    </row>
    <row r="8615" ht="15.75" customHeight="1">
      <c r="A8615" s="2" t="s">
        <v>8615</v>
      </c>
      <c r="B8615" s="2" t="str">
        <f>IFERROR(__xludf.DUMMYFUNCTION("GOOGLETRANSLATE(A8615, ""en"", ""mt"")"),"it-tieni gleichschaltung")</f>
        <v>it-tieni gleichschaltung</v>
      </c>
    </row>
    <row r="8616" ht="15.75" customHeight="1">
      <c r="A8616" s="2" t="s">
        <v>8616</v>
      </c>
      <c r="B8616" s="2" t="str">
        <f>IFERROR(__xludf.DUMMYFUNCTION("GOOGLETRANSLATE(A8616, ""en"", ""mt"")"),"Kif kellha impatt fuq il-kriżi l-Għarab?")</f>
        <v>Kif kellha impatt fuq il-kriżi l-Għarab?</v>
      </c>
    </row>
    <row r="8617" ht="15.75" customHeight="1">
      <c r="A8617" s="2" t="s">
        <v>8617</v>
      </c>
      <c r="B8617" s="2" t="str">
        <f>IFERROR(__xludf.DUMMYFUNCTION("GOOGLETRANSLATE(A8617, ""en"", ""mt"")"),"Telenet kien liċenzjat taħt dak il-fundatur?")</f>
        <v>Telenet kien liċenzjat taħt dak il-fundatur?</v>
      </c>
    </row>
    <row r="8618" ht="15.75" customHeight="1">
      <c r="A8618" s="2" t="s">
        <v>8618</v>
      </c>
      <c r="B8618" s="2" t="str">
        <f>IFERROR(__xludf.DUMMYFUNCTION("GOOGLETRANSLATE(A8618, ""en"", ""mt"")"),"X'inhu l-proporzjon power-to-weight ta 'impjant tal-fwar meta mqabbel ma' dak ta 'magna tal-fwar?")</f>
        <v>X'inhu l-proporzjon power-to-weight ta 'impjant tal-fwar meta mqabbel ma' dak ta 'magna tal-fwar?</v>
      </c>
    </row>
    <row r="8619" ht="15.75" customHeight="1">
      <c r="A8619" s="2" t="s">
        <v>8619</v>
      </c>
      <c r="B8619" s="2" t="str">
        <f>IFERROR(__xludf.DUMMYFUNCTION("GOOGLETRANSLATE(A8619, ""en"", ""mt"")"),"X'kienet dificult biex tirrikonċilja l-effett fotoelettriku u l-katastrofi ultravjola nieqsa?")</f>
        <v>X'kienet dificult biex tirrikonċilja l-effett fotoelettriku u l-katastrofi ultravjola nieqsa?</v>
      </c>
    </row>
    <row r="8620" ht="15.75" customHeight="1">
      <c r="A8620" s="2" t="s">
        <v>8620</v>
      </c>
      <c r="B8620" s="2" t="str">
        <f>IFERROR(__xludf.DUMMYFUNCTION("GOOGLETRANSLATE(A8620, ""en"", ""mt"")"),"Parks lussużi u ġonna rjali")</f>
        <v>Parks lussużi u ġonna rjali</v>
      </c>
    </row>
    <row r="8621" ht="15.75" customHeight="1">
      <c r="A8621" s="2" t="s">
        <v>8621</v>
      </c>
      <c r="B8621" s="2" t="str">
        <f>IFERROR(__xludf.DUMMYFUNCTION("GOOGLETRANSLATE(A8621, ""en"", ""mt"")"),"Ġeneral Sejm")</f>
        <v>Ġeneral Sejm</v>
      </c>
    </row>
    <row r="8622" ht="15.75" customHeight="1">
      <c r="A8622" s="2" t="s">
        <v>8622</v>
      </c>
      <c r="B8622" s="2" t="str">
        <f>IFERROR(__xludf.DUMMYFUNCTION("GOOGLETRANSLATE(A8622, ""en"", ""mt"")"),"Liema attakki proposti ma ppjanawx Shirley?")</f>
        <v>Liema attakki proposti ma ppjanawx Shirley?</v>
      </c>
    </row>
    <row r="8623" ht="15.75" customHeight="1">
      <c r="A8623" s="2" t="s">
        <v>8623</v>
      </c>
      <c r="B8623" s="2" t="str">
        <f>IFERROR(__xludf.DUMMYFUNCTION("GOOGLETRANSLATE(A8623, ""en"", ""mt"")"),"Kemm hemm irziezet fil-punent ta 'Melbourne?")</f>
        <v>Kemm hemm irziezet fil-punent ta 'Melbourne?</v>
      </c>
    </row>
    <row r="8624" ht="15.75" customHeight="1">
      <c r="A8624" s="2" t="s">
        <v>8624</v>
      </c>
      <c r="B8624" s="2" t="str">
        <f>IFERROR(__xludf.DUMMYFUNCTION("GOOGLETRANSLATE(A8624, ""en"", ""mt"")"),"Punent mill-Alter Rhein")</f>
        <v>Punent mill-Alter Rhein</v>
      </c>
    </row>
    <row r="8625" ht="15.75" customHeight="1">
      <c r="A8625" s="2" t="s">
        <v>8625</v>
      </c>
      <c r="B8625" s="2" t="str">
        <f>IFERROR(__xludf.DUMMYFUNCTION("GOOGLETRANSLATE(A8625, ""en"", ""mt"")"),"Liema teorija tiddikjara li l-karatteristiċi tad-Dinja baqgħu ma nbidlux wara li ffurmaw f'avveniment katastrofiku wieħed?")</f>
        <v>Liema teorija tiddikjara li l-karatteristiċi tad-Dinja baqgħu ma nbidlux wara li ffurmaw f'avveniment katastrofiku wieħed?</v>
      </c>
    </row>
    <row r="8626" ht="15.75" customHeight="1">
      <c r="A8626" s="2" t="s">
        <v>8626</v>
      </c>
      <c r="B8626" s="2" t="str">
        <f>IFERROR(__xludf.DUMMYFUNCTION("GOOGLETRANSLATE(A8626, ""en"", ""mt"")"),"In-negozji li jikkompetu kif jirripellaw il-ħaddiema?")</f>
        <v>In-negozji li jikkompetu kif jirripellaw il-ħaddiema?</v>
      </c>
    </row>
    <row r="8627" ht="15.75" customHeight="1">
      <c r="A8627" s="2" t="s">
        <v>8627</v>
      </c>
      <c r="B8627" s="2" t="str">
        <f>IFERROR(__xludf.DUMMYFUNCTION("GOOGLETRANSLATE(A8627, ""en"", ""mt"")"),"Biex tesplora netwerking tal-kompjuter bejn tlieta mill-universitajiet pubbliċi ta 'Michigan")</f>
        <v>Biex tesplora netwerking tal-kompjuter bejn tlieta mill-universitajiet pubbliċi ta 'Michigan</v>
      </c>
    </row>
    <row r="8628" ht="15.75" customHeight="1">
      <c r="A8628" s="2" t="s">
        <v>8628</v>
      </c>
      <c r="B8628" s="2" t="str">
        <f>IFERROR(__xludf.DUMMYFUNCTION("GOOGLETRANSLATE(A8628, ""en"", ""mt"")"),"Imdawwar mill-gvern milli joqgħod fi New France, Huguenots immexxi minn Jessé de Forest, baħħar lejn l-Amerika ta ’Fuq fl-1624 u stabbilixxa minflok fil-kolonja Olandiża ta’ New Netherland (aktar tard inkorporat fi New York u New Jersey); kif ukoll il-kol"&amp;"onji tal-Gran Brittanja, inklużi n-Nova Scotia. Numru ta 'familji ġodda ta' Amsterdam kienu ta 'oriġini Huguenot, ħafna drabi emigraw bħala refuġjati lejn l-Olanda fis-seklu ta' qabel. Fl-1628 il-Huguenots stabbilixxew kongregazzjoni bħala L'église França"&amp;"ise à la Nouvelle-Amsterdam (il-knisja Franċiża fi New Amsterdam). Din il-parroċċa tkompli llum bħala L’Eglise du Saint-Esprit, parti mit-Tqarbin Episkopali (Anglikana), u tilqa ’lil Francophone New Yorkers mid-dinja kollha. Mal-wasla tagħhom fi New Amste"&amp;"rdam, Huguenots ġew offruti art direttament minn Manhattan fuq Long Island għal ftehim permanenti u għażlu l-port fi tmiem Newtown Creek, u saru l-ewwel Ewropej li jgħixu fi Brooklyn, imbagħad magħrufa bħala Boschwick, fil-lokal, fil-lokal issa magħruf bħ"&amp;"ala Bushwick.")</f>
        <v>Imdawwar mill-gvern milli joqgħod fi New France, Huguenots immexxi minn Jessé de Forest, baħħar lejn l-Amerika ta ’Fuq fl-1624 u stabbilixxa minflok fil-kolonja Olandiża ta’ New Netherland (aktar tard inkorporat fi New York u New Jersey); kif ukoll il-kolonji tal-Gran Brittanja, inklużi n-Nova Scotia. Numru ta 'familji ġodda ta' Amsterdam kienu ta 'oriġini Huguenot, ħafna drabi emigraw bħala refuġjati lejn l-Olanda fis-seklu ta' qabel. Fl-1628 il-Huguenots stabbilixxew kongregazzjoni bħala L'église Française à la Nouvelle-Amsterdam (il-knisja Franċiża fi New Amsterdam). Din il-parroċċa tkompli llum bħala L’Eglise du Saint-Esprit, parti mit-Tqarbin Episkopali (Anglikana), u tilqa ’lil Francophone New Yorkers mid-dinja kollha. Mal-wasla tagħhom fi New Amsterdam, Huguenots ġew offruti art direttament minn Manhattan fuq Long Island għal ftehim permanenti u għażlu l-port fi tmiem Newtown Creek, u saru l-ewwel Ewropej li jgħixu fi Brooklyn, imbagħad magħrufa bħala Boschwick, fil-lokal, fil-lokal issa magħruf bħala Bushwick.</v>
      </c>
    </row>
    <row r="8629" ht="15.75" customHeight="1">
      <c r="A8629" s="2" t="s">
        <v>8629</v>
      </c>
      <c r="B8629" s="2" t="str">
        <f>IFERROR(__xludf.DUMMYFUNCTION("GOOGLETRANSLATE(A8629, ""en"", ""mt"")"),"Min jaħtar il-Bord tal-Bank Ċentrali Ewropew?")</f>
        <v>Min jaħtar il-Bord tal-Bank Ċentrali Ewropew?</v>
      </c>
    </row>
    <row r="8630" ht="15.75" customHeight="1">
      <c r="A8630" s="2" t="s">
        <v>8630</v>
      </c>
      <c r="B8630" s="2" t="str">
        <f>IFERROR(__xludf.DUMMYFUNCTION("GOOGLETRANSLATE(A8630, ""en"", ""mt"")"),"X'jista 'jintuża l-flussi tal-magma?")</f>
        <v>X'jista 'jintuża l-flussi tal-magma?</v>
      </c>
    </row>
    <row r="8631" ht="15.75" customHeight="1">
      <c r="A8631" s="2" t="s">
        <v>8631</v>
      </c>
      <c r="B8631" s="2" t="str">
        <f>IFERROR(__xludf.DUMMYFUNCTION("GOOGLETRANSLATE(A8631, ""en"", ""mt"")"),"F’liema sena BankAmericard biddel isimha?")</f>
        <v>F’liema sena BankAmericard biddel isimha?</v>
      </c>
    </row>
    <row r="8632" ht="15.75" customHeight="1">
      <c r="A8632" s="2" t="s">
        <v>8632</v>
      </c>
      <c r="B8632" s="2" t="str">
        <f>IFERROR(__xludf.DUMMYFUNCTION("GOOGLETRANSLATE(A8632, ""en"", ""mt"")"),"Lvant")</f>
        <v>Lvant</v>
      </c>
    </row>
    <row r="8633" ht="15.75" customHeight="1">
      <c r="A8633" s="2" t="s">
        <v>8633</v>
      </c>
      <c r="B8633" s="2" t="str">
        <f>IFERROR(__xludf.DUMMYFUNCTION("GOOGLETRANSLATE(A8633, ""en"", ""mt"")"),"Liema gwerra tal-Istati Uniti għandha ammont kbir ta 'diżubbidjenti ċivili?")</f>
        <v>Liema gwerra tal-Istati Uniti għandha ammont kbir ta 'diżubbidjenti ċivili?</v>
      </c>
    </row>
    <row r="8634" ht="15.75" customHeight="1">
      <c r="A8634" s="2" t="s">
        <v>8634</v>
      </c>
      <c r="B8634" s="2" t="str">
        <f>IFERROR(__xludf.DUMMYFUNCTION("GOOGLETRANSLATE(A8634, ""en"", ""mt"")"),"Id-definizzjoni kunċettwali ta 'pushes u pulls hija offruta minn xiex?")</f>
        <v>Id-definizzjoni kunċettwali ta 'pushes u pulls hija offruta minn xiex?</v>
      </c>
    </row>
    <row r="8635" ht="15.75" customHeight="1">
      <c r="A8635" s="2" t="s">
        <v>8635</v>
      </c>
      <c r="B8635" s="2" t="str">
        <f>IFERROR(__xludf.DUMMYFUNCTION("GOOGLETRANSLATE(A8635, ""en"", ""mt"")"),"Xi wħud ma jaqblux ma 'tali oriġini lingwistika doppja jew tripla mhux Franċiża, li jargumentaw li biex il-kelma tinfirex f'użu komuni fi Franza, hija trid tkun oriġinat bil-lingwa Franċiża. L- ""Ipotesi Hugues"" targumenta li l-isem kien derivat minn ass"&amp;"oċjazzjoni ma 'Hugues Capet, ir-Re ta' Franza, li ssaltan ħafna qabel ir-Riforma. Huwa kien meqjus mill-Gallikani u l-Protestanti bħala raġel nobbli li rrispetta d-dinjità u l-ħajja tan-nies. Janet Gray u partitarji oħra tal-ipoteżi jissuġġerixxu li l-ise"&amp;"m Huguenote jkun bejn wieħed u ieħor ekwivalenti għal Little Hugos, jew dawk li jixtiequ Hugo.")</f>
        <v>Xi wħud ma jaqblux ma 'tali oriġini lingwistika doppja jew tripla mhux Franċiża, li jargumentaw li biex il-kelma tinfirex f'użu komuni fi Franza, hija trid tkun oriġinat bil-lingwa Franċiża. L- "Ipotesi Hugues" targumenta li l-isem kien derivat minn assoċjazzjoni ma 'Hugues Capet, ir-Re ta' Franza, li ssaltan ħafna qabel ir-Riforma. Huwa kien meqjus mill-Gallikani u l-Protestanti bħala raġel nobbli li rrispetta d-dinjità u l-ħajja tan-nies. Janet Gray u partitarji oħra tal-ipoteżi jissuġġerixxu li l-isem Huguenote jkun bejn wieħed u ieħor ekwivalenti għal Little Hugos, jew dawk li jixtiequ Hugo.</v>
      </c>
    </row>
    <row r="8636" ht="15.75" customHeight="1">
      <c r="A8636" s="2" t="s">
        <v>8636</v>
      </c>
      <c r="B8636" s="2" t="str">
        <f>IFERROR(__xludf.DUMMYFUNCTION("GOOGLETRANSLATE(A8636, ""en"", ""mt"")"),"Fit-tarf oppost minn ħalq")</f>
        <v>Fit-tarf oppost minn ħalq</v>
      </c>
    </row>
    <row r="8637" ht="15.75" customHeight="1">
      <c r="A8637" s="2" t="s">
        <v>8637</v>
      </c>
      <c r="B8637" s="2" t="str">
        <f>IFERROR(__xludf.DUMMYFUNCTION("GOOGLETRANSLATE(A8637, ""en"", ""mt"")"),"X'inhu t-tkabbir ekonomiku insuffiċjenti għall-progress?")</f>
        <v>X'inhu t-tkabbir ekonomiku insuffiċjenti għall-progress?</v>
      </c>
    </row>
    <row r="8638" ht="15.75" customHeight="1">
      <c r="A8638" s="2" t="s">
        <v>8638</v>
      </c>
      <c r="B8638" s="2" t="str">
        <f>IFERROR(__xludf.DUMMYFUNCTION("GOOGLETRANSLATE(A8638, ""en"", ""mt"")"),"nofs is-seklu 20")</f>
        <v>nofs is-seklu 20</v>
      </c>
    </row>
    <row r="8639" ht="15.75" customHeight="1">
      <c r="A8639" s="2" t="s">
        <v>8639</v>
      </c>
      <c r="B8639" s="2" t="str">
        <f>IFERROR(__xludf.DUMMYFUNCTION("GOOGLETRANSLATE(A8639, ""en"", ""mt"")"),"X'tip ta 'magna huwa mudell tal-komputazzjoni li mhux permess li joħroġ biex jiċċekkja ħafna possibbiltajiet differenti f'daqqa?")</f>
        <v>X'tip ta 'magna huwa mudell tal-komputazzjoni li mhux permess li joħroġ biex jiċċekkja ħafna possibbiltajiet differenti f'daqqa?</v>
      </c>
    </row>
    <row r="8640" ht="15.75" customHeight="1">
      <c r="A8640" s="2" t="s">
        <v>8640</v>
      </c>
      <c r="B8640" s="2" t="str">
        <f>IFERROR(__xludf.DUMMYFUNCTION("GOOGLETRANSLATE(A8640, ""en"", ""mt"")"),"kwantitajiet skalari")</f>
        <v>kwantitajiet skalari</v>
      </c>
    </row>
    <row r="8641" ht="15.75" customHeight="1">
      <c r="A8641" s="2" t="s">
        <v>8641</v>
      </c>
      <c r="B8641" s="2" t="str">
        <f>IFERROR(__xludf.DUMMYFUNCTION("GOOGLETRANSLATE(A8641, ""en"", ""mt"")"),"Liema belt tinsab fir-reġjun tal-bajja l-akbar?")</f>
        <v>Liema belt tinsab fir-reġjun tal-bajja l-akbar?</v>
      </c>
    </row>
    <row r="8642" ht="15.75" customHeight="1">
      <c r="A8642" s="2" t="s">
        <v>8642</v>
      </c>
      <c r="B8642" s="2" t="str">
        <f>IFERROR(__xludf.DUMMYFUNCTION("GOOGLETRANSLATE(A8642, ""en"", ""mt"")"),"Kif huma eletti l-biċċa l-kbira tal-uffiċjali tal-belt wara s-snin 1960")</f>
        <v>Kif huma eletti l-biċċa l-kbira tal-uffiċjali tal-belt wara s-snin 1960</v>
      </c>
    </row>
    <row r="8643" ht="15.75" customHeight="1">
      <c r="A8643" s="2" t="s">
        <v>8643</v>
      </c>
      <c r="B8643" s="2" t="str">
        <f>IFERROR(__xludf.DUMMYFUNCTION("GOOGLETRANSLATE(A8643, ""en"", ""mt"")"),"Rankine")</f>
        <v>Rankine</v>
      </c>
    </row>
    <row r="8644" ht="15.75" customHeight="1">
      <c r="A8644" s="2" t="s">
        <v>8644</v>
      </c>
      <c r="B8644" s="2" t="str">
        <f>IFERROR(__xludf.DUMMYFUNCTION("GOOGLETRANSLATE(A8644, ""en"", ""mt"")"),"Robert Guiscard")</f>
        <v>Robert Guiscard</v>
      </c>
    </row>
    <row r="8645" ht="15.75" customHeight="1">
      <c r="A8645" s="2" t="s">
        <v>8645</v>
      </c>
      <c r="B8645" s="2" t="str">
        <f>IFERROR(__xludf.DUMMYFUNCTION("GOOGLETRANSLATE(A8645, ""en"", ""mt"")"),"Minbarra l-belt tad-deżert għaliex ħafna nies tal-post u turisti jiffrekwentaw in-Nofsinhar ta 'California?")</f>
        <v>Minbarra l-belt tad-deżert għaliex ħafna nies tal-post u turisti jiffrekwentaw in-Nofsinhar ta 'California?</v>
      </c>
    </row>
    <row r="8646" ht="15.75" customHeight="1">
      <c r="A8646" s="2" t="s">
        <v>8646</v>
      </c>
      <c r="B8646" s="2" t="str">
        <f>IFERROR(__xludf.DUMMYFUNCTION("GOOGLETRANSLATE(A8646, ""en"", ""mt"")"),"X'kienet id-densità massima teorizzata tal-popolazzjoni għal kull kilometru kwadru għall-foresta tropikali tal-Amażonja?")</f>
        <v>X'kienet id-densità massima teorizzata tal-popolazzjoni għal kull kilometru kwadru għall-foresta tropikali tal-Amażonja?</v>
      </c>
    </row>
    <row r="8647" ht="15.75" customHeight="1">
      <c r="A8647" s="2" t="s">
        <v>8647</v>
      </c>
      <c r="B8647" s="2" t="str">
        <f>IFERROR(__xludf.DUMMYFUNCTION("GOOGLETRANSLATE(A8647, ""en"", ""mt"")"),"Astra")</f>
        <v>Astra</v>
      </c>
    </row>
    <row r="8648" ht="15.75" customHeight="1">
      <c r="A8648" s="2" t="s">
        <v>8648</v>
      </c>
      <c r="B8648" s="2" t="str">
        <f>IFERROR(__xludf.DUMMYFUNCTION("GOOGLETRANSLATE(A8648, ""en"", ""mt"")"),"mhux speċifikament riservat")</f>
        <v>mhux speċifikament riservat</v>
      </c>
    </row>
    <row r="8649" ht="15.75" customHeight="1">
      <c r="A8649" s="2" t="s">
        <v>8649</v>
      </c>
      <c r="B8649" s="2" t="str">
        <f>IFERROR(__xludf.DUMMYFUNCTION("GOOGLETRANSLATE(A8649, ""en"", ""mt"")"),"Fl-1979, l-Unjoni Sovjetika skjerat l-40 Armata tagħha fl-Afganistan, u ppruvat trażżan ribelljoni Iżlamika kontra reġim Marxista Alleat fil-Gwerra Ċivili Afgana. Il-kunflitt, li jpoġġi Musulmani fqar indiġeni (mujahideen) kontra superpotenza anti-reliġju"&amp;"ża, galvanizzaw eluf ta 'Musulmani madwar id-dinja biex jibagħtu l-għajnuna u xi kultant imorru huma stess biex jiġġieldu għall-fidi tagħhom. Li tmexxi dan l-isforz pan-Iżlamiku kien il-Palestinjan Sheikh Abdullah Yusuf Azzam. Filwaqt li l-effikaċja milit"&amp;"ari ta 'dawn l- ""Għarab Afgani"" kienet marġinali, huwa stmat li 16,000 sa 35,000 voluntier Musulman ġew minn madwar id-dinja ġew biex jiġġieldu fl-Afganistan.")</f>
        <v>Fl-1979, l-Unjoni Sovjetika skjerat l-40 Armata tagħha fl-Afganistan, u ppruvat trażżan ribelljoni Iżlamika kontra reġim Marxista Alleat fil-Gwerra Ċivili Afgana. Il-kunflitt, li jpoġġi Musulmani fqar indiġeni (mujahideen) kontra superpotenza anti-reliġjuża, galvanizzaw eluf ta 'Musulmani madwar id-dinja biex jibagħtu l-għajnuna u xi kultant imorru huma stess biex jiġġieldu għall-fidi tagħhom. Li tmexxi dan l-isforz pan-Iżlamiku kien il-Palestinjan Sheikh Abdullah Yusuf Azzam. Filwaqt li l-effikaċja militari ta 'dawn l- "Għarab Afgani" kienet marġinali, huwa stmat li 16,000 sa 35,000 voluntier Musulman ġew minn madwar id-dinja ġew biex jiġġieldu fl-Afganistan.</v>
      </c>
    </row>
    <row r="8650" ht="15.75" customHeight="1">
      <c r="A8650" s="2" t="s">
        <v>8650</v>
      </c>
      <c r="B8650" s="2" t="str">
        <f>IFERROR(__xludf.DUMMYFUNCTION("GOOGLETRANSLATE(A8650, ""en"", ""mt"")"),"ribelljoni Iżlamika")</f>
        <v>ribelljoni Iżlamika</v>
      </c>
    </row>
    <row r="8651" ht="15.75" customHeight="1">
      <c r="A8651" s="2" t="s">
        <v>8651</v>
      </c>
      <c r="B8651" s="2" t="str">
        <f>IFERROR(__xludf.DUMMYFUNCTION("GOOGLETRANSLATE(A8651, ""en"", ""mt"")"),"X'jista 'jżid il-forza tat-tensjoni fuq tagħbija?")</f>
        <v>X'jista 'jżid il-forza tat-tensjoni fuq tagħbija?</v>
      </c>
    </row>
    <row r="8652" ht="15.75" customHeight="1">
      <c r="A8652" s="2" t="s">
        <v>8652</v>
      </c>
      <c r="B8652" s="2" t="str">
        <f>IFERROR(__xludf.DUMMYFUNCTION("GOOGLETRANSLATE(A8652, ""en"", ""mt"")"),"Għaliex Ekstrakiasa ġiet relegata mill-aqwa titjira tal-pajjiż fl-2013?")</f>
        <v>Għaliex Ekstrakiasa ġiet relegata mill-aqwa titjira tal-pajjiż fl-2013?</v>
      </c>
    </row>
    <row r="8653" ht="15.75" customHeight="1">
      <c r="A8653" s="2" t="s">
        <v>8653</v>
      </c>
      <c r="B8653" s="2" t="str">
        <f>IFERROR(__xludf.DUMMYFUNCTION("GOOGLETRANSLATE(A8653, ""en"", ""mt"")"),"Min ġġieled in-Normanni fl-Italja?")</f>
        <v>Min ġġieled in-Normanni fl-Italja?</v>
      </c>
    </row>
    <row r="8654" ht="15.75" customHeight="1">
      <c r="A8654" s="2" t="s">
        <v>8654</v>
      </c>
      <c r="B8654" s="2" t="str">
        <f>IFERROR(__xludf.DUMMYFUNCTION("GOOGLETRANSLATE(A8654, ""en"", ""mt"")"),"Fiċ-ċiklu ta 'Rankine, f'liema stat irċieva l-fluwidu tax-xogħol fil-kondensatur?")</f>
        <v>Fiċ-ċiklu ta 'Rankine, f'liema stat irċieva l-fluwidu tax-xogħol fil-kondensatur?</v>
      </c>
    </row>
    <row r="8655" ht="15.75" customHeight="1">
      <c r="A8655" s="2" t="s">
        <v>8655</v>
      </c>
      <c r="B8655" s="2" t="str">
        <f>IFERROR(__xludf.DUMMYFUNCTION("GOOGLETRANSLATE(A8655, ""en"", ""mt"")"),"Proteolisi")</f>
        <v>Proteolisi</v>
      </c>
    </row>
    <row r="8656" ht="15.75" customHeight="1">
      <c r="A8656" s="2" t="s">
        <v>8656</v>
      </c>
      <c r="B8656" s="2" t="str">
        <f>IFERROR(__xludf.DUMMYFUNCTION("GOOGLETRANSLATE(A8656, ""en"", ""mt"")"),"Fis-snin bikrin il-kulleġġ ħarreġ bosta ministri Puritani. [Ċitazzjoni meħtieġa] (pubblikazzjoni tal-1643 qalet li l-iskop tal-iskola kien ""li javvanza t-tagħlim u jipperpetwah għall-posterità, jibża 'li jħalli ministeru illitterat lill-knejjes meta l-mi"&amp;"nistri preżenti tagħna għandhom ikunu It-trab "".) Huwa offra kurrikulu klassiku fuq il-mudell tal-università Ingliża - ħafna mexxejja fil-kolonja attendew l-Università ta 'Cambridge - iżda konformi Puritaniżmu. Qatt ma kien affiljat ma 'xi denominazzjoni"&amp;" partikolari, iżda ħafna mill-ewwel gradwati tagħha komplew isiru kleru fil-knejjes kongregazzjonali u unitarji.")</f>
        <v>Fis-snin bikrin il-kulleġġ ħarreġ bosta ministri Puritani. [Ċitazzjoni meħtieġa] (pubblikazzjoni tal-1643 qalet li l-iskop tal-iskola kien "li javvanza t-tagħlim u jipperpetwah għall-posterità, jibża 'li jħalli ministeru illitterat lill-knejjes meta l-ministri preżenti tagħna għandhom ikunu It-trab ".) Huwa offra kurrikulu klassiku fuq il-mudell tal-università Ingliża - ħafna mexxejja fil-kolonja attendew l-Università ta 'Cambridge - iżda konformi Puritaniżmu. Qatt ma kien affiljat ma 'xi denominazzjoni partikolari, iżda ħafna mill-ewwel gradwati tagħha komplew isiru kleru fil-knejjes kongregazzjonali u unitarji.</v>
      </c>
    </row>
    <row r="8657" ht="15.75" customHeight="1">
      <c r="A8657" s="2" t="s">
        <v>8657</v>
      </c>
      <c r="B8657" s="2" t="str">
        <f>IFERROR(__xludf.DUMMYFUNCTION("GOOGLETRANSLATE(A8657, ""en"", ""mt"")"),"Hemm ftit ħafna dak li għad irid jiġi skopert?")</f>
        <v>Hemm ftit ħafna dak li għad irid jiġi skopert?</v>
      </c>
    </row>
    <row r="8658" ht="15.75" customHeight="1">
      <c r="A8658" s="2" t="s">
        <v>8658</v>
      </c>
      <c r="B8658" s="2" t="str">
        <f>IFERROR(__xludf.DUMMYFUNCTION("GOOGLETRANSLATE(A8658, ""en"", ""mt"")"),"Liema organizzazzjoni hija membri ta 'John Schmitt u Ben Zipperer?")</f>
        <v>Liema organizzazzjoni hija membri ta 'John Schmitt u Ben Zipperer?</v>
      </c>
    </row>
    <row r="8659" ht="15.75" customHeight="1">
      <c r="A8659" s="2" t="s">
        <v>8659</v>
      </c>
      <c r="B8659" s="2" t="str">
        <f>IFERROR(__xludf.DUMMYFUNCTION("GOOGLETRANSLATE(A8659, ""en"", ""mt"")"),"Kemm kien sinifikanti t-trasferiment tal-mard permezz tal-briegħed?")</f>
        <v>Kemm kien sinifikanti t-trasferiment tal-mard permezz tal-briegħed?</v>
      </c>
    </row>
    <row r="8660" ht="15.75" customHeight="1">
      <c r="A8660" s="2" t="s">
        <v>8660</v>
      </c>
      <c r="B8660" s="2" t="str">
        <f>IFERROR(__xludf.DUMMYFUNCTION("GOOGLETRANSLATE(A8660, ""en"", ""mt"")"),"Gandhi")</f>
        <v>Gandhi</v>
      </c>
    </row>
    <row r="8661" ht="15.75" customHeight="1">
      <c r="A8661" s="2" t="s">
        <v>8661</v>
      </c>
      <c r="B8661" s="2" t="str">
        <f>IFERROR(__xludf.DUMMYFUNCTION("GOOGLETRANSLATE(A8661, ""en"", ""mt"")"),"Rhine-kilometri")</f>
        <v>Rhine-kilometri</v>
      </c>
    </row>
    <row r="8662" ht="15.75" customHeight="1">
      <c r="A8662" s="2" t="s">
        <v>8662</v>
      </c>
      <c r="B8662" s="2" t="str">
        <f>IFERROR(__xludf.DUMMYFUNCTION("GOOGLETRANSLATE(A8662, ""en"", ""mt"")"),"13,000 bp")</f>
        <v>13,000 bp</v>
      </c>
    </row>
    <row r="8663" ht="15.75" customHeight="1">
      <c r="A8663" s="2" t="s">
        <v>8663</v>
      </c>
      <c r="B8663" s="2" t="str">
        <f>IFERROR(__xludf.DUMMYFUNCTION("GOOGLETRANSLATE(A8663, ""en"", ""mt"")"),"X'inhu isem ieħor għar-Rotta tal-Istat 168?")</f>
        <v>X'inhu isem ieħor għar-Rotta tal-Istat 168?</v>
      </c>
    </row>
    <row r="8664" ht="15.75" customHeight="1">
      <c r="A8664" s="2" t="s">
        <v>8664</v>
      </c>
      <c r="B8664" s="2" t="str">
        <f>IFERROR(__xludf.DUMMYFUNCTION("GOOGLETRANSLATE(A8664, ""en"", ""mt"")"),"Liema liġi tal-Afrika t'Isfel għarfet żewġ tipi ta 'skejjel?")</f>
        <v>Liema liġi tal-Afrika t'Isfel għarfet żewġ tipi ta 'skejjel?</v>
      </c>
    </row>
    <row r="8665" ht="15.75" customHeight="1">
      <c r="A8665" s="2" t="s">
        <v>8665</v>
      </c>
      <c r="B8665" s="2" t="str">
        <f>IFERROR(__xludf.DUMMYFUNCTION("GOOGLETRANSLATE(A8665, ""en"", ""mt"")"),"F'liema aspetti tal-ħajja l-Iżlamiżmu jfittex biex jintegra ruħu?")</f>
        <v>F'liema aspetti tal-ħajja l-Iżlamiżmu jfittex biex jintegra ruħu?</v>
      </c>
    </row>
    <row r="8666" ht="15.75" customHeight="1">
      <c r="A8666" s="2" t="s">
        <v>8666</v>
      </c>
      <c r="B8666" s="2" t="str">
        <f>IFERROR(__xludf.DUMMYFUNCTION("GOOGLETRANSLATE(A8666, ""en"", ""mt"")"),"25 miljun")</f>
        <v>25 miljun</v>
      </c>
    </row>
    <row r="8667" ht="15.75" customHeight="1">
      <c r="A8667" s="2" t="s">
        <v>8667</v>
      </c>
      <c r="B8667" s="2" t="str">
        <f>IFERROR(__xludf.DUMMYFUNCTION("GOOGLETRANSLATE(A8667, ""en"", ""mt"")"),"Kien hemm żewġ tipi ta 'netwerks X.25. Uħud bħal Datapac u Transpac")</f>
        <v>Kien hemm żewġ tipi ta 'netwerks X.25. Uħud bħal Datapac u Transpac</v>
      </c>
    </row>
    <row r="8668" ht="15.75" customHeight="1">
      <c r="A8668" s="2" t="s">
        <v>8668</v>
      </c>
      <c r="B8668" s="2" t="str">
        <f>IFERROR(__xludf.DUMMYFUNCTION("GOOGLETRANSLATE(A8668, ""en"", ""mt"")"),"F'liema żoni ma jinstabux ċelloli dendritiċi?")</f>
        <v>F'liema żoni ma jinstabux ċelloli dendritiċi?</v>
      </c>
    </row>
    <row r="8669" ht="15.75" customHeight="1">
      <c r="A8669" s="2" t="s">
        <v>8669</v>
      </c>
      <c r="B8669" s="2" t="str">
        <f>IFERROR(__xludf.DUMMYFUNCTION("GOOGLETRANSLATE(A8669, ""en"", ""mt"")"),"Dak li jaċċelera ċ-ċelloli NK?")</f>
        <v>Dak li jaċċelera ċ-ċelloli NK?</v>
      </c>
    </row>
    <row r="8670" ht="15.75" customHeight="1">
      <c r="A8670" s="2" t="s">
        <v>8670</v>
      </c>
      <c r="B8670" s="2" t="str">
        <f>IFERROR(__xludf.DUMMYFUNCTION("GOOGLETRANSLATE(A8670, ""en"", ""mt"")"),"Thoreau")</f>
        <v>Thoreau</v>
      </c>
    </row>
    <row r="8671" ht="15.75" customHeight="1">
      <c r="A8671" s="2" t="s">
        <v>8671</v>
      </c>
      <c r="B8671" s="2" t="str">
        <f>IFERROR(__xludf.DUMMYFUNCTION("GOOGLETRANSLATE(A8671, ""en"", ""mt"")"),"""Żviluppat b'mod indipendenti"" qatt ġie ssostanzjat?")</f>
        <v>"Żviluppat b'mod indipendenti" qatt ġie ssostanzjat?</v>
      </c>
    </row>
    <row r="8672" ht="15.75" customHeight="1">
      <c r="A8672" s="2" t="s">
        <v>8672</v>
      </c>
      <c r="B8672" s="2" t="str">
        <f>IFERROR(__xludf.DUMMYFUNCTION("GOOGLETRANSLATE(A8672, ""en"", ""mt"")"),"X'taħseb l-UE dwar il-ġustizzja tal-qorti?")</f>
        <v>X'taħseb l-UE dwar il-ġustizzja tal-qorti?</v>
      </c>
    </row>
    <row r="8673" ht="15.75" customHeight="1">
      <c r="A8673" s="2" t="s">
        <v>8673</v>
      </c>
      <c r="B8673" s="2" t="str">
        <f>IFERROR(__xludf.DUMMYFUNCTION("GOOGLETRANSLATE(A8673, ""en"", ""mt"")"),"Mediċini ġodda li għandhom bżonn jinħażnu kif suppost, amministrati, immonitorjati bir-reqqa, u ġestiti klinikament")</f>
        <v>Mediċini ġodda li għandhom bżonn jinħażnu kif suppost, amministrati, immonitorjati bir-reqqa, u ġestiti klinikament</v>
      </c>
    </row>
    <row r="8674" ht="15.75" customHeight="1">
      <c r="A8674" s="2" t="s">
        <v>8674</v>
      </c>
      <c r="B8674" s="2" t="str">
        <f>IFERROR(__xludf.DUMMYFUNCTION("GOOGLETRANSLATE(A8674, ""en"", ""mt"")"),"Meta Washington ma laħqitx Fort Le Boeuf?")</f>
        <v>Meta Washington ma laħqitx Fort Le Boeuf?</v>
      </c>
    </row>
    <row r="8675" ht="15.75" customHeight="1">
      <c r="A8675" s="2" t="s">
        <v>8675</v>
      </c>
      <c r="B8675" s="2" t="str">
        <f>IFERROR(__xludf.DUMMYFUNCTION("GOOGLETRANSLATE(A8675, ""en"", ""mt"")"),"Għaliex Vilnius sar il-kapitali tal-Commonwealth?")</f>
        <v>Għaliex Vilnius sar il-kapitali tal-Commonwealth?</v>
      </c>
    </row>
    <row r="8676" ht="15.75" customHeight="1">
      <c r="A8676" s="2" t="s">
        <v>8676</v>
      </c>
      <c r="B8676" s="2" t="str">
        <f>IFERROR(__xludf.DUMMYFUNCTION("GOOGLETRANSLATE(A8676, ""en"", ""mt"")"),"Fejn Kublai bena l-qawwa tal-amministrazzjoni tiegħu?")</f>
        <v>Fejn Kublai bena l-qawwa tal-amministrazzjoni tiegħu?</v>
      </c>
    </row>
    <row r="8677" ht="15.75" customHeight="1">
      <c r="A8677" s="2" t="s">
        <v>8677</v>
      </c>
      <c r="B8677" s="2" t="str">
        <f>IFERROR(__xludf.DUMMYFUNCTION("GOOGLETRANSLATE(A8677, ""en"", ""mt"")"),"Ibbażat fuq l-opportunità")</f>
        <v>Ibbażat fuq l-opportunità</v>
      </c>
    </row>
    <row r="8678" ht="15.75" customHeight="1">
      <c r="A8678" s="2" t="s">
        <v>8678</v>
      </c>
      <c r="B8678" s="2" t="str">
        <f>IFERROR(__xludf.DUMMYFUNCTION("GOOGLETRANSLATE(A8678, ""en"", ""mt"")"),"In-nazzjonijiet industrijalizzati żiedu r-riservi tagħhom")</f>
        <v>In-nazzjonijiet industrijalizzati żiedu r-riservi tagħhom</v>
      </c>
    </row>
    <row r="8679" ht="15.75" customHeight="1">
      <c r="A8679" s="2" t="s">
        <v>8679</v>
      </c>
      <c r="B8679" s="2" t="str">
        <f>IFERROR(__xludf.DUMMYFUNCTION("GOOGLETRANSLATE(A8679, ""en"", ""mt"")"),"Tard tas-snin sebgħin")</f>
        <v>Tard tas-snin sebgħin</v>
      </c>
    </row>
    <row r="8680" ht="15.75" customHeight="1">
      <c r="A8680" s="2" t="s">
        <v>8680</v>
      </c>
      <c r="B8680" s="2" t="str">
        <f>IFERROR(__xludf.DUMMYFUNCTION("GOOGLETRANSLATE(A8680, ""en"", ""mt"")"),"Linux")</f>
        <v>Linux</v>
      </c>
    </row>
    <row r="8681" ht="15.75" customHeight="1">
      <c r="A8681" s="2" t="s">
        <v>8681</v>
      </c>
      <c r="B8681" s="2" t="str">
        <f>IFERROR(__xludf.DUMMYFUNCTION("GOOGLETRANSLATE(A8681, ""en"", ""mt"")"),"Stoker mekkaniku")</f>
        <v>Stoker mekkaniku</v>
      </c>
    </row>
    <row r="8682" ht="15.75" customHeight="1">
      <c r="A8682" s="2" t="s">
        <v>8682</v>
      </c>
      <c r="B8682" s="2" t="str">
        <f>IFERROR(__xludf.DUMMYFUNCTION("GOOGLETRANSLATE(A8682, ""en"", ""mt"")"),"differenza")</f>
        <v>differenza</v>
      </c>
    </row>
    <row r="8683" ht="15.75" customHeight="1">
      <c r="A8683" s="2" t="s">
        <v>8683</v>
      </c>
      <c r="B8683" s="2" t="str">
        <f>IFERROR(__xludf.DUMMYFUNCTION("GOOGLETRANSLATE(A8683, ""en"", ""mt"")"),"Il-Parlament jagħżel żewġ MSPs biex iservu bħala liema uffiċjali?")</f>
        <v>Il-Parlament jagħżel żewġ MSPs biex iservu bħala liema uffiċjali?</v>
      </c>
    </row>
    <row r="8684" ht="15.75" customHeight="1">
      <c r="A8684" s="2" t="s">
        <v>8684</v>
      </c>
      <c r="B8684" s="2" t="str">
        <f>IFERROR(__xludf.DUMMYFUNCTION("GOOGLETRANSLATE(A8684, ""en"", ""mt"")"),"Meta ġie mniedi s-servizz diġitali ta 'BSKYB?")</f>
        <v>Meta ġie mniedi s-servizz diġitali ta 'BSKYB?</v>
      </c>
    </row>
    <row r="8685" ht="15.75" customHeight="1">
      <c r="A8685" s="2" t="s">
        <v>8685</v>
      </c>
      <c r="B8685" s="2" t="str">
        <f>IFERROR(__xludf.DUMMYFUNCTION("GOOGLETRANSLATE(A8685, ""en"", ""mt"")"),"Fejn jistgħu jidhru blat baxxi tal-Grand Canyon?")</f>
        <v>Fejn jistgħu jidhru blat baxxi tal-Grand Canyon?</v>
      </c>
    </row>
    <row r="8686" ht="15.75" customHeight="1">
      <c r="A8686" s="2" t="s">
        <v>8686</v>
      </c>
      <c r="B8686" s="2" t="str">
        <f>IFERROR(__xludf.DUMMYFUNCTION("GOOGLETRANSLATE(A8686, ""en"", ""mt"")"),"X'inhu l-isem Latin għall-mewt sewda?")</f>
        <v>X'inhu l-isem Latin għall-mewt sewda?</v>
      </c>
    </row>
    <row r="8687" ht="15.75" customHeight="1">
      <c r="A8687" s="2" t="s">
        <v>8687</v>
      </c>
      <c r="B8687" s="2" t="str">
        <f>IFERROR(__xludf.DUMMYFUNCTION("GOOGLETRANSLATE(A8687, ""en"", ""mt"")"),"Ingliż, Matematika u Xjenza Naturali")</f>
        <v>Ingliż, Matematika u Xjenza Naturali</v>
      </c>
    </row>
    <row r="8688" ht="15.75" customHeight="1">
      <c r="A8688" s="2" t="s">
        <v>8688</v>
      </c>
      <c r="B8688" s="2" t="str">
        <f>IFERROR(__xludf.DUMMYFUNCTION("GOOGLETRANSLATE(A8688, ""en"", ""mt"")"),"Scoil Phríobháideach")</f>
        <v>Scoil Phríobháideach</v>
      </c>
    </row>
    <row r="8689" ht="15.75" customHeight="1">
      <c r="A8689" s="2" t="s">
        <v>8689</v>
      </c>
      <c r="B8689" s="2" t="str">
        <f>IFERROR(__xludf.DUMMYFUNCTION("GOOGLETRANSLATE(A8689, ""en"", ""mt"")"),"X'inhu mod wieħed kif avukat jipprova jikseb distrett ta 'negozju mibdul?")</f>
        <v>X'inhu mod wieħed kif avukat jipprova jikseb distrett ta 'negozju mibdul?</v>
      </c>
    </row>
    <row r="8690" ht="15.75" customHeight="1">
      <c r="A8690" s="2" t="s">
        <v>8690</v>
      </c>
      <c r="B8690" s="2" t="str">
        <f>IFERROR(__xludf.DUMMYFUNCTION("GOOGLETRANSLATE(A8690, ""en"", ""mt"")"),"3.55 pulzier")</f>
        <v>3.55 pulzier</v>
      </c>
    </row>
    <row r="8691" ht="15.75" customHeight="1">
      <c r="A8691" s="2" t="s">
        <v>8691</v>
      </c>
      <c r="B8691" s="2" t="str">
        <f>IFERROR(__xludf.DUMMYFUNCTION("GOOGLETRANSLATE(A8691, ""en"", ""mt"")"),"rivista kummerċjali għall-industrija tal-kostruzzjoni")</f>
        <v>rivista kummerċjali għall-industrija tal-kostruzzjoni</v>
      </c>
    </row>
    <row r="8692" ht="15.75" customHeight="1">
      <c r="A8692" s="2" t="s">
        <v>8692</v>
      </c>
      <c r="B8692" s="2" t="str">
        <f>IFERROR(__xludf.DUMMYFUNCTION("GOOGLETRANSLATE(A8692, ""en"", ""mt"")"),"X'inhi l-konfużjoni tal-Gwerra Franċiża u Indjana?")</f>
        <v>X'inhi l-konfużjoni tal-Gwerra Franċiża u Indjana?</v>
      </c>
    </row>
    <row r="8693" ht="15.75" customHeight="1">
      <c r="A8693" s="2" t="s">
        <v>8693</v>
      </c>
      <c r="B8693" s="2" t="str">
        <f>IFERROR(__xludf.DUMMYFUNCTION("GOOGLETRANSLATE(A8693, ""en"", ""mt"")"),"Xi wħud mill-gruppi Iżlamisti appoġġjati mill-Punent aktar tard saru biex jidhru?")</f>
        <v>Xi wħud mill-gruppi Iżlamisti appoġġjati mill-Punent aktar tard saru biex jidhru?</v>
      </c>
    </row>
    <row r="8694" ht="15.75" customHeight="1">
      <c r="A8694" s="2" t="s">
        <v>8694</v>
      </c>
      <c r="B8694" s="2" t="str">
        <f>IFERROR(__xludf.DUMMYFUNCTION("GOOGLETRANSLATE(A8694, ""en"", ""mt"")"),"Flimkien mal-Musulmani, il-Lhud u l-Insara Protestanti, liema grupp reliġjuż jopera l-aktar skejjel privati?")</f>
        <v>Flimkien mal-Musulmani, il-Lhud u l-Insara Protestanti, liema grupp reliġjuż jopera l-aktar skejjel privati?</v>
      </c>
    </row>
    <row r="8695" ht="15.75" customHeight="1">
      <c r="A8695" s="2" t="s">
        <v>8695</v>
      </c>
      <c r="B8695" s="2" t="str">
        <f>IFERROR(__xludf.DUMMYFUNCTION("GOOGLETRANSLATE(A8695, ""en"", ""mt"")"),"Zachęta National Gallery of Art")</f>
        <v>Zachęta National Gallery of Art</v>
      </c>
    </row>
    <row r="8696" ht="15.75" customHeight="1">
      <c r="A8696" s="2" t="s">
        <v>8696</v>
      </c>
      <c r="B8696" s="2" t="str">
        <f>IFERROR(__xludf.DUMMYFUNCTION("GOOGLETRANSLATE(A8696, ""en"", ""mt"")"),"Fejn inżamm is-Symposium ACM?")</f>
        <v>Fejn inżamm is-Symposium ACM?</v>
      </c>
    </row>
    <row r="8697" ht="15.75" customHeight="1">
      <c r="A8697" s="2" t="s">
        <v>8697</v>
      </c>
      <c r="B8697" s="2" t="str">
        <f>IFERROR(__xludf.DUMMYFUNCTION("GOOGLETRANSLATE(A8697, ""en"", ""mt"")")," X'toffri l-Ingilterra li kienet rari mill-istandards imperjali?")</f>
        <v> X'toffri l-Ingilterra li kienet rari mill-istandards imperjali?</v>
      </c>
    </row>
    <row r="8698" ht="15.75" customHeight="1">
      <c r="A8698" s="2" t="s">
        <v>8698</v>
      </c>
      <c r="B8698" s="2" t="str">
        <f>IFERROR(__xludf.DUMMYFUNCTION("GOOGLETRANSLATE(A8698, ""en"", ""mt"")"),"regolatorju")</f>
        <v>regolatorju</v>
      </c>
    </row>
    <row r="8699" ht="15.75" customHeight="1">
      <c r="A8699" s="2" t="s">
        <v>8699</v>
      </c>
      <c r="B8699" s="2" t="str">
        <f>IFERROR(__xludf.DUMMYFUNCTION("GOOGLETRANSLATE(A8699, ""en"", ""mt"")"),"Ir-reġjun huwa dar għal madwar 2.5 miljun speċi ta 'insetti, għexieren ta' eluf ta 'pjanti, u madwar 2,000 għasafar u mammiferi. Sal-lum, mill-inqas 40,000 speċi ta ’pjanti, 2,200 ħut, 1,294 għasafar, 427 mammiferi, 428 anfibji, u 378 rettili ġew klassifi"&amp;"kati xjentifikament fir-reġjun. Waħda minn kull ħamsa mill-ispeċi kollha tal-għasafar fid-dinja tgħix fil-foresti tropikali tal-Amażonja, u waħda minn kull ħamsa mill-ispeċi tal-ħut jgħixu fix-xmajjar u n-nixxigħat tal-Amażonja. Ix-xjentisti ddeskrivew be"&amp;"jn 96,660 u 128,843 speċi invertebrati fil-Brażil biss.")</f>
        <v>Ir-reġjun huwa dar għal madwar 2.5 miljun speċi ta 'insetti, għexieren ta' eluf ta 'pjanti, u madwar 2,000 għasafar u mammiferi. Sal-lum, mill-inqas 40,000 speċi ta ’pjanti, 2,200 ħut, 1,294 għasafar, 427 mammiferi, 428 anfibji, u 378 rettili ġew klassifikati xjentifikament fir-reġjun. Waħda minn kull ħamsa mill-ispeċi kollha tal-għasafar fid-dinja tgħix fil-foresti tropikali tal-Amażonja, u waħda minn kull ħamsa mill-ispeċi tal-ħut jgħixu fix-xmajjar u n-nixxigħat tal-Amażonja. Ix-xjentisti ddeskrivew bejn 96,660 u 128,843 speċi invertebrati fil-Brażil biss.</v>
      </c>
    </row>
    <row r="8700" ht="15.75" customHeight="1">
      <c r="A8700" s="2" t="s">
        <v>8700</v>
      </c>
      <c r="B8700" s="2" t="str">
        <f>IFERROR(__xludf.DUMMYFUNCTION("GOOGLETRANSLATE(A8700, ""en"", ""mt"")"),"primes sa 10,006,721")</f>
        <v>primes sa 10,006,721</v>
      </c>
    </row>
    <row r="8701" ht="15.75" customHeight="1">
      <c r="A8701" s="2" t="s">
        <v>8701</v>
      </c>
      <c r="B8701" s="2" t="str">
        <f>IFERROR(__xludf.DUMMYFUNCTION("GOOGLETRANSLATE(A8701, ""en"", ""mt"")"),"Liema servizz ma jeħtieġx ħlas biex tużah?")</f>
        <v>Liema servizz ma jeħtieġx ħlas biex tużah?</v>
      </c>
    </row>
    <row r="8702" ht="15.75" customHeight="1">
      <c r="A8702" s="2" t="s">
        <v>8702</v>
      </c>
      <c r="B8702" s="2" t="str">
        <f>IFERROR(__xludf.DUMMYFUNCTION("GOOGLETRANSLATE(A8702, ""en"", ""mt"")"),"Skond it-teorema ta 'Fermat, liema perjodu 1 / P dejjem jassumi li P huwa prim li mhux 2 jew 5?")</f>
        <v>Skond it-teorema ta 'Fermat, liema perjodu 1 / P dejjem jassumi li P huwa prim li mhux 2 jew 5?</v>
      </c>
    </row>
    <row r="8703" ht="15.75" customHeight="1">
      <c r="A8703" s="2" t="s">
        <v>8703</v>
      </c>
      <c r="B8703" s="2" t="str">
        <f>IFERROR(__xludf.DUMMYFUNCTION("GOOGLETRANSLATE(A8703, ""en"", ""mt"")"),"poeżija politika")</f>
        <v>poeżija politika</v>
      </c>
    </row>
    <row r="8704" ht="15.75" customHeight="1">
      <c r="A8704" s="2" t="s">
        <v>8704</v>
      </c>
      <c r="B8704" s="2" t="str">
        <f>IFERROR(__xludf.DUMMYFUNCTION("GOOGLETRANSLATE(A8704, ""en"", ""mt"")"),"F'liema data ġie likwifikat l-ossiġnu f'forma stabbli?")</f>
        <v>F'liema data ġie likwifikat l-ossiġnu f'forma stabbli?</v>
      </c>
    </row>
    <row r="8705" ht="15.75" customHeight="1">
      <c r="A8705" s="2" t="s">
        <v>8705</v>
      </c>
      <c r="B8705" s="2" t="str">
        <f>IFERROR(__xludf.DUMMYFUNCTION("GOOGLETRANSLATE(A8705, ""en"", ""mt"")"),"Mard ta 'dekompressjoni")</f>
        <v>Mard ta 'dekompressjoni</v>
      </c>
    </row>
    <row r="8706" ht="15.75" customHeight="1">
      <c r="A8706" s="2" t="s">
        <v>8706</v>
      </c>
      <c r="B8706" s="2" t="str">
        <f>IFERROR(__xludf.DUMMYFUNCTION("GOOGLETRANSLATE(A8706, ""en"", ""mt"")"),"Min kien il-mexxej li stabbilixxa l-kolonja fi Florida?")</f>
        <v>Min kien il-mexxej li stabbilixxa l-kolonja fi Florida?</v>
      </c>
    </row>
    <row r="8707" ht="15.75" customHeight="1">
      <c r="A8707" s="2" t="s">
        <v>8707</v>
      </c>
      <c r="B8707" s="2" t="str">
        <f>IFERROR(__xludf.DUMMYFUNCTION("GOOGLETRANSLATE(A8707, ""en"", ""mt"")"),"X'inhu fattur regolatorju prodott mill-makrofaġi?")</f>
        <v>X'inhu fattur regolatorju prodott mill-makrofaġi?</v>
      </c>
    </row>
    <row r="8708" ht="15.75" customHeight="1">
      <c r="A8708" s="2" t="s">
        <v>8708</v>
      </c>
      <c r="B8708" s="2" t="str">
        <f>IFERROR(__xludf.DUMMYFUNCTION("GOOGLETRANSLATE(A8708, ""en"", ""mt"")"),"X'inhi l-output li jikkorrispondi għall-mistoqsija mogħtija?")</f>
        <v>X'inhi l-output li jikkorrispondi għall-mistoqsija mogħtija?</v>
      </c>
    </row>
    <row r="8709" ht="15.75" customHeight="1">
      <c r="A8709" s="2" t="s">
        <v>8709</v>
      </c>
      <c r="B8709" s="2" t="str">
        <f>IFERROR(__xludf.DUMMYFUNCTION("GOOGLETRANSLATE(A8709, ""en"", ""mt"")")," Meta twaqqaf l-Uffiċċju tal-Mediċina tal-Lvant?")</f>
        <v> Meta twaqqaf l-Uffiċċju tal-Mediċina tal-Lvant?</v>
      </c>
    </row>
    <row r="8710" ht="15.75" customHeight="1">
      <c r="A8710" s="2" t="s">
        <v>8710</v>
      </c>
      <c r="B8710" s="2" t="str">
        <f>IFERROR(__xludf.DUMMYFUNCTION("GOOGLETRANSLATE(A8710, ""en"", ""mt"")"),"Pjan ta 'tliet snin")</f>
        <v>Pjan ta 'tliet snin</v>
      </c>
    </row>
    <row r="8711" ht="15.75" customHeight="1">
      <c r="A8711" s="2" t="s">
        <v>8711</v>
      </c>
      <c r="B8711" s="2" t="str">
        <f>IFERROR(__xludf.DUMMYFUNCTION("GOOGLETRANSLATE(A8711, ""en"", ""mt"")"),"Fejn kienet l-iżgħar soluzzjoni ta 'Huguenots fl-Irlanda fost bliet kbar?")</f>
        <v>Fejn kienet l-iżgħar soluzzjoni ta 'Huguenots fl-Irlanda fost bliet kbar?</v>
      </c>
    </row>
    <row r="8712" ht="15.75" customHeight="1">
      <c r="A8712" s="2" t="s">
        <v>8712</v>
      </c>
      <c r="B8712" s="2" t="str">
        <f>IFERROR(__xludf.DUMMYFUNCTION("GOOGLETRANSLATE(A8712, ""en"", ""mt"")"),"Min ħoloq arpanet?")</f>
        <v>Min ħoloq arpanet?</v>
      </c>
    </row>
    <row r="8713" ht="15.75" customHeight="1">
      <c r="A8713" s="2" t="s">
        <v>8713</v>
      </c>
      <c r="B8713" s="2" t="str">
        <f>IFERROR(__xludf.DUMMYFUNCTION("GOOGLETRANSLATE(A8713, ""en"", ""mt"")"),"Minħabba li baqa 'ħaj minn bosta gwerer, kunflitti u invażjonijiet matul l-istorja twila tiegħu")</f>
        <v>Minħabba li baqa 'ħaj minn bosta gwerer, kunflitti u invażjonijiet matul l-istorja twila tiegħu</v>
      </c>
    </row>
    <row r="8714" ht="15.75" customHeight="1">
      <c r="A8714" s="2" t="s">
        <v>8714</v>
      </c>
      <c r="B8714" s="2" t="str">
        <f>IFERROR(__xludf.DUMMYFUNCTION("GOOGLETRANSLATE(A8714, ""en"", ""mt"")"),"Chevrolet Bel Air")</f>
        <v>Chevrolet Bel Air</v>
      </c>
    </row>
    <row r="8715" ht="15.75" customHeight="1">
      <c r="A8715" s="2" t="s">
        <v>8715</v>
      </c>
      <c r="B8715" s="2" t="str">
        <f>IFERROR(__xludf.DUMMYFUNCTION("GOOGLETRANSLATE(A8715, ""en"", ""mt"")"),"Speċi Oċeanika")</f>
        <v>Speċi Oċeanika</v>
      </c>
    </row>
    <row r="8716" ht="15.75" customHeight="1">
      <c r="A8716" s="2" t="s">
        <v>8716</v>
      </c>
      <c r="B8716" s="2" t="str">
        <f>IFERROR(__xludf.DUMMYFUNCTION("GOOGLETRANSLATE(A8716, ""en"", ""mt"")"),"Meta pajjiżi sinjuri jinnegozjaw ma 'pajjiżi foqra, li l-pagi tagħhom jiżdiedu?")</f>
        <v>Meta pajjiżi sinjuri jinnegozjaw ma 'pajjiżi foqra, li l-pagi tagħhom jiżdiedu?</v>
      </c>
    </row>
    <row r="8717" ht="15.75" customHeight="1">
      <c r="A8717" s="2" t="s">
        <v>8717</v>
      </c>
      <c r="B8717" s="2" t="str">
        <f>IFERROR(__xludf.DUMMYFUNCTION("GOOGLETRANSLATE(A8717, ""en"", ""mt"")"),"tassisti fil-fabbrikazzjoni ta 'evidenza jew twettaq sperġur")</f>
        <v>tassisti fil-fabbrikazzjoni ta 'evidenza jew twettaq sperġur</v>
      </c>
    </row>
    <row r="8718" ht="15.75" customHeight="1">
      <c r="A8718" s="2" t="s">
        <v>8718</v>
      </c>
      <c r="B8718" s="2" t="str">
        <f>IFERROR(__xludf.DUMMYFUNCTION("GOOGLETRANSLATE(A8718, ""en"", ""mt"")"),"razzjonar")</f>
        <v>razzjonar</v>
      </c>
    </row>
    <row r="8719" ht="15.75" customHeight="1">
      <c r="A8719" s="2" t="s">
        <v>8719</v>
      </c>
      <c r="B8719" s="2" t="str">
        <f>IFERROR(__xludf.DUMMYFUNCTION("GOOGLETRANSLATE(A8719, ""en"", ""mt"")"),"Liema skola tal-politika pubblika sabet id-dar tagħha fil-bini li ddisinja Ludwig Mies van der Rohe?")</f>
        <v>Liema skola tal-politika pubblika sabet id-dar tagħha fil-bini li ddisinja Ludwig Mies van der Rohe?</v>
      </c>
    </row>
    <row r="8720" ht="15.75" customHeight="1">
      <c r="A8720" s="2" t="s">
        <v>8720</v>
      </c>
      <c r="B8720" s="2" t="str">
        <f>IFERROR(__xludf.DUMMYFUNCTION("GOOGLETRANSLATE(A8720, ""en"", ""mt"")"),"Meta nqabad Montreal?")</f>
        <v>Meta nqabad Montreal?</v>
      </c>
    </row>
    <row r="8721" ht="15.75" customHeight="1">
      <c r="A8721" s="2" t="s">
        <v>8721</v>
      </c>
      <c r="B8721" s="2" t="str">
        <f>IFERROR(__xludf.DUMMYFUNCTION("GOOGLETRANSLATE(A8721, ""en"", ""mt"")"),"X'inhu t-tieni l-iktar ajruport ta 'runway single fid-dinja?")</f>
        <v>X'inhu t-tieni l-iktar ajruport ta 'runway single fid-dinja?</v>
      </c>
    </row>
    <row r="8722" ht="15.75" customHeight="1">
      <c r="A8722" s="2" t="s">
        <v>8722</v>
      </c>
      <c r="B8722" s="2" t="str">
        <f>IFERROR(__xludf.DUMMYFUNCTION("GOOGLETRANSLATE(A8722, ""en"", ""mt"")"),"Il-biċċa l-kbira taċ-ċtenofori huma l-istess jew kulur differenti?")</f>
        <v>Il-biċċa l-kbira taċ-ċtenofori huma l-istess jew kulur differenti?</v>
      </c>
    </row>
    <row r="8723" ht="15.75" customHeight="1">
      <c r="A8723" s="2" t="s">
        <v>8723</v>
      </c>
      <c r="B8723" s="2" t="str">
        <f>IFERROR(__xludf.DUMMYFUNCTION("GOOGLETRANSLATE(A8723, ""en"", ""mt"")"),"X'kien eżempju ta 'tip ta' bastiment tal-gwerra li kien jeħtieġ veloċità għolja?")</f>
        <v>X'kien eżempju ta 'tip ta' bastiment tal-gwerra li kien jeħtieġ veloċità għolja?</v>
      </c>
    </row>
    <row r="8724" ht="15.75" customHeight="1">
      <c r="A8724" s="2" t="s">
        <v>8724</v>
      </c>
      <c r="B8724" s="2" t="str">
        <f>IFERROR(__xludf.DUMMYFUNCTION("GOOGLETRANSLATE(A8724, ""en"", ""mt"")"),"imfakkar u mibdul")</f>
        <v>imfakkar u mibdul</v>
      </c>
    </row>
    <row r="8725" ht="15.75" customHeight="1">
      <c r="A8725" s="2" t="s">
        <v>8725</v>
      </c>
      <c r="B8725" s="2" t="str">
        <f>IFERROR(__xludf.DUMMYFUNCTION("GOOGLETRANSLATE(A8725, ""en"", ""mt"")"),"Ma 'min kien qed jissieħeb fl-Internet2 biex jagħti spinta lill-kapaċità tagħhom minn 100 GBit / s għal 1000 GBit / s?")</f>
        <v>Ma 'min kien qed jissieħeb fl-Internet2 biex jagħti spinta lill-kapaċità tagħhom minn 100 GBit / s għal 1000 GBit / s?</v>
      </c>
    </row>
    <row r="8726" ht="15.75" customHeight="1">
      <c r="A8726" s="2" t="s">
        <v>8726</v>
      </c>
      <c r="B8726" s="2" t="str">
        <f>IFERROR(__xludf.DUMMYFUNCTION("GOOGLETRANSLATE(A8726, ""en"", ""mt"")"),"Min iddeċieda l-pajjiż tan-Normandija?")</f>
        <v>Min iddeċieda l-pajjiż tan-Normandija?</v>
      </c>
    </row>
    <row r="8727" ht="15.75" customHeight="1">
      <c r="A8727" s="2" t="s">
        <v>8727</v>
      </c>
      <c r="B8727" s="2" t="str">
        <f>IFERROR(__xludf.DUMMYFUNCTION("GOOGLETRANSLATE(A8727, ""en"", ""mt"")"),"X'tip ta 'trattament normalment jirċievu d-diżubbidjenti ċivili?")</f>
        <v>X'tip ta 'trattament normalment jirċievu d-diżubbidjenti ċivili?</v>
      </c>
    </row>
    <row r="8728" ht="15.75" customHeight="1">
      <c r="A8728" s="2" t="s">
        <v>8728</v>
      </c>
      <c r="B8728" s="2" t="str">
        <f>IFERROR(__xludf.DUMMYFUNCTION("GOOGLETRANSLATE(A8728, ""en"", ""mt"")"),"Kif irreaġixxa r-re l-ġdid għall-Huguenots?")</f>
        <v>Kif irreaġixxa r-re l-ġdid għall-Huguenots?</v>
      </c>
    </row>
    <row r="8729" ht="15.75" customHeight="1">
      <c r="A8729" s="2" t="s">
        <v>8729</v>
      </c>
      <c r="B8729" s="2" t="str">
        <f>IFERROR(__xludf.DUMMYFUNCTION("GOOGLETRANSLATE(A8729, ""en"", ""mt"")"),"Eroj ta ’Lixandra")</f>
        <v>Eroj ta ’Lixandra</v>
      </c>
    </row>
    <row r="8730" ht="15.75" customHeight="1">
      <c r="A8730" s="2" t="s">
        <v>8730</v>
      </c>
      <c r="B8730" s="2" t="str">
        <f>IFERROR(__xludf.DUMMYFUNCTION("GOOGLETRANSLATE(A8730, ""en"", ""mt"")"),"Mikroskopju petrografiku")</f>
        <v>Mikroskopju petrografiku</v>
      </c>
    </row>
    <row r="8731" ht="15.75" customHeight="1">
      <c r="A8731" s="2" t="s">
        <v>8731</v>
      </c>
      <c r="B8731" s="2" t="str">
        <f>IFERROR(__xludf.DUMMYFUNCTION("GOOGLETRANSLATE(A8731, ""en"", ""mt"")"),"Buddiżmu, speċjalment il-varjanti tat-Tibet")</f>
        <v>Buddiżmu, speċjalment il-varjanti tat-Tibet</v>
      </c>
    </row>
    <row r="8732" ht="15.75" customHeight="1">
      <c r="A8732" s="2" t="s">
        <v>8732</v>
      </c>
      <c r="B8732" s="2" t="str">
        <f>IFERROR(__xludf.DUMMYFUNCTION("GOOGLETRANSLATE(A8732, ""en"", ""mt"")"),"Miocene")</f>
        <v>Miocene</v>
      </c>
    </row>
    <row r="8733" ht="15.75" customHeight="1">
      <c r="A8733" s="2" t="s">
        <v>8733</v>
      </c>
      <c r="B8733" s="2" t="str">
        <f>IFERROR(__xludf.DUMMYFUNCTION("GOOGLETRANSLATE(A8733, ""en"", ""mt"")"),"lura lejn New York fost aħbarijiet li seħħ massakru fil-Fort William Henry.")</f>
        <v>lura lejn New York fost aħbarijiet li seħħ massakru fil-Fort William Henry.</v>
      </c>
    </row>
    <row r="8734" ht="15.75" customHeight="1">
      <c r="A8734" s="2" t="s">
        <v>8734</v>
      </c>
      <c r="B8734" s="2" t="str">
        <f>IFERROR(__xludf.DUMMYFUNCTION("GOOGLETRANSLATE(A8734, ""en"", ""mt"")"),"Legalment, trusts u soċjetajiet li ma jagħmlux profitt biss jistgħu jmexxu skejjel fl-Indja. Huma ser ikollhom jissodisfaw numru ta 'kriterji ta' infrastruttura u riżorsi umani biex jiksbu rikonoxximent (forma ta 'liċenzja) mill-gvern. Kritiċi ta 'din is-"&amp;"sistema jindikaw li dan iwassal għal korruzzjoni minn spetturi ta' l-iskejjel li jivverifikaw il-konformità u għal inqas skejjel f'pajjiż li għandu l-akbar popolazzjoni analfabet adulta fid-dinja. Filwaqt li d-dejta uffiċjali ma taqbadx il-firxa reali ta "&amp;"'skola privata fil-pajjiż, studji varji rrappurtaw nuqqas ta' popolarità ta 'skejjel tal-gvern u numru dejjem jiżdied ta' skejjel privati. Ir-Rapport Annwali tal-Istatus tal-Edukazzjoni (ASER), li jevalwa l-livelli ta ’tagħlim fl-Indja rurali, kien jirrap"&amp;"porta kisba akkademika ifqar fl-iskejjel tal-gvern milli fi skejjel privati. Differenza ewlenija bejn il-gvern u l-iskejjel privati ​​hija li l-mezz ta 'edukazzjoni fl-iskejjel privati ​​huwa l-Ingliż waqt li huwa l-lingwa lokali fl-iskejjel tal-gvern.")</f>
        <v>Legalment, trusts u soċjetajiet li ma jagħmlux profitt biss jistgħu jmexxu skejjel fl-Indja. Huma ser ikollhom jissodisfaw numru ta 'kriterji ta' infrastruttura u riżorsi umani biex jiksbu rikonoxximent (forma ta 'liċenzja) mill-gvern. Kritiċi ta 'din is-sistema jindikaw li dan iwassal għal korruzzjoni minn spetturi ta' l-iskejjel li jivverifikaw il-konformità u għal inqas skejjel f'pajjiż li għandu l-akbar popolazzjoni analfabet adulta fid-dinja. Filwaqt li d-dejta uffiċjali ma taqbadx il-firxa reali ta 'skola privata fil-pajjiż, studji varji rrappurtaw nuqqas ta' popolarità ta 'skejjel tal-gvern u numru dejjem jiżdied ta' skejjel privati. Ir-Rapport Annwali tal-Istatus tal-Edukazzjoni (ASER), li jevalwa l-livelli ta ’tagħlim fl-Indja rurali, kien jirrapporta kisba akkademika ifqar fl-iskejjel tal-gvern milli fi skejjel privati. Differenza ewlenija bejn il-gvern u l-iskejjel privati ​​hija li l-mezz ta 'edukazzjoni fl-iskejjel privati ​​huwa l-Ingliż waqt li huwa l-lingwa lokali fl-iskejjel tal-gvern.</v>
      </c>
    </row>
    <row r="8735" ht="15.75" customHeight="1">
      <c r="A8735" s="2" t="s">
        <v>8735</v>
      </c>
      <c r="B8735" s="2" t="str">
        <f>IFERROR(__xludf.DUMMYFUNCTION("GOOGLETRANSLATE(A8735, ""en"", ""mt"")"),"Iċ-ċili mwebbsa")</f>
        <v>Iċ-ċili mwebbsa</v>
      </c>
    </row>
    <row r="8736" ht="15.75" customHeight="1">
      <c r="A8736" s="2" t="s">
        <v>8736</v>
      </c>
      <c r="B8736" s="2" t="str">
        <f>IFERROR(__xludf.DUMMYFUNCTION("GOOGLETRANSLATE(A8736, ""en"", ""mt"")"),"L-ogħla bini fiċ-ċentru ta ’Jacksonville")</f>
        <v>L-ogħla bini fiċ-ċentru ta ’Jacksonville</v>
      </c>
    </row>
    <row r="8737" ht="15.75" customHeight="1">
      <c r="A8737" s="2" t="s">
        <v>8737</v>
      </c>
      <c r="B8737" s="2" t="str">
        <f>IFERROR(__xludf.DUMMYFUNCTION("GOOGLETRANSLATE(A8737, ""en"", ""mt"")"),"X'tip ta 'kumitati jeżistu fil-ħames sessjoni?")</f>
        <v>X'tip ta 'kumitati jeżistu fil-ħames sessjoni?</v>
      </c>
    </row>
    <row r="8738" ht="15.75" customHeight="1">
      <c r="A8738" s="2" t="s">
        <v>8738</v>
      </c>
      <c r="B8738" s="2" t="str">
        <f>IFERROR(__xludf.DUMMYFUNCTION("GOOGLETRANSLATE(A8738, ""en"", ""mt"")"),"folla barra l-wirt Musulman")</f>
        <v>folla barra l-wirt Musulman</v>
      </c>
    </row>
    <row r="8739" ht="15.75" customHeight="1">
      <c r="A8739" s="2" t="s">
        <v>8739</v>
      </c>
      <c r="B8739" s="2" t="str">
        <f>IFERROR(__xludf.DUMMYFUNCTION("GOOGLETRANSLATE(A8739, ""en"", ""mt"")"),"Kif jissejħu t-tentakli żgħar fuq Cydippids?")</f>
        <v>Kif jissejħu t-tentakli żgħar fuq Cydippids?</v>
      </c>
    </row>
    <row r="8740" ht="15.75" customHeight="1">
      <c r="A8740" s="2" t="s">
        <v>8740</v>
      </c>
      <c r="B8740" s="2" t="str">
        <f>IFERROR(__xludf.DUMMYFUNCTION("GOOGLETRANSLATE(A8740, ""en"", ""mt"")"),"It-Trattat ta ’Ruma 1957 u t-Trattat Maastricht 1992")</f>
        <v>It-Trattat ta ’Ruma 1957 u t-Trattat Maastricht 1992</v>
      </c>
    </row>
    <row r="8741" ht="15.75" customHeight="1">
      <c r="A8741" s="2" t="s">
        <v>8741</v>
      </c>
      <c r="B8741" s="2" t="str">
        <f>IFERROR(__xludf.DUMMYFUNCTION("GOOGLETRANSLATE(A8741, ""en"", ""mt"")"),"Projezzjonijiet ġelatinużi mmarkati biċ-ċili")</f>
        <v>Projezzjonijiet ġelatinużi mmarkati biċ-ċili</v>
      </c>
    </row>
    <row r="8742" ht="15.75" customHeight="1">
      <c r="A8742" s="2" t="s">
        <v>8742</v>
      </c>
      <c r="B8742" s="2" t="str">
        <f>IFERROR(__xludf.DUMMYFUNCTION("GOOGLETRANSLATE(A8742, ""en"", ""mt"")")," Liema organizzazzjoni ġiet megħluba minn Hasan al-Hudaybi?")</f>
        <v> Liema organizzazzjoni ġiet megħluba minn Hasan al-Hudaybi?</v>
      </c>
    </row>
    <row r="8743" ht="15.75" customHeight="1">
      <c r="A8743" s="2" t="s">
        <v>8743</v>
      </c>
      <c r="B8743" s="2" t="str">
        <f>IFERROR(__xludf.DUMMYFUNCTION("GOOGLETRANSLATE(A8743, ""en"", ""mt"")"),"Konservazzjoni tal-enerġija mekkanika")</f>
        <v>Konservazzjoni tal-enerġija mekkanika</v>
      </c>
    </row>
    <row r="8744" ht="15.75" customHeight="1">
      <c r="A8744" s="2" t="s">
        <v>8744</v>
      </c>
      <c r="B8744" s="2" t="str">
        <f>IFERROR(__xludf.DUMMYFUNCTION("GOOGLETRANSLATE(A8744, ""en"", ""mt"")"),"F'liema għaxar snin Louis XIV beda r-renju tiegħu?")</f>
        <v>F'liema għaxar snin Louis XIV beda r-renju tiegħu?</v>
      </c>
    </row>
    <row r="8745" ht="15.75" customHeight="1">
      <c r="A8745" s="2" t="s">
        <v>8745</v>
      </c>
      <c r="B8745" s="2" t="str">
        <f>IFERROR(__xludf.DUMMYFUNCTION("GOOGLETRANSLATE(A8745, ""en"", ""mt"")"),"Kemm diviżjonijiet huma meħtieġa biex jivverifikaw il-primalità tan-numru 37?")</f>
        <v>Kemm diviżjonijiet huma meħtieġa biex jivverifikaw il-primalità tan-numru 37?</v>
      </c>
    </row>
    <row r="8746" ht="15.75" customHeight="1">
      <c r="A8746" s="2" t="s">
        <v>8746</v>
      </c>
      <c r="B8746" s="2" t="str">
        <f>IFERROR(__xludf.DUMMYFUNCTION("GOOGLETRANSLATE(A8746, ""en"", ""mt"")"),"1854")</f>
        <v>1854</v>
      </c>
    </row>
    <row r="8747" ht="15.75" customHeight="1">
      <c r="A8747" s="2" t="s">
        <v>8747</v>
      </c>
      <c r="B8747" s="2" t="str">
        <f>IFERROR(__xludf.DUMMYFUNCTION("GOOGLETRANSLATE(A8747, ""en"", ""mt"")"),"Neuroimmuni")</f>
        <v>Neuroimmuni</v>
      </c>
    </row>
    <row r="8748" ht="15.75" customHeight="1">
      <c r="A8748" s="2" t="s">
        <v>8748</v>
      </c>
      <c r="B8748" s="2" t="str">
        <f>IFERROR(__xludf.DUMMYFUNCTION("GOOGLETRANSLATE(A8748, ""en"", ""mt"")"),"diski li jduru")</f>
        <v>diski li jduru</v>
      </c>
    </row>
    <row r="8749" ht="15.75" customHeight="1">
      <c r="A8749" s="2" t="s">
        <v>8749</v>
      </c>
      <c r="B8749" s="2" t="str">
        <f>IFERROR(__xludf.DUMMYFUNCTION("GOOGLETRANSLATE(A8749, ""en"", ""mt"")"),"Meta kienet l-ewwel gwerra Sino-Ġappuniża?")</f>
        <v>Meta kienet l-ewwel gwerra Sino-Ġappuniża?</v>
      </c>
    </row>
    <row r="8750" ht="15.75" customHeight="1">
      <c r="A8750" s="2" t="s">
        <v>8750</v>
      </c>
      <c r="B8750" s="2" t="str">
        <f>IFERROR(__xludf.DUMMYFUNCTION("GOOGLETRANSLATE(A8750, ""en"", ""mt"")"),"Is-seklu tmintax")</f>
        <v>Is-seklu tmintax</v>
      </c>
    </row>
    <row r="8751" ht="15.75" customHeight="1">
      <c r="A8751" s="2" t="s">
        <v>8751</v>
      </c>
      <c r="B8751" s="2" t="str">
        <f>IFERROR(__xludf.DUMMYFUNCTION("GOOGLETRANSLATE(A8751, ""en"", ""mt"")"),"Il-Pesta s-Sewda ħarbtu l-Ewropa għal tliet snin segwit minn liema pajjiż?")</f>
        <v>Il-Pesta s-Sewda ħarbtu l-Ewropa għal tliet snin segwit minn liema pajjiż?</v>
      </c>
    </row>
    <row r="8752" ht="15.75" customHeight="1">
      <c r="A8752" s="2" t="s">
        <v>8752</v>
      </c>
      <c r="B8752" s="2" t="str">
        <f>IFERROR(__xludf.DUMMYFUNCTION("GOOGLETRANSLATE(A8752, ""en"", ""mt"")"),"il-gastrodermis")</f>
        <v>il-gastrodermis</v>
      </c>
    </row>
    <row r="8753" ht="15.75" customHeight="1">
      <c r="A8753" s="2" t="s">
        <v>8753</v>
      </c>
      <c r="B8753" s="2" t="str">
        <f>IFERROR(__xludf.DUMMYFUNCTION("GOOGLETRANSLATE(A8753, ""en"", ""mt"")"),"Politiki li jnaqqsu l-effetti assoċjati tal-inugwaljanza tal-qgħad jappoġġjaw liema tip ta 'tkabbir?")</f>
        <v>Politiki li jnaqqsu l-effetti assoċjati tal-inugwaljanza tal-qgħad jappoġġjaw liema tip ta 'tkabbir?</v>
      </c>
    </row>
    <row r="8754" ht="15.75" customHeight="1">
      <c r="A8754" s="2" t="s">
        <v>8754</v>
      </c>
      <c r="B8754" s="2" t="str">
        <f>IFERROR(__xludf.DUMMYFUNCTION("GOOGLETRANSLATE(A8754, ""en"", ""mt"")"),"Kif tissejjaħ il-liwja tar-Renu f'Basel?")</f>
        <v>Kif tissejjaħ il-liwja tar-Renu f'Basel?</v>
      </c>
    </row>
    <row r="8755" ht="15.75" customHeight="1">
      <c r="A8755" s="2" t="s">
        <v>8755</v>
      </c>
      <c r="B8755" s="2" t="str">
        <f>IFERROR(__xludf.DUMMYFUNCTION("GOOGLETRANSLATE(A8755, ""en"", ""mt"")"),"ħin")</f>
        <v>ħin</v>
      </c>
    </row>
    <row r="8756" ht="15.75" customHeight="1">
      <c r="A8756" s="2" t="s">
        <v>8756</v>
      </c>
      <c r="B8756" s="2" t="str">
        <f>IFERROR(__xludf.DUMMYFUNCTION("GOOGLETRANSLATE(A8756, ""en"", ""mt"")"),"X'inhi ħaġa waħda li l-kopepodi jieklu?")</f>
        <v>X'inhi ħaġa waħda li l-kopepodi jieklu?</v>
      </c>
    </row>
    <row r="8757" ht="15.75" customHeight="1">
      <c r="A8757" s="2" t="s">
        <v>8757</v>
      </c>
      <c r="B8757" s="2" t="str">
        <f>IFERROR(__xludf.DUMMYFUNCTION("GOOGLETRANSLATE(A8757, ""en"", ""mt"")"),"silikati")</f>
        <v>silikati</v>
      </c>
    </row>
    <row r="8758" ht="15.75" customHeight="1">
      <c r="A8758" s="2" t="s">
        <v>8758</v>
      </c>
      <c r="B8758" s="2" t="str">
        <f>IFERROR(__xludf.DUMMYFUNCTION("GOOGLETRANSLATE(A8758, ""en"", ""mt"")"),"l-istat u l-liġijiet tiegħu")</f>
        <v>l-istat u l-liġijiet tiegħu</v>
      </c>
    </row>
    <row r="8759" ht="15.75" customHeight="1">
      <c r="A8759" s="2" t="s">
        <v>8759</v>
      </c>
      <c r="B8759" s="2" t="str">
        <f>IFERROR(__xludf.DUMMYFUNCTION("GOOGLETRANSLATE(A8759, ""en"", ""mt"")"),"Liema funzjoni tintuża minn algoritmi biex tiddefinixxi kejl bħall-ħin u n-numri?")</f>
        <v>Liema funzjoni tintuża minn algoritmi biex tiddefinixxi kejl bħall-ħin u n-numri?</v>
      </c>
    </row>
    <row r="8760" ht="15.75" customHeight="1">
      <c r="A8760" s="2" t="s">
        <v>8760</v>
      </c>
      <c r="B8760" s="2" t="str">
        <f>IFERROR(__xludf.DUMMYFUNCTION("GOOGLETRANSLATE(A8760, ""en"", ""mt"")"),"L-iktar qawwa ta 'x'tip hija ġġenerata minn turbini tal-fwar illum?")</f>
        <v>L-iktar qawwa ta 'x'tip hija ġġenerata minn turbini tal-fwar illum?</v>
      </c>
    </row>
    <row r="8761" ht="15.75" customHeight="1">
      <c r="A8761" s="2" t="s">
        <v>8761</v>
      </c>
      <c r="B8761" s="2" t="str">
        <f>IFERROR(__xludf.DUMMYFUNCTION("GOOGLETRANSLATE(A8761, ""en"", ""mt"")")," Liema dipartiment tal-gvern approva Buyantu?")</f>
        <v> Liema dipartiment tal-gvern approva Buyantu?</v>
      </c>
    </row>
    <row r="8762" ht="15.75" customHeight="1">
      <c r="A8762" s="2" t="s">
        <v>8762</v>
      </c>
      <c r="B8762" s="2" t="str">
        <f>IFERROR(__xludf.DUMMYFUNCTION("GOOGLETRANSLATE(A8762, ""en"", ""mt"")"),"René-Robert Cavelier, Sieur de la Salle kien esplora l-pajjiż ta 'Ohio kważi seklu qabel")</f>
        <v>René-Robert Cavelier, Sieur de la Salle kien esplora l-pajjiż ta 'Ohio kważi seklu qabel</v>
      </c>
    </row>
    <row r="8763" ht="15.75" customHeight="1">
      <c r="A8763" s="2" t="s">
        <v>8763</v>
      </c>
      <c r="B8763" s="2" t="str">
        <f>IFERROR(__xludf.DUMMYFUNCTION("GOOGLETRANSLATE(A8763, ""en"", ""mt"")"),"L-iktar tnaqqis użat komunement huwa tnaqqis fil-ħin polinomjali. Dan ifisser li l-proċess ta 'tnaqqis jieħu ħin polinomjali. Pereżempju, il-problema tal-kwadru ta 'numru sħiħ tista' titnaqqas għall-problema li timmultiplika żewġ numri interi. Dan ifisser"&amp;" algoritmu għall-immultiplikazzjoni ta 'żewġ numri interi jista' jintuża biex kwadru numru sħiħ. Tassew, dan jista 'jsir billi tingħata l-istess input għaż-żewġ inputs tal-algoritmu ta' multiplikazzjoni. Għalhekk naraw li l-kwadri mhuwiex iktar diffiċli m"&amp;"ill-multiplikazzjoni, peress li l-kwadri jista 'jitnaqqas għal multiplikazzjoni.")</f>
        <v>L-iktar tnaqqis użat komunement huwa tnaqqis fil-ħin polinomjali. Dan ifisser li l-proċess ta 'tnaqqis jieħu ħin polinomjali. Pereżempju, il-problema tal-kwadru ta 'numru sħiħ tista' titnaqqas għall-problema li timmultiplika żewġ numri interi. Dan ifisser algoritmu għall-immultiplikazzjoni ta 'żewġ numri interi jista' jintuża biex kwadru numru sħiħ. Tassew, dan jista 'jsir billi tingħata l-istess input għaż-żewġ inputs tal-algoritmu ta' multiplikazzjoni. Għalhekk naraw li l-kwadri mhuwiex iktar diffiċli mill-multiplikazzjoni, peress li l-kwadri jista 'jitnaqqas għal multiplikazzjoni.</v>
      </c>
    </row>
    <row r="8764" ht="15.75" customHeight="1">
      <c r="A8764" s="2" t="s">
        <v>8764</v>
      </c>
      <c r="B8764" s="2" t="str">
        <f>IFERROR(__xludf.DUMMYFUNCTION("GOOGLETRANSLATE(A8764, ""en"", ""mt"")"),"dejjem aktar aggressiv")</f>
        <v>dejjem aktar aggressiv</v>
      </c>
    </row>
    <row r="8765" ht="15.75" customHeight="1">
      <c r="A8765" s="2" t="s">
        <v>8765</v>
      </c>
      <c r="B8765" s="2" t="str">
        <f>IFERROR(__xludf.DUMMYFUNCTION("GOOGLETRANSLATE(A8765, ""en"", ""mt"")"),"Punent")</f>
        <v>Punent</v>
      </c>
    </row>
    <row r="8766" ht="15.75" customHeight="1">
      <c r="A8766" s="2" t="s">
        <v>8766</v>
      </c>
      <c r="B8766" s="2" t="str">
        <f>IFERROR(__xludf.DUMMYFUNCTION("GOOGLETRANSLATE(A8766, ""en"", ""mt"")"),"Gżejjer żgħar")</f>
        <v>Gżejjer żgħar</v>
      </c>
    </row>
    <row r="8767" ht="15.75" customHeight="1">
      <c r="A8767" s="2" t="s">
        <v>8767</v>
      </c>
      <c r="B8767" s="2" t="str">
        <f>IFERROR(__xludf.DUMMYFUNCTION("GOOGLETRANSLATE(A8767, ""en"", ""mt"")"),"Protokoll tal-Internet (IP)")</f>
        <v>Protokoll tal-Internet (IP)</v>
      </c>
    </row>
    <row r="8768" ht="15.75" customHeight="1">
      <c r="A8768" s="2" t="s">
        <v>8768</v>
      </c>
      <c r="B8768" s="2" t="str">
        <f>IFERROR(__xludf.DUMMYFUNCTION("GOOGLETRANSLATE(A8768, ""en"", ""mt"")"),"Xi jfisser l-artikolu TFEU?")</f>
        <v>Xi jfisser l-artikolu TFEU?</v>
      </c>
    </row>
    <row r="8769" ht="15.75" customHeight="1">
      <c r="A8769" s="2" t="s">
        <v>8769</v>
      </c>
      <c r="B8769" s="2" t="str">
        <f>IFERROR(__xludf.DUMMYFUNCTION("GOOGLETRANSLATE(A8769, ""en"", ""mt"")"),"Ċittadini")</f>
        <v>Ċittadini</v>
      </c>
    </row>
    <row r="8770" ht="15.75" customHeight="1">
      <c r="A8770" s="2" t="s">
        <v>8770</v>
      </c>
      <c r="B8770" s="2" t="str">
        <f>IFERROR(__xludf.DUMMYFUNCTION("GOOGLETRANSLATE(A8770, ""en"", ""mt"")"),"Liema għanijiet għandhom kemm ix-xjenza kif ukoll il-gvern?")</f>
        <v>Liema għanijiet għandhom kemm ix-xjenza kif ukoll il-gvern?</v>
      </c>
    </row>
    <row r="8771" ht="15.75" customHeight="1">
      <c r="A8771" s="2" t="s">
        <v>8771</v>
      </c>
      <c r="B8771" s="2" t="str">
        <f>IFERROR(__xludf.DUMMYFUNCTION("GOOGLETRANSLATE(A8771, ""en"", ""mt"")"),"Victoria_ (l-Awstralja)")</f>
        <v>Victoria_ (l-Awstralja)</v>
      </c>
    </row>
    <row r="8772" ht="15.75" customHeight="1">
      <c r="A8772" s="2" t="s">
        <v>8772</v>
      </c>
      <c r="B8772" s="2" t="str">
        <f>IFERROR(__xludf.DUMMYFUNCTION("GOOGLETRANSLATE(A8772, ""en"", ""mt"")"),"Diski statiċi")</f>
        <v>Diski statiċi</v>
      </c>
    </row>
    <row r="8773" ht="15.75" customHeight="1">
      <c r="A8773" s="2" t="s">
        <v>8773</v>
      </c>
      <c r="B8773" s="2" t="str">
        <f>IFERROR(__xludf.DUMMYFUNCTION("GOOGLETRANSLATE(A8773, ""en"", ""mt"")"),"Liema kundizzjoni x'għandu jkun sodisfatt sabiex 1 / p jiġi espress fil-bażi Q minflok il-bażi 10 u xorta jkollok perjodu ta 'p - 1?")</f>
        <v>Liema kundizzjoni x'għandu jkun sodisfatt sabiex 1 / p jiġi espress fil-bażi Q minflok il-bażi 10 u xorta jkollok perjodu ta 'p - 1?</v>
      </c>
    </row>
    <row r="8774" ht="15.75" customHeight="1">
      <c r="A8774" s="2" t="s">
        <v>8774</v>
      </c>
      <c r="B8774" s="2" t="str">
        <f>IFERROR(__xludf.DUMMYFUNCTION("GOOGLETRANSLATE(A8774, ""en"", ""mt"")"),"il-funzjoni tal-paviment")</f>
        <v>il-funzjoni tal-paviment</v>
      </c>
    </row>
    <row r="8775" ht="15.75" customHeight="1">
      <c r="A8775" s="2" t="s">
        <v>8775</v>
      </c>
      <c r="B8775" s="2" t="str">
        <f>IFERROR(__xludf.DUMMYFUNCTION("GOOGLETRANSLATE(A8775, ""en"", ""mt"")"),"Gwerra taż-Żewġ Kapitali")</f>
        <v>Gwerra taż-Żewġ Kapitali</v>
      </c>
    </row>
    <row r="8776" ht="15.75" customHeight="1">
      <c r="A8776" s="2" t="s">
        <v>8776</v>
      </c>
      <c r="B8776" s="2" t="str">
        <f>IFERROR(__xludf.DUMMYFUNCTION("GOOGLETRANSLATE(A8776, ""en"", ""mt"")"),"F'liema data kienet ir-rekord ta 'temperatura baxxa fi Fresno?")</f>
        <v>F'liema data kienet ir-rekord ta 'temperatura baxxa fi Fresno?</v>
      </c>
    </row>
    <row r="8777" ht="15.75" customHeight="1">
      <c r="A8777" s="2" t="s">
        <v>8777</v>
      </c>
      <c r="B8777" s="2" t="str">
        <f>IFERROR(__xludf.DUMMYFUNCTION("GOOGLETRANSLATE(A8777, ""en"", ""mt"")"),"pompa")</f>
        <v>pompa</v>
      </c>
    </row>
    <row r="8778" ht="15.75" customHeight="1">
      <c r="A8778" s="2" t="s">
        <v>8778</v>
      </c>
      <c r="B8778" s="2" t="str">
        <f>IFERROR(__xludf.DUMMYFUNCTION("GOOGLETRANSLATE(A8778, ""en"", ""mt"")"),"triq parabolika mgħawġa")</f>
        <v>triq parabolika mgħawġa</v>
      </c>
    </row>
    <row r="8779" ht="15.75" customHeight="1">
      <c r="A8779" s="2" t="s">
        <v>8779</v>
      </c>
      <c r="B8779" s="2" t="str">
        <f>IFERROR(__xludf.DUMMYFUNCTION("GOOGLETRANSLATE(A8779, ""en"", ""mt"")"),"Liema isem jintuża wkoll biex jiddeskrivi l-Amazon Rainforest bl-Ingliż?")</f>
        <v>Liema isem jintuża wkoll biex jiddeskrivi l-Amazon Rainforest bl-Ingliż?</v>
      </c>
    </row>
    <row r="8780" ht="15.75" customHeight="1">
      <c r="A8780" s="2" t="s">
        <v>8780</v>
      </c>
      <c r="B8780" s="2" t="str">
        <f>IFERROR(__xludf.DUMMYFUNCTION("GOOGLETRANSLATE(A8780, ""en"", ""mt"")"),"Tarka ta 'radjazzjoni protettiva")</f>
        <v>Tarka ta 'radjazzjoni protettiva</v>
      </c>
    </row>
    <row r="8781" ht="15.75" customHeight="1">
      <c r="A8781" s="2" t="s">
        <v>8781</v>
      </c>
      <c r="B8781" s="2" t="str">
        <f>IFERROR(__xludf.DUMMYFUNCTION("GOOGLETRANSLATE(A8781, ""en"", ""mt"")"),"F'liema sena ġiet prodotta l-ewwel mappa ġeoloġika ta 'l-Istati Uniti?")</f>
        <v>F'liema sena ġiet prodotta l-ewwel mappa ġeoloġika ta 'l-Istati Uniti?</v>
      </c>
    </row>
    <row r="8782" ht="15.75" customHeight="1">
      <c r="A8782" s="2" t="s">
        <v>8782</v>
      </c>
      <c r="B8782" s="2" t="str">
        <f>IFERROR(__xludf.DUMMYFUNCTION("GOOGLETRANSLATE(A8782, ""en"", ""mt"")")," Fejn Maududi eżerċita l-inqas impatt?")</f>
        <v> Fejn Maududi eżerċita l-inqas impatt?</v>
      </c>
    </row>
    <row r="8783" ht="15.75" customHeight="1">
      <c r="A8783" s="2" t="s">
        <v>8783</v>
      </c>
      <c r="B8783" s="2" t="str">
        <f>IFERROR(__xludf.DUMMYFUNCTION("GOOGLETRANSLATE(A8783, ""en"", ""mt"")"),"sodisfazzjon u kuntentizza")</f>
        <v>sodisfazzjon u kuntentizza</v>
      </c>
    </row>
    <row r="8784" ht="15.75" customHeight="1">
      <c r="A8784" s="2" t="s">
        <v>8784</v>
      </c>
      <c r="B8784" s="2" t="str">
        <f>IFERROR(__xludf.DUMMYFUNCTION("GOOGLETRANSLATE(A8784, ""en"", ""mt"")"),"id-dikjarazzjoni uffiċjali tal-gwerra fl-1756 għall-iffirmar tat-trattat ta 'paċi fl-1763")</f>
        <v>id-dikjarazzjoni uffiċjali tal-gwerra fl-1756 għall-iffirmar tat-trattat ta 'paċi fl-1763</v>
      </c>
    </row>
    <row r="8785" ht="15.75" customHeight="1">
      <c r="A8785" s="2" t="s">
        <v>8785</v>
      </c>
      <c r="B8785" s="2" t="str">
        <f>IFERROR(__xludf.DUMMYFUNCTION("GOOGLETRANSLATE(A8785, ""en"", ""mt"")"),"X'qal il-Grand Chamber tal-Qorti tal-Ġustizzja li kienet ippruvat il-kummissjoni?")</f>
        <v>X'qal il-Grand Chamber tal-Qorti tal-Ġustizzja li kienet ippruvat il-kummissjoni?</v>
      </c>
    </row>
    <row r="8786" ht="15.75" customHeight="1">
      <c r="A8786" s="2" t="s">
        <v>8786</v>
      </c>
      <c r="B8786" s="2" t="str">
        <f>IFERROR(__xludf.DUMMYFUNCTION("GOOGLETRANSLATE(A8786, ""en"", ""mt"")"),"Kemm irġiel kienu fl-armata ta 'Robert?")</f>
        <v>Kemm irġiel kienu fl-armata ta 'Robert?</v>
      </c>
    </row>
    <row r="8787" ht="15.75" customHeight="1">
      <c r="A8787" s="2" t="s">
        <v>8787</v>
      </c>
      <c r="B8787" s="2" t="str">
        <f>IFERROR(__xludf.DUMMYFUNCTION("GOOGLETRANSLATE(A8787, ""en"", ""mt"")"),"li jġorr il-moxt")</f>
        <v>li jġorr il-moxt</v>
      </c>
    </row>
    <row r="8788" ht="15.75" customHeight="1">
      <c r="A8788" s="2" t="s">
        <v>8788</v>
      </c>
      <c r="B8788" s="2" t="str">
        <f>IFERROR(__xludf.DUMMYFUNCTION("GOOGLETRANSLATE(A8788, ""en"", ""mt"")"),"X'kienet il-popolazzjoni bajda fl-1942 fi Fresno?")</f>
        <v>X'kienet il-popolazzjoni bajda fl-1942 fi Fresno?</v>
      </c>
    </row>
    <row r="8789" ht="15.75" customHeight="1">
      <c r="A8789" s="2" t="s">
        <v>8789</v>
      </c>
      <c r="B8789" s="2" t="str">
        <f>IFERROR(__xludf.DUMMYFUNCTION("GOOGLETRANSLATE(A8789, ""en"", ""mt"")"),"X'tip ta 'gruppi jaqsam il-Kalifornja f'reġjuni tat-tramuntana u ċentrali biss?")</f>
        <v>X'tip ta 'gruppi jaqsam il-Kalifornja f'reġjuni tat-tramuntana u ċentrali biss?</v>
      </c>
    </row>
    <row r="8790" ht="15.75" customHeight="1">
      <c r="A8790" s="2" t="s">
        <v>8790</v>
      </c>
      <c r="B8790" s="2" t="str">
        <f>IFERROR(__xludf.DUMMYFUNCTION("GOOGLETRANSLATE(A8790, ""en"", ""mt"")"),"X'inhu l-isem tal-fundatur tal-Bungie Inc. li huwa wkoll gradwat universitarju?")</f>
        <v>X'inhu l-isem tal-fundatur tal-Bungie Inc. li huwa wkoll gradwat universitarju?</v>
      </c>
    </row>
    <row r="8791" ht="15.75" customHeight="1">
      <c r="A8791" s="2" t="s">
        <v>8791</v>
      </c>
      <c r="B8791" s="2" t="str">
        <f>IFERROR(__xludf.DUMMYFUNCTION("GOOGLETRANSLATE(A8791, ""en"", ""mt"")"),"mitluba mill-gvernijiet.")</f>
        <v>mitluba mill-gvernijiet.</v>
      </c>
    </row>
    <row r="8792" ht="15.75" customHeight="1">
      <c r="A8792" s="2" t="s">
        <v>8792</v>
      </c>
      <c r="B8792" s="2" t="str">
        <f>IFERROR(__xludf.DUMMYFUNCTION("GOOGLETRANSLATE(A8792, ""en"", ""mt"")"),"William eventwalment jikseb liema tron?")</f>
        <v>William eventwalment jikseb liema tron?</v>
      </c>
    </row>
    <row r="8793" ht="15.75" customHeight="1">
      <c r="A8793" s="2" t="s">
        <v>8793</v>
      </c>
      <c r="B8793" s="2" t="str">
        <f>IFERROR(__xludf.DUMMYFUNCTION("GOOGLETRANSLATE(A8793, ""en"", ""mt"")"),"Ma 'liema vitamina għandhom ċelluli T għandhom relazzjoni parassitika?")</f>
        <v>Ma 'liema vitamina għandhom ċelluli T għandhom relazzjoni parassitika?</v>
      </c>
    </row>
    <row r="8794" ht="15.75" customHeight="1">
      <c r="A8794" s="2" t="s">
        <v>8794</v>
      </c>
      <c r="B8794" s="2" t="str">
        <f>IFERROR(__xludf.DUMMYFUNCTION("GOOGLETRANSLATE(A8794, ""en"", ""mt"")"),"Kemm wiegħed Silas B. Cobb lill-università?")</f>
        <v>Kemm wiegħed Silas B. Cobb lill-università?</v>
      </c>
    </row>
    <row r="8795" ht="15.75" customHeight="1">
      <c r="A8795" s="2" t="s">
        <v>8795</v>
      </c>
      <c r="B8795" s="2" t="str">
        <f>IFERROR(__xludf.DUMMYFUNCTION("GOOGLETRANSLATE(A8795, ""en"", ""mt"")"),"Apologie ""ta 'William is-Silent")</f>
        <v>Apologie "ta 'William is-Silent</v>
      </c>
    </row>
    <row r="8796" ht="15.75" customHeight="1">
      <c r="A8796" s="2" t="s">
        <v>8796</v>
      </c>
      <c r="B8796" s="2" t="str">
        <f>IFERROR(__xludf.DUMMYFUNCTION("GOOGLETRANSLATE(A8796, ""en"", ""mt"")"),"skadut")</f>
        <v>skadut</v>
      </c>
    </row>
    <row r="8797" ht="15.75" customHeight="1">
      <c r="A8797" s="2" t="s">
        <v>8797</v>
      </c>
      <c r="B8797" s="2" t="str">
        <f>IFERROR(__xludf.DUMMYFUNCTION("GOOGLETRANSLATE(A8797, ""en"", ""mt"")"),"Stokk")</f>
        <v>Stokk</v>
      </c>
    </row>
    <row r="8798" ht="15.75" customHeight="1">
      <c r="A8798" s="2" t="s">
        <v>8798</v>
      </c>
      <c r="B8798" s="2" t="str">
        <f>IFERROR(__xludf.DUMMYFUNCTION("GOOGLETRANSLATE(A8798, ""en"", ""mt"")"),"F'liema ġurnal ċedew ħames awturi tal-IPCC ċedew għall-appoġġ tal-IPCC?")</f>
        <v>F'liema ġurnal ċedew ħames awturi tal-IPCC ċedew għall-appoġġ tal-IPCC?</v>
      </c>
    </row>
    <row r="8799" ht="15.75" customHeight="1">
      <c r="A8799" s="2" t="s">
        <v>8799</v>
      </c>
      <c r="B8799" s="2" t="str">
        <f>IFERROR(__xludf.DUMMYFUNCTION("GOOGLETRANSLATE(A8799, ""en"", ""mt"")"),"Meta hija l-ewwel referenza fl-istorja għal Varsavja?")</f>
        <v>Meta hija l-ewwel referenza fl-istorja għal Varsavja?</v>
      </c>
    </row>
    <row r="8800" ht="15.75" customHeight="1">
      <c r="A8800" s="2" t="s">
        <v>8800</v>
      </c>
      <c r="B8800" s="2" t="str">
        <f>IFERROR(__xludf.DUMMYFUNCTION("GOOGLETRANSLATE(A8800, ""en"", ""mt"")"),"X'kienet pick TV aktar tard mill-ġdid?")</f>
        <v>X'kienet pick TV aktar tard mill-ġdid?</v>
      </c>
    </row>
    <row r="8801" ht="15.75" customHeight="1">
      <c r="A8801" s="2" t="s">
        <v>8801</v>
      </c>
      <c r="B8801" s="2" t="str">
        <f>IFERROR(__xludf.DUMMYFUNCTION("GOOGLETRANSLATE(A8801, ""en"", ""mt"")"),"Bejn l-1402 u l-1405, l-ispedizzjoni mmexxija min-Norman Noble Jean de Bethencourt u l-Poitevine Gadifer de la Salle ħakmu l-gżejjer Kanariji ta 'Lanzarote, Fuerteventura u El Hierro barra l-kosta tal-Atlantiku tal-Afrika. It-truppi tagħhom inġabru fin-No"&amp;"rmandija, Gasony u aktar tard ġew imsaħħa minn kolonisti Kastiljani.")</f>
        <v>Bejn l-1402 u l-1405, l-ispedizzjoni mmexxija min-Norman Noble Jean de Bethencourt u l-Poitevine Gadifer de la Salle ħakmu l-gżejjer Kanariji ta 'Lanzarote, Fuerteventura u El Hierro barra l-kosta tal-Atlantiku tal-Afrika. It-truppi tagħhom inġabru fin-Normandija, Gasony u aktar tard ġew imsaħħa minn kolonisti Kastiljani.</v>
      </c>
    </row>
    <row r="8802" ht="15.75" customHeight="1">
      <c r="A8802" s="2" t="s">
        <v>8802</v>
      </c>
      <c r="B8802" s="2" t="str">
        <f>IFERROR(__xludf.DUMMYFUNCTION("GOOGLETRANSLATE(A8802, ""en"", ""mt"")"),"tfixkel il-membrana tal-plażma tagħhom")</f>
        <v>tfixkel il-membrana tal-plażma tagħhom</v>
      </c>
    </row>
    <row r="8803" ht="15.75" customHeight="1">
      <c r="A8803" s="2" t="s">
        <v>8803</v>
      </c>
      <c r="B8803" s="2" t="str">
        <f>IFERROR(__xludf.DUMMYFUNCTION("GOOGLETRANSLATE(A8803, ""en"", ""mt"")"),"l-uffiċċju Ewropew kontra l-frodi")</f>
        <v>l-uffiċċju Ewropew kontra l-frodi</v>
      </c>
    </row>
    <row r="8804" ht="15.75" customHeight="1">
      <c r="A8804" s="2" t="s">
        <v>8804</v>
      </c>
      <c r="B8804" s="2" t="str">
        <f>IFERROR(__xludf.DUMMYFUNCTION("GOOGLETRANSLATE(A8804, ""en"", ""mt"")"),"Soċjetà Amerikana tal-Edukazzjoni Battista")</f>
        <v>Soċjetà Amerikana tal-Edukazzjoni Battista</v>
      </c>
    </row>
    <row r="8805" ht="15.75" customHeight="1">
      <c r="A8805" s="2" t="s">
        <v>8805</v>
      </c>
      <c r="B8805" s="2" t="str">
        <f>IFERROR(__xludf.DUMMYFUNCTION("GOOGLETRANSLATE(A8805, ""en"", ""mt"")"),"Telf sħiħ ta 'kopertura tal-foresta tropikali jista' jkun ikkawżat minn liema tip ta 'emissjonijiet?")</f>
        <v>Telf sħiħ ta 'kopertura tal-foresta tropikali jista' jkun ikkawżat minn liema tip ta 'emissjonijiet?</v>
      </c>
    </row>
    <row r="8806" ht="15.75" customHeight="1">
      <c r="A8806" s="2" t="s">
        <v>8806</v>
      </c>
      <c r="B8806" s="2" t="str">
        <f>IFERROR(__xludf.DUMMYFUNCTION("GOOGLETRANSLATE(A8806, ""en"", ""mt"")"),"X'tip ta 'università hija l-Università ta' Chicago?")</f>
        <v>X'tip ta 'università hija l-Università ta' Chicago?</v>
      </c>
    </row>
    <row r="8807" ht="15.75" customHeight="1">
      <c r="A8807" s="2" t="s">
        <v>8807</v>
      </c>
      <c r="B8807" s="2" t="str">
        <f>IFERROR(__xludf.DUMMYFUNCTION("GOOGLETRANSLATE(A8807, ""en"", ""mt"")"),"F’liema sena l-Amazon esperjenzat nixfa li setgħet kienet iktar estrema milli fl-2005?")</f>
        <v>F’liema sena l-Amazon esperjenzat nixfa li setgħet kienet iktar estrema milli fl-2005?</v>
      </c>
    </row>
    <row r="8808" ht="15.75" customHeight="1">
      <c r="A8808" s="2" t="s">
        <v>8808</v>
      </c>
      <c r="B8808" s="2" t="str">
        <f>IFERROR(__xludf.DUMMYFUNCTION("GOOGLETRANSLATE(A8808, ""en"", ""mt"")"),"Regola informali")</f>
        <v>Regola informali</v>
      </c>
    </row>
    <row r="8809" ht="15.75" customHeight="1">
      <c r="A8809" s="2" t="s">
        <v>8809</v>
      </c>
      <c r="B8809" s="2" t="str">
        <f>IFERROR(__xludf.DUMMYFUNCTION("GOOGLETRANSLATE(A8809, ""en"", ""mt"")"),"Kemm ma rnexxietx l-isforzi riveduti Franċiżi?")</f>
        <v>Kemm ma rnexxietx l-isforzi riveduti Franċiżi?</v>
      </c>
    </row>
    <row r="8810" ht="15.75" customHeight="1">
      <c r="A8810" s="2" t="s">
        <v>8810</v>
      </c>
      <c r="B8810" s="2" t="str">
        <f>IFERROR(__xludf.DUMMYFUNCTION("GOOGLETRANSLATE(A8810, ""en"", ""mt"")"),"Sostituzzjoni ta 'tagħmir kapitali")</f>
        <v>Sostituzzjoni ta 'tagħmir kapitali</v>
      </c>
    </row>
    <row r="8811" ht="15.75" customHeight="1">
      <c r="A8811" s="2" t="s">
        <v>8811</v>
      </c>
      <c r="B8811" s="2" t="str">
        <f>IFERROR(__xludf.DUMMYFUNCTION("GOOGLETRANSLATE(A8811, ""en"", ""mt"")"),"Hemm ħjiel fir-rekords li jibqgħu ħajjin tal-Eġizzjani tal-qedem li kellhom xi għarfien dwar in-numri ewlenin: l-espansjonijiet tal-frazzjoni Eġizzjana fil-papyrus Rhind, pereżempju, għandhom forom pjuttost differenti għall-primes u għall-komposti. Madank"&amp;"ollu, l-ewwel rekords li jibqgħu ħajjin tal-istudju espliċitu tan-numri ewlenin ġejjin mill-Griegi tal-qedem. L-elementi ta 'Euclid (circa 300 QK) fihom teoremi importanti dwar il-primes, inkluża l-infinitudni tal-primes u t-teorema fundamentali tal-aritm"&amp;"etika. Euclid wera wkoll kif jinbena numru perfett minn Mersenne Prime. L-għarbiel ta 'Eratosthenes, attribwit lil Eratosthenes, huwa metodu sempliċi biex jiġi kkalkulat il-primes, għalkemm il-primes kbar misjuba llum bil-kompjuters mhumiex iġġenerati b'd"&amp;"an il-mod.")</f>
        <v>Hemm ħjiel fir-rekords li jibqgħu ħajjin tal-Eġizzjani tal-qedem li kellhom xi għarfien dwar in-numri ewlenin: l-espansjonijiet tal-frazzjoni Eġizzjana fil-papyrus Rhind, pereżempju, għandhom forom pjuttost differenti għall-primes u għall-komposti. Madankollu, l-ewwel rekords li jibqgħu ħajjin tal-istudju espliċitu tan-numri ewlenin ġejjin mill-Griegi tal-qedem. L-elementi ta 'Euclid (circa 300 QK) fihom teoremi importanti dwar il-primes, inkluża l-infinitudni tal-primes u t-teorema fundamentali tal-aritmetika. Euclid wera wkoll kif jinbena numru perfett minn Mersenne Prime. L-għarbiel ta 'Eratosthenes, attribwit lil Eratosthenes, huwa metodu sempliċi biex jiġi kkalkulat il-primes, għalkemm il-primes kbar misjuba llum bil-kompjuters mhumiex iġġenerati b'dan il-mod.</v>
      </c>
    </row>
    <row r="8812" ht="15.75" customHeight="1">
      <c r="A8812" s="2" t="s">
        <v>8812</v>
      </c>
      <c r="B8812" s="2" t="str">
        <f>IFERROR(__xludf.DUMMYFUNCTION("GOOGLETRANSLATE(A8812, ""en"", ""mt"")"),"Meta l-uffiċjal li jippresiedi poġġa mozzjonijiet fuq il-mistoqsijiet?")</f>
        <v>Meta l-uffiċjal li jippresiedi poġġa mozzjonijiet fuq il-mistoqsijiet?</v>
      </c>
    </row>
    <row r="8813" ht="15.75" customHeight="1">
      <c r="A8813" s="2" t="s">
        <v>8813</v>
      </c>
      <c r="B8813" s="2" t="str">
        <f>IFERROR(__xludf.DUMMYFUNCTION("GOOGLETRANSLATE(A8813, ""en"", ""mt"")"),"X'tip ta 'mġieba fi Chosens huwa possibbli li tiddetermina?")</f>
        <v>X'tip ta 'mġieba fi Chosens huwa possibbli li tiddetermina?</v>
      </c>
    </row>
    <row r="8814" ht="15.75" customHeight="1">
      <c r="A8814" s="2" t="s">
        <v>8814</v>
      </c>
      <c r="B8814" s="2" t="str">
        <f>IFERROR(__xludf.DUMMYFUNCTION("GOOGLETRANSLATE(A8814, ""en"", ""mt"")"),"miljun")</f>
        <v>miljun</v>
      </c>
    </row>
    <row r="8815" ht="15.75" customHeight="1">
      <c r="A8815" s="2" t="s">
        <v>8815</v>
      </c>
      <c r="B8815" s="2" t="str">
        <f>IFERROR(__xludf.DUMMYFUNCTION("GOOGLETRANSLATE(A8815, ""en"", ""mt"")"),"reċenti għexieren ta ’snin")</f>
        <v>reċenti għexieren ta ’snin</v>
      </c>
    </row>
    <row r="8816" ht="15.75" customHeight="1">
      <c r="A8816" s="2" t="s">
        <v>8816</v>
      </c>
      <c r="B8816" s="2" t="str">
        <f>IFERROR(__xludf.DUMMYFUNCTION("GOOGLETRANSLATE(A8816, ""en"", ""mt"")"),"50% aktar")</f>
        <v>50% aktar</v>
      </c>
    </row>
    <row r="8817" ht="15.75" customHeight="1">
      <c r="A8817" s="2" t="s">
        <v>8817</v>
      </c>
      <c r="B8817" s="2" t="str">
        <f>IFERROR(__xludf.DUMMYFUNCTION("GOOGLETRANSLATE(A8817, ""en"", ""mt"")"),"Liema pajjiż kien l-aħħar li rċieva l-marda?")</f>
        <v>Liema pajjiż kien l-aħħar li rċieva l-marda?</v>
      </c>
    </row>
    <row r="8818" ht="15.75" customHeight="1">
      <c r="A8818" s="2" t="s">
        <v>8818</v>
      </c>
      <c r="B8818" s="2" t="str">
        <f>IFERROR(__xludf.DUMMYFUNCTION("GOOGLETRANSLATE(A8818, ""en"", ""mt"")"),"Iċ-Ċina tan-Nofsinhar issostni u ġġieldet għall-aħħar")</f>
        <v>Iċ-Ċina tan-Nofsinhar issostni u ġġieldet għall-aħħar</v>
      </c>
    </row>
    <row r="8819" ht="15.75" customHeight="1">
      <c r="A8819" s="2" t="s">
        <v>8819</v>
      </c>
      <c r="B8819" s="2" t="str">
        <f>IFERROR(__xludf.DUMMYFUNCTION("GOOGLETRANSLATE(A8819, ""en"", ""mt"")"),"Liema parti mis-sistema immuni innata tidentifika l-mikrobi u tikkawża rispons immuni?")</f>
        <v>Liema parti mis-sistema immuni innata tidentifika l-mikrobi u tikkawża rispons immuni?</v>
      </c>
    </row>
    <row r="8820" ht="15.75" customHeight="1">
      <c r="A8820" s="2" t="s">
        <v>8820</v>
      </c>
      <c r="B8820" s="2" t="str">
        <f>IFERROR(__xludf.DUMMYFUNCTION("GOOGLETRANSLATE(A8820, ""en"", ""mt"")"),"Kemm malajr il-veloċitajiet tal-mewġ ġewwa l-art jiċċaqalqu?")</f>
        <v>Kemm malajr il-veloċitajiet tal-mewġ ġewwa l-art jiċċaqalqu?</v>
      </c>
    </row>
    <row r="8821" ht="15.75" customHeight="1">
      <c r="A8821" s="2" t="s">
        <v>8821</v>
      </c>
      <c r="B8821" s="2" t="str">
        <f>IFERROR(__xludf.DUMMYFUNCTION("GOOGLETRANSLATE(A8821, ""en"", ""mt"")"),"Min sab li kultura kienet żviluppat fejn ftit kummissarji kellhom xi sens ta 'responsabbiltà?")</f>
        <v>Min sab li kultura kienet żviluppat fejn ftit kummissarji kellhom xi sens ta 'responsabbiltà?</v>
      </c>
    </row>
    <row r="8822" ht="15.75" customHeight="1">
      <c r="A8822" s="2" t="s">
        <v>8822</v>
      </c>
      <c r="B8822" s="2" t="str">
        <f>IFERROR(__xludf.DUMMYFUNCTION("GOOGLETRANSLATE(A8822, ""en"", ""mt"")"),"Kontra l-kulur")</f>
        <v>Kontra l-kulur</v>
      </c>
    </row>
    <row r="8823" ht="15.75" customHeight="1">
      <c r="A8823" s="2" t="s">
        <v>8823</v>
      </c>
      <c r="B8823" s="2" t="str">
        <f>IFERROR(__xludf.DUMMYFUNCTION("GOOGLETRANSLATE(A8823, ""en"", ""mt"")"),"L-għoqda tista 'qatt takkwista l-ID ta' konnessjoni ħażina?")</f>
        <v>L-għoqda tista 'qatt takkwista l-ID ta' konnessjoni ħażina?</v>
      </c>
    </row>
    <row r="8824" ht="15.75" customHeight="1">
      <c r="A8824" s="2" t="s">
        <v>8824</v>
      </c>
      <c r="B8824" s="2" t="str">
        <f>IFERROR(__xludf.DUMMYFUNCTION("GOOGLETRANSLATE(A8824, ""en"", ""mt"")"),"X'jista 'jnaqqas ir-riskju ta' korrimenti fuq ix-xogħol fl-industrija tal-kostruzzjoni?")</f>
        <v>X'jista 'jnaqqas ir-riskju ta' korrimenti fuq ix-xogħol fl-industrija tal-kostruzzjoni?</v>
      </c>
    </row>
    <row r="8825" ht="15.75" customHeight="1">
      <c r="A8825" s="2" t="s">
        <v>8825</v>
      </c>
      <c r="B8825" s="2" t="str">
        <f>IFERROR(__xludf.DUMMYFUNCTION("GOOGLETRANSLATE(A8825, ""en"", ""mt"")"),"X'inhu l-isem ta 'tip ieħor ta' test fejn P + 1 jew P-1 jieħu ċerta forma?")</f>
        <v>X'inhu l-isem ta 'tip ieħor ta' test fejn P + 1 jew P-1 jieħu ċerta forma?</v>
      </c>
    </row>
    <row r="8826" ht="15.75" customHeight="1">
      <c r="A8826" s="2" t="s">
        <v>8826</v>
      </c>
      <c r="B8826" s="2" t="str">
        <f>IFERROR(__xludf.DUMMYFUNCTION("GOOGLETRANSLATE(A8826, ""en"", ""mt"")"),"Fejn ir-regola tat-Tran Dynasty?")</f>
        <v>Fejn ir-regola tat-Tran Dynasty?</v>
      </c>
    </row>
    <row r="8827" ht="15.75" customHeight="1">
      <c r="A8827" s="2" t="s">
        <v>8827</v>
      </c>
      <c r="B8827" s="2" t="str">
        <f>IFERROR(__xludf.DUMMYFUNCTION("GOOGLETRANSLATE(A8827, ""en"", ""mt"")"),"Bidu f'liema sena kien Harvard fuq il-klassifika tar-reputazzjoni dinjija?")</f>
        <v>Bidu f'liema sena kien Harvard fuq il-klassifika tar-reputazzjoni dinjija?</v>
      </c>
    </row>
    <row r="8828" ht="15.75" customHeight="1">
      <c r="A8828" s="2" t="s">
        <v>8828</v>
      </c>
      <c r="B8828" s="2" t="str">
        <f>IFERROR(__xludf.DUMMYFUNCTION("GOOGLETRANSLATE(A8828, ""en"", ""mt"")"),"Kemm qalu li kien ġust li jgħollu l-prezzijiet?")</f>
        <v>Kemm qalu li kien ġust li jgħollu l-prezzijiet?</v>
      </c>
    </row>
    <row r="8829" ht="15.75" customHeight="1">
      <c r="A8829" s="2" t="s">
        <v>8829</v>
      </c>
      <c r="B8829" s="2" t="str">
        <f>IFERROR(__xludf.DUMMYFUNCTION("GOOGLETRANSLATE(A8829, ""en"", ""mt"")"),"X'Kondenses f'54.36 K?")</f>
        <v>X'Kondenses f'54.36 K?</v>
      </c>
    </row>
    <row r="8830" ht="15.75" customHeight="1">
      <c r="A8830" s="2" t="s">
        <v>8830</v>
      </c>
      <c r="B8830" s="2" t="str">
        <f>IFERROR(__xludf.DUMMYFUNCTION("GOOGLETRANSLATE(A8830, ""en"", ""mt"")"),"Għaliex ir-rebħ tal-każ tiegħek għandu jiġi evitat mill-pubbliku?")</f>
        <v>Għaliex ir-rebħ tal-każ tiegħek għandu jiġi evitat mill-pubbliku?</v>
      </c>
    </row>
    <row r="8831" ht="15.75" customHeight="1">
      <c r="A8831" s="2" t="s">
        <v>8831</v>
      </c>
      <c r="B8831" s="2" t="str">
        <f>IFERROR(__xludf.DUMMYFUNCTION("GOOGLETRANSLATE(A8831, ""en"", ""mt"")"),"Filwaqt li l-pakketti huma ttikkettjati b'mod korrett x'jista 'jiġri lilhom?")</f>
        <v>Filwaqt li l-pakketti huma ttikkettjati b'mod korrett x'jista 'jiġri lilhom?</v>
      </c>
    </row>
    <row r="8832" ht="15.75" customHeight="1">
      <c r="A8832" s="2" t="s">
        <v>8832</v>
      </c>
      <c r="B8832" s="2" t="str">
        <f>IFERROR(__xludf.DUMMYFUNCTION("GOOGLETRANSLATE(A8832, ""en"", ""mt"")"),"X'tip ta 'territorji qed jinqerdu mill-Ecocide fl-Amażonja?")</f>
        <v>X'tip ta 'territorji qed jinqerdu mill-Ecocide fl-Amażonja?</v>
      </c>
    </row>
    <row r="8833" ht="15.75" customHeight="1">
      <c r="A8833" s="2" t="s">
        <v>8833</v>
      </c>
      <c r="B8833" s="2" t="str">
        <f>IFERROR(__xludf.DUMMYFUNCTION("GOOGLETRANSLATE(A8833, ""en"", ""mt"")"),"X'inhuma magħrufa bħala Ctenophora?")</f>
        <v>X'inhuma magħrufa bħala Ctenophora?</v>
      </c>
    </row>
    <row r="8834" ht="15.75" customHeight="1">
      <c r="A8834" s="2" t="s">
        <v>8834</v>
      </c>
      <c r="B8834" s="2" t="str">
        <f>IFERROR(__xludf.DUMMYFUNCTION("GOOGLETRANSLATE(A8834, ""en"", ""mt"")"),"Liema kampanja bdiet ir-reġim komunista wara l-WWI?")</f>
        <v>Liema kampanja bdiet ir-reġim komunista wara l-WWI?</v>
      </c>
    </row>
    <row r="8835" ht="15.75" customHeight="1">
      <c r="A8835" s="2" t="s">
        <v>8835</v>
      </c>
      <c r="B8835" s="2" t="str">
        <f>IFERROR(__xludf.DUMMYFUNCTION("GOOGLETRANSLATE(A8835, ""en"", ""mt"")"),"Bejn il-Kanadiżi u l-Ingliżi, liema gruppi kkontrollaw art?")</f>
        <v>Bejn il-Kanadiżi u l-Ingliżi, liema gruppi kkontrollaw art?</v>
      </c>
    </row>
    <row r="8836" ht="15.75" customHeight="1">
      <c r="A8836" s="2" t="s">
        <v>8836</v>
      </c>
      <c r="B8836" s="2" t="str">
        <f>IFERROR(__xludf.DUMMYFUNCTION("GOOGLETRANSLATE(A8836, ""en"", ""mt"")"),"X'jippromwovu sorsi konċentrati rapidi ta 'ossiġnu?")</f>
        <v>X'jippromwovu sorsi konċentrati rapidi ta 'ossiġnu?</v>
      </c>
    </row>
    <row r="8837" ht="15.75" customHeight="1">
      <c r="A8837" s="2" t="s">
        <v>8837</v>
      </c>
      <c r="B8837" s="2" t="str">
        <f>IFERROR(__xludf.DUMMYFUNCTION("GOOGLETRANSLATE(A8837, ""en"", ""mt"")"),"Liema persentaġġ ta 'art agrikola tikber il-qamħ?")</f>
        <v>Liema persentaġġ ta 'art agrikola tikber il-qamħ?</v>
      </c>
    </row>
    <row r="8838" ht="15.75" customHeight="1">
      <c r="A8838" s="2" t="s">
        <v>8838</v>
      </c>
      <c r="B8838" s="2" t="str">
        <f>IFERROR(__xludf.DUMMYFUNCTION("GOOGLETRANSLATE(A8838, ""en"", ""mt"")"),"X'tip ta 'magna tal-fwar tipproduċi ħafna mill-elettriku fid-dinja llum?")</f>
        <v>X'tip ta 'magna tal-fwar tipproduċi ħafna mill-elettriku fid-dinja llum?</v>
      </c>
    </row>
    <row r="8839" ht="15.75" customHeight="1">
      <c r="A8839" s="2" t="s">
        <v>8839</v>
      </c>
      <c r="B8839" s="2" t="str">
        <f>IFERROR(__xludf.DUMMYFUNCTION("GOOGLETRANSLATE(A8839, ""en"", ""mt"")"),"Satya Nadella")</f>
        <v>Satya Nadella</v>
      </c>
    </row>
    <row r="8840" ht="15.75" customHeight="1">
      <c r="A8840" s="2" t="s">
        <v>8840</v>
      </c>
      <c r="B8840" s="2" t="str">
        <f>IFERROR(__xludf.DUMMYFUNCTION("GOOGLETRANSLATE(A8840, ""en"", ""mt"")"),"Min ħabbar li kienet se tnaqqas bħala mexxej tal-Konservattivi?")</f>
        <v>Min ħabbar li kienet se tnaqqas bħala mexxej tal-Konservattivi?</v>
      </c>
    </row>
    <row r="8841" ht="15.75" customHeight="1">
      <c r="A8841" s="2" t="s">
        <v>8841</v>
      </c>
      <c r="B8841" s="2" t="str">
        <f>IFERROR(__xludf.DUMMYFUNCTION("GOOGLETRANSLATE(A8841, ""en"", ""mt"")"),"Meta daħlet l-armata tal-Ġermanja Rhineland?")</f>
        <v>Meta daħlet l-armata tal-Ġermanja Rhineland?</v>
      </c>
    </row>
    <row r="8842" ht="15.75" customHeight="1">
      <c r="A8842" s="2" t="s">
        <v>8842</v>
      </c>
      <c r="B8842" s="2" t="str">
        <f>IFERROR(__xludf.DUMMYFUNCTION("GOOGLETRANSLATE(A8842, ""en"", ""mt"")"),"Il-House of Lords introduċiet kwalifiki għal liema pożizzjoni?")</f>
        <v>Il-House of Lords introduċiet kwalifiki għal liema pożizzjoni?</v>
      </c>
    </row>
    <row r="8843" ht="15.75" customHeight="1">
      <c r="A8843" s="2" t="s">
        <v>8843</v>
      </c>
      <c r="B8843" s="2" t="str">
        <f>IFERROR(__xludf.DUMMYFUNCTION("GOOGLETRANSLATE(A8843, ""en"", ""mt"")"),"sors ta 'enerġija")</f>
        <v>sors ta 'enerġija</v>
      </c>
    </row>
    <row r="8844" ht="15.75" customHeight="1">
      <c r="A8844" s="2" t="s">
        <v>8844</v>
      </c>
      <c r="B8844" s="2" t="str">
        <f>IFERROR(__xludf.DUMMYFUNCTION("GOOGLETRANSLATE(A8844, ""en"", ""mt"")"),"Xi wħud mill-ippjanar u d-dfin Kristjan")</f>
        <v>Xi wħud mill-ippjanar u d-dfin Kristjan</v>
      </c>
    </row>
    <row r="8845" ht="15.75" customHeight="1">
      <c r="A8845" s="2" t="s">
        <v>8845</v>
      </c>
      <c r="B8845" s="2" t="str">
        <f>IFERROR(__xludf.DUMMYFUNCTION("GOOGLETRANSLATE(A8845, ""en"", ""mt"")"),"X'bidliet il-kontenut minerali ta 'blat?")</f>
        <v>X'bidliet il-kontenut minerali ta 'blat?</v>
      </c>
    </row>
    <row r="8846" ht="15.75" customHeight="1">
      <c r="A8846" s="2" t="s">
        <v>8846</v>
      </c>
      <c r="B8846" s="2" t="str">
        <f>IFERROR(__xludf.DUMMYFUNCTION("GOOGLETRANSLATE(A8846, ""en"", ""mt"")"),"Forza konservattiva li taġixxi fuq sistema magħluqa għandha xogħol mekkaniku assoċjat li jippermetti li l-enerġija tikkonverti biss bejn forom kinetiċi jew potenzjali. Dan ifisser li għal sistema magħluqa, l-enerġija mekkanika netta tiġi kkonservata kull "&amp;"meta forza konservattiva taġixxi fis-sistema. Il-forza, għalhekk, hija relatata direttament mad-differenza fl-enerġija potenzjali bejn żewġ postijiet differenti fl-ispazju, u tista 'titqies bħala artifact tal-kamp potenzjali bl-istess mod li d-direzzjoni "&amp;"u l-ammont ta' fluss ta 'ilma jistgħu jitqiesu Biex tkun artifact tal-mappa tal-kontorn tal-elevazzjoni ta 'żona.")</f>
        <v>Forza konservattiva li taġixxi fuq sistema magħluqa għandha xogħol mekkaniku assoċjat li jippermetti li l-enerġija tikkonverti biss bejn forom kinetiċi jew potenzjali. Dan ifisser li għal sistema magħluqa, l-enerġija mekkanika netta tiġi kkonservata kull meta forza konservattiva taġixxi fis-sistema. Il-forza, għalhekk, hija relatata direttament mad-differenza fl-enerġija potenzjali bejn żewġ postijiet differenti fl-ispazju, u tista 'titqies bħala artifact tal-kamp potenzjali bl-istess mod li d-direzzjoni u l-ammont ta' fluss ta 'ilma jistgħu jitqiesu Biex tkun artifact tal-mappa tal-kontorn tal-elevazzjoni ta 'żona.</v>
      </c>
    </row>
    <row r="8847" ht="15.75" customHeight="1">
      <c r="A8847" s="2" t="s">
        <v>8847</v>
      </c>
      <c r="B8847" s="2" t="str">
        <f>IFERROR(__xludf.DUMMYFUNCTION("GOOGLETRANSLATE(A8847, ""en"", ""mt"")"),"Zhongshu Sheng")</f>
        <v>Zhongshu Sheng</v>
      </c>
    </row>
    <row r="8848" ht="15.75" customHeight="1">
      <c r="A8848" s="2" t="s">
        <v>8848</v>
      </c>
      <c r="B8848" s="2" t="str">
        <f>IFERROR(__xludf.DUMMYFUNCTION("GOOGLETRANSLATE(A8848, ""en"", ""mt"")"),"Fuq xiex jiddependi l-IPCC għar-riċerka?")</f>
        <v>Fuq xiex jiddependi l-IPCC għar-riċerka?</v>
      </c>
    </row>
    <row r="8849" ht="15.75" customHeight="1">
      <c r="A8849" s="2" t="s">
        <v>8849</v>
      </c>
      <c r="B8849" s="2" t="str">
        <f>IFERROR(__xludf.DUMMYFUNCTION("GOOGLETRANSLATE(A8849, ""en"", ""mt"")"),"X’kienet it-Taliban li jissuġġetta lill-pajjiż kollu?")</f>
        <v>X’kienet it-Taliban li jissuġġetta lill-pajjiż kollu?</v>
      </c>
    </row>
    <row r="8850" ht="15.75" customHeight="1">
      <c r="A8850" s="2" t="s">
        <v>8850</v>
      </c>
      <c r="B8850" s="2" t="str">
        <f>IFERROR(__xludf.DUMMYFUNCTION("GOOGLETRANSLATE(A8850, ""en"", ""mt"")"),"Liema oġġett ċelesti ħarab l-isforzi biex ikejjel l-ossiġnu?")</f>
        <v>Liema oġġett ċelesti ħarab l-isforzi biex ikejjel l-ossiġnu?</v>
      </c>
    </row>
    <row r="8851" ht="15.75" customHeight="1">
      <c r="A8851" s="2" t="s">
        <v>8851</v>
      </c>
      <c r="B8851" s="2" t="str">
        <f>IFERROR(__xludf.DUMMYFUNCTION("GOOGLETRANSLATE(A8851, ""en"", ""mt"")"),"Liema direzzjoni hija l-fruntiera ta 'Colorado-Messiku?")</f>
        <v>Liema direzzjoni hija l-fruntiera ta 'Colorado-Messiku?</v>
      </c>
    </row>
    <row r="8852" ht="15.75" customHeight="1">
      <c r="A8852" s="2" t="s">
        <v>8852</v>
      </c>
      <c r="B8852" s="2" t="str">
        <f>IFERROR(__xludf.DUMMYFUNCTION("GOOGLETRANSLATE(A8852, ""en"", ""mt"")"),"X'inhi l-akbar belt marbuta direttament ma 'interstate?")</f>
        <v>X'inhi l-akbar belt marbuta direttament ma 'interstate?</v>
      </c>
    </row>
    <row r="8853" ht="15.75" customHeight="1">
      <c r="A8853" s="2" t="s">
        <v>8853</v>
      </c>
      <c r="B8853" s="2" t="str">
        <f>IFERROR(__xludf.DUMMYFUNCTION("GOOGLETRANSLATE(A8853, ""en"", ""mt"")"),"Fejn kien jokkupa r-Rhine waqt l-Oloken?")</f>
        <v>Fejn kien jokkupa r-Rhine waqt l-Oloken?</v>
      </c>
    </row>
    <row r="8854" ht="15.75" customHeight="1">
      <c r="A8854" s="2" t="s">
        <v>8854</v>
      </c>
      <c r="B8854" s="2" t="str">
        <f>IFERROR(__xludf.DUMMYFUNCTION("GOOGLETRANSLATE(A8854, ""en"", ""mt"")"),"Il-Ħamis")</f>
        <v>Il-Ħamis</v>
      </c>
    </row>
    <row r="8855" ht="15.75" customHeight="1">
      <c r="A8855" s="2" t="s">
        <v>8855</v>
      </c>
      <c r="B8855" s="2" t="str">
        <f>IFERROR(__xludf.DUMMYFUNCTION("GOOGLETRANSLATE(A8855, ""en"", ""mt"")"),"Kemm nies għal kull mil kwadru għexu fi Fresno fl-2010?")</f>
        <v>Kemm nies għal kull mil kwadru għexu fi Fresno fl-2010?</v>
      </c>
    </row>
    <row r="8856" ht="15.75" customHeight="1">
      <c r="A8856" s="2" t="s">
        <v>8856</v>
      </c>
      <c r="B8856" s="2" t="str">
        <f>IFERROR(__xludf.DUMMYFUNCTION("GOOGLETRANSLATE(A8856, ""en"", ""mt"")"),"In-netwerk ta ’swiċċjar tal-pakketti Cyclades kien netwerk ta’ riċerka Franċiż iddisinjat u dirett minn Louis Pouzin. L-ewwel muri fl-1973, ġie żviluppat biex jesplora alternattivi għad-disinn ta 'Arpanet bikri u biex jappoġġja r-riċerka tan-netwerk ġener"&amp;"alment. Kien l-ewwel netwerk li għamel lill-ospiti responsabbli għat-twassil ta 'data affidabbli, aktar milli n-netwerk innifsu, bl-użu ta' datagrammi mhux affidabbli u mekkaniżmi ta 'protokoll end-to-end assoċjati. Kunċetti ta 'dan in-netwerk influwenzaw"&amp;" aktar tard l-arkitettura ta' Arpanet.")</f>
        <v>In-netwerk ta ’swiċċjar tal-pakketti Cyclades kien netwerk ta’ riċerka Franċiż iddisinjat u dirett minn Louis Pouzin. L-ewwel muri fl-1973, ġie żviluppat biex jesplora alternattivi għad-disinn ta 'Arpanet bikri u biex jappoġġja r-riċerka tan-netwerk ġeneralment. Kien l-ewwel netwerk li għamel lill-ospiti responsabbli għat-twassil ta 'data affidabbli, aktar milli n-netwerk innifsu, bl-użu ta' datagrammi mhux affidabbli u mekkaniżmi ta 'protokoll end-to-end assoċjati. Kunċetti ta 'dan in-netwerk influwenzaw aktar tard l-arkitettura ta' Arpanet.</v>
      </c>
    </row>
    <row r="8857" ht="15.75" customHeight="1">
      <c r="A8857" s="2" t="s">
        <v>8857</v>
      </c>
      <c r="B8857" s="2" t="str">
        <f>IFERROR(__xludf.DUMMYFUNCTION("GOOGLETRANSLATE(A8857, ""en"", ""mt"")"),"Min kienu xjentisti intimidati minn?")</f>
        <v>Min kienu xjentisti intimidati minn?</v>
      </c>
    </row>
    <row r="8858" ht="15.75" customHeight="1">
      <c r="A8858" s="2" t="s">
        <v>8858</v>
      </c>
      <c r="B8858" s="2" t="str">
        <f>IFERROR(__xludf.DUMMYFUNCTION("GOOGLETRANSLATE(A8858, ""en"", ""mt"")"),"Kemm kibret fin-Nofsinhar tal-Kalifornja fis-sena 2000?")</f>
        <v>Kemm kibret fin-Nofsinhar tal-Kalifornja fis-sena 2000?</v>
      </c>
    </row>
    <row r="8859" ht="15.75" customHeight="1">
      <c r="A8859" s="2" t="s">
        <v>8859</v>
      </c>
      <c r="B8859" s="2" t="str">
        <f>IFERROR(__xludf.DUMMYFUNCTION("GOOGLETRANSLATE(A8859, ""en"", ""mt"")"),"Il-wiċċ ta 'barra jġorr ġeneralment tmien ringieli tal-moxt, imsejħa pjanċi tal-għawm, li jintużaw għall-għawm. Ir-ringieli huma orjentati biex jimxu minn ħdejn il-ħalq (l- ""arblu orali"") sat-tarf oppost (l- ""arblu aboral""), u huma spazjati ftit jew w"&amp;"isq indaqs madwar il-ġisem, għalkemm ix-xejriet tal-ispazjar ivarjaw skont l-ispeċi u f'ħafna mill-ispeċi Ir-ringieli tal-moxt jestendu biss parti mid-distanza mill-arblu aboral lejn il-ħalq. Il- ""pettnijiet"" (imsejħa wkoll ""ctenes"" jew ""pjanċi tal-m"&amp;"oxt"") jimxu madwar kull ringiela, u kull wieħed jikkonsisti f'eluf ta 'ċili mhux tas-soltu twal, sa 2 millimetri (0.079 in). B'differenza minn cilia konvenzjonali u flagella, li għandha struttura ta 'filament irranġata f'disinn ta' 9 + 2, dawn iċ-ċili hu"&amp;"ma rranġati f'disinn ta '9 + 3, fejn il-filament kompatt żejjed huwa suspettat li għandu funzjoni ta' sostenn. Dawn normalment jegħlbu sabiex il-puplesija tal-propulsjoni tkun 'il bogħod mill-ħalq, għalkemm jistgħu wkoll ibiddlu d-direzzjoni. Għalhekk cte"&amp;"nophores ġeneralment jgħumu fid-direzzjoni li fiha l-ħalq ikun qed jipponta, b'differenza mill-bram. Meta tipprova taħrab mill-predaturi, speċi waħda tista 'tħaffef għal sitt darbiet il-veloċità normali tagħha; Xi speċi oħra jdawru d-direzzjoni bħala part"&amp;"i mill-imġieba tal-ħarba tagħhom, billi jreġġgħu lura l-power puplesija tal-pjanċa tal-moxt.")</f>
        <v>Il-wiċċ ta 'barra jġorr ġeneralment tmien ringieli tal-moxt, imsejħa pjanċi tal-għawm, li jintużaw għall-għawm. Ir-ringieli huma orjentati biex jimxu minn ħdejn il-ħalq (l- "arblu orali") sat-tarf oppost (l- "arblu aboral"), u huma spazjati ftit jew wisq indaqs madwar il-ġisem, għalkemm ix-xejriet tal-ispazjar ivarjaw skont l-ispeċi u f'ħafna mill-ispeċi Ir-ringieli tal-moxt jestendu biss parti mid-distanza mill-arblu aboral lejn il-ħalq. Il- "pettnijiet" (imsejħa wkoll "ctenes" jew "pjanċi tal-moxt") jimxu madwar kull ringiela, u kull wieħed jikkonsisti f'eluf ta 'ċili mhux tas-soltu twal, sa 2 millimetri (0.079 in). B'differenza minn cilia konvenzjonali u flagella, li għandha struttura ta 'filament irranġata f'disinn ta' 9 + 2, dawn iċ-ċili huma rranġati f'disinn ta '9 + 3, fejn il-filament kompatt żejjed huwa suspettat li għandu funzjoni ta' sostenn. Dawn normalment jegħlbu sabiex il-puplesija tal-propulsjoni tkun 'il bogħod mill-ħalq, għalkemm jistgħu wkoll ibiddlu d-direzzjoni. Għalhekk ctenophores ġeneralment jgħumu fid-direzzjoni li fiha l-ħalq ikun qed jipponta, b'differenza mill-bram. Meta tipprova taħrab mill-predaturi, speċi waħda tista 'tħaffef għal sitt darbiet il-veloċità normali tagħha; Xi speċi oħra jdawru d-direzzjoni bħala parti mill-imġieba tal-ħarba tagħhom, billi jreġġgħu lura l-power puplesija tal-pjanċa tal-moxt.</v>
      </c>
    </row>
    <row r="8860" ht="15.75" customHeight="1">
      <c r="A8860" s="2" t="s">
        <v>8860</v>
      </c>
      <c r="B8860" s="2" t="str">
        <f>IFERROR(__xludf.DUMMYFUNCTION("GOOGLETRANSLATE(A8860, ""en"", ""mt"")"),"permezz tal-pori fl-epidermide")</f>
        <v>permezz tal-pori fl-epidermide</v>
      </c>
    </row>
    <row r="8861" ht="15.75" customHeight="1">
      <c r="A8861" s="2" t="s">
        <v>8861</v>
      </c>
      <c r="B8861" s="2" t="str">
        <f>IFERROR(__xludf.DUMMYFUNCTION("GOOGLETRANSLATE(A8861, ""en"", ""mt"")"),"Il-Lag Constance jifred il-Bavarja tal-Istat Ġermaniż minn liema waħda oħra?")</f>
        <v>Il-Lag Constance jifred il-Bavarja tal-Istat Ġermaniż minn liema waħda oħra?</v>
      </c>
    </row>
    <row r="8862" ht="15.75" customHeight="1">
      <c r="A8862" s="2" t="s">
        <v>8862</v>
      </c>
      <c r="B8862" s="2" t="str">
        <f>IFERROR(__xludf.DUMMYFUNCTION("GOOGLETRANSLATE(A8862, ""en"", ""mt"")"),"il-qerda ta ’Iżrael")</f>
        <v>il-qerda ta ’Iżrael</v>
      </c>
    </row>
    <row r="8863" ht="15.75" customHeight="1">
      <c r="A8863" s="2" t="s">
        <v>8863</v>
      </c>
      <c r="B8863" s="2" t="str">
        <f>IFERROR(__xludf.DUMMYFUNCTION("GOOGLETRANSLATE(A8863, ""en"", ""mt"")"),"Liema persentaġġ ta 'assi globali għandu l-aktar sinjuri 10% tan-nies?")</f>
        <v>Liema persentaġġ ta 'assi globali għandu l-aktar sinjuri 10% tan-nies?</v>
      </c>
    </row>
    <row r="8864" ht="15.75" customHeight="1">
      <c r="A8864" s="2" t="s">
        <v>8864</v>
      </c>
      <c r="B8864" s="2" t="str">
        <f>IFERROR(__xludf.DUMMYFUNCTION("GOOGLETRANSLATE(A8864, ""en"", ""mt"")"),"Paul Baran żviluppa blokka ta 'messaġġi adattivi mqassma li qalbu bl-għan li jimmonetizzawh?")</f>
        <v>Paul Baran żviluppa blokka ta 'messaġġi adattivi mqassma li qalbu bl-għan li jimmonetizzawh?</v>
      </c>
    </row>
    <row r="8865" ht="15.75" customHeight="1">
      <c r="A8865" s="2" t="s">
        <v>8865</v>
      </c>
      <c r="B8865" s="2" t="str">
        <f>IFERROR(__xludf.DUMMYFUNCTION("GOOGLETRANSLATE(A8865, ""en"", ""mt"")"),"X'inhu l-isem sħiħ tal-ASER?")</f>
        <v>X'inhu l-isem sħiħ tal-ASER?</v>
      </c>
    </row>
    <row r="8866" ht="15.75" customHeight="1">
      <c r="A8866" s="2" t="s">
        <v>8866</v>
      </c>
      <c r="B8866" s="2" t="str">
        <f>IFERROR(__xludf.DUMMYFUNCTION("GOOGLETRANSLATE(A8866, ""en"", ""mt"")"),"Meta jkun hemm ħafna ħaddiema li jikkompetu għal ftit impjiegi meqjusa bħala?")</f>
        <v>Meta jkun hemm ħafna ħaddiema li jikkompetu għal ftit impjiegi meqjusa bħala?</v>
      </c>
    </row>
    <row r="8867" ht="15.75" customHeight="1">
      <c r="A8867" s="2" t="s">
        <v>8867</v>
      </c>
      <c r="B8867" s="2" t="str">
        <f>IFERROR(__xludf.DUMMYFUNCTION("GOOGLETRANSLATE(A8867, ""en"", ""mt"")"),"Field Stagg")</f>
        <v>Field Stagg</v>
      </c>
    </row>
    <row r="8868" ht="15.75" customHeight="1">
      <c r="A8868" s="2" t="s">
        <v>8868</v>
      </c>
      <c r="B8868" s="2" t="str">
        <f>IFERROR(__xludf.DUMMYFUNCTION("GOOGLETRANSLATE(A8868, ""en"", ""mt"")"),"Każ sempliċi ta 'ekwilibriju dinamiku jseħħ f'moviment ta' veloċità kostanti f'wiċċ bi frizzjoni kinetika. F'sitwazzjoni bħal din, forza hija applikata fid-direzzjoni tal-moviment filwaqt li l-forza ta 'frizzjoni kinetika topponi eżattament il-forza appli"&amp;"kata. Dan jirriżulta f'forza netta żero, iżda peress li l-oġġett beda b'veloċità mhux żero, huwa jkompli jimxi b'veloċità mhux żero. Aristotile interpreta ħażin din il-mozzjoni bħala kkawżata mill-forza applikata. Madankollu, meta l-frizzjoni kinetika tit"&amp;"qies, huwa ċar li m'hemm l-ebda forza netta li tikkawża moviment ta 'veloċità kostanti.")</f>
        <v>Każ sempliċi ta 'ekwilibriju dinamiku jseħħ f'moviment ta' veloċità kostanti f'wiċċ bi frizzjoni kinetika. F'sitwazzjoni bħal din, forza hija applikata fid-direzzjoni tal-moviment filwaqt li l-forza ta 'frizzjoni kinetika topponi eżattament il-forza applikata. Dan jirriżulta f'forza netta żero, iżda peress li l-oġġett beda b'veloċità mhux żero, huwa jkompli jimxi b'veloċità mhux żero. Aristotile interpreta ħażin din il-mozzjoni bħala kkawżata mill-forza applikata. Madankollu, meta l-frizzjoni kinetika titqies, huwa ċar li m'hemm l-ebda forza netta li tikkawża moviment ta 'veloċità kostanti.</v>
      </c>
    </row>
    <row r="8869" ht="15.75" customHeight="1">
      <c r="A8869" s="2" t="s">
        <v>8869</v>
      </c>
      <c r="B8869" s="2" t="str">
        <f>IFERROR(__xludf.DUMMYFUNCTION("GOOGLETRANSLATE(A8869, ""en"", ""mt"")"),"Kif tissejjaħ l-aħħar belt ewlenija fin-nixxiegħa tar-Renu?")</f>
        <v>Kif tissejjaħ l-aħħar belt ewlenija fin-nixxiegħa tar-Renu?</v>
      </c>
    </row>
    <row r="8870" ht="15.75" customHeight="1">
      <c r="A8870" s="2" t="s">
        <v>8870</v>
      </c>
      <c r="B8870" s="2" t="str">
        <f>IFERROR(__xludf.DUMMYFUNCTION("GOOGLETRANSLATE(A8870, ""en"", ""mt"")"),"Liema programm ta 'dottorat ġie offrut mill-1996?")</f>
        <v>Liema programm ta 'dottorat ġie offrut mill-1996?</v>
      </c>
    </row>
    <row r="8871" ht="15.75" customHeight="1">
      <c r="A8871" s="2" t="s">
        <v>8871</v>
      </c>
      <c r="B8871" s="2" t="str">
        <f>IFERROR(__xludf.DUMMYFUNCTION("GOOGLETRANSLATE(A8871, ""en"", ""mt"")"),"It-tossiċità tal-ossiġnu għall-pulmuni u s-sistema nervuża ċentrali tista 'sseħħ ukoll fl-għadis fil-fond u fl-għadis tal-wiċċ fornut. Nifs fit-tul ta 'taħlita ta' l-arja b'o
2 pressjoni parzjali aktar minn 60 kPa jistgħu eventwalment iwasslu għal fibrożi"&amp;" pulmonari permanenti. Espożizzjoni għal o
2 pressjonijiet parzjali akbar minn 160 kPa (madwar 1.6 atm) jistgħu jwasslu għal konvulżjonijiet (normalment fatali għall-għaddasa). Tossiċità akuta ta 'ossiġnu (li tikkawża aċċessjonijiet, l-iktar effett tal-bi"&amp;"ża' tagħha għall-għaddasa) jista 'jseħħ billi tieħu n-nifs ta' taħlita ta 'l-arja b'21% o
2 f'66 m jew aktar ta 'fond; L-istess ħaġa tista 'sseħħ billi tieħu n-nifs 100% o
2 f'6 m.")</f>
        <v>It-tossiċità tal-ossiġnu għall-pulmuni u s-sistema nervuża ċentrali tista 'sseħħ ukoll fl-għadis fil-fond u fl-għadis tal-wiċċ fornut. Nifs fit-tul ta 'taħlita ta' l-arja b'o
2 pressjoni parzjali aktar minn 60 kPa jistgħu eventwalment iwasslu għal fibrożi pulmonari permanenti. Espożizzjoni għal o
2 pressjonijiet parzjali akbar minn 160 kPa (madwar 1.6 atm) jistgħu jwasslu għal konvulżjonijiet (normalment fatali għall-għaddasa). Tossiċità akuta ta 'ossiġnu (li tikkawża aċċessjonijiet, l-iktar effett tal-biża' tagħha għall-għaddasa) jista 'jseħħ billi tieħu n-nifs ta' taħlita ta 'l-arja b'21% o
2 f'66 m jew aktar ta 'fond; L-istess ħaġa tista 'sseħħ billi tieħu n-nifs 100% o
2 f'6 m.</v>
      </c>
    </row>
    <row r="8872" ht="15.75" customHeight="1">
      <c r="A8872" s="2" t="s">
        <v>8872</v>
      </c>
      <c r="B8872" s="2" t="str">
        <f>IFERROR(__xludf.DUMMYFUNCTION("GOOGLETRANSLATE(A8872, ""en"", ""mt"")"),"Parlament tar-Renju Unit f'Westminster")</f>
        <v>Parlament tar-Renju Unit f'Westminster</v>
      </c>
    </row>
    <row r="8873" ht="15.75" customHeight="1">
      <c r="A8873" s="2" t="s">
        <v>8873</v>
      </c>
      <c r="B8873" s="2" t="str">
        <f>IFERROR(__xludf.DUMMYFUNCTION("GOOGLETRANSLATE(A8873, ""en"", ""mt"")"),"proċess mhux magħruf")</f>
        <v>proċess mhux magħruf</v>
      </c>
    </row>
    <row r="8874" ht="15.75" customHeight="1">
      <c r="A8874" s="2" t="s">
        <v>8874</v>
      </c>
      <c r="B8874" s="2" t="str">
        <f>IFERROR(__xludf.DUMMYFUNCTION("GOOGLETRANSLATE(A8874, ""en"", ""mt"")"),"X'evidenza bejn u fost klassijiet ta 'kumplessità tista' tfisser l-ilma teoretiku għat-teorija tal-kumplessità?")</f>
        <v>X'evidenza bejn u fost klassijiet ta 'kumplessità tista' tfisser l-ilma teoretiku għat-teorija tal-kumplessità?</v>
      </c>
    </row>
    <row r="8875" ht="15.75" customHeight="1">
      <c r="A8875" s="2" t="s">
        <v>8875</v>
      </c>
      <c r="B8875" s="2" t="str">
        <f>IFERROR(__xludf.DUMMYFUNCTION("GOOGLETRANSLATE(A8875, ""en"", ""mt"")"),"1523")</f>
        <v>1523</v>
      </c>
    </row>
    <row r="8876" ht="15.75" customHeight="1">
      <c r="A8876" s="2" t="s">
        <v>8876</v>
      </c>
      <c r="B8876" s="2" t="str">
        <f>IFERROR(__xludf.DUMMYFUNCTION("GOOGLETRANSLATE(A8876, ""en"", ""mt"")"),"Il-friefet il-lejl tal-vampire fil-fatt ma jinfirxux xiex?")</f>
        <v>Il-friefet il-lejl tal-vampire fil-fatt ma jinfirxux xiex?</v>
      </c>
    </row>
    <row r="8877" ht="15.75" customHeight="1">
      <c r="A8877" s="2" t="s">
        <v>8877</v>
      </c>
      <c r="B8877" s="2" t="str">
        <f>IFERROR(__xludf.DUMMYFUNCTION("GOOGLETRANSLATE(A8877, ""en"", ""mt"")"),"Ir-Re attwali ta 'Thebes, li qed jipprova jwaqqafha milli tagħti lil ħuha Polynices dfin xieraq")</f>
        <v>Ir-Re attwali ta 'Thebes, li qed jipprova jwaqqafha milli tagħti lil ħuha Polynices dfin xieraq</v>
      </c>
    </row>
    <row r="8878" ht="15.75" customHeight="1">
      <c r="A8878" s="2" t="s">
        <v>8878</v>
      </c>
      <c r="B8878" s="2" t="str">
        <f>IFERROR(__xludf.DUMMYFUNCTION("GOOGLETRANSLATE(A8878, ""en"", ""mt"")"),"madwar 50 sena")</f>
        <v>madwar 50 sena</v>
      </c>
    </row>
    <row r="8879" ht="15.75" customHeight="1">
      <c r="A8879" s="2" t="s">
        <v>8879</v>
      </c>
      <c r="B8879" s="2" t="str">
        <f>IFERROR(__xludf.DUMMYFUNCTION("GOOGLETRANSLATE(A8879, ""en"", ""mt"")"),"Meta l-università laħqet il-ħelu sbatax?")</f>
        <v>Meta l-università laħqet il-ħelu sbatax?</v>
      </c>
    </row>
    <row r="8880" ht="15.75" customHeight="1">
      <c r="A8880" s="2" t="s">
        <v>8880</v>
      </c>
      <c r="B8880" s="2" t="str">
        <f>IFERROR(__xludf.DUMMYFUNCTION("GOOGLETRANSLATE(A8880, ""en"", ""mt"")"),"Meta ġie ppubblikat l-istudju dwar il-ġenomi Y sekwenzjati?")</f>
        <v>Meta ġie ppubblikat l-istudju dwar il-ġenomi Y sekwenzjati?</v>
      </c>
    </row>
    <row r="8881" ht="15.75" customHeight="1">
      <c r="A8881" s="2" t="s">
        <v>8881</v>
      </c>
      <c r="B8881" s="2" t="str">
        <f>IFERROR(__xludf.DUMMYFUNCTION("GOOGLETRANSLATE(A8881, ""en"", ""mt"")"),"F'liema proċess hemm bżonn l-assorbiment mill-ossiġnu?")</f>
        <v>F'liema proċess hemm bżonn l-assorbiment mill-ossiġnu?</v>
      </c>
    </row>
    <row r="8882" ht="15.75" customHeight="1">
      <c r="A8882" s="2" t="s">
        <v>8882</v>
      </c>
      <c r="B8882" s="2" t="str">
        <f>IFERROR(__xludf.DUMMYFUNCTION("GOOGLETRANSLATE(A8882, ""en"", ""mt"")"),"Kemm ir-rwoli għandhom it-tipi ta 'ċellula B?")</f>
        <v>Kemm ir-rwoli għandhom it-tipi ta 'ċellula B?</v>
      </c>
    </row>
    <row r="8883" ht="15.75" customHeight="1">
      <c r="A8883" s="2" t="s">
        <v>8883</v>
      </c>
      <c r="B8883" s="2" t="str">
        <f>IFERROR(__xludf.DUMMYFUNCTION("GOOGLETRANSLATE(A8883, ""en"", ""mt"")"),"Harvard għandu l-akbar dotazzjoni universitarja fid-dinja. Minn Settembru 2011 [aġġornament], kien kważi reġa ’kiseb it-telf li ġarrab matul ir-riċessjoni tal-2008. Kien jiswa $ 32 biljun fl-2011, sa minn $ 28 biljun f'Settembru 2010 u $ 26 biljun fl-2009"&amp;". Dan sofra telf ta 'madwar 30% fl-2008-09. F'Diċembru 2008, Harvard ħabbar li d-dotazzjoni tagħha kienet tilfet 22% (madwar $ 8 biljun) minn Lulju sa Ottubru 2008, li kien jeħtieġ tnaqqis fil-baġit. Rapporti aktar tard jissuġġerixxu li t-telf kien fil-fa"&amp;"tt aktar mid-doppju ta 'dik iċ-ċifra, tnaqqis ta' kważi 50% tad-dotazzjoni tiegħu fl-ewwel erba 'xhur biss. Forbes f'Marzu 2009 stima li t-telf ikun fil-medda ta '$ 12-il biljun. Wieħed mir-riżultati l-aktar viżibbli tat-tentattiv ta 'Harvard biex jibbila"&amp;"nċja mill-ġdid il-baġit tiegħu kien it-twaqqif tagħhom tal-kostruzzjoni tal-kumpless tax-xjenza ta' $ 1.2 biljun li kien skedat li jitlesta sal-2011, li rriżulta fi protesti mir-residenti lokali. Mill-2012 [aġġornament], l-Università ta ’Harvard kellha ri"&amp;"żerva ta’ għajnuna finanzjarja totali ta ’$ 159 miljun għall-istudenti, u riżerva ta’ għotja Pell ta ’$ 4.093 miljun disponibbli għall-ħruġ.")</f>
        <v>Harvard għandu l-akbar dotazzjoni universitarja fid-dinja. Minn Settembru 2011 [aġġornament], kien kważi reġa ’kiseb it-telf li ġarrab matul ir-riċessjoni tal-2008. Kien jiswa $ 32 biljun fl-2011, sa minn $ 28 biljun f'Settembru 2010 u $ 26 biljun fl-2009. Dan sofra telf ta 'madwar 30% fl-2008-09. F'Diċembru 2008, Harvard ħabbar li d-dotazzjoni tagħha kienet tilfet 22% (madwar $ 8 biljun) minn Lulju sa Ottubru 2008, li kien jeħtieġ tnaqqis fil-baġit. Rapporti aktar tard jissuġġerixxu li t-telf kien fil-fatt aktar mid-doppju ta 'dik iċ-ċifra, tnaqqis ta' kważi 50% tad-dotazzjoni tiegħu fl-ewwel erba 'xhur biss. Forbes f'Marzu 2009 stima li t-telf ikun fil-medda ta '$ 12-il biljun. Wieħed mir-riżultati l-aktar viżibbli tat-tentattiv ta 'Harvard biex jibbilanċja mill-ġdid il-baġit tiegħu kien it-twaqqif tagħhom tal-kostruzzjoni tal-kumpless tax-xjenza ta' $ 1.2 biljun li kien skedat li jitlesta sal-2011, li rriżulta fi protesti mir-residenti lokali. Mill-2012 [aġġornament], l-Università ta ’Harvard kellha riżerva ta’ għajnuna finanzjarja totali ta ’$ 159 miljun għall-istudenti, u riżerva ta’ għotja Pell ta ’$ 4.093 miljun disponibbli għall-ħruġ.</v>
      </c>
    </row>
    <row r="8884" ht="15.75" customHeight="1">
      <c r="A8884" s="2" t="s">
        <v>8884</v>
      </c>
      <c r="B8884" s="2" t="str">
        <f>IFERROR(__xludf.DUMMYFUNCTION("GOOGLETRANSLATE(A8884, ""en"", ""mt"")"),"Tanaghrisson")</f>
        <v>Tanaghrisson</v>
      </c>
    </row>
    <row r="8885" ht="15.75" customHeight="1">
      <c r="A8885" s="2" t="s">
        <v>8885</v>
      </c>
      <c r="B8885" s="2" t="str">
        <f>IFERROR(__xludf.DUMMYFUNCTION("GOOGLETRANSLATE(A8885, ""en"", ""mt"")"),"X'għandu tul ta 'bond ta' 498 kJ · mol - 1?")</f>
        <v>X'għandu tul ta 'bond ta' 498 kJ · mol - 1?</v>
      </c>
    </row>
    <row r="8886" ht="15.75" customHeight="1">
      <c r="A8886" s="2" t="s">
        <v>8886</v>
      </c>
      <c r="B8886" s="2" t="str">
        <f>IFERROR(__xludf.DUMMYFUNCTION("GOOGLETRANSLATE(A8886, ""en"", ""mt"")"),"tul il-fruntieri")</f>
        <v>tul il-fruntieri</v>
      </c>
    </row>
    <row r="8887" ht="15.75" customHeight="1">
      <c r="A8887" s="2" t="s">
        <v>8887</v>
      </c>
      <c r="B8887" s="2" t="str">
        <f>IFERROR(__xludf.DUMMYFUNCTION("GOOGLETRANSLATE(A8887, ""en"", ""mt"")"),"Dubbidjenza ċivili mhux vjolenti")</f>
        <v>Dubbidjenza ċivili mhux vjolenti</v>
      </c>
    </row>
    <row r="8888" ht="15.75" customHeight="1">
      <c r="A8888" s="2" t="s">
        <v>8888</v>
      </c>
      <c r="B8888" s="2" t="str">
        <f>IFERROR(__xludf.DUMMYFUNCTION("GOOGLETRANSLATE(A8888, ""en"", ""mt"")"),"Liema metodu jintuża għall-voti li jqabbdu fit-tieni vot tal-votazzjoni?")</f>
        <v>Liema metodu jintuża għall-voti li jqabbdu fit-tieni vot tal-votazzjoni?</v>
      </c>
    </row>
    <row r="8889" ht="15.75" customHeight="1">
      <c r="A8889" s="2" t="s">
        <v>8889</v>
      </c>
      <c r="B8889" s="2" t="str">
        <f>IFERROR(__xludf.DUMMYFUNCTION("GOOGLETRANSLATE(A8889, ""en"", ""mt"")"),"X'inhu PPP?")</f>
        <v>X'inhu PPP?</v>
      </c>
    </row>
    <row r="8890" ht="15.75" customHeight="1">
      <c r="A8890" s="2" t="s">
        <v>8890</v>
      </c>
      <c r="B8890" s="2" t="str">
        <f>IFERROR(__xludf.DUMMYFUNCTION("GOOGLETRANSLATE(A8890, ""en"", ""mt"")"),"tilħaq l-ogħla post fil-gvern")</f>
        <v>tilħaq l-ogħla post fil-gvern</v>
      </c>
    </row>
    <row r="8891" ht="15.75" customHeight="1">
      <c r="A8891" s="2" t="s">
        <v>8891</v>
      </c>
      <c r="B8891" s="2" t="str">
        <f>IFERROR(__xludf.DUMMYFUNCTION("GOOGLETRANSLATE(A8891, ""en"", ""mt"")"),"X'inhi università oħra notevoli fl-UNESCO wara l-Università ta 'Varsavja?")</f>
        <v>X'inhi università oħra notevoli fl-UNESCO wara l-Università ta 'Varsavja?</v>
      </c>
    </row>
    <row r="8892" ht="15.75" customHeight="1">
      <c r="A8892" s="2" t="s">
        <v>8892</v>
      </c>
      <c r="B8892" s="2" t="str">
        <f>IFERROR(__xludf.DUMMYFUNCTION("GOOGLETRANSLATE(A8892, ""en"", ""mt"")"),"Min jattendi Loreto Normanhurst?")</f>
        <v>Min jattendi Loreto Normanhurst?</v>
      </c>
    </row>
    <row r="8893" ht="15.75" customHeight="1">
      <c r="A8893" s="2" t="s">
        <v>8893</v>
      </c>
      <c r="B8893" s="2" t="str">
        <f>IFERROR(__xludf.DUMMYFUNCTION("GOOGLETRANSLATE(A8893, ""en"", ""mt"")"),"Ir-Reġina Eliżabetta Ftaħt il-bini l-ġdid tal-Parlament Skoċċiż fuq liema data?")</f>
        <v>Ir-Reġina Eliżabetta Ftaħt il-bini l-ġdid tal-Parlament Skoċċiż fuq liema data?</v>
      </c>
    </row>
    <row r="8894" ht="15.75" customHeight="1">
      <c r="A8894" s="2" t="s">
        <v>8894</v>
      </c>
      <c r="B8894" s="2" t="str">
        <f>IFERROR(__xludf.DUMMYFUNCTION("GOOGLETRANSLATE(A8894, ""en"", ""mt"")"),"X'jiġri mill-ferroviji fl-ewwel tip ta 'kompost Vauclain?")</f>
        <v>X'jiġri mill-ferroviji fl-ewwel tip ta 'kompost Vauclain?</v>
      </c>
    </row>
    <row r="8895" ht="15.75" customHeight="1">
      <c r="A8895" s="2" t="s">
        <v>8895</v>
      </c>
      <c r="B8895" s="2" t="str">
        <f>IFERROR(__xludf.DUMMYFUNCTION("GOOGLETRANSLATE(A8895, ""en"", ""mt"")"),"il-gvern tar-Renju Unit")</f>
        <v>il-gvern tar-Renju Unit</v>
      </c>
    </row>
    <row r="8896" ht="15.75" customHeight="1">
      <c r="A8896" s="2" t="s">
        <v>8896</v>
      </c>
      <c r="B8896" s="2" t="str">
        <f>IFERROR(__xludf.DUMMYFUNCTION("GOOGLETRANSLATE(A8896, ""en"", ""mt"")"),"kondensatur separat")</f>
        <v>kondensatur separat</v>
      </c>
    </row>
    <row r="8897" ht="15.75" customHeight="1">
      <c r="A8897" s="2" t="s">
        <v>8897</v>
      </c>
      <c r="B8897" s="2" t="str">
        <f>IFERROR(__xludf.DUMMYFUNCTION("GOOGLETRANSLATE(A8897, ""en"", ""mt"")"),"X'inhu sottożin?")</f>
        <v>X'inhu sottożin?</v>
      </c>
    </row>
    <row r="8898" ht="15.75" customHeight="1">
      <c r="A8898" s="2" t="s">
        <v>8898</v>
      </c>
      <c r="B8898" s="2" t="str">
        <f>IFERROR(__xludf.DUMMYFUNCTION("GOOGLETRANSLATE(A8898, ""en"", ""mt"")"),"Dwar kemm metri kubiċi ta 'ilma tal-make-up jintuża minn impjant ta' enerġija li jaħdem bl-ilma ta '700 megawatt għal tkessiħ evaporattiv kull siegħa?")</f>
        <v>Dwar kemm metri kubiċi ta 'ilma tal-make-up jintuża minn impjant ta' enerġija li jaħdem bl-ilma ta '700 megawatt għal tkessiħ evaporattiv kull siegħa?</v>
      </c>
    </row>
    <row r="8899" ht="15.75" customHeight="1">
      <c r="A8899" s="2" t="s">
        <v>8899</v>
      </c>
      <c r="B8899" s="2" t="str">
        <f>IFERROR(__xludf.DUMMYFUNCTION("GOOGLETRANSLATE(A8899, ""en"", ""mt"")"),"F'liema każijiet l-UE ma tistax twarrab il-liġi Ġermaniża?")</f>
        <v>F'liema każijiet l-UE ma tistax twarrab il-liġi Ġermaniża?</v>
      </c>
    </row>
    <row r="8900" ht="15.75" customHeight="1">
      <c r="A8900" s="2" t="s">
        <v>8900</v>
      </c>
      <c r="B8900" s="2" t="str">
        <f>IFERROR(__xludf.DUMMYFUNCTION("GOOGLETRANSLATE(A8900, ""en"", ""mt"")"),"Liema professjoni kienet Nathan Alterman?")</f>
        <v>Liema professjoni kienet Nathan Alterman?</v>
      </c>
    </row>
    <row r="8901" ht="15.75" customHeight="1">
      <c r="A8901" s="2" t="s">
        <v>8901</v>
      </c>
      <c r="B8901" s="2" t="str">
        <f>IFERROR(__xludf.DUMMYFUNCTION("GOOGLETRANSLATE(A8901, ""en"", ""mt"")"),"Gandhi spiss irrefera l-poeżija ta 'Shelley fl-isforzi tiegħu biex jagħmel xiex?")</f>
        <v>Gandhi spiss irrefera l-poeżija ta 'Shelley fl-isforzi tiegħu biex jagħmel xiex?</v>
      </c>
    </row>
    <row r="8902" ht="15.75" customHeight="1">
      <c r="A8902" s="2" t="s">
        <v>8902</v>
      </c>
      <c r="B8902" s="2" t="str">
        <f>IFERROR(__xludf.DUMMYFUNCTION("GOOGLETRANSLATE(A8902, ""en"", ""mt"")"),"spazju vojt")</f>
        <v>spazju vojt</v>
      </c>
    </row>
    <row r="8903" ht="15.75" customHeight="1">
      <c r="A8903" s="2" t="s">
        <v>8903</v>
      </c>
      <c r="B8903" s="2" t="str">
        <f>IFERROR(__xludf.DUMMYFUNCTION("GOOGLETRANSLATE(A8903, ""en"", ""mt"")"),"Min ħakem Ċipru fis-seklu 11?")</f>
        <v>Min ħakem Ċipru fis-seklu 11?</v>
      </c>
    </row>
    <row r="8904" ht="15.75" customHeight="1">
      <c r="A8904" s="2" t="s">
        <v>8904</v>
      </c>
      <c r="B8904" s="2" t="str">
        <f>IFERROR(__xludf.DUMMYFUNCTION("GOOGLETRANSLATE(A8904, ""en"", ""mt"")"),"Dak li kien Austpac")</f>
        <v>Dak li kien Austpac</v>
      </c>
    </row>
    <row r="8905" ht="15.75" customHeight="1">
      <c r="A8905" s="2" t="s">
        <v>8905</v>
      </c>
      <c r="B8905" s="2" t="str">
        <f>IFERROR(__xludf.DUMMYFUNCTION("GOOGLETRANSLATE(A8905, ""en"", ""mt"")"),"ribelljoni Iżlamika kontra reġim Marxista Allejat")</f>
        <v>ribelljoni Iżlamika kontra reġim Marxista Allejat</v>
      </c>
    </row>
    <row r="8906" ht="15.75" customHeight="1">
      <c r="A8906" s="2" t="s">
        <v>8906</v>
      </c>
      <c r="B8906" s="2" t="str">
        <f>IFERROR(__xludf.DUMMYFUNCTION("GOOGLETRANSLATE(A8906, ""en"", ""mt"")"),"Liema astronomu huwa alumni tal-kodiċi tal-hamming?")</f>
        <v>Liema astronomu huwa alumni tal-kodiċi tal-hamming?</v>
      </c>
    </row>
    <row r="8907" ht="15.75" customHeight="1">
      <c r="A8907" s="2" t="s">
        <v>8907</v>
      </c>
      <c r="B8907" s="2" t="str">
        <f>IFERROR(__xludf.DUMMYFUNCTION("GOOGLETRANSLATE(A8907, ""en"", ""mt"")"),"Fuq in-naħa tal-punent")</f>
        <v>Fuq in-naħa tal-punent</v>
      </c>
    </row>
    <row r="8908" ht="15.75" customHeight="1">
      <c r="A8908" s="2" t="s">
        <v>8908</v>
      </c>
      <c r="B8908" s="2" t="str">
        <f>IFERROR(__xludf.DUMMYFUNCTION("GOOGLETRANSLATE(A8908, ""en"", ""mt"")"),"F’liema għaxar snin ġie skopert il-baħar tal-baħar?")</f>
        <v>F’liema għaxar snin ġie skopert il-baħar tal-baħar?</v>
      </c>
    </row>
    <row r="8909" ht="15.75" customHeight="1">
      <c r="A8909" s="2" t="s">
        <v>8909</v>
      </c>
      <c r="B8909" s="2" t="str">
        <f>IFERROR(__xludf.DUMMYFUNCTION("GOOGLETRANSLATE(A8909, ""en"", ""mt"")"),"X'kienu l-ewwel żewġ destinazzjonijiet ta 'Huguenot Emigres?")</f>
        <v>X'kienu l-ewwel żewġ destinazzjonijiet ta 'Huguenot Emigres?</v>
      </c>
    </row>
    <row r="8910" ht="15.75" customHeight="1">
      <c r="A8910" s="2" t="s">
        <v>8910</v>
      </c>
      <c r="B8910" s="2" t="str">
        <f>IFERROR(__xludf.DUMMYFUNCTION("GOOGLETRANSLATE(A8910, ""en"", ""mt"")"),"Iż-żejt il-qadim kif affettwa lis-sewwieqa f'ħafna pajjiżi?")</f>
        <v>Iż-żejt il-qadim kif affettwa lis-sewwieqa f'ħafna pajjiżi?</v>
      </c>
    </row>
    <row r="8911" ht="15.75" customHeight="1">
      <c r="A8911" s="2" t="s">
        <v>8911</v>
      </c>
      <c r="B8911" s="2" t="str">
        <f>IFERROR(__xludf.DUMMYFUNCTION("GOOGLETRANSLATE(A8911, ""en"", ""mt"")"),"ARPA IPTO Direttur Larry Roberts")</f>
        <v>ARPA IPTO Direttur Larry Roberts</v>
      </c>
    </row>
    <row r="8912" ht="15.75" customHeight="1">
      <c r="A8912" s="2" t="s">
        <v>8912</v>
      </c>
      <c r="B8912" s="2" t="str">
        <f>IFERROR(__xludf.DUMMYFUNCTION("GOOGLETRANSLATE(A8912, ""en"", ""mt"")"),"X'għandha l-Pleurobrachia fuq in-naħat opposti ta 'ġisimha?")</f>
        <v>X'għandha l-Pleurobrachia fuq in-naħat opposti ta 'ġisimha?</v>
      </c>
    </row>
    <row r="8913" ht="15.75" customHeight="1">
      <c r="A8913" s="2" t="s">
        <v>8913</v>
      </c>
      <c r="B8913" s="2" t="str">
        <f>IFERROR(__xludf.DUMMYFUNCTION("GOOGLETRANSLATE(A8913, ""en"", ""mt"")"),"pajjiż jieħu kontroll fiżiku ta 'ieħor")</f>
        <v>pajjiż jieħu kontroll fiżiku ta 'ieħor</v>
      </c>
    </row>
    <row r="8914" ht="15.75" customHeight="1">
      <c r="A8914" s="2" t="s">
        <v>8914</v>
      </c>
      <c r="B8914" s="2" t="str">
        <f>IFERROR(__xludf.DUMMYFUNCTION("GOOGLETRANSLATE(A8914, ""en"", ""mt"")"),"Kemm kumpaniji ġew elenkati fil-WSE f'Awwissu 2009?")</f>
        <v>Kemm kumpaniji ġew elenkati fil-WSE f'Awwissu 2009?</v>
      </c>
    </row>
    <row r="8915" ht="15.75" customHeight="1">
      <c r="A8915" s="2" t="s">
        <v>8915</v>
      </c>
      <c r="B8915" s="2" t="str">
        <f>IFERROR(__xludf.DUMMYFUNCTION("GOOGLETRANSLATE(A8915, ""en"", ""mt"")"),"Għaliex hija evitata r-regola tal-maġġoranza?")</f>
        <v>Għaliex hija evitata r-regola tal-maġġoranza?</v>
      </c>
    </row>
    <row r="8916" ht="15.75" customHeight="1">
      <c r="A8916" s="2" t="s">
        <v>8916</v>
      </c>
      <c r="B8916" s="2" t="str">
        <f>IFERROR(__xludf.DUMMYFUNCTION("GOOGLETRANSLATE(A8916, ""en"", ""mt"")"),"Aħżen u Qalb Quddiem")</f>
        <v>Aħżen u Qalb Quddiem</v>
      </c>
    </row>
    <row r="8917" ht="15.75" customHeight="1">
      <c r="A8917" s="2" t="s">
        <v>8917</v>
      </c>
      <c r="B8917" s="2" t="str">
        <f>IFERROR(__xludf.DUMMYFUNCTION("GOOGLETRANSLATE(A8917, ""en"", ""mt"")"),"21")</f>
        <v>21</v>
      </c>
    </row>
    <row r="8918" ht="15.75" customHeight="1">
      <c r="A8918" s="2" t="s">
        <v>8918</v>
      </c>
      <c r="B8918" s="2" t="str">
        <f>IFERROR(__xludf.DUMMYFUNCTION("GOOGLETRANSLATE(A8918, ""en"", ""mt"")"),"In-naħa tal-Lbiċ 'il bogħod ta' Fresno")</f>
        <v>In-naħa tal-Lbiċ 'il bogħod ta' Fresno</v>
      </c>
    </row>
    <row r="8919" ht="15.75" customHeight="1">
      <c r="A8919" s="2" t="s">
        <v>8919</v>
      </c>
      <c r="B8919" s="2" t="str">
        <f>IFERROR(__xludf.DUMMYFUNCTION("GOOGLETRANSLATE(A8919, ""en"", ""mt"")"),"Sostitwit mill-Protokoll tal-Internet (IP) fis-saff tan-netwerk, u l-mod ta 'trasferiment mhux sinkroniku (ATM) u jew jew verżjonijiet ta' swiċċjar tat-tikketta multi-protokol")</f>
        <v>Sostitwit mill-Protokoll tal-Internet (IP) fis-saff tan-netwerk, u l-mod ta 'trasferiment mhux sinkroniku (ATM) u jew jew verżjonijiet ta' swiċċjar tat-tikketta multi-protokol</v>
      </c>
    </row>
    <row r="8920" ht="15.75" customHeight="1">
      <c r="A8920" s="2" t="s">
        <v>8920</v>
      </c>
      <c r="B8920" s="2" t="str">
        <f>IFERROR(__xludf.DUMMYFUNCTION("GOOGLETRANSLATE(A8920, ""en"", ""mt"")"),"Fejn tiltaqa 'r-Rhine huwa tributarju l-għonq?")</f>
        <v>Fejn tiltaqa 'r-Rhine huwa tributarju l-għonq?</v>
      </c>
    </row>
    <row r="8921" ht="15.75" customHeight="1">
      <c r="A8921" s="2" t="s">
        <v>8921</v>
      </c>
      <c r="B8921" s="2" t="str">
        <f>IFERROR(__xludf.DUMMYFUNCTION("GOOGLETRANSLATE(A8921, ""en"", ""mt"")"),"Liema kejl tal-linji tal-ferrovija jintużaw f'operaturi żgħar ta 'biża'?")</f>
        <v>Liema kejl tal-linji tal-ferrovija jintużaw f'operaturi żgħar ta 'biża'?</v>
      </c>
    </row>
    <row r="8922" ht="15.75" customHeight="1">
      <c r="A8922" s="2" t="s">
        <v>8922</v>
      </c>
      <c r="B8922" s="2" t="str">
        <f>IFERROR(__xludf.DUMMYFUNCTION("GOOGLETRANSLATE(A8922, ""en"", ""mt"")"),"F'magna kompost b'4 ċilindri, f'liema grad kienu l-cranks individwali bilanċjati")</f>
        <v>F'magna kompost b'4 ċilindri, f'liema grad kienu l-cranks individwali bilanċjati</v>
      </c>
    </row>
    <row r="8923" ht="15.75" customHeight="1">
      <c r="A8923" s="2" t="s">
        <v>8923</v>
      </c>
      <c r="B8923" s="2" t="str">
        <f>IFERROR(__xludf.DUMMYFUNCTION("GOOGLETRANSLATE(A8923, ""en"", ""mt"")"),"Meta beda l-ossiġnu jiċċaqlaq mill-oċeani għall-atmosfera?")</f>
        <v>Meta beda l-ossiġnu jiċċaqlaq mill-oċeani għall-atmosfera?</v>
      </c>
    </row>
    <row r="8924" ht="15.75" customHeight="1">
      <c r="A8924" s="2" t="s">
        <v>8924</v>
      </c>
      <c r="B8924" s="2" t="str">
        <f>IFERROR(__xludf.DUMMYFUNCTION("GOOGLETRANSLATE(A8924, ""en"", ""mt"")"),"B'mod ġenerali, liema daqs huma t-terremoti li jolqtu n-Nofsinhar ta 'California?")</f>
        <v>B'mod ġenerali, liema daqs huma t-terremoti li jolqtu n-Nofsinhar ta 'California?</v>
      </c>
    </row>
    <row r="8925" ht="15.75" customHeight="1">
      <c r="A8925" s="2" t="s">
        <v>8925</v>
      </c>
      <c r="B8925" s="2" t="str">
        <f>IFERROR(__xludf.DUMMYFUNCTION("GOOGLETRANSLATE(A8925, ""en"", ""mt"")"),"Hija tagħti diskors li jħawwad li fih tgħidlu li hi trid tobdi l-kuxjenza tagħha aktar milli l-liġi umana")</f>
        <v>Hija tagħti diskors li jħawwad li fih tgħidlu li hi trid tobdi l-kuxjenza tagħha aktar milli l-liġi umana</v>
      </c>
    </row>
    <row r="8926" ht="15.75" customHeight="1">
      <c r="A8926" s="2" t="s">
        <v>8926</v>
      </c>
      <c r="B8926" s="2" t="str">
        <f>IFERROR(__xludf.DUMMYFUNCTION("GOOGLETRANSLATE(A8926, ""en"", ""mt"")"),"X'inhu f'35 ° 48 ′ 27 ″ latitudni tat-tramuntana?")</f>
        <v>X'inhu f'35 ° 48 ′ 27 ″ latitudni tat-tramuntana?</v>
      </c>
    </row>
    <row r="8927" ht="15.75" customHeight="1">
      <c r="A8927" s="2" t="s">
        <v>8927</v>
      </c>
      <c r="B8927" s="2" t="str">
        <f>IFERROR(__xludf.DUMMYFUNCTION("GOOGLETRANSLATE(A8927, ""en"", ""mt"")"),"Jekk is-soluzzjoni tagħha teħtieġ riżorsi sinifikanti")</f>
        <v>Jekk is-soluzzjoni tagħha teħtieġ riżorsi sinifikanti</v>
      </c>
    </row>
    <row r="8928" ht="15.75" customHeight="1">
      <c r="A8928" s="2" t="s">
        <v>8928</v>
      </c>
      <c r="B8928" s="2" t="str">
        <f>IFERROR(__xludf.DUMMYFUNCTION("GOOGLETRANSLATE(A8928, ""en"", ""mt"")"),"Fl-aħħar għexieren ta ’snin")</f>
        <v>Fl-aħħar għexieren ta ’snin</v>
      </c>
    </row>
    <row r="8929" ht="15.75" customHeight="1">
      <c r="A8929" s="2" t="s">
        <v>8929</v>
      </c>
      <c r="B8929" s="2" t="str">
        <f>IFERROR(__xludf.DUMMYFUNCTION("GOOGLETRANSLATE(A8929, ""en"", ""mt"")"),"Liema oqsma żdiedu fl-influwenza fuq l-ispiżerija fl-Istati Uniti?")</f>
        <v>Liema oqsma żdiedu fl-influwenza fuq l-ispiżerija fl-Istati Uniti?</v>
      </c>
    </row>
    <row r="8930" ht="15.75" customHeight="1">
      <c r="A8930" s="2" t="s">
        <v>8930</v>
      </c>
      <c r="B8930" s="2" t="str">
        <f>IFERROR(__xludf.DUMMYFUNCTION("GOOGLETRANSLATE(A8930, ""en"", ""mt"")"),"igneous, sedimentarju, u metamorfiku")</f>
        <v>igneous, sedimentarju, u metamorfiku</v>
      </c>
    </row>
    <row r="8931" ht="15.75" customHeight="1">
      <c r="A8931" s="2" t="s">
        <v>8931</v>
      </c>
      <c r="B8931" s="2" t="str">
        <f>IFERROR(__xludf.DUMMYFUNCTION("GOOGLETRANSLATE(A8931, ""en"", ""mt"")"),"X'inhu s-salarju medju tal-kostruzzjoni fil-Lvant Nofsani?")</f>
        <v>X'inhu s-salarju medju tal-kostruzzjoni fil-Lvant Nofsani?</v>
      </c>
    </row>
    <row r="8932" ht="15.75" customHeight="1">
      <c r="A8932" s="2" t="s">
        <v>8932</v>
      </c>
      <c r="B8932" s="2" t="str">
        <f>IFERROR(__xludf.DUMMYFUNCTION("GOOGLETRANSLATE(A8932, ""en"", ""mt"")"),"Diversifikat ħafna")</f>
        <v>Diversifikat ħafna</v>
      </c>
    </row>
    <row r="8933" ht="15.75" customHeight="1">
      <c r="A8933" s="2" t="s">
        <v>8933</v>
      </c>
      <c r="B8933" s="2" t="str">
        <f>IFERROR(__xludf.DUMMYFUNCTION("GOOGLETRANSLATE(A8933, ""en"", ""mt"")"),"X'għandhom Ctenophores li m'għandhom l-ebda annimali oħra?")</f>
        <v>X'għandhom Ctenophores li m'għandhom l-ebda annimali oħra?</v>
      </c>
    </row>
    <row r="8934" ht="15.75" customHeight="1">
      <c r="A8934" s="2" t="s">
        <v>8934</v>
      </c>
      <c r="B8934" s="2" t="str">
        <f>IFERROR(__xludf.DUMMYFUNCTION("GOOGLETRANSLATE(A8934, ""en"", ""mt"")"),"Minbarra ħafna ġranet xemxija, liema karatteristika hija tipika għall-klima fi Souther California?")</f>
        <v>Minbarra ħafna ġranet xemxija, liema karatteristika hija tipika għall-klima fi Souther California?</v>
      </c>
    </row>
    <row r="8935" ht="15.75" customHeight="1">
      <c r="A8935" s="2" t="s">
        <v>8935</v>
      </c>
      <c r="B8935" s="2" t="str">
        <f>IFERROR(__xludf.DUMMYFUNCTION("GOOGLETRANSLATE(A8935, ""en"", ""mt"")"),"Fuq liema 3 affarijiet jaħdem fuq il-forza tal-ajru")</f>
        <v>Fuq liema 3 affarijiet jaħdem fuq il-forza tal-ajru</v>
      </c>
    </row>
    <row r="8936" ht="15.75" customHeight="1">
      <c r="A8936" s="2" t="s">
        <v>8936</v>
      </c>
      <c r="B8936" s="2" t="str">
        <f>IFERROR(__xludf.DUMMYFUNCTION("GOOGLETRANSLATE(A8936, ""en"", ""mt"")"),"kumpless")</f>
        <v>kumpless</v>
      </c>
    </row>
    <row r="8937" ht="15.75" customHeight="1">
      <c r="A8937" s="2" t="s">
        <v>8937</v>
      </c>
      <c r="B8937" s="2" t="str">
        <f>IFERROR(__xludf.DUMMYFUNCTION("GOOGLETRANSLATE(A8937, ""en"", ""mt"")"),"Ma 'liema tema Ghandi tibda l-maskra ta' l-anarkija?")</f>
        <v>Ma 'liema tema Ghandi tibda l-maskra ta' l-anarkija?</v>
      </c>
    </row>
    <row r="8938" ht="15.75" customHeight="1">
      <c r="A8938" s="2" t="s">
        <v>8938</v>
      </c>
      <c r="B8938" s="2" t="str">
        <f>IFERROR(__xludf.DUMMYFUNCTION("GOOGLETRANSLATE(A8938, ""en"", ""mt"")"),"X'tista 'taffettwa forza fuq parti waħda ta' oġġett?")</f>
        <v>X'tista 'taffettwa forza fuq parti waħda ta' oġġett?</v>
      </c>
    </row>
    <row r="8939" ht="15.75" customHeight="1">
      <c r="A8939" s="2" t="s">
        <v>8939</v>
      </c>
      <c r="B8939" s="2" t="str">
        <f>IFERROR(__xludf.DUMMYFUNCTION("GOOGLETRANSLATE(A8939, ""en"", ""mt"")"),"il-Grigal")</f>
        <v>il-Grigal</v>
      </c>
    </row>
    <row r="8940" ht="15.75" customHeight="1">
      <c r="A8940" s="2" t="s">
        <v>8940</v>
      </c>
      <c r="B8940" s="2" t="str">
        <f>IFERROR(__xludf.DUMMYFUNCTION("GOOGLETRANSLATE(A8940, ""en"", ""mt"")"),"residwu tal-forza")</f>
        <v>residwu tal-forza</v>
      </c>
    </row>
    <row r="8941" ht="15.75" customHeight="1">
      <c r="A8941" s="2" t="s">
        <v>8941</v>
      </c>
      <c r="B8941" s="2" t="str">
        <f>IFERROR(__xludf.DUMMYFUNCTION("GOOGLETRANSLATE(A8941, ""en"", ""mt"")"),"Jekk Q = 9 u A = 3, 6 jew 9, kemm garżi jkunu fil-progressjoni?")</f>
        <v>Jekk Q = 9 u A = 3, 6 jew 9, kemm garżi jkunu fil-progressjoni?</v>
      </c>
    </row>
    <row r="8942" ht="15.75" customHeight="1">
      <c r="A8942" s="2" t="s">
        <v>8942</v>
      </c>
      <c r="B8942" s="2" t="str">
        <f>IFERROR(__xludf.DUMMYFUNCTION("GOOGLETRANSLATE(A8942, ""en"", ""mt"")"),"Fuq liema karatteristika kimika tiddependi mis-solubilità ta 'Oxygen?")</f>
        <v>Fuq liema karatteristika kimika tiddependi mis-solubilità ta 'Oxygen?</v>
      </c>
    </row>
    <row r="8943" ht="15.75" customHeight="1">
      <c r="A8943" s="2" t="s">
        <v>8943</v>
      </c>
      <c r="B8943" s="2" t="str">
        <f>IFERROR(__xludf.DUMMYFUNCTION("GOOGLETRANSLATE(A8943, ""en"", ""mt"")"),"Kemm huma wiesgħa l-Muntanji Jura?")</f>
        <v>Kemm huma wiesgħa l-Muntanji Jura?</v>
      </c>
    </row>
    <row r="8944" ht="15.75" customHeight="1">
      <c r="A8944" s="2" t="s">
        <v>8944</v>
      </c>
      <c r="B8944" s="2" t="str">
        <f>IFERROR(__xludf.DUMMYFUNCTION("GOOGLETRANSLATE(A8944, ""en"", ""mt"")"),"X'inhu l-isem għan-nixxigħat iżgħar tul ir-reġjun tal-Ġermanja tat-Tramuntana?")</f>
        <v>X'inhu l-isem għan-nixxigħat iżgħar tul ir-reġjun tal-Ġermanja tat-Tramuntana?</v>
      </c>
    </row>
    <row r="8945" ht="15.75" customHeight="1">
      <c r="A8945" s="2" t="s">
        <v>8945</v>
      </c>
      <c r="B8945" s="2" t="str">
        <f>IFERROR(__xludf.DUMMYFUNCTION("GOOGLETRANSLATE(A8945, ""en"", ""mt"")"),"X'tip ta 'spazju f'Varsavja huma l-Ġnien Botaniku u l-Ġnien tal-Librerija Universitarja?")</f>
        <v>X'tip ta 'spazju f'Varsavja huma l-Ġnien Botaniku u l-Ġnien tal-Librerija Universitarja?</v>
      </c>
    </row>
    <row r="8946" ht="15.75" customHeight="1">
      <c r="A8946" s="2" t="s">
        <v>8946</v>
      </c>
      <c r="B8946" s="2" t="str">
        <f>IFERROR(__xludf.DUMMYFUNCTION("GOOGLETRANSLATE(A8946, ""en"", ""mt"")"),"Norman")</f>
        <v>Norman</v>
      </c>
    </row>
    <row r="8947" ht="15.75" customHeight="1">
      <c r="A8947" s="2" t="s">
        <v>8947</v>
      </c>
      <c r="B8947" s="2" t="str">
        <f>IFERROR(__xludf.DUMMYFUNCTION("GOOGLETRANSLATE(A8947, ""en"", ""mt"")"),"Min għażel il-President taċ-Ċentru mill-1990?")</f>
        <v>Min għażel il-President taċ-Ċentru mill-1990?</v>
      </c>
    </row>
    <row r="8948" ht="15.75" customHeight="1">
      <c r="A8948" s="2" t="s">
        <v>8948</v>
      </c>
      <c r="B8948" s="2" t="str">
        <f>IFERROR(__xludf.DUMMYFUNCTION("GOOGLETRANSLATE(A8948, ""en"", ""mt"")"),"F’Ottubru 2016")</f>
        <v>F’Ottubru 2016</v>
      </c>
    </row>
    <row r="8949" ht="15.75" customHeight="1">
      <c r="A8949" s="2" t="s">
        <v>8949</v>
      </c>
      <c r="B8949" s="2" t="str">
        <f>IFERROR(__xludf.DUMMYFUNCTION("GOOGLETRANSLATE(A8949, ""en"", ""mt"")"),"Liema mija tat-22 miljun persuna ta 'California jgħixu fin-Nofsinhar ta' California?")</f>
        <v>Liema mija tat-22 miljun persuna ta 'California jgħixu fin-Nofsinhar ta' California?</v>
      </c>
    </row>
    <row r="8950" ht="15.75" customHeight="1">
      <c r="A8950" s="2" t="s">
        <v>8950</v>
      </c>
      <c r="B8950" s="2" t="str">
        <f>IFERROR(__xludf.DUMMYFUNCTION("GOOGLETRANSLATE(A8950, ""en"", ""mt"")"),"F’liema sena kien miktub il-ktieb Domesday?")</f>
        <v>F’liema sena kien miktub il-ktieb Domesday?</v>
      </c>
    </row>
    <row r="8951" ht="15.75" customHeight="1">
      <c r="A8951" s="2" t="s">
        <v>8951</v>
      </c>
      <c r="B8951" s="2" t="str">
        <f>IFERROR(__xludf.DUMMYFUNCTION("GOOGLETRANSLATE(A8951, ""en"", ""mt"")"),"Gwerra Williamite")</f>
        <v>Gwerra Williamite</v>
      </c>
    </row>
    <row r="8952" ht="15.75" customHeight="1">
      <c r="A8952" s="2" t="s">
        <v>8952</v>
      </c>
      <c r="B8952" s="2" t="str">
        <f>IFERROR(__xludf.DUMMYFUNCTION("GOOGLETRANSLATE(A8952, ""en"", ""mt"")"),"Fresno City College jinsab f’liema żewġ toroq?")</f>
        <v>Fresno City College jinsab f’liema żewġ toroq?</v>
      </c>
    </row>
    <row r="8953" ht="15.75" customHeight="1">
      <c r="A8953" s="2" t="s">
        <v>8953</v>
      </c>
      <c r="B8953" s="2" t="str">
        <f>IFERROR(__xludf.DUMMYFUNCTION("GOOGLETRANSLATE(A8953, ""en"", ""mt"")"),"Il-Port ta ’Los Angeles")</f>
        <v>Il-Port ta ’Los Angeles</v>
      </c>
    </row>
    <row r="8954" ht="15.75" customHeight="1">
      <c r="A8954" s="2" t="s">
        <v>8954</v>
      </c>
      <c r="B8954" s="2" t="str">
        <f>IFERROR(__xludf.DUMMYFUNCTION("GOOGLETRANSLATE(A8954, ""en"", ""mt"")"),"Nies li jġibu ruħhom bid-diżubbidjenza ċivili li mhix vjolenti jingħad li jagħmlu s-soċjetà għandha iktar minn xiex?")</f>
        <v>Nies li jġibu ruħhom bid-diżubbidjenza ċivili li mhix vjolenti jingħad li jagħmlu s-soċjetà għandha iktar minn xiex?</v>
      </c>
    </row>
    <row r="8955" ht="15.75" customHeight="1">
      <c r="A8955" s="2" t="s">
        <v>8955</v>
      </c>
      <c r="B8955" s="2" t="str">
        <f>IFERROR(__xludf.DUMMYFUNCTION("GOOGLETRANSLATE(A8955, ""en"", ""mt"")"),"Lbiċ")</f>
        <v>Lbiċ</v>
      </c>
    </row>
    <row r="8956" ht="15.75" customHeight="1">
      <c r="A8956" s="2" t="s">
        <v>8956</v>
      </c>
      <c r="B8956" s="2" t="str">
        <f>IFERROR(__xludf.DUMMYFUNCTION("GOOGLETRANSLATE(A8956, ""en"", ""mt"")"),"Minn xiex tiddependi l-kumplessità tal-problemi?")</f>
        <v>Minn xiex tiddependi l-kumplessità tal-problemi?</v>
      </c>
    </row>
    <row r="8957" ht="15.75" customHeight="1">
      <c r="A8957" s="2" t="s">
        <v>8957</v>
      </c>
      <c r="B8957" s="2" t="str">
        <f>IFERROR(__xludf.DUMMYFUNCTION("GOOGLETRANSLATE(A8957, ""en"", ""mt"")"),"Parlament Skoċċiż")</f>
        <v>Parlament Skoċċiż</v>
      </c>
    </row>
    <row r="8958" ht="15.75" customHeight="1">
      <c r="A8958" s="2" t="s">
        <v>8958</v>
      </c>
      <c r="B8958" s="2" t="str">
        <f>IFERROR(__xludf.DUMMYFUNCTION("GOOGLETRANSLATE(A8958, ""en"", ""mt"")"),"Liema pjanijiet tal-Ingliżi waqqfu dan fuq Oneida stabbilit lura?")</f>
        <v>Liema pjanijiet tal-Ingliżi waqqfu dan fuq Oneida stabbilit lura?</v>
      </c>
    </row>
    <row r="8959" ht="15.75" customHeight="1">
      <c r="A8959" s="2" t="s">
        <v>8959</v>
      </c>
      <c r="B8959" s="2" t="str">
        <f>IFERROR(__xludf.DUMMYFUNCTION("GOOGLETRANSLATE(A8959, ""en"", ""mt"")"),"X'kien id-daqs medju tad-dar?")</f>
        <v>X'kien id-daqs medju tad-dar?</v>
      </c>
    </row>
    <row r="8960" ht="15.75" customHeight="1">
      <c r="A8960" s="2" t="s">
        <v>8960</v>
      </c>
      <c r="B8960" s="2" t="str">
        <f>IFERROR(__xludf.DUMMYFUNCTION("GOOGLETRANSLATE(A8960, ""en"", ""mt"")"),"Sa liema sena Chrysler temm il-mudell ta 'lussu sħiħ tiegħu?")</f>
        <v>Sa liema sena Chrysler temm il-mudell ta 'lussu sħiħ tiegħu?</v>
      </c>
    </row>
    <row r="8961" ht="15.75" customHeight="1">
      <c r="A8961" s="2" t="s">
        <v>8961</v>
      </c>
      <c r="B8961" s="2" t="str">
        <f>IFERROR(__xludf.DUMMYFUNCTION("GOOGLETRANSLATE(A8961, ""en"", ""mt"")"),"L-għarfien mediku kien staġna matul il-Medju Evu. L-iktar kont awtorevoli dak iż-żmien ġie mill-fakultà medika f'Pariġi f'rapport lir-Re ta 'Franza li waħħal is-smewwiet, fil-forma ta' konġunzjoni ta 'tliet pjaneti fl-1345 li kkawża ""pestilenza kbira fl-"&amp;"arja"". Dan ir-rapport sar l-ewwel u l-iktar li ċċirkola b'mod wiesa 'serje ta' passaġġi tal-pesta li fittxew li jagħtu pariri lil dawk li jbatu. Li l-pesta kienet ikkawżata mill-arja ħażina saret it-teorija l-iktar aċċettata. Illum, din hija magħrufa bħa"&amp;"la t-teorija tal-Miasma. Il-kelma ""pesta"" ma kellha l-ebda sinifikat speċjali f'dan il-ħin, u r-rikorrenza ta 'tifqigħat biss matul il-Medju Evu tatha l-isem li sar it-terminu mediku.")</f>
        <v>L-għarfien mediku kien staġna matul il-Medju Evu. L-iktar kont awtorevoli dak iż-żmien ġie mill-fakultà medika f'Pariġi f'rapport lir-Re ta 'Franza li waħħal is-smewwiet, fil-forma ta' konġunzjoni ta 'tliet pjaneti fl-1345 li kkawża "pestilenza kbira fl-arja". Dan ir-rapport sar l-ewwel u l-iktar li ċċirkola b'mod wiesa 'serje ta' passaġġi tal-pesta li fittxew li jagħtu pariri lil dawk li jbatu. Li l-pesta kienet ikkawżata mill-arja ħażina saret it-teorija l-iktar aċċettata. Illum, din hija magħrufa bħala t-teorija tal-Miasma. Il-kelma "pesta" ma kellha l-ebda sinifikat speċjali f'dan il-ħin, u r-rikorrenza ta 'tifqigħat biss matul il-Medju Evu tatha l-isem li sar it-terminu mediku.</v>
      </c>
    </row>
    <row r="8962" ht="15.75" customHeight="1">
      <c r="A8962" s="2" t="s">
        <v>8962</v>
      </c>
      <c r="B8962" s="2" t="str">
        <f>IFERROR(__xludf.DUMMYFUNCTION("GOOGLETRANSLATE(A8962, ""en"", ""mt"")"),"Molekuli MHC tal-Klassi II")</f>
        <v>Molekuli MHC tal-Klassi II</v>
      </c>
    </row>
    <row r="8963" ht="15.75" customHeight="1">
      <c r="A8963" s="2" t="s">
        <v>8963</v>
      </c>
      <c r="B8963" s="2" t="str">
        <f>IFERROR(__xludf.DUMMYFUNCTION("GOOGLETRANSLATE(A8963, ""en"", ""mt"")"),"Summit ta 'Finsteraarhorn")</f>
        <v>Summit ta 'Finsteraarhorn</v>
      </c>
    </row>
    <row r="8964" ht="15.75" customHeight="1">
      <c r="A8964" s="2" t="s">
        <v>8964</v>
      </c>
      <c r="B8964" s="2" t="str">
        <f>IFERROR(__xludf.DUMMYFUNCTION("GOOGLETRANSLATE(A8964, ""en"", ""mt"")"),"182 miljun")</f>
        <v>182 miljun</v>
      </c>
    </row>
    <row r="8965" ht="15.75" customHeight="1">
      <c r="A8965" s="2" t="s">
        <v>8965</v>
      </c>
      <c r="B8965" s="2" t="str">
        <f>IFERROR(__xludf.DUMMYFUNCTION("GOOGLETRANSLATE(A8965, ""en"", ""mt"")"),"1018")</f>
        <v>1018</v>
      </c>
    </row>
    <row r="8966" ht="15.75" customHeight="1">
      <c r="A8966" s="2" t="s">
        <v>8966</v>
      </c>
      <c r="B8966" s="2" t="str">
        <f>IFERROR(__xludf.DUMMYFUNCTION("GOOGLETRANSLATE(A8966, ""en"", ""mt"")"),"Liema alumni kiteb ""L-Għeluq tal-Mind Amerikan""?")</f>
        <v>Liema alumni kiteb "L-Għeluq tal-Mind Amerikan"?</v>
      </c>
    </row>
    <row r="8967" ht="15.75" customHeight="1">
      <c r="A8967" s="2" t="s">
        <v>8967</v>
      </c>
      <c r="B8967" s="2" t="str">
        <f>IFERROR(__xludf.DUMMYFUNCTION("GOOGLETRANSLATE(A8967, ""en"", ""mt"")"),"X'inhu assoċjat ma 'forzi anormali?")</f>
        <v>X'inhu assoċjat ma 'forzi anormali?</v>
      </c>
    </row>
    <row r="8968" ht="15.75" customHeight="1">
      <c r="A8968" s="2" t="s">
        <v>8968</v>
      </c>
      <c r="B8968" s="2" t="str">
        <f>IFERROR(__xludf.DUMMYFUNCTION("GOOGLETRANSLATE(A8968, ""en"", ""mt"")"),"Matematika applikata għall-kostruzzjoni tal-kalendarji")</f>
        <v>Matematika applikata għall-kostruzzjoni tal-kalendarji</v>
      </c>
    </row>
    <row r="8969" ht="15.75" customHeight="1">
      <c r="A8969" s="2" t="s">
        <v>8969</v>
      </c>
      <c r="B8969" s="2" t="str">
        <f>IFERROR(__xludf.DUMMYFUNCTION("GOOGLETRANSLATE(A8969, ""en"", ""mt"")"),"47 Streetcars")</f>
        <v>47 Streetcars</v>
      </c>
    </row>
    <row r="8970" ht="15.75" customHeight="1">
      <c r="A8970" s="2" t="s">
        <v>8970</v>
      </c>
      <c r="B8970" s="2" t="str">
        <f>IFERROR(__xludf.DUMMYFUNCTION("GOOGLETRANSLATE(A8970, ""en"", ""mt"")"),"Dan ikkontribwixxa għax- ""xokk taż-żejt"". Wara l-1971, l-OPEC kien bil-mod biex jirranġa l-prezzijiet biex jirrifletti din id-deprezzament. Mill-1947 sal-1967, il-prezz tad-dollaru taż-żejt żdied b'inqas minn tnejn fil-mija fis-sena. Sakemm ix-xokk taż-"&amp;"żejt, il-prezz kien ukoll baqa 'pjuttost stabbli kontra muniti u prodotti oħra. Il-ministri tal-OPEC ma żviluppawx mekkaniżmi istituzzjonali biex jaġġornaw il-prezzijiet fis-sinkronizzazzjoni mal-kundizzjonijiet tas-suq li qed jinbidlu, u għalhekk id-dħul"&amp;" reali tagħhom baqa 'lura. Iż-żidiet sostanzjali fil-prezz tal-1973–1974 reġgħu rritornaw il-prezzijiet tagħhom u d-dħul korrispondenti għal-livelli ta 'Bretton Woods f'termini ta' prodotti bħad-deheb.")</f>
        <v>Dan ikkontribwixxa għax- "xokk taż-żejt". Wara l-1971, l-OPEC kien bil-mod biex jirranġa l-prezzijiet biex jirrifletti din id-deprezzament. Mill-1947 sal-1967, il-prezz tad-dollaru taż-żejt żdied b'inqas minn tnejn fil-mija fis-sena. Sakemm ix-xokk taż-żejt, il-prezz kien ukoll baqa 'pjuttost stabbli kontra muniti u prodotti oħra. Il-ministri tal-OPEC ma żviluppawx mekkaniżmi istituzzjonali biex jaġġornaw il-prezzijiet fis-sinkronizzazzjoni mal-kundizzjonijiet tas-suq li qed jinbidlu, u għalhekk id-dħul reali tagħhom baqa 'lura. Iż-żidiet sostanzjali fil-prezz tal-1973–1974 reġgħu rritornaw il-prezzijiet tagħhom u d-dħul korrispondenti għal-livelli ta 'Bretton Woods f'termini ta' prodotti bħad-deheb.</v>
      </c>
    </row>
    <row r="8971" ht="15.75" customHeight="1">
      <c r="A8971" s="2" t="s">
        <v>8971</v>
      </c>
      <c r="B8971" s="2" t="str">
        <f>IFERROR(__xludf.DUMMYFUNCTION("GOOGLETRANSLATE(A8971, ""en"", ""mt"")"),"Min imexxi l-Istat Iżlamiku?")</f>
        <v>Min imexxi l-Istat Iżlamiku?</v>
      </c>
    </row>
    <row r="8972" ht="15.75" customHeight="1">
      <c r="A8972" s="2" t="s">
        <v>8972</v>
      </c>
      <c r="B8972" s="2" t="str">
        <f>IFERROR(__xludf.DUMMYFUNCTION("GOOGLETRANSLATE(A8972, ""en"", ""mt"")"),"Robert Koch u Emil von Behring")</f>
        <v>Robert Koch u Emil von Behring</v>
      </c>
    </row>
    <row r="8973" ht="15.75" customHeight="1">
      <c r="A8973" s="2" t="s">
        <v>8973</v>
      </c>
      <c r="B8973" s="2" t="str">
        <f>IFERROR(__xludf.DUMMYFUNCTION("GOOGLETRANSLATE(A8973, ""en"", ""mt"")"),"Downtown")</f>
        <v>Downtown</v>
      </c>
    </row>
    <row r="8974" ht="15.75" customHeight="1">
      <c r="A8974" s="2" t="s">
        <v>8974</v>
      </c>
      <c r="B8974" s="2" t="str">
        <f>IFERROR(__xludf.DUMMYFUNCTION("GOOGLETRANSLATE(A8974, ""en"", ""mt"")"),"Min kien is-sindku ta 'Jacksonville fil-ħin tal-konsolidazzjoni?")</f>
        <v>Min kien is-sindku ta 'Jacksonville fil-ħin tal-konsolidazzjoni?</v>
      </c>
    </row>
    <row r="8975" ht="15.75" customHeight="1">
      <c r="A8975" s="2" t="s">
        <v>8975</v>
      </c>
      <c r="B8975" s="2" t="str">
        <f>IFERROR(__xludf.DUMMYFUNCTION("GOOGLETRANSLATE(A8975, ""en"", ""mt"")"),"l-ambjent li fihom għexu")</f>
        <v>l-ambjent li fihom għexu</v>
      </c>
    </row>
    <row r="8976" ht="15.75" customHeight="1">
      <c r="A8976" s="2" t="s">
        <v>8976</v>
      </c>
      <c r="B8976" s="2" t="str">
        <f>IFERROR(__xludf.DUMMYFUNCTION("GOOGLETRANSLATE(A8976, ""en"", ""mt"")"),"kuntratturi")</f>
        <v>kuntratturi</v>
      </c>
    </row>
    <row r="8977" ht="15.75" customHeight="1">
      <c r="A8977" s="2" t="s">
        <v>8977</v>
      </c>
      <c r="B8977" s="2" t="str">
        <f>IFERROR(__xludf.DUMMYFUNCTION("GOOGLETRANSLATE(A8977, ""en"", ""mt"")"),"Fl-Arti u d-Divertiment, il-kompożitur minimalista Philip Glass, żeffien, koreografu u mexxej fil-qasam tal-antropoloġija taż-żfin Katherine Dunham, fundatriċi tal-Bungie u żviluppatur tas-serje tal-logħob tal-vidjow Halo Alex Seropian, ospitanti tas-serj"&amp;"e Sarah Koenig, l-attur Edner Edner, Pulizer Premju għal Kritika tal-film li rebaħ il-kritika u s-suġġett tad-dokumentarju tal-film tal-2014 tal-ħajja nnifisha Roger Ebert, direttur, kittieb, u kummidjant Mike Nichols, direttur tal-films u skriptur Philip"&amp;" Kaufman, u Carl Van Vechten, fotografu u kittieb, huma gradwati.")</f>
        <v>Fl-Arti u d-Divertiment, il-kompożitur minimalista Philip Glass, żeffien, koreografu u mexxej fil-qasam tal-antropoloġija taż-żfin Katherine Dunham, fundatriċi tal-Bungie u żviluppatur tas-serje tal-logħob tal-vidjow Halo Alex Seropian, ospitanti tas-serje Sarah Koenig, l-attur Edner Edner, Pulizer Premju għal Kritika tal-film li rebaħ il-kritika u s-suġġett tad-dokumentarju tal-film tal-2014 tal-ħajja nnifisha Roger Ebert, direttur, kittieb, u kummidjant Mike Nichols, direttur tal-films u skriptur Philip Kaufman, u Carl Van Vechten, fotografu u kittieb, huma gradwati.</v>
      </c>
    </row>
    <row r="8978" ht="15.75" customHeight="1">
      <c r="A8978" s="2" t="s">
        <v>8978</v>
      </c>
      <c r="B8978" s="2" t="str">
        <f>IFERROR(__xludf.DUMMYFUNCTION("GOOGLETRANSLATE(A8978, ""en"", ""mt"")"),"X'tip ta 'ħamrija huwa meqjus bħala prodott tal-ġestjoni tal-ħamrija minn popli indiġeni fil-foresta tal-Amażonja?")</f>
        <v>X'tip ta 'ħamrija huwa meqjus bħala prodott tal-ġestjoni tal-ħamrija minn popli indiġeni fil-foresta tal-Amażonja?</v>
      </c>
    </row>
    <row r="8979" ht="15.75" customHeight="1">
      <c r="A8979" s="2" t="s">
        <v>8979</v>
      </c>
      <c r="B8979" s="2" t="str">
        <f>IFERROR(__xludf.DUMMYFUNCTION("GOOGLETRANSLATE(A8979, ""en"", ""mt"")"),"Iċ-ċittadinanza ta 'l-UE kienet dejjem aktar meqjusa bħala status ""fundamentali"" ta' ċittadini tal-istat membru mill-Qorti tal-Ġustizzja, u għalhekk żiedet in-numru ta 'servizzi soċjali li n-nies jistgħu jaċċessaw kull fejn jimxu. Il-qorti kienet teħtie"&amp;"ġ li l-edukazzjoni għolja, flimkien ma 'forom oħra ta' taħriġ vokazzjonali, għandha tkun aktar aċċess, għalkemm b'perjodi ta 'kwalifikazzjoni. Fil-Kummissjoni vs l-Awstrija l-qorti qalet li l-Awstrija ma kellhiex id-dritt li tillimita postijiet fl-univers"&amp;"itajiet Awstrijaċi għal studenti Awstrijaċi biex tevita ""problemi strutturali, ta 'persunal u finanzjarji"" jekk (prinċipalment Ġermaniżi) studenti barranin applikaw għal postijiet minħabba li kien hemm ftit evidenza ta' problema attwali -")</f>
        <v>Iċ-ċittadinanza ta 'l-UE kienet dejjem aktar meqjusa bħala status "fundamentali" ta' ċittadini tal-istat membru mill-Qorti tal-Ġustizzja, u għalhekk żiedet in-numru ta 'servizzi soċjali li n-nies jistgħu jaċċessaw kull fejn jimxu. Il-qorti kienet teħtieġ li l-edukazzjoni għolja, flimkien ma 'forom oħra ta' taħriġ vokazzjonali, għandha tkun aktar aċċess, għalkemm b'perjodi ta 'kwalifikazzjoni. Fil-Kummissjoni vs l-Awstrija l-qorti qalet li l-Awstrija ma kellhiex id-dritt li tillimita postijiet fl-universitajiet Awstrijaċi għal studenti Awstrijaċi biex tevita "problemi strutturali, ta 'persunal u finanzjarji" jekk (prinċipalment Ġermaniżi) studenti barranin applikaw għal postijiet minħabba li kien hemm ftit evidenza ta' problema attwali -</v>
      </c>
    </row>
    <row r="8980" ht="15.75" customHeight="1">
      <c r="A8980" s="2" t="s">
        <v>8980</v>
      </c>
      <c r="B8980" s="2" t="str">
        <f>IFERROR(__xludf.DUMMYFUNCTION("GOOGLETRANSLATE(A8980, ""en"", ""mt"")"),"elett")</f>
        <v>elett</v>
      </c>
    </row>
    <row r="8981" ht="15.75" customHeight="1">
      <c r="A8981" s="2" t="s">
        <v>8981</v>
      </c>
      <c r="B8981" s="2" t="str">
        <f>IFERROR(__xludf.DUMMYFUNCTION("GOOGLETRANSLATE(A8981, ""en"", ""mt"")"),"Prodotti sekondarji perikolużi ta 'użu ta' ossiġnu f'organiżmi")</f>
        <v>Prodotti sekondarji perikolużi ta 'użu ta' ossiġnu f'organiżmi</v>
      </c>
    </row>
    <row r="8982" ht="15.75" customHeight="1">
      <c r="A8982" s="2" t="s">
        <v>8982</v>
      </c>
      <c r="B8982" s="2" t="str">
        <f>IFERROR(__xludf.DUMMYFUNCTION("GOOGLETRANSLATE(A8982, ""en"", ""mt"")"),"Liema sena xxerred skart tossiku minn vapur Amerikan wassal lill-kummissjoni biex tistudja leġislazzjoni kontra l-iskart?")</f>
        <v>Liema sena xxerred skart tossiku minn vapur Amerikan wassal lill-kummissjoni biex tistudja leġislazzjoni kontra l-iskart?</v>
      </c>
    </row>
    <row r="8983" ht="15.75" customHeight="1">
      <c r="A8983" s="2" t="s">
        <v>8983</v>
      </c>
      <c r="B8983" s="2" t="str">
        <f>IFERROR(__xludf.DUMMYFUNCTION("GOOGLETRANSLATE(A8983, ""en"", ""mt"")"),"Kif inhuma l-ħlasijiet tal-iskola fil-bqija tad-dinja meta mqabbla mal-Irlanda?")</f>
        <v>Kif inhuma l-ħlasijiet tal-iskola fil-bqija tad-dinja meta mqabbla mal-Irlanda?</v>
      </c>
    </row>
    <row r="8984" ht="15.75" customHeight="1">
      <c r="A8984" s="2" t="s">
        <v>8984</v>
      </c>
      <c r="B8984" s="2" t="str">
        <f>IFERROR(__xludf.DUMMYFUNCTION("GOOGLETRANSLATE(A8984, ""en"", ""mt"")"),"X'kienet il-filosofija politika tat-taxman?")</f>
        <v>X'kienet il-filosofija politika tat-taxman?</v>
      </c>
    </row>
    <row r="8985" ht="15.75" customHeight="1">
      <c r="A8985" s="2" t="s">
        <v>8985</v>
      </c>
      <c r="B8985" s="2" t="str">
        <f>IFERROR(__xludf.DUMMYFUNCTION("GOOGLETRANSLATE(A8985, ""en"", ""mt"")"),"Min ikkalkula l-veloċità tad-dawl?")</f>
        <v>Min ikkalkula l-veloċità tad-dawl?</v>
      </c>
    </row>
    <row r="8986" ht="15.75" customHeight="1">
      <c r="A8986" s="2" t="s">
        <v>8986</v>
      </c>
      <c r="B8986" s="2" t="str">
        <f>IFERROR(__xludf.DUMMYFUNCTION("GOOGLETRANSLATE(A8986, ""en"", ""mt"")"),"X'kien l-isem tal-maltempata li laqat lil Jacksonville f'Mejju tal-2012?")</f>
        <v>X'kien l-isem tal-maltempata li laqat lil Jacksonville f'Mejju tal-2012?</v>
      </c>
    </row>
    <row r="8987" ht="15.75" customHeight="1">
      <c r="A8987" s="2" t="s">
        <v>8987</v>
      </c>
      <c r="B8987" s="2" t="str">
        <f>IFERROR(__xludf.DUMMYFUNCTION("GOOGLETRANSLATE(A8987, ""en"", ""mt"")"),"Meta s-sekrezzjonijiet vaġinali jsiru inqas aċidużi?")</f>
        <v>Meta s-sekrezzjonijiet vaġinali jsiru inqas aċidużi?</v>
      </c>
    </row>
    <row r="8988" ht="15.75" customHeight="1">
      <c r="A8988" s="2" t="s">
        <v>8988</v>
      </c>
      <c r="B8988" s="2" t="str">
        <f>IFERROR(__xludf.DUMMYFUNCTION("GOOGLETRANSLATE(A8988, ""en"", ""mt"")"),"Meta saru t-taħdidiet għal Braodcast dritt għall-Lega Primier għal perjodu ta 'ħames snin mill-istaġun tal-1992?")</f>
        <v>Meta saru t-taħdidiet għal Braodcast dritt għall-Lega Primier għal perjodu ta 'ħames snin mill-istaġun tal-1992?</v>
      </c>
    </row>
    <row r="8989" ht="15.75" customHeight="1">
      <c r="A8989" s="2" t="s">
        <v>8989</v>
      </c>
      <c r="B8989" s="2" t="str">
        <f>IFERROR(__xludf.DUMMYFUNCTION("GOOGLETRANSLATE(A8989, ""en"", ""mt"")"),"René-Robert Cavelier, Sieur de la Salle kien esplora l-pajjiż ta 'Ohio kważi seklu qabel.")</f>
        <v>René-Robert Cavelier, Sieur de la Salle kien esplora l-pajjiż ta 'Ohio kważi seklu qabel.</v>
      </c>
    </row>
    <row r="8990" ht="15.75" customHeight="1">
      <c r="A8990" s="2" t="s">
        <v>8990</v>
      </c>
      <c r="B8990" s="2" t="str">
        <f>IFERROR(__xludf.DUMMYFUNCTION("GOOGLETRANSLATE(A8990, ""en"", ""mt"")"),"1830")</f>
        <v>1830</v>
      </c>
    </row>
    <row r="8991" ht="15.75" customHeight="1">
      <c r="A8991" s="2" t="s">
        <v>8991</v>
      </c>
      <c r="B8991" s="2" t="str">
        <f>IFERROR(__xludf.DUMMYFUNCTION("GOOGLETRANSLATE(A8991, ""en"", ""mt"")"),"Il-messaġġ / dejta oriġinali hija mmuntata mill-ġdid fl-ordni t-tajba")</f>
        <v>Il-messaġġ / dejta oriġinali hija mmuntata mill-ġdid fl-ordni t-tajba</v>
      </c>
    </row>
    <row r="8992" ht="15.75" customHeight="1">
      <c r="A8992" s="2" t="s">
        <v>8992</v>
      </c>
      <c r="B8992" s="2" t="str">
        <f>IFERROR(__xludf.DUMMYFUNCTION("GOOGLETRANSLATE(A8992, ""en"", ""mt"")"),"Il-fossili maskili magħrufa bħala Lucy ġiet skoperta minn min?")</f>
        <v>Il-fossili maskili magħrufa bħala Lucy ġiet skoperta minn min?</v>
      </c>
    </row>
    <row r="8993" ht="15.75" customHeight="1">
      <c r="A8993" s="2" t="s">
        <v>8993</v>
      </c>
      <c r="B8993" s="2" t="str">
        <f>IFERROR(__xludf.DUMMYFUNCTION("GOOGLETRANSLATE(A8993, ""en"", ""mt"")"),"x-xita mnaqqsa u żieda fit-temperaturi")</f>
        <v>x-xita mnaqqsa u żieda fit-temperaturi</v>
      </c>
    </row>
    <row r="8994" ht="15.75" customHeight="1">
      <c r="A8994" s="2" t="s">
        <v>8994</v>
      </c>
      <c r="B8994" s="2" t="str">
        <f>IFERROR(__xludf.DUMMYFUNCTION("GOOGLETRANSLATE(A8994, ""en"", ""mt"")"),"Il-mewt l-Iswed kienet ferm aktar mgħaġġla minn dik tal-pesta bubonika moderna")</f>
        <v>Il-mewt l-Iswed kienet ferm aktar mgħaġġla minn dik tal-pesta bubonika moderna</v>
      </c>
    </row>
    <row r="8995" ht="15.75" customHeight="1">
      <c r="A8995" s="2" t="s">
        <v>8995</v>
      </c>
      <c r="B8995" s="2" t="str">
        <f>IFERROR(__xludf.DUMMYFUNCTION("GOOGLETRANSLATE(A8995, ""en"", ""mt"")"),"Liema riforma kienet attentata wara t-trattat sabiħ?")</f>
        <v>Liema riforma kienet attentata wara t-trattat sabiħ?</v>
      </c>
    </row>
    <row r="8996" ht="15.75" customHeight="1">
      <c r="A8996" s="2" t="s">
        <v>8996</v>
      </c>
      <c r="B8996" s="2" t="str">
        <f>IFERROR(__xludf.DUMMYFUNCTION("GOOGLETRANSLATE(A8996, ""en"", ""mt"")"),"Min il-gvern irrifjuta li jħallas?")</f>
        <v>Min il-gvern irrifjuta li jħallas?</v>
      </c>
    </row>
    <row r="8997" ht="15.75" customHeight="1">
      <c r="A8997" s="2" t="s">
        <v>8997</v>
      </c>
      <c r="B8997" s="2" t="str">
        <f>IFERROR(__xludf.DUMMYFUNCTION("GOOGLETRANSLATE(A8997, ""en"", ""mt"")"),"L-Età tal-Imperjalizmu, perjodu ta 'żmien li jibda madwar l-1700, rajna nazzjonijiet (ġeneralment) li jidħlu fil-proċess tal-kolonizzazzjoni, l-influwenza u l-anness ta' partijiet oħra tad-dinja sabiex jiksbu poter politiku. [Ċitazzjoni meħtieġa] għalkemm"&amp;" il-prattiki imperjalisti għandhom Eżisti għal eluf ta 'snin, it-terminu ""età ta' l-imperjalizmu"" ġeneralment jirreferi għall-attivitajiet tal-poteri Ewropej mill-bidu tas-seklu 18 sa nofs is-seklu 20, pereżempju, il- ""logħba kbira"" fl-artijiet Persja"&amp;"ni, il- """" "" Scramble għall-Afrika ""u l-"" Politika tal-Bieb Miftuħ ""fiċ-Ċina.")</f>
        <v>L-Età tal-Imperjalizmu, perjodu ta 'żmien li jibda madwar l-1700, rajna nazzjonijiet (ġeneralment) li jidħlu fil-proċess tal-kolonizzazzjoni, l-influwenza u l-anness ta' partijiet oħra tad-dinja sabiex jiksbu poter politiku. [Ċitazzjoni meħtieġa] għalkemm il-prattiki imperjalisti għandhom Eżisti għal eluf ta 'snin, it-terminu "età ta' l-imperjalizmu" ġeneralment jirreferi għall-attivitajiet tal-poteri Ewropej mill-bidu tas-seklu 18 sa nofs is-seklu 20, pereżempju, il- "logħba kbira" fl-artijiet Persjani, il- "" " Scramble għall-Afrika "u l-" Politika tal-Bieb Miftuħ "fiċ-Ċina.</v>
      </c>
    </row>
    <row r="8998" ht="15.75" customHeight="1">
      <c r="A8998" s="2" t="s">
        <v>8998</v>
      </c>
      <c r="B8998" s="2" t="str">
        <f>IFERROR(__xludf.DUMMYFUNCTION("GOOGLETRANSLATE(A8998, ""en"", ""mt"")")," X'tip ta 'reġim iddeċieda fuq is-Sudan għal ħafna għexieren ta' snin?")</f>
        <v> X'tip ta 'reġim iddeċieda fuq is-Sudan għal ħafna għexieren ta' snin?</v>
      </c>
    </row>
    <row r="8999" ht="15.75" customHeight="1">
      <c r="A8999" s="2" t="s">
        <v>8999</v>
      </c>
      <c r="B8999" s="2" t="str">
        <f>IFERROR(__xludf.DUMMYFUNCTION("GOOGLETRANSLATE(A8999, ""en"", ""mt"")"),"F'liema xahar u sena kien il-manwal ta 'regolamenti rivedut għall-iskejjel privati ​​rilaxxati?")</f>
        <v>F'liema xahar u sena kien il-manwal ta 'regolamenti rivedut għall-iskejjel privati ​​rilaxxati?</v>
      </c>
    </row>
    <row r="9000" ht="15.75" customHeight="1">
      <c r="A9000" s="2" t="s">
        <v>9000</v>
      </c>
      <c r="B9000" s="2" t="str">
        <f>IFERROR(__xludf.DUMMYFUNCTION("GOOGLETRANSLATE(A9000, ""en"", ""mt"")"),"L-immunoloġija hija ferm sperimentali fil-prattika ta 'kuljum iżda hija wkoll ikkaratterizzata minn attitudni teoretika kontinwa. Ħafna teoriji ġew issuġġeriti fl-immunoloġija mill-aħħar tas-seklu dsatax sal-lum. L-aħħar tas-seklu 19 u l-bidu tas-seklu 20"&amp;" raw battalja bejn teoriji ""ċellulari"" u ""umoristiċi"" tal-immunità. Skond it-teorija ċellulari tal-immunità, irrappreżentata b'mod partikolari minn Elie Metchnikoff, kienu ċelloli - b'mod aktar preċiż, fagoċiti - li kienu responsabbli għar-risponsi im"&amp;"muni. B'kuntrast, it-teorija umoristika tal-immunità, miżmuma, fost oħrajn, minn Robert Koch u Emil von Behring, iddikjaraw li l-aġenti immuni attivi kienu komponenti li jinħallu (molekuli) misjuba fl- ""umor"" tal-organiżmu aktar milli ċ-ċelloli tiegħu.")</f>
        <v>L-immunoloġija hija ferm sperimentali fil-prattika ta 'kuljum iżda hija wkoll ikkaratterizzata minn attitudni teoretika kontinwa. Ħafna teoriji ġew issuġġeriti fl-immunoloġija mill-aħħar tas-seklu dsatax sal-lum. L-aħħar tas-seklu 19 u l-bidu tas-seklu 20 raw battalja bejn teoriji "ċellulari" u "umoristiċi" tal-immunità. Skond it-teorija ċellulari tal-immunità, irrappreżentata b'mod partikolari minn Elie Metchnikoff, kienu ċelloli - b'mod aktar preċiż, fagoċiti - li kienu responsabbli għar-risponsi immuni. B'kuntrast, it-teorija umoristika tal-immunità, miżmuma, fost oħrajn, minn Robert Koch u Emil von Behring, iddikjaraw li l-aġenti immuni attivi kienu komponenti li jinħallu (molekuli) misjuba fl- "umor" tal-organiżmu aktar milli ċ-ċelloli tiegħu.</v>
      </c>
    </row>
    <row r="9001" ht="15.75" customHeight="1">
      <c r="A9001" s="2" t="s">
        <v>9001</v>
      </c>
      <c r="B9001" s="2" t="str">
        <f>IFERROR(__xludf.DUMMYFUNCTION("GOOGLETRANSLATE(A9001, ""en"", ""mt"")"),"Pressjonijiet akbar minn dak li jista 'jwassal għal konvulżjonijiet?")</f>
        <v>Pressjonijiet akbar minn dak li jista 'jwassal għal konvulżjonijiet?</v>
      </c>
    </row>
    <row r="9002" ht="15.75" customHeight="1">
      <c r="A9002" s="2" t="s">
        <v>9002</v>
      </c>
      <c r="B9002" s="2" t="str">
        <f>IFERROR(__xludf.DUMMYFUNCTION("GOOGLETRANSLATE(A9002, ""en"", ""mt"")"),"Min kien l-uniku raġel li jistudja l-proprjetajiet mediċinali tal-pjanti fil-Greċja antika?")</f>
        <v>Min kien l-uniku raġel li jistudja l-proprjetajiet mediċinali tal-pjanti fil-Greċja antika?</v>
      </c>
    </row>
    <row r="9003" ht="15.75" customHeight="1">
      <c r="A9003" s="2" t="s">
        <v>9003</v>
      </c>
      <c r="B9003" s="2" t="str">
        <f>IFERROR(__xludf.DUMMYFUNCTION("GOOGLETRANSLATE(A9003, ""en"", ""mt"")"),"Bord tal-Fiduċjarji")</f>
        <v>Bord tal-Fiduċjarji</v>
      </c>
    </row>
    <row r="9004" ht="15.75" customHeight="1">
      <c r="A9004" s="2" t="s">
        <v>9004</v>
      </c>
      <c r="B9004" s="2" t="str">
        <f>IFERROR(__xludf.DUMMYFUNCTION("GOOGLETRANSLATE(A9004, ""en"", ""mt"")"),"1332")</f>
        <v>1332</v>
      </c>
    </row>
    <row r="9005" ht="15.75" customHeight="1">
      <c r="A9005" s="2" t="s">
        <v>9005</v>
      </c>
      <c r="B9005" s="2" t="str">
        <f>IFERROR(__xludf.DUMMYFUNCTION("GOOGLETRANSLATE(A9005, ""en"", ""mt"")"),"port addizzjonali")</f>
        <v>port addizzjonali</v>
      </c>
    </row>
    <row r="9006" ht="15.75" customHeight="1">
      <c r="A9006" s="2" t="s">
        <v>9006</v>
      </c>
      <c r="B9006" s="2" t="str">
        <f>IFERROR(__xludf.DUMMYFUNCTION("GOOGLETRANSLATE(A9006, ""en"", ""mt"")"),"simbjotiku")</f>
        <v>simbjotiku</v>
      </c>
    </row>
    <row r="9007" ht="15.75" customHeight="1">
      <c r="A9007" s="2" t="s">
        <v>9007</v>
      </c>
      <c r="B9007" s="2" t="str">
        <f>IFERROR(__xludf.DUMMYFUNCTION("GOOGLETRANSLATE(A9007, ""en"", ""mt"")"),"Mhux qed tieħu xogħol minħabba żwieġ jew tqala")</f>
        <v>Mhux qed tieħu xogħol minħabba żwieġ jew tqala</v>
      </c>
    </row>
    <row r="9008" ht="15.75" customHeight="1">
      <c r="A9008" s="2" t="s">
        <v>9008</v>
      </c>
      <c r="B9008" s="2" t="str">
        <f>IFERROR(__xludf.DUMMYFUNCTION("GOOGLETRANSLATE(A9008, ""en"", ""mt"")"),"X'kienet is-suppożizzjoni wara l-kitbiet ta 'Platun?")</f>
        <v>X'kienet is-suppożizzjoni wara l-kitbiet ta 'Platun?</v>
      </c>
    </row>
    <row r="9009" ht="15.75" customHeight="1">
      <c r="A9009" s="2" t="s">
        <v>9009</v>
      </c>
      <c r="B9009" s="2" t="str">
        <f>IFERROR(__xludf.DUMMYFUNCTION("GOOGLETRANSLATE(A9009, ""en"", ""mt"")"),"Drogi anti-infjammatorji spiss jintużaw biex jikkontrollaw l-effetti ta 'infjammazzjoni. Il-glukokortikojdi huma l-aktar qawwija minn dawn il-mediċini; Madankollu, dawn il-mediċini jista 'jkollhom ħafna effetti sekondarji mhux mixtieqa, bħal obeżità ċentr"&amp;"ali, ipergliċemija, osteoporożi, u l-użu tagħhom għandu jkun ikkontrollat ​​sewwa. Dożi aktar baxxi ta 'mediċini anti-infjammatorji ħafna drabi jintużaw flimkien ma' mediċini ċitotossiċi jew immunosoppressivi bħal methotrexate jew azathioprine. Drogi ċito"&amp;"tossiċi jinibixxu r-rispons immuni billi joqtlu ċelloli diviżorji bħal ċelloli T attivati. Madankollu, il-qtil huwa indiskriminat u ċelloli oħra li jinqasmu kontinwament u l-organi tagħhom huma affettwati, u dan jikkawża effetti sekondarji tossiċi. Drogi "&amp;"immunosoppressivi bħal cyclosporin jipprevjenu ċ-ċelloli T milli jirrispondu għal sinjali b'mod korrett billi jinibixxu l-mogħdijiet ta 'transduzzjoni tas-sinjal.")</f>
        <v>Drogi anti-infjammatorji spiss jintużaw biex jikkontrollaw l-effetti ta 'infjammazzjoni. Il-glukokortikojdi huma l-aktar qawwija minn dawn il-mediċini; Madankollu, dawn il-mediċini jista 'jkollhom ħafna effetti sekondarji mhux mixtieqa, bħal obeżità ċentrali, ipergliċemija, osteoporożi, u l-użu tagħhom għandu jkun ikkontrollat ​​sewwa. Dożi aktar baxxi ta 'mediċini anti-infjammatorji ħafna drabi jintużaw flimkien ma' mediċini ċitotossiċi jew immunosoppressivi bħal methotrexate jew azathioprine. Drogi ċitotossiċi jinibixxu r-rispons immuni billi joqtlu ċelloli diviżorji bħal ċelloli T attivati. Madankollu, il-qtil huwa indiskriminat u ċelloli oħra li jinqasmu kontinwament u l-organi tagħhom huma affettwati, u dan jikkawża effetti sekondarji tossiċi. Drogi immunosoppressivi bħal cyclosporin jipprevjenu ċ-ċelloli T milli jirrispondu għal sinjali b'mod korrett billi jinibixxu l-mogħdijiet ta 'transduzzjoni tas-sinjal.</v>
      </c>
    </row>
    <row r="9010" ht="15.75" customHeight="1">
      <c r="A9010" s="2" t="s">
        <v>9010</v>
      </c>
      <c r="B9010" s="2" t="str">
        <f>IFERROR(__xludf.DUMMYFUNCTION("GOOGLETRANSLATE(A9010, ""en"", ""mt"")"),"X'kienet inkarigata l-Aġenzija tal-Informazzjoni ta 'l-Istati Uniti li għamlet matul il-Gwerra Bierda?")</f>
        <v>X'kienet inkarigata l-Aġenzija tal-Informazzjoni ta 'l-Istati Uniti li għamlet matul il-Gwerra Bierda?</v>
      </c>
    </row>
    <row r="9011" ht="15.75" customHeight="1">
      <c r="A9011" s="2" t="s">
        <v>9011</v>
      </c>
      <c r="B9011" s="2" t="str">
        <f>IFERROR(__xludf.DUMMYFUNCTION("GOOGLETRANSLATE(A9011, ""en"", ""mt"")"),"Sistema ta 'qsim ta' ħin, ibbażata fuq ix-xogħol ta 'Kemney f'Dartmouth - li uża kompjuter b'self minn GE - jista' jkun ta 'profitt")</f>
        <v>Sistema ta 'qsim ta' ħin, ibbażata fuq ix-xogħol ta 'Kemney f'Dartmouth - li uża kompjuter b'self minn GE - jista' jkun ta 'profitt</v>
      </c>
    </row>
    <row r="9012" ht="15.75" customHeight="1">
      <c r="A9012" s="2" t="s">
        <v>9012</v>
      </c>
      <c r="B9012" s="2" t="str">
        <f>IFERROR(__xludf.DUMMYFUNCTION("GOOGLETRANSLATE(A9012, ""en"", ""mt"")"),"Apparati kumplessi bħal skali ta 'użin jintużaw meta tkejjel x'inhu?")</f>
        <v>Apparati kumplessi bħal skali ta 'użin jintużaw meta tkejjel x'inhu?</v>
      </c>
    </row>
    <row r="9013" ht="15.75" customHeight="1">
      <c r="A9013" s="2" t="s">
        <v>9013</v>
      </c>
      <c r="B9013" s="2" t="str">
        <f>IFERROR(__xludf.DUMMYFUNCTION("GOOGLETRANSLATE(A9013, ""en"", ""mt"")"),"Suppliment tal-Ħlas tat-Tagħlim")</f>
        <v>Suppliment tal-Ħlas tat-Tagħlim</v>
      </c>
    </row>
    <row r="9014" ht="15.75" customHeight="1">
      <c r="A9014" s="2" t="s">
        <v>9014</v>
      </c>
      <c r="B9014" s="2" t="str">
        <f>IFERROR(__xludf.DUMMYFUNCTION("GOOGLETRANSLATE(A9014, ""en"", ""mt"")"),"Fermat")</f>
        <v>Fermat</v>
      </c>
    </row>
    <row r="9015" ht="15.75" customHeight="1">
      <c r="A9015" s="2" t="s">
        <v>9015</v>
      </c>
      <c r="B9015" s="2" t="str">
        <f>IFERROR(__xludf.DUMMYFUNCTION("GOOGLETRANSLATE(A9015, ""en"", ""mt"")"),"Barro sab li hemm ħafna relazzjoni bejn l-inugwaljanza tad-dħul u r-rati ta 'xiex?")</f>
        <v>Barro sab li hemm ħafna relazzjoni bejn l-inugwaljanza tad-dħul u r-rati ta 'xiex?</v>
      </c>
    </row>
    <row r="9016" ht="15.75" customHeight="1">
      <c r="A9016" s="2" t="s">
        <v>9016</v>
      </c>
      <c r="B9016" s="2" t="str">
        <f>IFERROR(__xludf.DUMMYFUNCTION("GOOGLETRANSLATE(A9016, ""en"", ""mt"")"),"X'għandhom il-membri tal-ġeneru Haeckelia ġeneralment jaqbdu l-verżjoni tal-adulti?")</f>
        <v>X'għandhom il-membri tal-ġeneru Haeckelia ġeneralment jaqbdu l-verżjoni tal-adulti?</v>
      </c>
    </row>
    <row r="9017" ht="15.75" customHeight="1">
      <c r="A9017" s="2" t="s">
        <v>9017</v>
      </c>
      <c r="B9017" s="2" t="str">
        <f>IFERROR(__xludf.DUMMYFUNCTION("GOOGLETRANSLATE(A9017, ""en"", ""mt"")"),"Kemm hemm nies li l-Istat Iżlamiku kkontrolla t-territorju ta 'Frar 2015?")</f>
        <v>Kemm hemm nies li l-Istat Iżlamiku kkontrolla t-territorju ta 'Frar 2015?</v>
      </c>
    </row>
    <row r="9018" ht="15.75" customHeight="1">
      <c r="A9018" s="2" t="s">
        <v>9018</v>
      </c>
      <c r="B9018" s="2" t="str">
        <f>IFERROR(__xludf.DUMMYFUNCTION("GOOGLETRANSLATE(A9018, ""en"", ""mt"")"),"Leġislazzjoni dwar l-ispiżerija")</f>
        <v>Leġislazzjoni dwar l-ispiżerija</v>
      </c>
    </row>
    <row r="9019" ht="15.75" customHeight="1">
      <c r="A9019" s="2" t="s">
        <v>9019</v>
      </c>
      <c r="B9019" s="2" t="str">
        <f>IFERROR(__xludf.DUMMYFUNCTION("GOOGLETRANSLATE(A9019, ""en"", ""mt"")"),"X'inhi l-popolazzjoni ta 'Los Angeles?")</f>
        <v>X'inhi l-popolazzjoni ta 'Los Angeles?</v>
      </c>
    </row>
    <row r="9020" ht="15.75" customHeight="1">
      <c r="A9020" s="2" t="s">
        <v>9020</v>
      </c>
      <c r="B9020" s="2" t="str">
        <f>IFERROR(__xludf.DUMMYFUNCTION("GOOGLETRANSLATE(A9020, ""en"", ""mt"")"),"X'kien il-gvernijiet tar-Renju Unit jibbenefikaw l-iċċekkjar tal-agenchy fl-2012?")</f>
        <v>X'kien il-gvernijiet tar-Renju Unit jibbenefikaw l-iċċekkjar tal-agenchy fl-2012?</v>
      </c>
    </row>
    <row r="9021" ht="15.75" customHeight="1">
      <c r="A9021" s="2" t="s">
        <v>9021</v>
      </c>
      <c r="B9021" s="2" t="str">
        <f>IFERROR(__xludf.DUMMYFUNCTION("GOOGLETRANSLATE(A9021, ""en"", ""mt"")"),"4 ġimgħat imħallsa")</f>
        <v>4 ġimgħat imħallsa</v>
      </c>
    </row>
    <row r="9022" ht="15.75" customHeight="1">
      <c r="A9022" s="2" t="s">
        <v>9022</v>
      </c>
      <c r="B9022" s="2" t="str">
        <f>IFERROR(__xludf.DUMMYFUNCTION("GOOGLETRANSLATE(A9022, ""en"", ""mt"")"),"Il-magni tal-fwar spiss ikollhom żewġ mekkaniżmi indipendenti biex jiżguraw li l-pressjoni fil-bojler ma tmurx għoli wisq; Wieħed jista 'jiġi aġġustat mill-utent, it-tieni huwa tipikament iddisinjat bħala falliment aħħari. Valvi ta 'sigurtà bħal dawn trad"&amp;"izzjonalment użaw lieva sempliċi biex trażżan valv tal-plagg fil-parti ta' fuq ta 'bojler. Tmiem tal-lieva wettaq piż jew molla li rażżan il-valv kontra l-pressjoni tal-fwar. Valvi bikrija jistgħu jiġu aġġustati minn sewwieqa tal-magna, li jwasslu għal ħa"&amp;"fna inċidenti meta xufier waħħal il-valv 'l isfel biex jippermetti pressjoni tal-fwar akbar u aktar qawwa mill-magna. It-tip aktar reċenti ta 'valv ta' sigurtà juża valv mgħobbi bir-rebbiegħa aġġustabbli, li huwa msakkra b'tali mod li l-operaturi ma jistg"&amp;"ħux ibatu l-aġġustament tiegħu sakemm siġill illegalment ikun miksur. Dan l-arranġament huwa konsiderevolment aktar sigur. [Ċitazzjoni meħtieġa]")</f>
        <v>Il-magni tal-fwar spiss ikollhom żewġ mekkaniżmi indipendenti biex jiżguraw li l-pressjoni fil-bojler ma tmurx għoli wisq; Wieħed jista 'jiġi aġġustat mill-utent, it-tieni huwa tipikament iddisinjat bħala falliment aħħari. Valvi ta 'sigurtà bħal dawn tradizzjonalment użaw lieva sempliċi biex trażżan valv tal-plagg fil-parti ta' fuq ta 'bojler. Tmiem tal-lieva wettaq piż jew molla li rażżan il-valv kontra l-pressjoni tal-fwar. Valvi bikrija jistgħu jiġu aġġustati minn sewwieqa tal-magna, li jwasslu għal ħafna inċidenti meta xufier waħħal il-valv 'l isfel biex jippermetti pressjoni tal-fwar akbar u aktar qawwa mill-magna. It-tip aktar reċenti ta 'valv ta' sigurtà juża valv mgħobbi bir-rebbiegħa aġġustabbli, li huwa msakkra b'tali mod li l-operaturi ma jistgħux ibatu l-aġġustament tiegħu sakemm siġill illegalment ikun miksur. Dan l-arranġament huwa konsiderevolment aktar sigur. [Ċitazzjoni meħtieġa]</v>
      </c>
    </row>
    <row r="9023" ht="15.75" customHeight="1">
      <c r="A9023" s="2" t="s">
        <v>9023</v>
      </c>
      <c r="B9023" s="2" t="str">
        <f>IFERROR(__xludf.DUMMYFUNCTION("GOOGLETRANSLATE(A9023, ""en"", ""mt"")"),"X'miżuri l-livelli ta 'konsum tal-fjuwil?")</f>
        <v>X'miżuri l-livelli ta 'konsum tal-fjuwil?</v>
      </c>
    </row>
    <row r="9024" ht="15.75" customHeight="1">
      <c r="A9024" s="2" t="s">
        <v>9024</v>
      </c>
      <c r="B9024" s="2" t="str">
        <f>IFERROR(__xludf.DUMMYFUNCTION("GOOGLETRANSLATE(A9024, ""en"", ""mt"")"),"Ma 'liema kultura ngħaqqdet in-Normans fl-Irlanda?")</f>
        <v>Ma 'liema kultura ngħaqqdet in-Normans fl-Irlanda?</v>
      </c>
    </row>
    <row r="9025" ht="15.75" customHeight="1">
      <c r="A9025" s="2" t="s">
        <v>9025</v>
      </c>
      <c r="B9025" s="2" t="str">
        <f>IFERROR(__xludf.DUMMYFUNCTION("GOOGLETRANSLATE(A9025, ""en"", ""mt"")"),"Il-belt hija s-sede ta 'Arċidjoċesi Kattolika Rumana (xellug tax-xellug tal-Vistula) u djoċesi (bank tal-lemin), u għandha diversi universitajiet, l-aktar l-aktar l-Akkademja tax-Xjenzi Pollakki u l-Università ta' Varsavja, żewġ djar tal-opra, teatri, muż"&amp;"ewijiet, libreriji u monumenti. Iċ-ċentru storiku tal-belt ta ’Varsavja bil-belt il-qadima pittoreska tagħha fl-1980 kien elenkat bħala sit tal-Wirt Dinji tal-UNESCO. Attrazzjonijiet arkitettoniċi ewlenin oħra jinkludu l-Pjazza tal-Kastell mal-Kastell Irj"&amp;"ali u l-kolonna emblematika tar-Re Sigismund, il-Katidral ta ’San Ġwann, il-Pjazza tas-Suq, il-Palazzi, il-Knejjes u l-Mansions kollha li juru rikkezza ta’ kulur u dettall arkitettoniku. Il-bini jirrappreżenta eżempji ta 'kważi kull stil arkitettoniku Ewr"&amp;"opew u perjodu storiku. Varsavja tipprovdi bosta eżempji ta ’arkitettura mill-perjodi Gotiċi, Rinaxximent, Barokk u Neoklasiku, u madwar kwart tal-belt hija mimlija parks lussużi u ġonna rjali.")</f>
        <v>Il-belt hija s-sede ta 'Arċidjoċesi Kattolika Rumana (xellug tax-xellug tal-Vistula) u djoċesi (bank tal-lemin), u għandha diversi universitajiet, l-aktar l-aktar l-Akkademja tax-Xjenzi Pollakki u l-Università ta' Varsavja, żewġ djar tal-opra, teatri, mużewijiet, libreriji u monumenti. Iċ-ċentru storiku tal-belt ta ’Varsavja bil-belt il-qadima pittoreska tagħha fl-1980 kien elenkat bħala sit tal-Wirt Dinji tal-UNESCO. Attrazzjonijiet arkitettoniċi ewlenin oħra jinkludu l-Pjazza tal-Kastell mal-Kastell Irjali u l-kolonna emblematika tar-Re Sigismund, il-Katidral ta ’San Ġwann, il-Pjazza tas-Suq, il-Palazzi, il-Knejjes u l-Mansions kollha li juru rikkezza ta’ kulur u dettall arkitettoniku. Il-bini jirrappreżenta eżempji ta 'kważi kull stil arkitettoniku Ewropew u perjodu storiku. Varsavja tipprovdi bosta eżempji ta ’arkitettura mill-perjodi Gotiċi, Rinaxximent, Barokk u Neoklasiku, u madwar kwart tal-belt hija mimlija parks lussużi u ġonna rjali.</v>
      </c>
    </row>
    <row r="9026" ht="15.75" customHeight="1">
      <c r="A9026" s="2" t="s">
        <v>9026</v>
      </c>
      <c r="B9026" s="2" t="str">
        <f>IFERROR(__xludf.DUMMYFUNCTION("GOOGLETRANSLATE(A9026, ""en"", ""mt"")"),"Liema dikjarazzjoni bbażat l-emigrazzjoni tar-refuġjati Huguenot?")</f>
        <v>Liema dikjarazzjoni bbażat l-emigrazzjoni tar-refuġjati Huguenot?</v>
      </c>
    </row>
    <row r="9027" ht="15.75" customHeight="1">
      <c r="A9027" s="2" t="s">
        <v>9027</v>
      </c>
      <c r="B9027" s="2" t="str">
        <f>IFERROR(__xludf.DUMMYFUNCTION("GOOGLETRANSLATE(A9027, ""en"", ""mt"")"),"Kolonji barranin")</f>
        <v>Kolonji barranin</v>
      </c>
    </row>
    <row r="9028" ht="15.75" customHeight="1">
      <c r="A9028" s="2" t="s">
        <v>9028</v>
      </c>
      <c r="B9028" s="2" t="str">
        <f>IFERROR(__xludf.DUMMYFUNCTION("GOOGLETRANSLATE(A9028, ""en"", ""mt"")"),"Liema jum tal-ġimgħa jseħħ il-ħin għar-riflessjoni?")</f>
        <v>Liema jum tal-ġimgħa jseħħ il-ħin għar-riflessjoni?</v>
      </c>
    </row>
    <row r="9029" ht="15.75" customHeight="1">
      <c r="A9029" s="2" t="s">
        <v>9029</v>
      </c>
      <c r="B9029" s="2" t="str">
        <f>IFERROR(__xludf.DUMMYFUNCTION("GOOGLETRANSLATE(A9029, ""en"", ""mt"")"),"Min normalment jissorvelja inkonvenjent għall-pubbliku?")</f>
        <v>Min normalment jissorvelja inkonvenjent għall-pubbliku?</v>
      </c>
    </row>
    <row r="9030" ht="15.75" customHeight="1">
      <c r="A9030" s="2" t="s">
        <v>9030</v>
      </c>
      <c r="B9030" s="2" t="str">
        <f>IFERROR(__xludf.DUMMYFUNCTION("GOOGLETRANSLATE(A9030, ""en"", ""mt"")"),"X'inhi kwistjoni waħda li tneħħi l-kumplessità ta 'xogħol ta' spiżjar?")</f>
        <v>X'inhi kwistjoni waħda li tneħħi l-kumplessità ta 'xogħol ta' spiżjar?</v>
      </c>
    </row>
    <row r="9031" ht="15.75" customHeight="1">
      <c r="A9031" s="2" t="s">
        <v>9031</v>
      </c>
      <c r="B9031" s="2" t="str">
        <f>IFERROR(__xludf.DUMMYFUNCTION("GOOGLETRANSLATE(A9031, ""en"", ""mt"")"),"Għalkemm l-Unjoni Ewropea m'għandhiex kostituzzjoni kodifikata, bħal kull korp politiku li għandu liġijiet li ""jikkostitwixxu"" l-istruttura bażika ta 'governanza tagħha. Is-sorsi kostituzzjonali primarji tal-UE huma t-Trattat dwar l-Unjoni Ewropea (TEU)"&amp;" u t-Trattat dwar il-Funzjonament tal-Unjoni Ewropea (TFEU), li ġew miftehma jew osservati fost il-gvernijiet tat-28 stat membru kollha. It-trattati jistabbilixxu l-istituzzjonijiet tal-UE, jelenkaw is-setgħat u r-responsabbiltajiet tagħhom, u jispjegaw l"&amp;"-oqsma li fihom l-UE tista 'tilleġiżla b'direttivi jew regolamenti. Il-Kummissjoni Ewropea għandha l-inizjattiva li tipproponi leġislazzjoni. Matul il-proċedura leġiżlattiva ordinarja, il-Kunsill (li huma ministri mill-gvernijiet tal-Istat Membru) u l-Par"&amp;"lament Ewropew (elett miċ-ċittadini) jista 'jagħmel emendi u għandu jagħti l-kunsens tagħhom għal-liġijiet li jgħaddu. Il-Kummissjoni tissorvelja d-dipartimenti u diversi aġenziji li jeżegwixxu jew jinfurzaw il-liġi tal-UE. Il- ""Kunsill Ewropew"" (minflo"&amp;"k il-Kunsill, magħmul minn ministri tal-gvern differenti) huwa magħmul mill-Prim Ministri jew il-Presidenti Eżekuttivi tal-Istati Membri. Huwa jaħtar il-Kummissarji u l-Bord tal-Bank Ċentrali Ewropew. Il-Qorti Ewropea tal-Ġustizzja hija l-korp ġudizzjarju"&amp;" suprem li jinterpreta l-liġi tal-UE, u jiżviluppaha permezz ta 'preċedent. Il-qorti tista 'tirrevedi l-legalità tal-azzjonijiet tal-istituzzjonijiet tal-UE, b'konformità mat-trattati. Jista 'jiddeċiedi wkoll dwar talbiet għal ksur tal-liġijiet tal-UE mil"&amp;"l-istati membri u ċ-ċittadini.")</f>
        <v>Għalkemm l-Unjoni Ewropea m'għandhiex kostituzzjoni kodifikata, bħal kull korp politiku li għandu liġijiet li "jikkostitwixxu" l-istruttura bażika ta 'governanza tagħha. Is-sorsi kostituzzjonali primarji tal-UE huma t-Trattat dwar l-Unjoni Ewropea (TEU) u t-Trattat dwar il-Funzjonament tal-Unjoni Ewropea (TFEU), li ġew miftehma jew osservati fost il-gvernijiet tat-28 stat membru kollha. It-trattati jistabbilixxu l-istituzzjonijiet tal-UE, jelenkaw is-setgħat u r-responsabbiltajiet tagħhom, u jispjegaw l-oqsma li fihom l-UE tista 'tilleġiżla b'direttivi jew regolamenti. Il-Kummissjoni Ewropea għandha l-inizjattiva li tipproponi leġislazzjoni. Matul il-proċedura leġiżlattiva ordinarja, il-Kunsill (li huma ministri mill-gvernijiet tal-Istat Membru) u l-Parlament Ewropew (elett miċ-ċittadini) jista 'jagħmel emendi u għandu jagħti l-kunsens tagħhom għal-liġijiet li jgħaddu. Il-Kummissjoni tissorvelja d-dipartimenti u diversi aġenziji li jeżegwixxu jew jinfurzaw il-liġi tal-UE. Il- "Kunsill Ewropew" (minflok il-Kunsill, magħmul minn ministri tal-gvern differenti) huwa magħmul mill-Prim Ministri jew il-Presidenti Eżekuttivi tal-Istati Membri. Huwa jaħtar il-Kummissarji u l-Bord tal-Bank Ċentrali Ewropew. Il-Qorti Ewropea tal-Ġustizzja hija l-korp ġudizzjarju suprem li jinterpreta l-liġi tal-UE, u jiżviluppaha permezz ta 'preċedent. Il-qorti tista 'tirrevedi l-legalità tal-azzjonijiet tal-istituzzjonijiet tal-UE, b'konformità mat-trattati. Jista 'jiddeċiedi wkoll dwar talbiet għal ksur tal-liġijiet tal-UE mill-istati membri u ċ-ċittadini.</v>
      </c>
    </row>
    <row r="9032" ht="15.75" customHeight="1">
      <c r="A9032" s="2" t="s">
        <v>9032</v>
      </c>
      <c r="B9032" s="2" t="str">
        <f>IFERROR(__xludf.DUMMYFUNCTION("GOOGLETRANSLATE(A9032, ""en"", ""mt"")"),"Fejn kien jinsab id-Dyrrachium?")</f>
        <v>Fejn kien jinsab id-Dyrrachium?</v>
      </c>
    </row>
    <row r="9033" ht="15.75" customHeight="1">
      <c r="A9033" s="2" t="s">
        <v>9033</v>
      </c>
      <c r="B9033" s="2" t="str">
        <f>IFERROR(__xludf.DUMMYFUNCTION("GOOGLETRANSLATE(A9033, ""en"", ""mt"")"),"X'inhu l-inqas algoritmu magħruf assoċjat mal-problema ta 'fatturizzazzjoni sħiħa?")</f>
        <v>X'inhu l-inqas algoritmu magħruf assoċjat mal-problema ta 'fatturizzazzjoni sħiħa?</v>
      </c>
    </row>
    <row r="9034" ht="15.75" customHeight="1">
      <c r="A9034" s="2" t="s">
        <v>9034</v>
      </c>
      <c r="B9034" s="2" t="str">
        <f>IFERROR(__xludf.DUMMYFUNCTION("GOOGLETRANSLATE(A9034, ""en"", ""mt"")"),"Varsavja baqgħet il-kapitali tal-Commonwealth Pollakka-Litwana sal-1796, meta ġiet annessa mir-renju tal-Prussja biex issir il-kapitali tal-provinċja tan-Nofsinhar tal-Prussja. Meħlus mill-armata ta 'Napuljun fl-1806, Varsavja saret il-kapitali tad-Dukat "&amp;"ta' Varsavja li għadu kif inħoloq. Wara l-Kungress ta ’Vjenna tal-1815, Varsavja sar iċ-ċentru tal-Kungress tal-Polonja, monarkija kostituzzjonali taħt unjoni personali mar-Russja Imperjali. L-Università Rjali ta ’Varsavja ġiet stabbilita fl-1816.")</f>
        <v>Varsavja baqgħet il-kapitali tal-Commonwealth Pollakka-Litwana sal-1796, meta ġiet annessa mir-renju tal-Prussja biex issir il-kapitali tal-provinċja tan-Nofsinhar tal-Prussja. Meħlus mill-armata ta 'Napuljun fl-1806, Varsavja saret il-kapitali tad-Dukat ta' Varsavja li għadu kif inħoloq. Wara l-Kungress ta ’Vjenna tal-1815, Varsavja sar iċ-ċentru tal-Kungress tal-Polonja, monarkija kostituzzjonali taħt unjoni personali mar-Russja Imperjali. L-Università Rjali ta ’Varsavja ġiet stabbilita fl-1816.</v>
      </c>
    </row>
    <row r="9035" ht="15.75" customHeight="1">
      <c r="A9035" s="2" t="s">
        <v>9035</v>
      </c>
      <c r="B9035" s="2" t="str">
        <f>IFERROR(__xludf.DUMMYFUNCTION("GOOGLETRANSLATE(A9035, ""en"", ""mt"")"),"Tikklassifika l-istadji ta 'dak li hu importanti għall-immappjar tal-aspetti tal-Amażonja?")</f>
        <v>Tikklassifika l-istadji ta 'dak li hu importanti għall-immappjar tal-aspetti tal-Amażonja?</v>
      </c>
    </row>
    <row r="9036" ht="15.75" customHeight="1">
      <c r="A9036" s="2" t="s">
        <v>9036</v>
      </c>
      <c r="B9036" s="2" t="str">
        <f>IFERROR(__xludf.DUMMYFUNCTION("GOOGLETRANSLATE(A9036, ""en"", ""mt"")"),"tipi ta 'tnaqqis")</f>
        <v>tipi ta 'tnaqqis</v>
      </c>
    </row>
    <row r="9037" ht="15.75" customHeight="1">
      <c r="A9037" s="2" t="s">
        <v>9037</v>
      </c>
      <c r="B9037" s="2" t="str">
        <f>IFERROR(__xludf.DUMMYFUNCTION("GOOGLETRANSLATE(A9037, ""en"", ""mt"")"),"It-tort tal-Puente Hills")</f>
        <v>It-tort tal-Puente Hills</v>
      </c>
    </row>
    <row r="9038" ht="15.75" customHeight="1">
      <c r="A9038" s="2" t="s">
        <v>9038</v>
      </c>
      <c r="B9038" s="2" t="str">
        <f>IFERROR(__xludf.DUMMYFUNCTION("GOOGLETRANSLATE(A9038, ""en"", ""mt"")"),"Kimika")</f>
        <v>Kimika</v>
      </c>
    </row>
    <row r="9039" ht="15.75" customHeight="1">
      <c r="A9039" s="2" t="s">
        <v>9039</v>
      </c>
      <c r="B9039" s="2" t="str">
        <f>IFERROR(__xludf.DUMMYFUNCTION("GOOGLETRANSLATE(A9039, ""en"", ""mt"")"),"Riċettur tal-Vitamina D")</f>
        <v>Riċettur tal-Vitamina D</v>
      </c>
    </row>
    <row r="9040" ht="15.75" customHeight="1">
      <c r="A9040" s="2" t="s">
        <v>9040</v>
      </c>
      <c r="B9040" s="2" t="str">
        <f>IFERROR(__xludf.DUMMYFUNCTION("GOOGLETRANSLATE(A9040, ""en"", ""mt"")"),"numerużi")</f>
        <v>numerużi</v>
      </c>
    </row>
    <row r="9041" ht="15.75" customHeight="1">
      <c r="A9041" s="2" t="s">
        <v>9041</v>
      </c>
      <c r="B9041" s="2" t="str">
        <f>IFERROR(__xludf.DUMMYFUNCTION("GOOGLETRANSLATE(A9041, ""en"", ""mt"")"),"F'liema oqsma jistgħu ma jaħdmux l-informatika tal-ispiżerija?")</f>
        <v>F'liema oqsma jistgħu ma jaħdmux l-informatika tal-ispiżerija?</v>
      </c>
    </row>
    <row r="9042" ht="15.75" customHeight="1">
      <c r="A9042" s="2" t="s">
        <v>9042</v>
      </c>
      <c r="B9042" s="2" t="str">
        <f>IFERROR(__xludf.DUMMYFUNCTION("GOOGLETRANSLATE(A9042, ""en"", ""mt"")"),"X.25 kellu xi ftit aktar sempliċi?")</f>
        <v>X.25 kellu xi ftit aktar sempliċi?</v>
      </c>
    </row>
    <row r="9043" ht="15.75" customHeight="1">
      <c r="A9043" s="2" t="s">
        <v>9043</v>
      </c>
      <c r="B9043" s="2" t="str">
        <f>IFERROR(__xludf.DUMMYFUNCTION("GOOGLETRANSLATE(A9043, ""en"", ""mt"")"),"X'tip ta 'università hija l-Istitut tat-Teknoloġija ta' California?")</f>
        <v>X'tip ta 'università hija l-Istitut tat-Teknoloġija ta' California?</v>
      </c>
    </row>
    <row r="9044" ht="15.75" customHeight="1">
      <c r="A9044" s="2" t="s">
        <v>9044</v>
      </c>
      <c r="B9044" s="2" t="str">
        <f>IFERROR(__xludf.DUMMYFUNCTION("GOOGLETRANSLATE(A9044, ""en"", ""mt"")"),"L-università għandha programmi ta 'baċellerat fl-arti fina fl-arti viżwali u liema suġġett ieħor?")</f>
        <v>L-università għandha programmi ta 'baċellerat fl-arti fina fl-arti viżwali u liema suġġett ieħor?</v>
      </c>
    </row>
    <row r="9045" ht="15.75" customHeight="1">
      <c r="A9045" s="2" t="s">
        <v>9045</v>
      </c>
      <c r="B9045" s="2" t="str">
        <f>IFERROR(__xludf.DUMMYFUNCTION("GOOGLETRANSLATE(A9045, ""en"", ""mt"")"),"Il-Ferrovija tal-Kosta tal-Lvant tal-Florida")</f>
        <v>Il-Ferrovija tal-Kosta tal-Lvant tal-Florida</v>
      </c>
    </row>
    <row r="9046" ht="15.75" customHeight="1">
      <c r="A9046" s="2" t="s">
        <v>9046</v>
      </c>
      <c r="B9046" s="2" t="str">
        <f>IFERROR(__xludf.DUMMYFUNCTION("GOOGLETRANSLATE(A9046, ""en"", ""mt"")"),"Liema karta hija komunement ikkunsidrata bħala l-bellwether li joħroġ fi studji sistematiċi kumplessità tal-komputazzjoni?")</f>
        <v>Liema karta hija komunement ikkunsidrata bħala l-bellwether li joħroġ fi studji sistematiċi kumplessità tal-komputazzjoni?</v>
      </c>
    </row>
    <row r="9047" ht="15.75" customHeight="1">
      <c r="A9047" s="2" t="s">
        <v>9047</v>
      </c>
      <c r="B9047" s="2" t="str">
        <f>IFERROR(__xludf.DUMMYFUNCTION("GOOGLETRANSLATE(A9047, ""en"", ""mt"")"),"Għaliex l-operazzjoni Ingliża rnexxielha fl-1755, 56, 57?")</f>
        <v>Għaliex l-operazzjoni Ingliża rnexxielha fl-1755, 56, 57?</v>
      </c>
    </row>
    <row r="9048" ht="15.75" customHeight="1">
      <c r="A9048" s="2" t="s">
        <v>9048</v>
      </c>
      <c r="B9048" s="2" t="str">
        <f>IFERROR(__xludf.DUMMYFUNCTION("GOOGLETRANSLATE(A9048, ""en"", ""mt"")"),"X'inhuma t-tliet tipi ewlenin ta 'blat?")</f>
        <v>X'inhuma t-tliet tipi ewlenin ta 'blat?</v>
      </c>
    </row>
    <row r="9049" ht="15.75" customHeight="1">
      <c r="A9049" s="2" t="s">
        <v>9049</v>
      </c>
      <c r="B9049" s="2" t="str">
        <f>IFERROR(__xludf.DUMMYFUNCTION("GOOGLETRANSLATE(A9049, ""en"", ""mt"")"),"valur finit")</f>
        <v>valur finit</v>
      </c>
    </row>
    <row r="9050" ht="15.75" customHeight="1">
      <c r="A9050" s="2" t="s">
        <v>9050</v>
      </c>
      <c r="B9050" s="2" t="str">
        <f>IFERROR(__xludf.DUMMYFUNCTION("GOOGLETRANSLATE(A9050, ""en"", ""mt"")"),"Ewropew")</f>
        <v>Ewropew</v>
      </c>
    </row>
    <row r="9051" ht="15.75" customHeight="1">
      <c r="A9051" s="2" t="s">
        <v>9051</v>
      </c>
      <c r="B9051" s="2" t="str">
        <f>IFERROR(__xludf.DUMMYFUNCTION("GOOGLETRANSLATE(A9051, ""en"", ""mt"")"),"istantanjament f'pari ta 'reazzjoni ta' azzjoni")</f>
        <v>istantanjament f'pari ta 'reazzjoni ta' azzjoni</v>
      </c>
    </row>
    <row r="9052" ht="15.75" customHeight="1">
      <c r="A9052" s="2" t="s">
        <v>9052</v>
      </c>
      <c r="B9052" s="2" t="str">
        <f>IFERROR(__xludf.DUMMYFUNCTION("GOOGLETRANSLATE(A9052, ""en"", ""mt"")"),"Possedimenti Kontinentali tal-Amerika ta ’Fuq fil-lvant tal-Mississippi jew il-Gżejjer tal-Karibew ta’ Guadeloupe u Martinique")</f>
        <v>Possedimenti Kontinentali tal-Amerika ta ’Fuq fil-lvant tal-Mississippi jew il-Gżejjer tal-Karibew ta’ Guadeloupe u Martinique</v>
      </c>
    </row>
    <row r="9053" ht="15.75" customHeight="1">
      <c r="A9053" s="2" t="s">
        <v>9053</v>
      </c>
      <c r="B9053" s="2" t="str">
        <f>IFERROR(__xludf.DUMMYFUNCTION("GOOGLETRANSLATE(A9053, ""en"", ""mt"")"),"Parlament tar-Rabat")</f>
        <v>Parlament tar-Rabat</v>
      </c>
    </row>
    <row r="9054" ht="15.75" customHeight="1">
      <c r="A9054" s="2" t="s">
        <v>9054</v>
      </c>
      <c r="B9054" s="2" t="str">
        <f>IFERROR(__xludf.DUMMYFUNCTION("GOOGLETRANSLATE(A9054, ""en"", ""mt"")"),"11,600 bp")</f>
        <v>11,600 bp</v>
      </c>
    </row>
    <row r="9055" ht="15.75" customHeight="1">
      <c r="A9055" s="2" t="s">
        <v>9055</v>
      </c>
      <c r="B9055" s="2" t="str">
        <f>IFERROR(__xludf.DUMMYFUNCTION("GOOGLETRANSLATE(A9055, ""en"", ""mt"")"),"Fluke storiku")</f>
        <v>Fluke storiku</v>
      </c>
    </row>
    <row r="9056" ht="15.75" customHeight="1">
      <c r="A9056" s="2" t="s">
        <v>9056</v>
      </c>
      <c r="B9056" s="2" t="str">
        <f>IFERROR(__xludf.DUMMYFUNCTION("GOOGLETRANSLATE(A9056, ""en"", ""mt"")"),"bejn Franza l-ġdida u l-kolonji Ingliżi")</f>
        <v>bejn Franza l-ġdida u l-kolonji Ingliżi</v>
      </c>
    </row>
    <row r="9057" ht="15.75" customHeight="1">
      <c r="A9057" s="2" t="s">
        <v>9057</v>
      </c>
      <c r="B9057" s="2" t="str">
        <f>IFERROR(__xludf.DUMMYFUNCTION("GOOGLETRANSLATE(A9057, ""en"", ""mt"")"),"Tekniki termokimiċi")</f>
        <v>Tekniki termokimiċi</v>
      </c>
    </row>
    <row r="9058" ht="15.75" customHeight="1">
      <c r="A9058" s="2" t="s">
        <v>9058</v>
      </c>
      <c r="B9058" s="2" t="str">
        <f>IFERROR(__xludf.DUMMYFUNCTION("GOOGLETRANSLATE(A9058, ""en"", ""mt"")"),"X'inhu l-ebda motiv tal-konkors l-istess bħal?")</f>
        <v>X'inhu l-ebda motiv tal-konkors l-istess bħal?</v>
      </c>
    </row>
    <row r="9059" ht="15.75" customHeight="1">
      <c r="A9059" s="2" t="s">
        <v>9059</v>
      </c>
      <c r="B9059" s="2" t="str">
        <f>IFERROR(__xludf.DUMMYFUNCTION("GOOGLETRANSLATE(A9059, ""en"", ""mt"")"),"Min kien il-gvernatur ta 'New France?")</f>
        <v>Min kien il-gvernatur ta 'New France?</v>
      </c>
    </row>
    <row r="9060" ht="15.75" customHeight="1">
      <c r="A9060" s="2" t="s">
        <v>9060</v>
      </c>
      <c r="B9060" s="2" t="str">
        <f>IFERROR(__xludf.DUMMYFUNCTION("GOOGLETRANSLATE(A9060, ""en"", ""mt"")"),"Liema operatur fl-Awstralja kontinentali?")</f>
        <v>Liema operatur fl-Awstralja kontinentali?</v>
      </c>
    </row>
    <row r="9061" ht="15.75" customHeight="1">
      <c r="A9061" s="2" t="s">
        <v>9061</v>
      </c>
      <c r="B9061" s="2" t="str">
        <f>IFERROR(__xludf.DUMMYFUNCTION("GOOGLETRANSLATE(A9061, ""en"", ""mt"")"),"Ir-rwol ta 'Yersinia pestis fil-mewt l-Iswed")</f>
        <v>Ir-rwol ta 'Yersinia pestis fil-mewt l-Iswed</v>
      </c>
    </row>
    <row r="9062" ht="15.75" customHeight="1">
      <c r="A9062" s="2" t="s">
        <v>9062</v>
      </c>
      <c r="B9062" s="2" t="str">
        <f>IFERROR(__xludf.DUMMYFUNCTION("GOOGLETRANSLATE(A9062, ""en"", ""mt"")"),"manwalment irażżan in-nar")</f>
        <v>manwalment irażżan in-nar</v>
      </c>
    </row>
    <row r="9063" ht="15.75" customHeight="1">
      <c r="A9063" s="2" t="s">
        <v>9063</v>
      </c>
      <c r="B9063" s="2" t="str">
        <f>IFERROR(__xludf.DUMMYFUNCTION("GOOGLETRANSLATE(A9063, ""en"", ""mt"")"),"ħadem bħala min jinsaq")</f>
        <v>ħadem bħala min jinsaq</v>
      </c>
    </row>
    <row r="9064" ht="15.75" customHeight="1">
      <c r="A9064" s="2" t="s">
        <v>9064</v>
      </c>
      <c r="B9064" s="2" t="str">
        <f>IFERROR(__xludf.DUMMYFUNCTION("GOOGLETRANSLATE(A9064, ""en"", ""mt"")"),"F'liema sena Fresno ġab l-ewwel pedestrian tiegħu?")</f>
        <v>F'liema sena Fresno ġab l-ewwel pedestrian tiegħu?</v>
      </c>
    </row>
    <row r="9065" ht="15.75" customHeight="1">
      <c r="A9065" s="2" t="s">
        <v>9065</v>
      </c>
      <c r="B9065" s="2" t="str">
        <f>IFERROR(__xludf.DUMMYFUNCTION("GOOGLETRANSLATE(A9065, ""en"", ""mt"")"),"Batterjologu Franċiż-Żvizzeru Alexandre Yersin")</f>
        <v>Batterjologu Franċiż-Żvizzeru Alexandre Yersin</v>
      </c>
    </row>
    <row r="9066" ht="15.75" customHeight="1">
      <c r="A9066" s="2" t="s">
        <v>9066</v>
      </c>
      <c r="B9066" s="2" t="str">
        <f>IFERROR(__xludf.DUMMYFUNCTION("GOOGLETRANSLATE(A9066, ""en"", ""mt"")"),"Harold Wilson ippubblika rapport f'liema sena?")</f>
        <v>Harold Wilson ippubblika rapport f'liema sena?</v>
      </c>
    </row>
    <row r="9067" ht="15.75" customHeight="1">
      <c r="A9067" s="2" t="s">
        <v>9067</v>
      </c>
      <c r="B9067" s="2" t="str">
        <f>IFERROR(__xludf.DUMMYFUNCTION("GOOGLETRANSLATE(A9067, ""en"", ""mt"")"),"Ingilterra")</f>
        <v>Ingilterra</v>
      </c>
    </row>
    <row r="9068" ht="15.75" customHeight="1">
      <c r="A9068" s="2" t="s">
        <v>9068</v>
      </c>
      <c r="B9068" s="2" t="str">
        <f>IFERROR(__xludf.DUMMYFUNCTION("GOOGLETRANSLATE(A9068, ""en"", ""mt"")"),"Min telaq minn Shirley f'Oswego?")</f>
        <v>Min telaq minn Shirley f'Oswego?</v>
      </c>
    </row>
    <row r="9069" ht="15.75" customHeight="1">
      <c r="A9069" s="2" t="s">
        <v>9069</v>
      </c>
      <c r="B9069" s="2" t="str">
        <f>IFERROR(__xludf.DUMMYFUNCTION("GOOGLETRANSLATE(A9069, ""en"", ""mt"")"),"______ kemm fil-forma likwida kif ukoll fil-gass jistgħu jirriżultaw malajr f'eżlposion.")</f>
        <v>______ kemm fil-forma likwida kif ukoll fil-gass jistgħu jirriżultaw malajr f'eżlposion.</v>
      </c>
    </row>
    <row r="9070" ht="15.75" customHeight="1">
      <c r="A9070" s="2" t="s">
        <v>9070</v>
      </c>
      <c r="B9070" s="2" t="str">
        <f>IFERROR(__xludf.DUMMYFUNCTION("GOOGLETRANSLATE(A9070, ""en"", ""mt"")"),"L-istudji kif jagħtu informazzjoni dwar il-konfini tal-pjanċa tettonika?")</f>
        <v>L-istudji kif jagħtu informazzjoni dwar il-konfini tal-pjanċa tettonika?</v>
      </c>
    </row>
    <row r="9071" ht="15.75" customHeight="1">
      <c r="A9071" s="2" t="s">
        <v>9071</v>
      </c>
      <c r="B9071" s="2" t="str">
        <f>IFERROR(__xludf.DUMMYFUNCTION("GOOGLETRANSLATE(A9071, ""en"", ""mt"")"),"$ 41 triljun")</f>
        <v>$ 41 triljun</v>
      </c>
    </row>
    <row r="9072" ht="15.75" customHeight="1">
      <c r="A9072" s="2" t="s">
        <v>9072</v>
      </c>
      <c r="B9072" s="2" t="str">
        <f>IFERROR(__xludf.DUMMYFUNCTION("GOOGLETRANSLATE(A9072, ""en"", ""mt"")"),"Kemm mietu Kattoliċi Franċiżi waqt il-massakru ta 'Jum il-Bartolomew?")</f>
        <v>Kemm mietu Kattoliċi Franċiżi waqt il-massakru ta 'Jum il-Bartolomew?</v>
      </c>
    </row>
    <row r="9073" ht="15.75" customHeight="1">
      <c r="A9073" s="2" t="s">
        <v>9073</v>
      </c>
      <c r="B9073" s="2" t="str">
        <f>IFERROR(__xludf.DUMMYFUNCTION("GOOGLETRANSLATE(A9073, ""en"", ""mt"")"),"Min kien l-ex ospitanti ta 'tard bil-lejl ma' Conan O'Brien?")</f>
        <v>Min kien l-ex ospitanti ta 'tard bil-lejl ma' Conan O'Brien?</v>
      </c>
    </row>
    <row r="9074" ht="15.75" customHeight="1">
      <c r="A9074" s="2" t="s">
        <v>9074</v>
      </c>
      <c r="B9074" s="2" t="str">
        <f>IFERROR(__xludf.DUMMYFUNCTION("GOOGLETRANSLATE(A9074, ""en"", ""mt"")"),"F'liema sena nfetħu l-eqdem żidiet f'Hong Kong?")</f>
        <v>F'liema sena nfetħu l-eqdem żidiet f'Hong Kong?</v>
      </c>
    </row>
    <row r="9075" ht="15.75" customHeight="1">
      <c r="A9075" s="2" t="s">
        <v>9075</v>
      </c>
      <c r="B9075" s="2" t="str">
        <f>IFERROR(__xludf.DUMMYFUNCTION("GOOGLETRANSLATE(A9075, ""en"", ""mt"")"),"Estensjoni tal-Ferrovija tal-Kosta tal-Lvant tal-Florida Aktar fin-Nofsinhar")</f>
        <v>Estensjoni tal-Ferrovija tal-Kosta tal-Lvant tal-Florida Aktar fin-Nofsinhar</v>
      </c>
    </row>
    <row r="9076" ht="15.75" customHeight="1">
      <c r="A9076" s="2" t="s">
        <v>9076</v>
      </c>
      <c r="B9076" s="2" t="str">
        <f>IFERROR(__xludf.DUMMYFUNCTION("GOOGLETRANSLATE(A9076, ""en"", ""mt"")"),"Matul liema seklu Philo ta 'Pneumatica preforma l-esperimenti tiegħu li jinvolvu l-kombustjoni?")</f>
        <v>Matul liema seklu Philo ta 'Pneumatica preforma l-esperimenti tiegħu li jinvolvu l-kombustjoni?</v>
      </c>
    </row>
    <row r="9077" ht="15.75" customHeight="1">
      <c r="A9077" s="2" t="s">
        <v>9077</v>
      </c>
      <c r="B9077" s="2" t="str">
        <f>IFERROR(__xludf.DUMMYFUNCTION("GOOGLETRANSLATE(A9077, ""en"", ""mt"")"),"Liema sena nħoloq it-Trattat ta 'Amsterdam?")</f>
        <v>Liema sena nħoloq it-Trattat ta 'Amsterdam?</v>
      </c>
    </row>
    <row r="9078" ht="15.75" customHeight="1">
      <c r="A9078" s="2" t="s">
        <v>9078</v>
      </c>
      <c r="B9078" s="2" t="str">
        <f>IFERROR(__xludf.DUMMYFUNCTION("GOOGLETRANSLATE(A9078, ""en"", ""mt"")"),"vot")</f>
        <v>vot</v>
      </c>
    </row>
    <row r="9079" ht="15.75" customHeight="1">
      <c r="A9079" s="2" t="s">
        <v>9079</v>
      </c>
      <c r="B9079" s="2" t="str">
        <f>IFERROR(__xludf.DUMMYFUNCTION("GOOGLETRANSLATE(A9079, ""en"", ""mt"")"),"Ipprovdi limiti assoluti aħjar fuq iż-żmien u r-rati tad-deposizzjoni")</f>
        <v>Ipprovdi limiti assoluti aħjar fuq iż-żmien u r-rati tad-deposizzjoni</v>
      </c>
    </row>
    <row r="9080" ht="15.75" customHeight="1">
      <c r="A9080" s="2" t="s">
        <v>9080</v>
      </c>
      <c r="B9080" s="2" t="str">
        <f>IFERROR(__xludf.DUMMYFUNCTION("GOOGLETRANSLATE(A9080, ""en"", ""mt"")"),"Liema isem ingħata lill-plott għall-poter użurp mid-dar Franċiża ta 'l-iskuża?")</f>
        <v>Liema isem ingħata lill-plott għall-poter użurp mid-dar Franċiża ta 'l-iskuża?</v>
      </c>
    </row>
    <row r="9081" ht="15.75" customHeight="1">
      <c r="A9081" s="2" t="s">
        <v>9081</v>
      </c>
      <c r="B9081" s="2" t="str">
        <f>IFERROR(__xludf.DUMMYFUNCTION("GOOGLETRANSLATE(A9081, ""en"", ""mt"")"),"Irvine tal-Punent")</f>
        <v>Irvine tal-Punent</v>
      </c>
    </row>
    <row r="9082" ht="15.75" customHeight="1">
      <c r="A9082" s="2" t="s">
        <v>9082</v>
      </c>
      <c r="B9082" s="2" t="str">
        <f>IFERROR(__xludf.DUMMYFUNCTION("GOOGLETRANSLATE(A9082, ""en"", ""mt"")"),"X'jistgħu jkunu l-forzi ortogonali meta jkun hemm tliet komponenti b'żewġ angoli retti ma 'xulxin?")</f>
        <v>X'jistgħu jkunu l-forzi ortogonali meta jkun hemm tliet komponenti b'żewġ angoli retti ma 'xulxin?</v>
      </c>
    </row>
    <row r="9083" ht="15.75" customHeight="1">
      <c r="A9083" s="2" t="s">
        <v>9083</v>
      </c>
      <c r="B9083" s="2" t="str">
        <f>IFERROR(__xludf.DUMMYFUNCTION("GOOGLETRANSLATE(A9083, ""en"", ""mt"")"),"X'inhu sinifikanti dwar l-età ta 'Downtown Fresno?")</f>
        <v>X'inhu sinifikanti dwar l-età ta 'Downtown Fresno?</v>
      </c>
    </row>
    <row r="9084" ht="15.75" customHeight="1">
      <c r="A9084" s="2" t="s">
        <v>9084</v>
      </c>
      <c r="B9084" s="2" t="str">
        <f>IFERROR(__xludf.DUMMYFUNCTION("GOOGLETRANSLATE(A9084, ""en"", ""mt"")"),"Liema nies huma l-inqas vulnerabbli għall-infezzjoni?")</f>
        <v>Liema nies huma l-inqas vulnerabbli għall-infezzjoni?</v>
      </c>
    </row>
    <row r="9085" ht="15.75" customHeight="1">
      <c r="A9085" s="2" t="s">
        <v>9085</v>
      </c>
      <c r="B9085" s="2" t="str">
        <f>IFERROR(__xludf.DUMMYFUNCTION("GOOGLETRANSLATE(A9085, ""en"", ""mt"")"),"Kemm nies qatt ma rreġistraw biex jirċievu s-servizz HD qabel it-tnedija?")</f>
        <v>Kemm nies qatt ma rreġistraw biex jirċievu s-servizz HD qabel it-tnedija?</v>
      </c>
    </row>
    <row r="9086" ht="15.75" customHeight="1">
      <c r="A9086" s="2" t="s">
        <v>9086</v>
      </c>
      <c r="B9086" s="2" t="str">
        <f>IFERROR(__xludf.DUMMYFUNCTION("GOOGLETRANSLATE(A9086, ""en"", ""mt"")")," Liema politika Stalin implimenta ftit wara t-twelid ta 'Lenin?")</f>
        <v> Liema politika Stalin implimenta ftit wara t-twelid ta 'Lenin?</v>
      </c>
    </row>
    <row r="9087" ht="15.75" customHeight="1">
      <c r="A9087" s="2" t="s">
        <v>9087</v>
      </c>
      <c r="B9087" s="2" t="str">
        <f>IFERROR(__xludf.DUMMYFUNCTION("GOOGLETRANSLATE(A9087, ""en"", ""mt"")"),"vapuri merkantili.")</f>
        <v>vapuri merkantili.</v>
      </c>
    </row>
    <row r="9088" ht="15.75" customHeight="1">
      <c r="A9088" s="2" t="s">
        <v>9088</v>
      </c>
      <c r="B9088" s="2" t="str">
        <f>IFERROR(__xludf.DUMMYFUNCTION("GOOGLETRANSLATE(A9088, ""en"", ""mt"")"),"Min ma kellux għalfejn jiżviluppa prinċipji biex isolvi kunflitti ta 'liġijiet bejn sistemi differenti?")</f>
        <v>Min ma kellux għalfejn jiżviluppa prinċipji biex isolvi kunflitti ta 'liġijiet bejn sistemi differenti?</v>
      </c>
    </row>
    <row r="9089" ht="15.75" customHeight="1">
      <c r="A9089" s="2" t="s">
        <v>9089</v>
      </c>
      <c r="B9089" s="2" t="str">
        <f>IFERROR(__xludf.DUMMYFUNCTION("GOOGLETRANSLATE(A9089, ""en"", ""mt"")")," Liema dinastija ma taqsamx ispirazzjoni artistika mal-wan?")</f>
        <v> Liema dinastija ma taqsamx ispirazzjoni artistika mal-wan?</v>
      </c>
    </row>
    <row r="9090" ht="15.75" customHeight="1">
      <c r="A9090" s="2" t="s">
        <v>9090</v>
      </c>
      <c r="B9090" s="2" t="str">
        <f>IFERROR(__xludf.DUMMYFUNCTION("GOOGLETRANSLATE(A9090, ""en"", ""mt"")"),"Il-ħin tal-mistoqsija tat-tieni ministru jseħħ bejn liema ħinijiet il-Ħamis?")</f>
        <v>Il-ħin tal-mistoqsija tat-tieni ministru jseħħ bejn liema ħinijiet il-Ħamis?</v>
      </c>
    </row>
    <row r="9091" ht="15.75" customHeight="1">
      <c r="A9091" s="2" t="s">
        <v>9091</v>
      </c>
      <c r="B9091" s="2" t="str">
        <f>IFERROR(__xludf.DUMMYFUNCTION("GOOGLETRANSLATE(A9091, ""en"", ""mt"")"),"Min kellu Toghtogha pprova jegħleb?")</f>
        <v>Min kellu Toghtogha pprova jegħleb?</v>
      </c>
    </row>
    <row r="9092" ht="15.75" customHeight="1">
      <c r="A9092" s="2" t="s">
        <v>9092</v>
      </c>
      <c r="B9092" s="2" t="str">
        <f>IFERROR(__xludf.DUMMYFUNCTION("GOOGLETRANSLATE(A9092, ""en"", ""mt"")"),"30 sa 50 elf")</f>
        <v>30 sa 50 elf</v>
      </c>
    </row>
    <row r="9093" ht="15.75" customHeight="1">
      <c r="A9093" s="2" t="s">
        <v>9093</v>
      </c>
      <c r="B9093" s="2" t="str">
        <f>IFERROR(__xludf.DUMMYFUNCTION("GOOGLETRANSLATE(A9093, ""en"", ""mt"")"),"Xi jfisser l-ewwel mużew ta 'rkib fid-dinja li għandu waħda mill-ikbar kollezzjonijiet ta' fid-dinja?")</f>
        <v>Xi jfisser l-ewwel mużew ta 'rkib fid-dinja li għandu waħda mill-ikbar kollezzjonijiet ta' fid-dinja?</v>
      </c>
    </row>
    <row r="9094" ht="15.75" customHeight="1">
      <c r="A9094" s="2" t="s">
        <v>9094</v>
      </c>
      <c r="B9094" s="2" t="str">
        <f>IFERROR(__xludf.DUMMYFUNCTION("GOOGLETRANSLATE(A9094, ""en"", ""mt"")"),"X'jagħmel xi ħadd li jagħmel diżubbidjenti ċivily fil-qorti?")</f>
        <v>X'jagħmel xi ħadd li jagħmel diżubbidjenti ċivily fil-qorti?</v>
      </c>
    </row>
    <row r="9095" ht="15.75" customHeight="1">
      <c r="A9095" s="2" t="s">
        <v>9095</v>
      </c>
      <c r="B9095" s="2" t="str">
        <f>IFERROR(__xludf.DUMMYFUNCTION("GOOGLETRANSLATE(A9095, ""en"", ""mt"")"),"Fejn kantanta kellha konferenza stampa f'Mejju 2000?")</f>
        <v>Fejn kantanta kellha konferenza stampa f'Mejju 2000?</v>
      </c>
    </row>
    <row r="9096" ht="15.75" customHeight="1">
      <c r="A9096" s="2" t="s">
        <v>9096</v>
      </c>
      <c r="B9096" s="2" t="str">
        <f>IFERROR(__xludf.DUMMYFUNCTION("GOOGLETRANSLATE(A9096, ""en"", ""mt"")"),"Liema użu tal-apparat kien jirrappreżenta l-aħħar evoluzzjoni ewlenija tal-ġeneratur?")</f>
        <v>Liema użu tal-apparat kien jirrappreżenta l-aħħar evoluzzjoni ewlenija tal-ġeneratur?</v>
      </c>
    </row>
    <row r="9097" ht="15.75" customHeight="1">
      <c r="A9097" s="2" t="s">
        <v>9097</v>
      </c>
      <c r="B9097" s="2" t="str">
        <f>IFERROR(__xludf.DUMMYFUNCTION("GOOGLETRANSLATE(A9097, ""en"", ""mt"")"),"probabbiltà li tirrepeti")</f>
        <v>probabbiltà li tirrepeti</v>
      </c>
    </row>
    <row r="9098" ht="15.75" customHeight="1">
      <c r="A9098" s="2" t="s">
        <v>9098</v>
      </c>
      <c r="B9098" s="2" t="str">
        <f>IFERROR(__xludf.DUMMYFUNCTION("GOOGLETRANSLATE(A9098, ""en"", ""mt"")"),"Fuq liema lag it-truppi ddefendew lil Fort William Henry fix-xitwa?")</f>
        <v>Fuq liema lag it-truppi ddefendew lil Fort William Henry fix-xitwa?</v>
      </c>
    </row>
    <row r="9099" ht="15.75" customHeight="1">
      <c r="A9099" s="2" t="s">
        <v>9099</v>
      </c>
      <c r="B9099" s="2" t="str">
        <f>IFERROR(__xludf.DUMMYFUNCTION("GOOGLETRANSLATE(A9099, ""en"", ""mt"")"),"Saffi orizzontali ta 'dak li jinġibed tul wiċċ ġo waqfa ta' wara f'verżjonijiet analoġiċi ta 'esperimenti ta' feles orogeniċi?")</f>
        <v>Saffi orizzontali ta 'dak li jinġibed tul wiċċ ġo waqfa ta' wara f'verżjonijiet analoġiċi ta 'esperimenti ta' feles orogeniċi?</v>
      </c>
    </row>
    <row r="9100" ht="15.75" customHeight="1">
      <c r="A9100" s="2" t="s">
        <v>9100</v>
      </c>
      <c r="B9100" s="2" t="str">
        <f>IFERROR(__xludf.DUMMYFUNCTION("GOOGLETRANSLATE(A9100, ""en"", ""mt"")"),"Meta kien l-aħħar massimu glaċjali?")</f>
        <v>Meta kien l-aħħar massimu glaċjali?</v>
      </c>
    </row>
    <row r="9101" ht="15.75" customHeight="1">
      <c r="A9101" s="2" t="s">
        <v>9101</v>
      </c>
      <c r="B9101" s="2" t="str">
        <f>IFERROR(__xludf.DUMMYFUNCTION("GOOGLETRANSLATE(A9101, ""en"", ""mt"")"),"Relatività Ġenerali")</f>
        <v>Relatività Ġenerali</v>
      </c>
    </row>
    <row r="9102" ht="15.75" customHeight="1">
      <c r="A9102" s="2" t="s">
        <v>9102</v>
      </c>
      <c r="B9102" s="2" t="str">
        <f>IFERROR(__xludf.DUMMYFUNCTION("GOOGLETRANSLATE(A9102, ""en"", ""mt"")"),"Huma jiddisinjaw il-fażi 2")</f>
        <v>Huma jiddisinjaw il-fażi 2</v>
      </c>
    </row>
    <row r="9103" ht="15.75" customHeight="1">
      <c r="A9103" s="2" t="s">
        <v>9103</v>
      </c>
      <c r="B9103" s="2" t="str">
        <f>IFERROR(__xludf.DUMMYFUNCTION("GOOGLETRANSLATE(A9103, ""en"", ""mt"")"),"Problema ta 'ħabta np-kompluta")</f>
        <v>Problema ta 'ħabta np-kompluta</v>
      </c>
    </row>
    <row r="9104" ht="15.75" customHeight="1">
      <c r="A9104" s="2" t="s">
        <v>9104</v>
      </c>
      <c r="B9104" s="2" t="str">
        <f>IFERROR(__xludf.DUMMYFUNCTION("GOOGLETRANSLATE(A9104, ""en"", ""mt"")"),"X'inhi l-petroloġija?")</f>
        <v>X'inhi l-petroloġija?</v>
      </c>
    </row>
    <row r="9105" ht="15.75" customHeight="1">
      <c r="A9105" s="2" t="s">
        <v>9105</v>
      </c>
      <c r="B9105" s="2" t="str">
        <f>IFERROR(__xludf.DUMMYFUNCTION("GOOGLETRANSLATE(A9105, ""en"", ""mt"")"),"Uighurs ċedew b'mod paċifiku mingħajr ma jirreżistu b'mod vjolenti")</f>
        <v>Uighurs ċedew b'mod paċifiku mingħajr ma jirreżistu b'mod vjolenti</v>
      </c>
    </row>
    <row r="9106" ht="15.75" customHeight="1">
      <c r="A9106" s="2" t="s">
        <v>9106</v>
      </c>
      <c r="B9106" s="2" t="str">
        <f>IFERROR(__xludf.DUMMYFUNCTION("GOOGLETRANSLATE(A9106, ""en"", ""mt"")"),"Liema reġjun muntanjuż huwa Lake Constance minn?")</f>
        <v>Liema reġjun muntanjuż huwa Lake Constance minn?</v>
      </c>
    </row>
    <row r="9107" ht="15.75" customHeight="1">
      <c r="A9107" s="2" t="s">
        <v>9107</v>
      </c>
      <c r="B9107" s="2" t="str">
        <f>IFERROR(__xludf.DUMMYFUNCTION("GOOGLETRANSLATE(A9107, ""en"", ""mt"")"),"Liema belt laħqet il-Gran Canal waqt il-wan?")</f>
        <v>Liema belt laħqet il-Gran Canal waqt il-wan?</v>
      </c>
    </row>
    <row r="9108" ht="15.75" customHeight="1">
      <c r="A9108" s="2" t="s">
        <v>9108</v>
      </c>
      <c r="B9108" s="2" t="str">
        <f>IFERROR(__xludf.DUMMYFUNCTION("GOOGLETRANSLATE(A9108, ""en"", ""mt"")"),"il-qoxra u l-parti riġida tal-parti ta 'fuq tal-mantell ta' fuq")</f>
        <v>il-qoxra u l-parti riġida tal-parti ta 'fuq tal-mantell ta' fuq</v>
      </c>
    </row>
    <row r="9109" ht="15.75" customHeight="1">
      <c r="A9109" s="2" t="s">
        <v>9109</v>
      </c>
      <c r="B9109" s="2" t="str">
        <f>IFERROR(__xludf.DUMMYFUNCTION("GOOGLETRANSLATE(A9109, ""en"", ""mt"")"),"Għal xiex huwa magħruf il-Gorge tar-Rhine?")</f>
        <v>Għal xiex huwa magħruf il-Gorge tar-Rhine?</v>
      </c>
    </row>
    <row r="9110" ht="15.75" customHeight="1">
      <c r="A9110" s="2" t="s">
        <v>9110</v>
      </c>
      <c r="B9110" s="2" t="str">
        <f>IFERROR(__xludf.DUMMYFUNCTION("GOOGLETRANSLATE(A9110, ""en"", ""mt"")"),"Stati Membri")</f>
        <v>Stati Membri</v>
      </c>
    </row>
    <row r="9111" ht="15.75" customHeight="1">
      <c r="A9111" s="2" t="s">
        <v>9111</v>
      </c>
      <c r="B9111" s="2" t="str">
        <f>IFERROR(__xludf.DUMMYFUNCTION("GOOGLETRANSLATE(A9111, ""en"", ""mt"")"),"Fejn miet Yesun Temur?")</f>
        <v>Fejn miet Yesun Temur?</v>
      </c>
    </row>
    <row r="9112" ht="15.75" customHeight="1">
      <c r="A9112" s="2" t="s">
        <v>9112</v>
      </c>
      <c r="B9112" s="2" t="str">
        <f>IFERROR(__xludf.DUMMYFUNCTION("GOOGLETRANSLATE(A9112, ""en"", ""mt"")"),"pettnijiet")</f>
        <v>pettnijiet</v>
      </c>
    </row>
    <row r="9113" ht="15.75" customHeight="1">
      <c r="A9113" s="2" t="s">
        <v>9113</v>
      </c>
      <c r="B9113" s="2" t="str">
        <f>IFERROR(__xludf.DUMMYFUNCTION("GOOGLETRANSLATE(A9113, ""en"", ""mt"")"),"Abbonament ta 'kull xahar")</f>
        <v>Abbonament ta 'kull xahar</v>
      </c>
    </row>
    <row r="9114" ht="15.75" customHeight="1">
      <c r="A9114" s="2" t="s">
        <v>9114</v>
      </c>
      <c r="B9114" s="2" t="str">
        <f>IFERROR(__xludf.DUMMYFUNCTION("GOOGLETRANSLATE(A9114, ""en"", ""mt"")"),"Clair Cameron Patterson")</f>
        <v>Clair Cameron Patterson</v>
      </c>
    </row>
    <row r="9115" ht="15.75" customHeight="1">
      <c r="A9115" s="2" t="s">
        <v>9115</v>
      </c>
      <c r="B9115" s="2" t="str">
        <f>IFERROR(__xludf.DUMMYFUNCTION("GOOGLETRANSLATE(A9115, ""en"", ""mt"")"),"Fejn skont il-prodott domestiku nett jikklassifika Victoria fl-Awstralja?")</f>
        <v>Fejn skont il-prodott domestiku nett jikklassifika Victoria fl-Awstralja?</v>
      </c>
    </row>
    <row r="9116" ht="15.75" customHeight="1">
      <c r="A9116" s="2" t="s">
        <v>9116</v>
      </c>
      <c r="B9116" s="2" t="str">
        <f>IFERROR(__xludf.DUMMYFUNCTION("GOOGLETRANSLATE(A9116, ""en"", ""mt"")"),"Kemm ilu l-perjodu Ediacaran?")</f>
        <v>Kemm ilu l-perjodu Ediacaran?</v>
      </c>
    </row>
    <row r="9117" ht="15.75" customHeight="1">
      <c r="A9117" s="2" t="s">
        <v>9117</v>
      </c>
      <c r="B9117" s="2" t="str">
        <f>IFERROR(__xludf.DUMMYFUNCTION("GOOGLETRANSLATE(A9117, ""en"", ""mt"")"),"X'għandu jaqa 'l-prezz taż-żejt matul il-kriżi taż-żejt tal-1979?")</f>
        <v>X'għandu jaqa 'l-prezz taż-żejt matul il-kriżi taż-żejt tal-1979?</v>
      </c>
    </row>
    <row r="9118" ht="15.75" customHeight="1">
      <c r="A9118" s="2" t="s">
        <v>9118</v>
      </c>
      <c r="B9118" s="2" t="str">
        <f>IFERROR(__xludf.DUMMYFUNCTION("GOOGLETRANSLATE(A9118, ""en"", ""mt"")"),"Ħin polinomjali")</f>
        <v>Ħin polinomjali</v>
      </c>
    </row>
    <row r="9119" ht="15.75" customHeight="1">
      <c r="A9119" s="2" t="s">
        <v>9119</v>
      </c>
      <c r="B9119" s="2" t="str">
        <f>IFERROR(__xludf.DUMMYFUNCTION("GOOGLETRANSLATE(A9119, ""en"", ""mt"")"),"Dak li ġab il-borża ta ’Varsavja għal livell ġdid ġdid?")</f>
        <v>Dak li ġab il-borża ta ’Varsavja għal livell ġdid ġdid?</v>
      </c>
    </row>
    <row r="9120" ht="15.75" customHeight="1">
      <c r="A9120" s="2" t="s">
        <v>9120</v>
      </c>
      <c r="B9120" s="2" t="str">
        <f>IFERROR(__xludf.DUMMYFUNCTION("GOOGLETRANSLATE(A9120, ""en"", ""mt"")"),"Ċelloli innati jistgħu jaġixxu bħala medjaturi fl-attivazzjoni ta 'liema fergħa tas-sistema immunitarja?")</f>
        <v>Ċelloli innati jistgħu jaġixxu bħala medjaturi fl-attivazzjoni ta 'liema fergħa tas-sistema immunitarja?</v>
      </c>
    </row>
    <row r="9121" ht="15.75" customHeight="1">
      <c r="A9121" s="2" t="s">
        <v>9121</v>
      </c>
      <c r="B9121" s="2" t="str">
        <f>IFERROR(__xludf.DUMMYFUNCTION("GOOGLETRANSLATE(A9121, ""en"", ""mt"")"),"aċidu gastriku u proteasi")</f>
        <v>aċidu gastriku u proteasi</v>
      </c>
    </row>
    <row r="9122" ht="15.75" customHeight="1">
      <c r="A9122" s="2" t="s">
        <v>9122</v>
      </c>
      <c r="B9122" s="2" t="str">
        <f>IFERROR(__xludf.DUMMYFUNCTION("GOOGLETRANSLATE(A9122, ""en"", ""mt"")"),"X'inhu t-tributarju ewlieni għar-Renu?")</f>
        <v>X'inhu t-tributarju ewlieni għar-Renu?</v>
      </c>
    </row>
    <row r="9123" ht="15.75" customHeight="1">
      <c r="A9123" s="2" t="s">
        <v>9123</v>
      </c>
      <c r="B9123" s="2" t="str">
        <f>IFERROR(__xludf.DUMMYFUNCTION("GOOGLETRANSLATE(A9123, ""en"", ""mt"")"),"X'inhi ħaġa waħda li tkejjel fil-wirjiet tal-kanna tal-kristall fis-saffi tal-irmied?")</f>
        <v>X'inhi ħaġa waħda li tkejjel fil-wirjiet tal-kanna tal-kristall fis-saffi tal-irmied?</v>
      </c>
    </row>
    <row r="9124" ht="15.75" customHeight="1">
      <c r="A9124" s="2" t="s">
        <v>9124</v>
      </c>
      <c r="B9124" s="2" t="str">
        <f>IFERROR(__xludf.DUMMYFUNCTION("GOOGLETRANSLATE(A9124, ""en"", ""mt"")"),"Meta Sema nediet kampanja ta 'reklamar tat-TV lejn il-mira lejn l-irġiel?")</f>
        <v>Meta Sema nediet kampanja ta 'reklamar tat-TV lejn il-mira lejn l-irġiel?</v>
      </c>
    </row>
    <row r="9125" ht="15.75" customHeight="1">
      <c r="A9125" s="2" t="s">
        <v>9125</v>
      </c>
      <c r="B9125" s="2" t="str">
        <f>IFERROR(__xludf.DUMMYFUNCTION("GOOGLETRANSLATE(A9125, ""en"", ""mt"")"),"200 Troupes de la Marine u 30 Indjan")</f>
        <v>200 Troupes de la Marine u 30 Indjan</v>
      </c>
    </row>
    <row r="9126" ht="15.75" customHeight="1">
      <c r="A9126" s="2" t="s">
        <v>9126</v>
      </c>
      <c r="B9126" s="2" t="str">
        <f>IFERROR(__xludf.DUMMYFUNCTION("GOOGLETRANSLATE(A9126, ""en"", ""mt"")"),"Il-President Eġizzjan Anwar Sadat - li l-politiki tiegħu kienu jinkludu l-ftuħ tal-Eġittu għall-Investiment tal-Punent (Infitah); it-trasferiment tal-lealtà tal-Eġittu mill-Unjoni Sovjetika lejn l-Istati Uniti; U jagħmel il-paċi ma 'l-Iżrael - rilaxxat Iż"&amp;"lamisti mill-ħabs u laqgħu l-eżiljati tad-dar fl-iskambju taċitu għall-appoġġ politiku fit-taqbida tiegħu kontra x-xellugin. L- ""inkoraġġiment tal-emerġenza tal-moviment Iżlamista"" kien qal li kien ""imitat minn bosta mexxejja Musulmani oħra fis-snin li"&amp;" ġew wara."" Dan il- ""ftehim ta 'rġulija"" bejn Sadat u Iżlamisti kissru fl-1975 iżda mhux qabel l-Iżlamisti waslu biex jiddominaw kompletament l-għaqdiet ta' studenti universitarji. Sadat aktar tard ġie maqtul u ribelljoni formidabbli ġiet iffurmata fl-"&amp;"Eġittu fid-disgħinijiet. Il-gvern Franċiż ġie rrappurtat ukoll li ppromwova l-predikaturi Iżlamisti ""bit-tama li jwasslu l-enerġiji Musulmani f'żoni ta 'pjetà u karità.""")</f>
        <v>Il-President Eġizzjan Anwar Sadat - li l-politiki tiegħu kienu jinkludu l-ftuħ tal-Eġittu għall-Investiment tal-Punent (Infitah); it-trasferiment tal-lealtà tal-Eġittu mill-Unjoni Sovjetika lejn l-Istati Uniti; U jagħmel il-paċi ma 'l-Iżrael - rilaxxat Iżlamisti mill-ħabs u laqgħu l-eżiljati tad-dar fl-iskambju taċitu għall-appoġġ politiku fit-taqbida tiegħu kontra x-xellugin. L- "inkoraġġiment tal-emerġenza tal-moviment Iżlamista" kien qal li kien "imitat minn bosta mexxejja Musulmani oħra fis-snin li ġew wara." Dan il- "ftehim ta 'rġulija" bejn Sadat u Iżlamisti kissru fl-1975 iżda mhux qabel l-Iżlamisti waslu biex jiddominaw kompletament l-għaqdiet ta' studenti universitarji. Sadat aktar tard ġie maqtul u ribelljoni formidabbli ġiet iffurmata fl-Eġittu fid-disgħinijiet. Il-gvern Franċiż ġie rrappurtat ukoll li ppromwova l-predikaturi Iżlamisti "bit-tama li jwasslu l-enerġiji Musulmani f'żoni ta 'pjetà u karità."</v>
      </c>
    </row>
    <row r="9127" ht="15.75" customHeight="1">
      <c r="A9127" s="2" t="s">
        <v>9127</v>
      </c>
      <c r="B9127" s="2" t="str">
        <f>IFERROR(__xludf.DUMMYFUNCTION("GOOGLETRANSLATE(A9127, ""en"", ""mt"")"),"Korp li jiggverna għal professjonisti tal-kura tas-saħħa tal-ispiżerija")</f>
        <v>Korp li jiggverna għal professjonisti tal-kura tas-saħħa tal-ispiżerija</v>
      </c>
    </row>
    <row r="9128" ht="15.75" customHeight="1">
      <c r="A9128" s="2" t="s">
        <v>9128</v>
      </c>
      <c r="B9128" s="2" t="str">
        <f>IFERROR(__xludf.DUMMYFUNCTION("GOOGLETRANSLATE(A9128, ""en"", ""mt"")"),"Seklu 14")</f>
        <v>Seklu 14</v>
      </c>
    </row>
    <row r="9129" ht="15.75" customHeight="1">
      <c r="A9129" s="2" t="s">
        <v>9129</v>
      </c>
      <c r="B9129" s="2" t="str">
        <f>IFERROR(__xludf.DUMMYFUNCTION("GOOGLETRANSLATE(A9129, ""en"", ""mt"")"),"Id-dixxendenti tal-Vikingi ta ’Rollo u n-nisa Franki tagħhom jissostitwixxu r-reliġjon Norveġja u l-lingwa Norveġja l-qadima mal-Kattoliċiżmu (il-Kristjaneżmu) u l-lingwa gallo-rumanz tal-poplu lokali, li jħalltu l-wirt francish matern tagħhom ma’ tradizz"&amp;"jonijiet u drawwiet qodma biex jissintetizzaw uniku "" Norman ""Kultura fit-Tramuntana ta 'Franza. Il-lingwa Norman ġiet iffalsifikata bl-adozzjoni tal-fergħa ta 'rumanz tal-Langue d'oïl indiġena minn klassi dominanti li titkellem minn Norveġja, u żvilupp"&amp;"at fil-lingwa reġjonali li tibqa' ħajja llum.")</f>
        <v>Id-dixxendenti tal-Vikingi ta ’Rollo u n-nisa Franki tagħhom jissostitwixxu r-reliġjon Norveġja u l-lingwa Norveġja l-qadima mal-Kattoliċiżmu (il-Kristjaneżmu) u l-lingwa gallo-rumanz tal-poplu lokali, li jħalltu l-wirt francish matern tagħhom ma’ tradizzjonijiet u drawwiet qodma biex jissintetizzaw uniku " Norman "Kultura fit-Tramuntana ta 'Franza. Il-lingwa Norman ġiet iffalsifikata bl-adozzjoni tal-fergħa ta 'rumanz tal-Langue d'oïl indiġena minn klassi dominanti li titkellem minn Norveġja, u żviluppat fil-lingwa reġjonali li tibqa' ħajja llum.</v>
      </c>
    </row>
    <row r="9130" ht="15.75" customHeight="1">
      <c r="A9130" s="2" t="s">
        <v>9130</v>
      </c>
      <c r="B9130" s="2" t="str">
        <f>IFERROR(__xludf.DUMMYFUNCTION("GOOGLETRANSLATE(A9130, ""en"", ""mt"")"),"Kumitati tas-suġġetti huma stabbiliti fil-bidu ta 'kull sessjoni parlamentari, u għal darb'oħra l-membri f'kull kumitat jirriflettu l-bilanċ tal-partijiet madwar il-Parlament. Tipikament kull kumitat jikkorrispondi ma 'wieħed (jew aktar) tad-dipartimenti "&amp;"(jew ministeri) tal-gvern Skoċċiż. Il-kumitati tas-suġġetti attwali fir-raba 'sessjoni huma: ekonomija, enerġija u turiżmu; Edukazzjoni u kultura; Saħħa u sport; Ġustizzja; Gvern lokali u riġenerazzjoni; Affarijiet rurali, bidla fil-klima u ambjent; Rifor"&amp;"ma tal-benesseri; u infrastruttura u investiment kapitali.")</f>
        <v>Kumitati tas-suġġetti huma stabbiliti fil-bidu ta 'kull sessjoni parlamentari, u għal darb'oħra l-membri f'kull kumitat jirriflettu l-bilanċ tal-partijiet madwar il-Parlament. Tipikament kull kumitat jikkorrispondi ma 'wieħed (jew aktar) tad-dipartimenti (jew ministeri) tal-gvern Skoċċiż. Il-kumitati tas-suġġetti attwali fir-raba 'sessjoni huma: ekonomija, enerġija u turiżmu; Edukazzjoni u kultura; Saħħa u sport; Ġustizzja; Gvern lokali u riġenerazzjoni; Affarijiet rurali, bidla fil-klima u ambjent; Riforma tal-benesseri; u infrastruttura u investiment kapitali.</v>
      </c>
    </row>
    <row r="9131" ht="15.75" customHeight="1">
      <c r="A9131" s="2" t="s">
        <v>9131</v>
      </c>
      <c r="B9131" s="2" t="str">
        <f>IFERROR(__xludf.DUMMYFUNCTION("GOOGLETRANSLATE(A9131, ""en"", ""mt"")"),"Djar tal-istorja")</f>
        <v>Djar tal-istorja</v>
      </c>
    </row>
    <row r="9132" ht="15.75" customHeight="1">
      <c r="A9132" s="2" t="s">
        <v>9132</v>
      </c>
      <c r="B9132" s="2" t="str">
        <f>IFERROR(__xludf.DUMMYFUNCTION("GOOGLETRANSLATE(A9132, ""en"", ""mt"")"),"L-istudenti huma liberi li jagħżlu skola privata")</f>
        <v>L-istudenti huma liberi li jagħżlu skola privata</v>
      </c>
    </row>
    <row r="9133" ht="15.75" customHeight="1">
      <c r="A9133" s="2" t="s">
        <v>9133</v>
      </c>
      <c r="B9133" s="2" t="str">
        <f>IFERROR(__xludf.DUMMYFUNCTION("GOOGLETRANSLATE(A9133, ""en"", ""mt"")"),"L-uffiċjal li jippresiedi jipprova jikseb bilanċ bejn perspettivi simili u min?")</f>
        <v>L-uffiċjal li jippresiedi jipprova jikseb bilanċ bejn perspettivi simili u min?</v>
      </c>
    </row>
    <row r="9134" ht="15.75" customHeight="1">
      <c r="A9134" s="2" t="s">
        <v>9134</v>
      </c>
      <c r="B9134" s="2" t="str">
        <f>IFERROR(__xludf.DUMMYFUNCTION("GOOGLETRANSLATE(A9134, ""en"", ""mt"")"),"X’għamel l-editt għal Huguenots fi Franza?")</f>
        <v>X’għamel l-editt għal Huguenots fi Franza?</v>
      </c>
    </row>
    <row r="9135" ht="15.75" customHeight="1">
      <c r="A9135" s="2" t="s">
        <v>9135</v>
      </c>
      <c r="B9135" s="2" t="str">
        <f>IFERROR(__xludf.DUMMYFUNCTION("GOOGLETRANSLATE(A9135, ""en"", ""mt"")"),"Min kellu l-idea ta 'stat naturali għal oġġetti waqt il-mistrieħ?")</f>
        <v>Min kellu l-idea ta 'stat naturali għal oġġetti waqt il-mistrieħ?</v>
      </c>
    </row>
    <row r="9136" ht="15.75" customHeight="1">
      <c r="A9136" s="2" t="s">
        <v>9136</v>
      </c>
      <c r="B9136" s="2" t="str">
        <f>IFERROR(__xludf.DUMMYFUNCTION("GOOGLETRANSLATE(A9136, ""en"", ""mt"")"),"F’liema sena nbniet Triq il-Knisja Franċiża f’Cork?")</f>
        <v>F’liema sena nbniet Triq il-Knisja Franċiża f’Cork?</v>
      </c>
    </row>
    <row r="9137" ht="15.75" customHeight="1">
      <c r="A9137" s="2" t="s">
        <v>9137</v>
      </c>
      <c r="B9137" s="2" t="str">
        <f>IFERROR(__xludf.DUMMYFUNCTION("GOOGLETRANSLATE(A9137, ""en"", ""mt"")"),"Basel, tħalli l-Isvizzera")</f>
        <v>Basel, tħalli l-Isvizzera</v>
      </c>
    </row>
    <row r="9138" ht="15.75" customHeight="1">
      <c r="A9138" s="2" t="s">
        <v>9138</v>
      </c>
      <c r="B9138" s="2" t="str">
        <f>IFERROR(__xludf.DUMMYFUNCTION("GOOGLETRANSLATE(A9138, ""en"", ""mt"")"),"80")</f>
        <v>80</v>
      </c>
    </row>
    <row r="9139" ht="15.75" customHeight="1">
      <c r="A9139" s="2" t="s">
        <v>9139</v>
      </c>
      <c r="B9139" s="2" t="str">
        <f>IFERROR(__xludf.DUMMYFUNCTION("GOOGLETRANSLATE(A9139, ""en"", ""mt"")"),"il-pulizija u l-forzi armati")</f>
        <v>il-pulizija u l-forzi armati</v>
      </c>
    </row>
    <row r="9140" ht="15.75" customHeight="1">
      <c r="A9140" s="2" t="s">
        <v>9140</v>
      </c>
      <c r="B9140" s="2" t="str">
        <f>IFERROR(__xludf.DUMMYFUNCTION("GOOGLETRANSLATE(A9140, ""en"", ""mt"")"),"ikkumplikat")</f>
        <v>ikkumplikat</v>
      </c>
    </row>
    <row r="9141" ht="15.75" customHeight="1">
      <c r="A9141" s="2" t="s">
        <v>9141</v>
      </c>
      <c r="B9141" s="2" t="str">
        <f>IFERROR(__xludf.DUMMYFUNCTION("GOOGLETRANSLATE(A9141, ""en"", ""mt"")"),"Jekk Q = 9 u A = 1,2,4,5, 7, jew 8, kemm garżi jkunu fi progress?")</f>
        <v>Jekk Q = 9 u A = 1,2,4,5, 7, jew 8, kemm garżi jkunu fi progress?</v>
      </c>
    </row>
    <row r="9142" ht="15.75" customHeight="1">
      <c r="A9142" s="2" t="s">
        <v>9142</v>
      </c>
      <c r="B9142" s="2" t="str">
        <f>IFERROR(__xludf.DUMMYFUNCTION("GOOGLETRANSLATE(A9142, ""en"", ""mt"")"),"X'tip ta 'emendi jistgħu l-membri jopponu abbozz li jitpoġġa fuq il-mejda?")</f>
        <v>X'tip ta 'emendi jistgħu l-membri jopponu abbozz li jitpoġġa fuq il-mejda?</v>
      </c>
    </row>
    <row r="9143" ht="15.75" customHeight="1">
      <c r="A9143" s="2" t="s">
        <v>9143</v>
      </c>
      <c r="B9143" s="2" t="str">
        <f>IFERROR(__xludf.DUMMYFUNCTION("GOOGLETRANSLATE(A9143, ""en"", ""mt"")"),"X'inhi l-akbar belt fil-Kalifornja kollha?")</f>
        <v>X'inhi l-akbar belt fil-Kalifornja kollha?</v>
      </c>
    </row>
    <row r="9144" ht="15.75" customHeight="1">
      <c r="A9144" s="2" t="s">
        <v>9144</v>
      </c>
      <c r="B9144" s="2" t="str">
        <f>IFERROR(__xludf.DUMMYFUNCTION("GOOGLETRANSLATE(A9144, ""en"", ""mt"")"),"Liema Kulleġġ tal-Università jagħti lill-kumpanniji prinċipali akkademiċi fi 30 qasam tas-suġġett?")</f>
        <v>Liema Kulleġġ tal-Università jagħti lill-kumpanniji prinċipali akkademiċi fi 30 qasam tas-suġġett?</v>
      </c>
    </row>
    <row r="9145" ht="15.75" customHeight="1">
      <c r="A9145" s="2" t="s">
        <v>9145</v>
      </c>
      <c r="B9145" s="2" t="str">
        <f>IFERROR(__xludf.DUMMYFUNCTION("GOOGLETRANSLATE(A9145, ""en"", ""mt"")"),"X'inhi r-rata tal-ħin tal-bidla tal-ħlas elettriku?")</f>
        <v>X'inhi r-rata tal-ħin tal-bidla tal-ħlas elettriku?</v>
      </c>
    </row>
    <row r="9146" ht="15.75" customHeight="1">
      <c r="A9146" s="2" t="s">
        <v>9146</v>
      </c>
      <c r="B9146" s="2" t="str">
        <f>IFERROR(__xludf.DUMMYFUNCTION("GOOGLETRANSLATE(A9146, ""en"", ""mt"")"),"Dwar kemm metri kubiċi ta 'ilma make-up jintuża minn impjant ta' l-enerġija li jaħdem bil-faħam ta '700 megawatt għal tkessiħ evaporattiv kull siegħa?")</f>
        <v>Dwar kemm metri kubiċi ta 'ilma make-up jintuża minn impjant ta' l-enerġija li jaħdem bil-faħam ta '700 megawatt għal tkessiħ evaporattiv kull siegħa?</v>
      </c>
    </row>
    <row r="9147" ht="15.75" customHeight="1">
      <c r="A9147" s="2" t="s">
        <v>9147</v>
      </c>
      <c r="B9147" s="2" t="str">
        <f>IFERROR(__xludf.DUMMYFUNCTION("GOOGLETRANSLATE(A9147, ""en"", ""mt"")")," Meta Jamaa Islamiya aċċetta l-vjolenza?")</f>
        <v> Meta Jamaa Islamiya aċċetta l-vjolenza?</v>
      </c>
    </row>
    <row r="9148" ht="15.75" customHeight="1">
      <c r="A9148" s="2" t="s">
        <v>9148</v>
      </c>
      <c r="B9148" s="2" t="str">
        <f>IFERROR(__xludf.DUMMYFUNCTION("GOOGLETRANSLATE(A9148, ""en"", ""mt"")"),"Membru ta 'liema parlament jista' jintroduċi abbozz bħala membru pubbliku?")</f>
        <v>Membru ta 'liema parlament jista' jintroduċi abbozz bħala membru pubbliku?</v>
      </c>
    </row>
    <row r="9149" ht="15.75" customHeight="1">
      <c r="A9149" s="2" t="s">
        <v>9149</v>
      </c>
      <c r="B9149" s="2" t="str">
        <f>IFERROR(__xludf.DUMMYFUNCTION("GOOGLETRANSLATE(A9149, ""en"", ""mt"")"),"Xi jfisser it-tħaffir ta 'fondazzjoni li jipprevjeni ħsara?")</f>
        <v>Xi jfisser it-tħaffir ta 'fondazzjoni li jipprevjeni ħsara?</v>
      </c>
    </row>
    <row r="9150" ht="15.75" customHeight="1">
      <c r="A9150" s="2" t="s">
        <v>9150</v>
      </c>
      <c r="B9150" s="2" t="str">
        <f>IFERROR(__xludf.DUMMYFUNCTION("GOOGLETRANSLATE(A9150, ""en"", ""mt"")"),"Jekk l-NP ma jkunx daqs P, meqjus permezz ta 'din il-lenti, liema tip ta' problemi jistgħu wkoll jitqiesu intrattabbli?")</f>
        <v>Jekk l-NP ma jkunx daqs P, meqjus permezz ta 'din il-lenti, liema tip ta' problemi jistgħu wkoll jitqiesu intrattabbli?</v>
      </c>
    </row>
    <row r="9151" ht="15.75" customHeight="1">
      <c r="A9151" s="2" t="s">
        <v>9151</v>
      </c>
      <c r="B9151" s="2" t="str">
        <f>IFERROR(__xludf.DUMMYFUNCTION("GOOGLETRANSLATE(A9151, ""en"", ""mt"")"),"It-tieni ministru jagħżel lil min?")</f>
        <v>It-tieni ministru jagħżel lil min?</v>
      </c>
    </row>
    <row r="9152" ht="15.75" customHeight="1">
      <c r="A9152" s="2" t="s">
        <v>9152</v>
      </c>
      <c r="B9152" s="2" t="str">
        <f>IFERROR(__xludf.DUMMYFUNCTION("GOOGLETRANSLATE(A9152, ""en"", ""mt"")"),"It-tielet liġi")</f>
        <v>It-tielet liġi</v>
      </c>
    </row>
    <row r="9153" ht="15.75" customHeight="1">
      <c r="A9153" s="2" t="s">
        <v>9153</v>
      </c>
      <c r="B9153" s="2" t="str">
        <f>IFERROR(__xludf.DUMMYFUNCTION("GOOGLETRANSLATE(A9153, ""en"", ""mt"")"),"L-imperjalizmu huwa konfuż ma 'liema terminu ieħor?")</f>
        <v>L-imperjalizmu huwa konfuż ma 'liema terminu ieħor?</v>
      </c>
    </row>
    <row r="9154" ht="15.75" customHeight="1">
      <c r="A9154" s="2" t="s">
        <v>9154</v>
      </c>
      <c r="B9154" s="2" t="str">
        <f>IFERROR(__xludf.DUMMYFUNCTION("GOOGLETRANSLATE(A9154, ""en"", ""mt"")"),"kimika")</f>
        <v>kimika</v>
      </c>
    </row>
    <row r="9155" ht="15.75" customHeight="1">
      <c r="A9155" s="2" t="s">
        <v>9155</v>
      </c>
      <c r="B9155" s="2" t="str">
        <f>IFERROR(__xludf.DUMMYFUNCTION("GOOGLETRANSLATE(A9155, ""en"", ""mt"")"),"Din iż-żona vibranti u kulturalment diversa ta 'negozji bl-imnut u residenzi esperjenzaw tiġdid wara tnaqqis sinifikanti fl-aħħar tas-snin 1960 u 1970. [Ċitazzjoni meħtieġa] wara għexieren ta' snin ta 'telqa u titjira suburbana, il-qawmien mill-ġdid tal-v"&amp;"iċinat segwa l-ftuħ mill-ġdid tat-Torri tat-Torri L-aħħar tas-snin sebgħin, li dak iż-żmien urew films tat-tieni u tat-tielet ġirja, flimkien ma 'films klassiċi. Roger Rocka's Dinner Theatre &amp; Good Company Players infetħu wkoll fil-viċin fl-1978, [Citatio"&amp;"n meħtieġa] fi Olive and Wishon Avenues. Audra McDonald indiġena ta 'Fresno marret fl-irwoli ewlenin ta' Evita u l-Wiz fit-teatru waqt li kienet studenta tal-iskola għolja. McDonald sussegwentement sar artist ewlieni fuq Broadway fi New York City u attriċ"&amp;"i rebbieħa tal-Premju Tony. Fid-distrett tat-Torri hemm ukoll it-2 teatru spazjali tal-plejers tal-kumpanija tajba.")</f>
        <v>Din iż-żona vibranti u kulturalment diversa ta 'negozji bl-imnut u residenzi esperjenzaw tiġdid wara tnaqqis sinifikanti fl-aħħar tas-snin 1960 u 1970. [Ċitazzjoni meħtieġa] wara għexieren ta' snin ta 'telqa u titjira suburbana, il-qawmien mill-ġdid tal-viċinat segwa l-ftuħ mill-ġdid tat-Torri tat-Torri L-aħħar tas-snin sebgħin, li dak iż-żmien urew films tat-tieni u tat-tielet ġirja, flimkien ma 'films klassiċi. Roger Rocka's Dinner Theatre &amp; Good Company Players infetħu wkoll fil-viċin fl-1978, [Citation meħtieġa] fi Olive and Wishon Avenues. Audra McDonald indiġena ta 'Fresno marret fl-irwoli ewlenin ta' Evita u l-Wiz fit-teatru waqt li kienet studenta tal-iskola għolja. McDonald sussegwentement sar artist ewlieni fuq Broadway fi New York City u attriċi rebbieħa tal-Premju Tony. Fid-distrett tat-Torri hemm ukoll it-2 teatru spazjali tal-plejers tal-kumpanija tajba.</v>
      </c>
    </row>
    <row r="9156" ht="15.75" customHeight="1">
      <c r="A9156" s="2" t="s">
        <v>9156</v>
      </c>
      <c r="B9156" s="2" t="str">
        <f>IFERROR(__xludf.DUMMYFUNCTION("GOOGLETRANSLATE(A9156, ""en"", ""mt"")"),"Politika tat-Taxxa tal-Propjetà Ad Valorem")</f>
        <v>Politika tat-Taxxa tal-Propjetà Ad Valorem</v>
      </c>
    </row>
    <row r="9157" ht="15.75" customHeight="1">
      <c r="A9157" s="2" t="s">
        <v>9157</v>
      </c>
      <c r="B9157" s="2" t="str">
        <f>IFERROR(__xludf.DUMMYFUNCTION("GOOGLETRANSLATE(A9157, ""en"", ""mt"")"),"Għeluq issikkat jissimplifika l-faċċata tal-annimal")</f>
        <v>Għeluq issikkat jissimplifika l-faċċata tal-annimal</v>
      </c>
    </row>
    <row r="9158" ht="15.75" customHeight="1">
      <c r="A9158" s="2" t="s">
        <v>9158</v>
      </c>
      <c r="B9158" s="2" t="str">
        <f>IFERROR(__xludf.DUMMYFUNCTION("GOOGLETRANSLATE(A9158, ""en"", ""mt"")"),"Il-kampus ewlieni ta 'Harvard 209-acre (85 ettaru) huwa ċċentrat fuq Harvard Yard f'Cambridge, madwar 3 mili (5 km) lejn il-punent-majjistral tad-dar tal-istat fiċ-ċentru ta' Boston, u jestendi fil-viċinat tal-Pjazza ta 'Harvard tal-madwar. Harvard Yard i"&amp;"nnifsu fih l-uffiċċji amministrattivi ċentrali u l-libreriji ewlenin tal-università, bini akkademiku inkluż Sever Hall u University Hall, Memorial Church, u l-maġġoranza tad-dormitorji ta 'l-ewwel sena. Sophomore, junior, u studenti anzjani jgħixu fi tnax"&amp;"-il djar residenzjali, li disgħa minnhom huma fin-Nofsinhar ta ’Harvard Yard tul jew ħdejn ix-Xmara Charles. It-tlieta l-oħra jinsabu fi viċinat residenzjali nofs mil fil-majjistral tat-tarzna fil-kwadrangle (komunement imsejjaħ il-quad), li qabel kien fi"&amp;"h studenti tal-Kulleġġ Radcliffe sakemm Radcliffe ingħaqdet is-sistema residenzjali tagħha ma 'Harvard. Kull dar residenzjali fiha kmamar għal dawk li għadhom ma ggradwawx, kaptani tad-djar, u tuturi residenti, kif ukoll sala tal-pranzu u librerija. Il-fa"&amp;"ċilitajiet saru possibbli permezz ta 'rigal mill-istudenti ta' Yale University Edward Harkness.")</f>
        <v>Il-kampus ewlieni ta 'Harvard 209-acre (85 ettaru) huwa ċċentrat fuq Harvard Yard f'Cambridge, madwar 3 mili (5 km) lejn il-punent-majjistral tad-dar tal-istat fiċ-ċentru ta' Boston, u jestendi fil-viċinat tal-Pjazza ta 'Harvard tal-madwar. Harvard Yard innifsu fih l-uffiċċji amministrattivi ċentrali u l-libreriji ewlenin tal-università, bini akkademiku inkluż Sever Hall u University Hall, Memorial Church, u l-maġġoranza tad-dormitorji ta 'l-ewwel sena. Sophomore, junior, u studenti anzjani jgħixu fi tnax-il djar residenzjali, li disgħa minnhom huma fin-Nofsinhar ta ’Harvard Yard tul jew ħdejn ix-Xmara Charles. It-tlieta l-oħra jinsabu fi viċinat residenzjali nofs mil fil-majjistral tat-tarzna fil-kwadrangle (komunement imsejjaħ il-quad), li qabel kien fih studenti tal-Kulleġġ Radcliffe sakemm Radcliffe ingħaqdet is-sistema residenzjali tagħha ma 'Harvard. Kull dar residenzjali fiha kmamar għal dawk li għadhom ma ggradwawx, kaptani tad-djar, u tuturi residenti, kif ukoll sala tal-pranzu u librerija. Il-faċilitajiet saru possibbli permezz ta 'rigal mill-istudenti ta' Yale University Edward Harkness.</v>
      </c>
    </row>
    <row r="9159" ht="15.75" customHeight="1">
      <c r="A9159" s="2" t="s">
        <v>9159</v>
      </c>
      <c r="B9159" s="2" t="str">
        <f>IFERROR(__xludf.DUMMYFUNCTION("GOOGLETRANSLATE(A9159, ""en"", ""mt"")"),"1840")</f>
        <v>1840</v>
      </c>
    </row>
    <row r="9160" ht="15.75" customHeight="1">
      <c r="A9160" s="2" t="s">
        <v>9160</v>
      </c>
      <c r="B9160" s="2" t="str">
        <f>IFERROR(__xludf.DUMMYFUNCTION("GOOGLETRANSLATE(A9160, ""en"", ""mt"")"),"In-nies x’ħasbu dwar il-katastrofizmu matul iż-żmien ta ’Charles Darwin?")</f>
        <v>In-nies x’ħasbu dwar il-katastrofizmu matul iż-żmien ta ’Charles Darwin?</v>
      </c>
    </row>
    <row r="9161" ht="15.75" customHeight="1">
      <c r="A9161" s="2" t="s">
        <v>9161</v>
      </c>
      <c r="B9161" s="2" t="str">
        <f>IFERROR(__xludf.DUMMYFUNCTION("GOOGLETRANSLATE(A9161, ""en"", ""mt"")"),"L-inqas oneruż għandu jiġi adottat")</f>
        <v>L-inqas oneruż għandu jiġi adottat</v>
      </c>
    </row>
    <row r="9162" ht="15.75" customHeight="1">
      <c r="A9162" s="2" t="s">
        <v>9162</v>
      </c>
      <c r="B9162" s="2" t="str">
        <f>IFERROR(__xludf.DUMMYFUNCTION("GOOGLETRANSLATE(A9162, ""en"", ""mt"")"),"parallel")</f>
        <v>parallel</v>
      </c>
    </row>
    <row r="9163" ht="15.75" customHeight="1">
      <c r="A9163" s="2" t="s">
        <v>9163</v>
      </c>
      <c r="B9163" s="2" t="str">
        <f>IFERROR(__xludf.DUMMYFUNCTION("GOOGLETRANSLATE(A9163, ""en"", ""mt"")"),"X'tip ta 'xtiewi għandu Jacksonville flimkien ma' sjuf sħan u niexfa?")</f>
        <v>X'tip ta 'xtiewi għandu Jacksonville flimkien ma' sjuf sħan u niexfa?</v>
      </c>
    </row>
    <row r="9164" ht="15.75" customHeight="1">
      <c r="A9164" s="2" t="s">
        <v>9164</v>
      </c>
      <c r="B9164" s="2" t="str">
        <f>IFERROR(__xludf.DUMMYFUNCTION("GOOGLETRANSLATE(A9164, ""en"", ""mt"")"),"tevita l-użu bla bżonn ta 'medikazzjoni li jista' jkollha effetti sekondarji")</f>
        <v>tevita l-użu bla bżonn ta 'medikazzjoni li jista' jkollha effetti sekondarji</v>
      </c>
    </row>
    <row r="9165" ht="15.75" customHeight="1">
      <c r="A9165" s="2" t="s">
        <v>9165</v>
      </c>
      <c r="B9165" s="2" t="str">
        <f>IFERROR(__xludf.DUMMYFUNCTION("GOOGLETRANSLATE(A9165, ""en"", ""mt"")"),"L-inkorporazzjonijiet jiġu annullati biss għal lista fissa ta 'raġunijiet")</f>
        <v>L-inkorporazzjonijiet jiġu annullati biss għal lista fissa ta 'raġunijiet</v>
      </c>
    </row>
    <row r="9166" ht="15.75" customHeight="1">
      <c r="A9166" s="2" t="s">
        <v>9166</v>
      </c>
      <c r="B9166" s="2" t="str">
        <f>IFERROR(__xludf.DUMMYFUNCTION("GOOGLETRANSLATE(A9166, ""en"", ""mt"")"),"Kostruzzjoni residenzjali tista 'tiġġenera dak li mhux ippjanat bir-reqqa?")</f>
        <v>Kostruzzjoni residenzjali tista 'tiġġenera dak li mhux ippjanat bir-reqqa?</v>
      </c>
    </row>
    <row r="9167" ht="15.75" customHeight="1">
      <c r="A9167" s="2" t="s">
        <v>9167</v>
      </c>
      <c r="B9167" s="2" t="str">
        <f>IFERROR(__xludf.DUMMYFUNCTION("GOOGLETRANSLATE(A9167, ""en"", ""mt"")"),"Liema liġi ġġustifikat l-imperjalizmu Brittaniku?")</f>
        <v>Liema liġi ġġustifikat l-imperjalizmu Brittaniku?</v>
      </c>
    </row>
    <row r="9168" ht="15.75" customHeight="1">
      <c r="A9168" s="2" t="s">
        <v>9168</v>
      </c>
      <c r="B9168" s="2" t="str">
        <f>IFERROR(__xludf.DUMMYFUNCTION("GOOGLETRANSLATE(A9168, ""en"", ""mt"")"),"Iż-żona hija magħrufa wkoll għad-djar tal-bidu tas-seklu għoxrin tagħha, li ħafna minnhom ġew restawrati fl-aħħar għexieren ta ’snin. Iż-żona tinkludi ħafna djar tal-istil tal-bungalow u artiġjani Amerikani tal-Kalifornja, arkitettura tal-istil tal-qawmie"&amp;"n mill-ġdid Spanjol, arkitettura tal-istil tal-qawmien mill-ġdid tal-Mediterran, arkitettura tal-istil tal-qawmien mill-ġdid tal-missjoni, u ħafna djar tal-istejjer iddisinjati minn Fresno Architects, Hilliard, Taylor &amp; Wheeler. L-arkitettura residenzjali"&amp;" tad-distrett tat-Torri tikkuntrasta maż-żoni l-aktar ġodda tad-djar tal-passaġġ urbani fiż-żoni tat-tramuntana u tal-lvant ta 'Fresno.")</f>
        <v>Iż-żona hija magħrufa wkoll għad-djar tal-bidu tas-seklu għoxrin tagħha, li ħafna minnhom ġew restawrati fl-aħħar għexieren ta ’snin. Iż-żona tinkludi ħafna djar tal-istil tal-bungalow u artiġjani Amerikani tal-Kalifornja, arkitettura tal-istil tal-qawmien mill-ġdid Spanjol, arkitettura tal-istil tal-qawmien mill-ġdid tal-Mediterran, arkitettura tal-istil tal-qawmien mill-ġdid tal-missjoni, u ħafna djar tal-istejjer iddisinjati minn Fresno Architects, Hilliard, Taylor &amp; Wheeler. L-arkitettura residenzjali tad-distrett tat-Torri tikkuntrasta maż-żoni l-aktar ġodda tad-djar tal-passaġġ urbani fiż-żoni tat-tramuntana u tal-lvant ta 'Fresno.</v>
      </c>
    </row>
    <row r="9169" ht="15.75" customHeight="1">
      <c r="A9169" s="2" t="s">
        <v>9169</v>
      </c>
      <c r="B9169" s="2" t="str">
        <f>IFERROR(__xludf.DUMMYFUNCTION("GOOGLETRANSLATE(A9169, ""en"", ""mt"")"),"X'inhu l-iktar tip importanti ta 'arti Norman ippreservata fil-knejjes?")</f>
        <v>X'inhu l-iktar tip importanti ta 'arti Norman ippreservata fil-knejjes?</v>
      </c>
    </row>
    <row r="9170" ht="15.75" customHeight="1">
      <c r="A9170" s="2" t="s">
        <v>9170</v>
      </c>
      <c r="B9170" s="2" t="str">
        <f>IFERROR(__xludf.DUMMYFUNCTION("GOOGLETRANSLATE(A9170, ""en"", ""mt"")"),"Liema kanal qatt ma kellu verżjoni HD?")</f>
        <v>Liema kanal qatt ma kellu verżjoni HD?</v>
      </c>
    </row>
    <row r="9171" ht="15.75" customHeight="1">
      <c r="A9171" s="2" t="s">
        <v>9171</v>
      </c>
      <c r="B9171" s="2" t="str">
        <f>IFERROR(__xludf.DUMMYFUNCTION("GOOGLETRANSLATE(A9171, ""en"", ""mt"")")," Dak li pprovda inċentiv lill-imperi tal-Lvant biex jikkolonizzaw l-Afrika?")</f>
        <v> Dak li pprovda inċentiv lill-imperi tal-Lvant biex jikkolonizzaw l-Afrika?</v>
      </c>
    </row>
    <row r="9172" ht="15.75" customHeight="1">
      <c r="A9172" s="2" t="s">
        <v>9172</v>
      </c>
      <c r="B9172" s="2" t="str">
        <f>IFERROR(__xludf.DUMMYFUNCTION("GOOGLETRANSLATE(A9172, ""en"", ""mt"")")," Meta twieled Qutb?")</f>
        <v> Meta twieled Qutb?</v>
      </c>
    </row>
    <row r="9173" ht="15.75" customHeight="1">
      <c r="A9173" s="2" t="s">
        <v>9173</v>
      </c>
      <c r="B9173" s="2" t="str">
        <f>IFERROR(__xludf.DUMMYFUNCTION("GOOGLETRANSLATE(A9173, ""en"", ""mt"")")," Min ħatar Gegeen bħala senatur grandjuż?")</f>
        <v> Min ħatar Gegeen bħala senatur grandjuż?</v>
      </c>
    </row>
    <row r="9174" ht="15.75" customHeight="1">
      <c r="A9174" s="2" t="s">
        <v>9174</v>
      </c>
      <c r="B9174" s="2" t="str">
        <f>IFERROR(__xludf.DUMMYFUNCTION("GOOGLETRANSLATE(A9174, ""en"", ""mt"")"),"Infrastruttura")</f>
        <v>Infrastruttura</v>
      </c>
    </row>
    <row r="9175" ht="15.75" customHeight="1">
      <c r="A9175" s="2" t="s">
        <v>9175</v>
      </c>
      <c r="B9175" s="2" t="str">
        <f>IFERROR(__xludf.DUMMYFUNCTION("GOOGLETRANSLATE(A9175, ""en"", ""mt"")"),"skejjel u skejjel privati ​​tradizzjonali li huma rregolati privatament")</f>
        <v>skejjel u skejjel privati ​​tradizzjonali li huma rregolati privatament</v>
      </c>
    </row>
    <row r="9176" ht="15.75" customHeight="1">
      <c r="A9176" s="2" t="s">
        <v>9176</v>
      </c>
      <c r="B9176" s="2" t="str">
        <f>IFERROR(__xludf.DUMMYFUNCTION("GOOGLETRANSLATE(A9176, ""en"", ""mt"")"),"Franza Ġdida")</f>
        <v>Franza Ġdida</v>
      </c>
    </row>
    <row r="9177" ht="15.75" customHeight="1">
      <c r="A9177" s="2" t="s">
        <v>9177</v>
      </c>
      <c r="B9177" s="2" t="str">
        <f>IFERROR(__xludf.DUMMYFUNCTION("GOOGLETRANSLATE(A9177, ""en"", ""mt"")"),"Sofokli")</f>
        <v>Sofokli</v>
      </c>
    </row>
    <row r="9178" ht="15.75" customHeight="1">
      <c r="A9178" s="2" t="s">
        <v>9178</v>
      </c>
      <c r="B9178" s="2" t="str">
        <f>IFERROR(__xludf.DUMMYFUNCTION("GOOGLETRANSLATE(A9178, ""en"", ""mt"")"),"300 m3 / s")</f>
        <v>300 m3 / s</v>
      </c>
    </row>
    <row r="9179" ht="15.75" customHeight="1">
      <c r="A9179" s="2" t="s">
        <v>9179</v>
      </c>
      <c r="B9179" s="2" t="str">
        <f>IFERROR(__xludf.DUMMYFUNCTION("GOOGLETRANSLATE(A9179, ""en"", ""mt"")"),"Ondigital")</f>
        <v>Ondigital</v>
      </c>
    </row>
    <row r="9180" ht="15.75" customHeight="1">
      <c r="A9180" s="2" t="s">
        <v>9180</v>
      </c>
      <c r="B9180" s="2" t="str">
        <f>IFERROR(__xludf.DUMMYFUNCTION("GOOGLETRANSLATE(A9180, ""en"", ""mt"")"),"problema ta 'diverġenza")</f>
        <v>problema ta 'diverġenza</v>
      </c>
    </row>
    <row r="9181" ht="15.75" customHeight="1">
      <c r="A9181" s="2" t="s">
        <v>9181</v>
      </c>
      <c r="B9181" s="2" t="str">
        <f>IFERROR(__xludf.DUMMYFUNCTION("GOOGLETRANSLATE(A9181, ""en"", ""mt"")"),"Deportazzjoni tal-popolazzjoni Akkadjana li titkellem bil-Franċiż miż-żona.")</f>
        <v>Deportazzjoni tal-popolazzjoni Akkadjana li titkellem bil-Franċiż miż-żona.</v>
      </c>
    </row>
    <row r="9182" ht="15.75" customHeight="1">
      <c r="A9182" s="2" t="s">
        <v>9182</v>
      </c>
      <c r="B9182" s="2" t="str">
        <f>IFERROR(__xludf.DUMMYFUNCTION("GOOGLETRANSLATE(A9182, ""en"", ""mt"")"),"X'inhi l-professjoni ta 'Jake Rosenfield?")</f>
        <v>X'inhi l-professjoni ta 'Jake Rosenfield?</v>
      </c>
    </row>
    <row r="9183" ht="15.75" customHeight="1">
      <c r="A9183" s="2" t="s">
        <v>9183</v>
      </c>
      <c r="B9183" s="2" t="str">
        <f>IFERROR(__xludf.DUMMYFUNCTION("GOOGLETRANSLATE(A9183, ""en"", ""mt"")"),"kostruzzjoni ta 'xogħlijiet ta' delta")</f>
        <v>kostruzzjoni ta 'xogħlijiet ta' delta</v>
      </c>
    </row>
    <row r="9184" ht="15.75" customHeight="1">
      <c r="A9184" s="2" t="s">
        <v>9184</v>
      </c>
      <c r="B9184" s="2" t="str">
        <f>IFERROR(__xludf.DUMMYFUNCTION("GOOGLETRANSLATE(A9184, ""en"", ""mt"")"),"Xi tħoss Piketty kienu l-akbar fatturi fit-tnaqqis tal-inugwaljanza bejn l-1941 sal-1945?")</f>
        <v>Xi tħoss Piketty kienu l-akbar fatturi fit-tnaqqis tal-inugwaljanza bejn l-1941 sal-1945?</v>
      </c>
    </row>
    <row r="9185" ht="15.75" customHeight="1">
      <c r="A9185" s="2" t="s">
        <v>9185</v>
      </c>
      <c r="B9185" s="2" t="str">
        <f>IFERROR(__xludf.DUMMYFUNCTION("GOOGLETRANSLATE(A9185, ""en"", ""mt"")"),"Sa kemm il-Labour Lead Lain Gray żamm Lothian tal-Lvant?")</f>
        <v>Sa kemm il-Labour Lead Lain Gray żamm Lothian tal-Lvant?</v>
      </c>
    </row>
    <row r="9186" ht="15.75" customHeight="1">
      <c r="A9186" s="2" t="s">
        <v>9186</v>
      </c>
      <c r="B9186" s="2" t="str">
        <f>IFERROR(__xludf.DUMMYFUNCTION("GOOGLETRANSLATE(A9186, ""en"", ""mt"")"),"X'kien l-isem tal-miżura approvata li għen biex tkopri l-ispiża tal-proġetti ewlenin tal-belt?")</f>
        <v>X'kien l-isem tal-miżura approvata li għen biex tkopri l-ispiża tal-proġetti ewlenin tal-belt?</v>
      </c>
    </row>
    <row r="9187" ht="15.75" customHeight="1">
      <c r="A9187" s="2" t="s">
        <v>9187</v>
      </c>
      <c r="B9187" s="2" t="str">
        <f>IFERROR(__xludf.DUMMYFUNCTION("GOOGLETRANSLATE(A9187, ""en"", ""mt"")"),"Tliet ġibjuni ewlenin")</f>
        <v>Tliet ġibjuni ewlenin</v>
      </c>
    </row>
    <row r="9188" ht="15.75" customHeight="1">
      <c r="A9188" s="2" t="s">
        <v>9188</v>
      </c>
      <c r="B9188" s="2" t="str">
        <f>IFERROR(__xludf.DUMMYFUNCTION("GOOGLETRANSLATE(A9188, ""en"", ""mt"")"),"Is-sistema immunitarja tipproteġi l-organiżmi minn infezzjoni b'differenza b'saffi ta 'speċifiċità dejjem tiżdied. F'termini sempliċi, l-ostakli fiżiċi jipprevjenu patoġeni bħal batterji u viruses milli jidħlu fl-organiżmu. Jekk patoġen jikser dawn l-osta"&amp;"kli, is-sistema immuni innata tipprovdi rispons immedjat, iżda mhux speċifiku. Sistemi immuni innati jinstabu fil-pjanti u l-annimali kollha. Jekk il-patoġeni jevadu b'suċċess ir-rispons intrinsiku, il-vertebrati għandhom it-tieni saff ta 'protezzjoni, is"&amp;"-sistema immunitarja adattiva, li hija attivata mir-rispons intrinsiku. Hawnhekk, is-sistema immunitarja tadatta r-rispons tagħha waqt infezzjoni biex ittejjeb ir-rikonoxximent tagħha tal-patoġen. Dan ir-rispons imtejjeb imbagħad jinżamm wara li l-patoġen"&amp;" ikun ġie eliminat, fil-forma ta 'memorja immunoloġika, u jippermetti li s-sistema immuni adatta hija immuntar aktar malajr u aktar b'saħħithom kull darba li jiltaqa' ma 'dan il-patoġen.")</f>
        <v>Is-sistema immunitarja tipproteġi l-organiżmi minn infezzjoni b'differenza b'saffi ta 'speċifiċità dejjem tiżdied. F'termini sempliċi, l-ostakli fiżiċi jipprevjenu patoġeni bħal batterji u viruses milli jidħlu fl-organiżmu. Jekk patoġen jikser dawn l-ostakli, is-sistema immuni innata tipprovdi rispons immedjat, iżda mhux speċifiku. Sistemi immuni innati jinstabu fil-pjanti u l-annimali kollha. Jekk il-patoġeni jevadu b'suċċess ir-rispons intrinsiku, il-vertebrati għandhom it-tieni saff ta 'protezzjoni, is-sistema immunitarja adattiva, li hija attivata mir-rispons intrinsiku. Hawnhekk, is-sistema immunitarja tadatta r-rispons tagħha waqt infezzjoni biex ittejjeb ir-rikonoxximent tagħha tal-patoġen. Dan ir-rispons imtejjeb imbagħad jinżamm wara li l-patoġen ikun ġie eliminat, fil-forma ta 'memorja immunoloġika, u jippermetti li s-sistema immuni adatta hija immuntar aktar malajr u aktar b'saħħithom kull darba li jiltaqa' ma 'dan il-patoġen.</v>
      </c>
    </row>
    <row r="9189" ht="15.75" customHeight="1">
      <c r="A9189" s="2" t="s">
        <v>9189</v>
      </c>
      <c r="B9189" s="2" t="str">
        <f>IFERROR(__xludf.DUMMYFUNCTION("GOOGLETRANSLATE(A9189, ""en"", ""mt"")"),"Min jiddefinixxi dak li jikkostitwixxi relazzjoni ta 'marki għall-pazjent?")</f>
        <v>Min jiddefinixxi dak li jikkostitwixxi relazzjoni ta 'marki għall-pazjent?</v>
      </c>
    </row>
    <row r="9190" ht="15.75" customHeight="1">
      <c r="A9190" s="2" t="s">
        <v>9190</v>
      </c>
      <c r="B9190" s="2" t="str">
        <f>IFERROR(__xludf.DUMMYFUNCTION("GOOGLETRANSLATE(A9190, ""en"", ""mt"")"),"Liema grad għall-iktar belt popolata fl-Unjoni Ewropea għandha Varsavja?")</f>
        <v>Liema grad għall-iktar belt popolata fl-Unjoni Ewropea għandha Varsavja?</v>
      </c>
    </row>
    <row r="9191" ht="15.75" customHeight="1">
      <c r="A9191" s="2" t="s">
        <v>9191</v>
      </c>
      <c r="B9191" s="2" t="str">
        <f>IFERROR(__xludf.DUMMYFUNCTION("GOOGLETRANSLATE(A9191, ""en"", ""mt"")"),"Dewmien jiswa l-flus")</f>
        <v>Dewmien jiswa l-flus</v>
      </c>
    </row>
    <row r="9192" ht="15.75" customHeight="1">
      <c r="A9192" s="2" t="s">
        <v>9192</v>
      </c>
      <c r="B9192" s="2" t="str">
        <f>IFERROR(__xludf.DUMMYFUNCTION("GOOGLETRANSLATE(A9192, ""en"", ""mt"")"),"id-diffikultà inerenti tagħhom")</f>
        <v>id-diffikultà inerenti tagħhom</v>
      </c>
    </row>
    <row r="9193" ht="15.75" customHeight="1">
      <c r="A9193" s="2" t="s">
        <v>9193</v>
      </c>
      <c r="B9193" s="2" t="str">
        <f>IFERROR(__xludf.DUMMYFUNCTION("GOOGLETRANSLATE(A9193, ""en"", ""mt"")"),"X’Rew se jkun it-turisti ta ’Jacksonville lejn destinazzjonijiet oħra ta’ Florida?")</f>
        <v>X’Rew se jkun it-turisti ta ’Jacksonville lejn destinazzjonijiet oħra ta’ Florida?</v>
      </c>
    </row>
    <row r="9194" ht="15.75" customHeight="1">
      <c r="A9194" s="2" t="s">
        <v>9194</v>
      </c>
      <c r="B9194" s="2" t="str">
        <f>IFERROR(__xludf.DUMMYFUNCTION("GOOGLETRANSLATE(A9194, ""en"", ""mt"")"),"X'jista 'BSKYB jivverifika l-preżenza ta' kanali fuqha?")</f>
        <v>X'jista 'BSKYB jivverifika l-preżenza ta' kanali fuqha?</v>
      </c>
    </row>
    <row r="9195" ht="15.75" customHeight="1">
      <c r="A9195" s="2" t="s">
        <v>9195</v>
      </c>
      <c r="B9195" s="2" t="str">
        <f>IFERROR(__xludf.DUMMYFUNCTION("GOOGLETRANSLATE(A9195, ""en"", ""mt"")"),"Numri Carmichael")</f>
        <v>Numri Carmichael</v>
      </c>
    </row>
    <row r="9196" ht="15.75" customHeight="1">
      <c r="A9196" s="2" t="s">
        <v>9196</v>
      </c>
      <c r="B9196" s="2" t="str">
        <f>IFERROR(__xludf.DUMMYFUNCTION("GOOGLETRANSLATE(A9196, ""en"", ""mt"")"),"vjolenti")</f>
        <v>vjolenti</v>
      </c>
    </row>
    <row r="9197" ht="15.75" customHeight="1">
      <c r="A9197" s="2" t="s">
        <v>9197</v>
      </c>
      <c r="B9197" s="2" t="str">
        <f>IFERROR(__xludf.DUMMYFUNCTION("GOOGLETRANSLATE(A9197, ""en"", ""mt"")"),"fuq l-art")</f>
        <v>fuq l-art</v>
      </c>
    </row>
    <row r="9198" ht="15.75" customHeight="1">
      <c r="A9198" s="2" t="s">
        <v>9198</v>
      </c>
      <c r="B9198" s="2" t="str">
        <f>IFERROR(__xludf.DUMMYFUNCTION("GOOGLETRANSLATE(A9198, ""en"", ""mt"")"),"dettaljat")</f>
        <v>dettaljat</v>
      </c>
    </row>
    <row r="9199" ht="15.75" customHeight="1">
      <c r="A9199" s="2" t="s">
        <v>9199</v>
      </c>
      <c r="B9199" s="2" t="str">
        <f>IFERROR(__xludf.DUMMYFUNCTION("GOOGLETRANSLATE(A9199, ""en"", ""mt"")"),"X'inhi l-iktar interazzjoni ewlenija dgħajfa?")</f>
        <v>X'inhi l-iktar interazzjoni ewlenija dgħajfa?</v>
      </c>
    </row>
    <row r="9200" ht="15.75" customHeight="1">
      <c r="A9200" s="2" t="s">
        <v>9200</v>
      </c>
      <c r="B9200" s="2" t="str">
        <f>IFERROR(__xludf.DUMMYFUNCTION("GOOGLETRANSLATE(A9200, ""en"", ""mt"")"),"Liema belt fi stat ta ’New York ġiet solvuta minn Huguenots?")</f>
        <v>Liema belt fi stat ta ’New York ġiet solvuta minn Huguenots?</v>
      </c>
    </row>
    <row r="9201" ht="15.75" customHeight="1">
      <c r="A9201" s="2" t="s">
        <v>9201</v>
      </c>
      <c r="B9201" s="2" t="str">
        <f>IFERROR(__xludf.DUMMYFUNCTION("GOOGLETRANSLATE(A9201, ""en"", ""mt"")"),"L-awtur tal-IPCC Richard Lindzen għamel numru ta ’kritika tal-qatran. Fost il-kritika tiegħu, Lindzen iddikjara li s-Sommarju tal-WGI għal dawk li jfasslu l-politika (SPM) ma jiġbor fil-qosor ir-rapport sħiħ tal-WGI. Pereżempju, Lindzen jiddikjara li l-SP"&amp;"M jissottolinja l-inċertezza assoċjata mal-mudelli klimatiċi. John Houghton, li kien ko-president ta 'Tar WGI, wieġeb għall-kritika ta' Lindzen dwar l-SPM. Houghton enfasizza li l-SPM huwa miftiehem mid-delegati minn ħafna mill-gvernijiet tad-dinja, u li "&amp;"kwalunkwe tibdil fl-SPM għandu jkun appoġġjat minn evidenza xjentifika.")</f>
        <v>L-awtur tal-IPCC Richard Lindzen għamel numru ta ’kritika tal-qatran. Fost il-kritika tiegħu, Lindzen iddikjara li s-Sommarju tal-WGI għal dawk li jfasslu l-politika (SPM) ma jiġbor fil-qosor ir-rapport sħiħ tal-WGI. Pereżempju, Lindzen jiddikjara li l-SPM jissottolinja l-inċertezza assoċjata mal-mudelli klimatiċi. John Houghton, li kien ko-president ta 'Tar WGI, wieġeb għall-kritika ta' Lindzen dwar l-SPM. Houghton enfasizza li l-SPM huwa miftiehem mid-delegati minn ħafna mill-gvernijiet tad-dinja, u li kwalunkwe tibdil fl-SPM għandu jkun appoġġjat minn evidenza xjentifika.</v>
      </c>
    </row>
    <row r="9202" ht="15.75" customHeight="1">
      <c r="A9202" s="2" t="s">
        <v>9202</v>
      </c>
      <c r="B9202" s="2" t="str">
        <f>IFERROR(__xludf.DUMMYFUNCTION("GOOGLETRANSLATE(A9202, ""en"", ""mt"")"),"F'liema sena sar il-proġett kbir ta 'tfittxija ta' l-internet Mersenne?")</f>
        <v>F'liema sena sar il-proġett kbir ta 'tfittxija ta' l-internet Mersenne?</v>
      </c>
    </row>
    <row r="9203" ht="15.75" customHeight="1">
      <c r="A9203" s="2" t="s">
        <v>9203</v>
      </c>
      <c r="B9203" s="2" t="str">
        <f>IFERROR(__xludf.DUMMYFUNCTION("GOOGLETRANSLATE(A9203, ""en"", ""mt"")"),"X'inhu String binarju?")</f>
        <v>X'inhu String binarju?</v>
      </c>
    </row>
    <row r="9204" ht="15.75" customHeight="1">
      <c r="A9204" s="2" t="s">
        <v>9204</v>
      </c>
      <c r="B9204" s="2" t="str">
        <f>IFERROR(__xludf.DUMMYFUNCTION("GOOGLETRANSLATE(A9204, ""en"", ""mt"")"),"Aufbau")</f>
        <v>Aufbau</v>
      </c>
    </row>
    <row r="9205" ht="15.75" customHeight="1">
      <c r="A9205" s="2" t="s">
        <v>9205</v>
      </c>
      <c r="B9205" s="2" t="str">
        <f>IFERROR(__xludf.DUMMYFUNCTION("GOOGLETRANSLATE(A9205, ""en"", ""mt"")"),"X’għamel negozjant greedy lil Triton?")</f>
        <v>X’għamel negozjant greedy lil Triton?</v>
      </c>
    </row>
    <row r="9206" ht="15.75" customHeight="1">
      <c r="A9206" s="2" t="s">
        <v>9206</v>
      </c>
      <c r="B9206" s="2" t="str">
        <f>IFERROR(__xludf.DUMMYFUNCTION("GOOGLETRANSLATE(A9206, ""en"", ""mt"")"),"Xi jfisser il-fluss tal-ilma tar-Rhine wara li joħroġ minn MerWede?")</f>
        <v>Xi jfisser il-fluss tal-ilma tar-Rhine wara li joħroġ minn MerWede?</v>
      </c>
    </row>
    <row r="9207" ht="15.75" customHeight="1">
      <c r="A9207" s="2" t="s">
        <v>9207</v>
      </c>
      <c r="B9207" s="2" t="str">
        <f>IFERROR(__xludf.DUMMYFUNCTION("GOOGLETRANSLATE(A9207, ""en"", ""mt"")"),"X'kien Warner Sinback")</f>
        <v>X'kien Warner Sinback</v>
      </c>
    </row>
    <row r="9208" ht="15.75" customHeight="1">
      <c r="A9208" s="2" t="s">
        <v>9208</v>
      </c>
      <c r="B9208" s="2" t="str">
        <f>IFERROR(__xludf.DUMMYFUNCTION("GOOGLETRANSLATE(A9208, ""en"", ""mt"")"),"Tqajjem malajr il-popolazzjoni u t-traffiku fi bliet tul SR 99, kif ukoll ix-xewqa ta 'finanzjament federali")</f>
        <v>Tqajjem malajr il-popolazzjoni u t-traffiku fi bliet tul SR 99, kif ukoll ix-xewqa ta 'finanzjament federali</v>
      </c>
    </row>
    <row r="9209" ht="15.75" customHeight="1">
      <c r="A9209" s="2" t="s">
        <v>9209</v>
      </c>
      <c r="B9209" s="2" t="str">
        <f>IFERROR(__xludf.DUMMYFUNCTION("GOOGLETRANSLATE(A9209, ""en"", ""mt"")"),"Jekk nassumu li P huwa prim ieħor għajr 2 jew 5, allura, skond it-teorema ta 'Fermat, x'tip ta' deċimali se jkun dejjem?")</f>
        <v>Jekk nassumu li P huwa prim ieħor għajr 2 jew 5, allura, skond it-teorema ta 'Fermat, x'tip ta' deċimali se jkun dejjem?</v>
      </c>
    </row>
    <row r="9210" ht="15.75" customHeight="1">
      <c r="A9210" s="2" t="s">
        <v>9210</v>
      </c>
      <c r="B9210" s="2" t="str">
        <f>IFERROR(__xludf.DUMMYFUNCTION("GOOGLETRANSLATE(A9210, ""en"", ""mt"")"),"X'inhi l-iktar kawża komuni ta 'immunodefiċjenza fin-nazzjonijiet li qed jiżviluppaw?")</f>
        <v>X'inhi l-iktar kawża komuni ta 'immunodefiċjenza fin-nazzjonijiet li qed jiżviluppaw?</v>
      </c>
    </row>
    <row r="9211" ht="15.75" customHeight="1">
      <c r="A9211" s="2" t="s">
        <v>9211</v>
      </c>
      <c r="B9211" s="2" t="str">
        <f>IFERROR(__xludf.DUMMYFUNCTION("GOOGLETRANSLATE(A9211, ""en"", ""mt"")"),"Fkieren u bram jistgħu jieklu kwantitajiet kbar ta 'xiex?")</f>
        <v>Fkieren u bram jistgħu jieklu kwantitajiet kbar ta 'xiex?</v>
      </c>
    </row>
    <row r="9212" ht="15.75" customHeight="1">
      <c r="A9212" s="2" t="s">
        <v>9212</v>
      </c>
      <c r="B9212" s="2" t="str">
        <f>IFERROR(__xludf.DUMMYFUNCTION("GOOGLETRANSLATE(A9212, ""en"", ""mt"")"),"In-numri ewlenin jagħtu lok għal żewġ kunċetti ġenerali oħra li japplikaw għal elementi ta 'kwalunkwe ċirku kommutattiv, struttura alġebrika fejn iż-żieda, it-tnaqqis u l-multiplikazzjoni huma definiti: elementi ewlenin u elementi irreducibbli. Element p "&amp;"ta 'r jissejjaħ element ewlieni jekk la huwa żero u lanqas unità (i.e., m'għandux invers multiplikattiv) u jissodisfa r-rekwiżit li ġej: mogħti x u y f'R tali li P jaqsam il-prodott xy, allura p jaqsam x jew y. Element huwa irreducibbli jekk ma jkunx unit"&amp;"à u ma jistax jinkiteb bħala prodott ta 'żewġ elementi taċ-ċirku li mhumiex unitajiet. Fiċ-ċirku z ta 'numru sħiħ, is-sett ta' elementi ewlenin huwa daqs is-sett ta 'elementi irreducibbli, li huwa")</f>
        <v>In-numri ewlenin jagħtu lok għal żewġ kunċetti ġenerali oħra li japplikaw għal elementi ta 'kwalunkwe ċirku kommutattiv, struttura alġebrika fejn iż-żieda, it-tnaqqis u l-multiplikazzjoni huma definiti: elementi ewlenin u elementi irreducibbli. Element p ta 'r jissejjaħ element ewlieni jekk la huwa żero u lanqas unità (i.e., m'għandux invers multiplikattiv) u jissodisfa r-rekwiżit li ġej: mogħti x u y f'R tali li P jaqsam il-prodott xy, allura p jaqsam x jew y. Element huwa irreducibbli jekk ma jkunx unità u ma jistax jinkiteb bħala prodott ta 'żewġ elementi taċ-ċirku li mhumiex unitajiet. Fiċ-ċirku z ta 'numru sħiħ, is-sett ta' elementi ewlenin huwa daqs is-sett ta 'elementi irreducibbli, li huwa</v>
      </c>
    </row>
    <row r="9213" ht="15.75" customHeight="1">
      <c r="A9213" s="2" t="s">
        <v>9213</v>
      </c>
      <c r="B9213" s="2" t="str">
        <f>IFERROR(__xludf.DUMMYFUNCTION("GOOGLETRANSLATE(A9213, ""en"", ""mt"")"),"jenfasizzaw l-akkademiċi")</f>
        <v>jenfasizzaw l-akkademiċi</v>
      </c>
    </row>
    <row r="9214" ht="15.75" customHeight="1">
      <c r="A9214" s="2" t="s">
        <v>9214</v>
      </c>
      <c r="B9214" s="2" t="str">
        <f>IFERROR(__xludf.DUMMYFUNCTION("GOOGLETRANSLATE(A9214, ""en"", ""mt"")"),"Kif jaġixxu l-forzi ċentripetali fir-rigward ta 'vettori tal-veloċità?")</f>
        <v>Kif jaġixxu l-forzi ċentripetali fir-rigward ta 'vettori tal-veloċità?</v>
      </c>
    </row>
    <row r="9215" ht="15.75" customHeight="1">
      <c r="A9215" s="2" t="s">
        <v>9215</v>
      </c>
      <c r="B9215" s="2" t="str">
        <f>IFERROR(__xludf.DUMMYFUNCTION("GOOGLETRANSLATE(A9215, ""en"", ""mt"")"),"Meta waqa 'l-Imperu Ruman?")</f>
        <v>Meta waqa 'l-Imperu Ruman?</v>
      </c>
    </row>
    <row r="9216" ht="15.75" customHeight="1">
      <c r="A9216" s="2" t="s">
        <v>9216</v>
      </c>
      <c r="B9216" s="2" t="str">
        <f>IFERROR(__xludf.DUMMYFUNCTION("GOOGLETRANSLATE(A9216, ""en"", ""mt"")"),"Liġi Kostituzzjonali")</f>
        <v>Liġi Kostituzzjonali</v>
      </c>
    </row>
    <row r="9217" ht="15.75" customHeight="1">
      <c r="A9217" s="2" t="s">
        <v>9217</v>
      </c>
      <c r="B9217" s="2" t="str">
        <f>IFERROR(__xludf.DUMMYFUNCTION("GOOGLETRANSLATE(A9217, ""en"", ""mt"")"),"Larry Ellison")</f>
        <v>Larry Ellison</v>
      </c>
    </row>
    <row r="9218" ht="15.75" customHeight="1">
      <c r="A9218" s="2" t="s">
        <v>9218</v>
      </c>
      <c r="B9218" s="2" t="str">
        <f>IFERROR(__xludf.DUMMYFUNCTION("GOOGLETRANSLATE(A9218, ""en"", ""mt"")"),"Minn xiex jorganizza esibizzjonijiet ta 'arti tal-Gallerija Nazzjonali ta' Ujazdow?")</f>
        <v>Minn xiex jorganizza esibizzjonijiet ta 'arti tal-Gallerija Nazzjonali ta' Ujazdow?</v>
      </c>
    </row>
    <row r="9219" ht="15.75" customHeight="1">
      <c r="A9219" s="2" t="s">
        <v>9219</v>
      </c>
      <c r="B9219" s="2" t="str">
        <f>IFERROR(__xludf.DUMMYFUNCTION("GOOGLETRANSLATE(A9219, ""en"", ""mt"")"),"F’liema sena Henry of Navarra kien għamel Henry IV?")</f>
        <v>F’liema sena Henry of Navarra kien għamel Henry IV?</v>
      </c>
    </row>
    <row r="9220" ht="15.75" customHeight="1">
      <c r="A9220" s="2" t="s">
        <v>9220</v>
      </c>
      <c r="B9220" s="2" t="str">
        <f>IFERROR(__xludf.DUMMYFUNCTION("GOOGLETRANSLATE(A9220, ""en"", ""mt"")"),"Matul l-eżistenza tagħha, Varsavja kienet belt multi-kulturali. Skond iċ-ċensiment tal-1901, minn 711,988 abitant 56.2% kienu Kattoliċi, 35,7% Lhud, 5% Kristjani Ortodossi Griegi u 2.8% Protestanti. Tmien snin wara, fl-1909, kien hemm 281.754 Lhud (36.9%)"&amp;", 18,189 Protestanti (2.4%) u 2,818 Mariavites (0.4%). Dan wassal għal kostruzzjoni ta ’mijiet ta’ postijiet ta ’qima reliġjuża fil-partijiet kollha tal-belt. Ħafna minnhom inqerdu wara r-rewwixta ta ’Varsavja tal-1944. Wara l-gwerra, l-awtoritajiet komun"&amp;"isti l-ġodda tal-Polonja skoraġġew il-kostruzzjoni tal-knisja u numru żgħir biss inbnew mill-ġdid.")</f>
        <v>Matul l-eżistenza tagħha, Varsavja kienet belt multi-kulturali. Skond iċ-ċensiment tal-1901, minn 711,988 abitant 56.2% kienu Kattoliċi, 35,7% Lhud, 5% Kristjani Ortodossi Griegi u 2.8% Protestanti. Tmien snin wara, fl-1909, kien hemm 281.754 Lhud (36.9%), 18,189 Protestanti (2.4%) u 2,818 Mariavites (0.4%). Dan wassal għal kostruzzjoni ta ’mijiet ta’ postijiet ta ’qima reliġjuża fil-partijiet kollha tal-belt. Ħafna minnhom inqerdu wara r-rewwixta ta ’Varsavja tal-1944. Wara l-gwerra, l-awtoritajiet komunisti l-ġodda tal-Polonja skoraġġew il-kostruzzjoni tal-knisja u numru żgħir biss inbnew mill-ġdid.</v>
      </c>
    </row>
    <row r="9221" ht="15.75" customHeight="1">
      <c r="A9221" s="2" t="s">
        <v>9221</v>
      </c>
      <c r="B9221" s="2" t="str">
        <f>IFERROR(__xludf.DUMMYFUNCTION("GOOGLETRANSLATE(A9221, ""en"", ""mt"")"),"pajjiżi bi inugwaljanzi ta 'dħul akbar")</f>
        <v>pajjiżi bi inugwaljanzi ta 'dħul akbar</v>
      </c>
    </row>
    <row r="9222" ht="15.75" customHeight="1">
      <c r="A9222" s="2" t="s">
        <v>9222</v>
      </c>
      <c r="B9222" s="2" t="str">
        <f>IFERROR(__xludf.DUMMYFUNCTION("GOOGLETRANSLATE(A9222, ""en"", ""mt"")"),"Għalkemm mhux imqabbad, liema huma l-aktar attributi attribwiti komunement ta 'L f'relazzjoni ma' p")</f>
        <v>Għalkemm mhux imqabbad, liema huma l-aktar attributi attribwiti komunement ta 'L f'relazzjoni ma' p</v>
      </c>
    </row>
    <row r="9223" ht="15.75" customHeight="1">
      <c r="A9223" s="2" t="s">
        <v>9223</v>
      </c>
      <c r="B9223" s="2" t="str">
        <f>IFERROR(__xludf.DUMMYFUNCTION("GOOGLETRANSLATE(A9223, ""en"", ""mt"")"),"X'inhi l-kelma Olandiża għall-foresta tropikali tal-Amażonja?")</f>
        <v>X'inhi l-kelma Olandiża għall-foresta tropikali tal-Amażonja?</v>
      </c>
    </row>
    <row r="9224" ht="15.75" customHeight="1">
      <c r="A9224" s="2" t="s">
        <v>9224</v>
      </c>
      <c r="B9224" s="2" t="str">
        <f>IFERROR(__xludf.DUMMYFUNCTION("GOOGLETRANSLATE(A9224, ""en"", ""mt"")"),"Studji stabbli u radjuattivi tal-iżotopi jipprovdu ħarsa lejn xiex?")</f>
        <v>Studji stabbli u radjuattivi tal-iżotopi jipprovdu ħarsa lejn xiex?</v>
      </c>
    </row>
    <row r="9225" ht="15.75" customHeight="1">
      <c r="A9225" s="2" t="s">
        <v>9225</v>
      </c>
      <c r="B9225" s="2" t="str">
        <f>IFERROR(__xludf.DUMMYFUNCTION("GOOGLETRANSLATE(A9225, ""en"", ""mt"")"),"il-perspettiva tal-oġġett")</f>
        <v>il-perspettiva tal-oġġett</v>
      </c>
    </row>
    <row r="9226" ht="15.75" customHeight="1">
      <c r="A9226" s="2" t="s">
        <v>9226</v>
      </c>
      <c r="B9226" s="2" t="str">
        <f>IFERROR(__xludf.DUMMYFUNCTION("GOOGLETRANSLATE(A9226, ""en"", ""mt"")"),"Liema fruntiera tirriżulta r-Renu min-nofsinhar?")</f>
        <v>Liema fruntiera tirriżulta r-Renu min-nofsinhar?</v>
      </c>
    </row>
    <row r="9227" ht="15.75" customHeight="1">
      <c r="A9227" s="2" t="s">
        <v>9227</v>
      </c>
      <c r="B9227" s="2" t="str">
        <f>IFERROR(__xludf.DUMMYFUNCTION("GOOGLETRANSLATE(A9227, ""en"", ""mt"")"),"X'kien l-isem oriġinali tal-BankaMericard?")</f>
        <v>X'kien l-isem oriġinali tal-BankaMericard?</v>
      </c>
    </row>
    <row r="9228" ht="15.75" customHeight="1">
      <c r="A9228" s="2" t="s">
        <v>9228</v>
      </c>
      <c r="B9228" s="2" t="str">
        <f>IFERROR(__xludf.DUMMYFUNCTION("GOOGLETRANSLATE(A9228, ""en"", ""mt"")"),"Liema imperu mhux Ċiniż irnexxielu d-dinastija Yuan?")</f>
        <v>Liema imperu mhux Ċiniż irnexxielu d-dinastija Yuan?</v>
      </c>
    </row>
    <row r="9229" ht="15.75" customHeight="1">
      <c r="A9229" s="2" t="s">
        <v>9229</v>
      </c>
      <c r="B9229" s="2" t="str">
        <f>IFERROR(__xludf.DUMMYFUNCTION("GOOGLETRANSLATE(A9229, ""en"", ""mt"")"),"Minn liema grupp fit-tabella perjodika huwa ossiġnu membru?")</f>
        <v>Minn liema grupp fit-tabella perjodika huwa ossiġnu membru?</v>
      </c>
    </row>
    <row r="9230" ht="15.75" customHeight="1">
      <c r="A9230" s="2" t="s">
        <v>9230</v>
      </c>
      <c r="B9230" s="2" t="str">
        <f>IFERROR(__xludf.DUMMYFUNCTION("GOOGLETRANSLATE(A9230, ""en"", ""mt"")"),"ħafna mill-enerġija kimika")</f>
        <v>ħafna mill-enerġija kimika</v>
      </c>
    </row>
    <row r="9231" ht="15.75" customHeight="1">
      <c r="A9231" s="2" t="s">
        <v>9231</v>
      </c>
      <c r="B9231" s="2" t="str">
        <f>IFERROR(__xludf.DUMMYFUNCTION("GOOGLETRANSLATE(A9231, ""en"", ""mt"")"),"l-ispin")</f>
        <v>l-ispin</v>
      </c>
    </row>
    <row r="9232" ht="15.75" customHeight="1">
      <c r="A9232" s="2" t="s">
        <v>9232</v>
      </c>
      <c r="B9232" s="2" t="str">
        <f>IFERROR(__xludf.DUMMYFUNCTION("GOOGLETRANSLATE(A9232, ""en"", ""mt"")"),"1939")</f>
        <v>1939</v>
      </c>
    </row>
    <row r="9233" ht="15.75" customHeight="1">
      <c r="A9233" s="2" t="s">
        <v>9233</v>
      </c>
      <c r="B9233" s="2" t="str">
        <f>IFERROR(__xludf.DUMMYFUNCTION("GOOGLETRANSLATE(A9233, ""en"", ""mt"")"),"tifqigħat tad-deni isfar")</f>
        <v>tifqigħat tad-deni isfar</v>
      </c>
    </row>
    <row r="9234" ht="15.75" customHeight="1">
      <c r="A9234" s="2" t="s">
        <v>9234</v>
      </c>
      <c r="B9234" s="2" t="str">
        <f>IFERROR(__xludf.DUMMYFUNCTION("GOOGLETRANSLATE(A9234, ""en"", ""mt"")"),"Minn liema sena l-ARWU kklassifika l-prestazzjoni akkademika?")</f>
        <v>Minn liema sena l-ARWU kklassifika l-prestazzjoni akkademika?</v>
      </c>
    </row>
    <row r="9235" ht="15.75" customHeight="1">
      <c r="A9235" s="2" t="s">
        <v>9235</v>
      </c>
      <c r="B9235" s="2" t="str">
        <f>IFERROR(__xludf.DUMMYFUNCTION("GOOGLETRANSLATE(A9235, ""en"", ""mt"")"),"Silas B. Cobb")</f>
        <v>Silas B. Cobb</v>
      </c>
    </row>
    <row r="9236" ht="15.75" customHeight="1">
      <c r="A9236" s="2" t="s">
        <v>9236</v>
      </c>
      <c r="B9236" s="2" t="str">
        <f>IFERROR(__xludf.DUMMYFUNCTION("GOOGLETRANSLATE(A9236, ""en"", ""mt"")"),"L-approċċ ta 'Agassiz għax-xjenza kkombina l-osservazzjoni u x'inhu?")</f>
        <v>L-approċċ ta 'Agassiz għax-xjenza kkombina l-osservazzjoni u x'inhu?</v>
      </c>
    </row>
    <row r="9237" ht="15.75" customHeight="1">
      <c r="A9237" s="2" t="s">
        <v>9237</v>
      </c>
      <c r="B9237" s="2" t="str">
        <f>IFERROR(__xludf.DUMMYFUNCTION("GOOGLETRANSLATE(A9237, ""en"", ""mt"")"),"sħun u niexef")</f>
        <v>sħun u niexef</v>
      </c>
    </row>
    <row r="9238" ht="15.75" customHeight="1">
      <c r="A9238" s="2" t="s">
        <v>9238</v>
      </c>
      <c r="B9238" s="2" t="str">
        <f>IFERROR(__xludf.DUMMYFUNCTION("GOOGLETRANSLATE(A9238, ""en"", ""mt"")"),"Min argumenta li l-oġġetti jżommu l-veloċità tagħhom anke meta aġixxew minn forza?")</f>
        <v>Min argumenta li l-oġġetti jżommu l-veloċità tagħhom anke meta aġixxew minn forza?</v>
      </c>
    </row>
    <row r="9239" ht="15.75" customHeight="1">
      <c r="A9239" s="2" t="s">
        <v>9239</v>
      </c>
      <c r="B9239" s="2" t="str">
        <f>IFERROR(__xludf.DUMMYFUNCTION("GOOGLETRANSLATE(A9239, ""en"", ""mt"")"),"Telekomunikazzjonijiet")</f>
        <v>Telekomunikazzjonijiet</v>
      </c>
    </row>
    <row r="9240" ht="15.75" customHeight="1">
      <c r="A9240" s="2" t="s">
        <v>9240</v>
      </c>
      <c r="B9240" s="2" t="str">
        <f>IFERROR(__xludf.DUMMYFUNCTION("GOOGLETRANSLATE(A9240, ""en"", ""mt"")"),"Downtown Burbank huwa eżempju ta 'x'tip ta' distrett?")</f>
        <v>Downtown Burbank huwa eżempju ta 'x'tip ta' distrett?</v>
      </c>
    </row>
    <row r="9241" ht="15.75" customHeight="1">
      <c r="A9241" s="2" t="s">
        <v>9241</v>
      </c>
      <c r="B9241" s="2" t="str">
        <f>IFERROR(__xludf.DUMMYFUNCTION("GOOGLETRANSLATE(A9241, ""en"", ""mt"")"),"F’liema sena kienet J.I. Pontanus imwieled?")</f>
        <v>F’liema sena kienet J.I. Pontanus imwieled?</v>
      </c>
    </row>
    <row r="9242" ht="15.75" customHeight="1">
      <c r="A9242" s="2" t="s">
        <v>9242</v>
      </c>
      <c r="B9242" s="2" t="str">
        <f>IFERROR(__xludf.DUMMYFUNCTION("GOOGLETRANSLATE(A9242, ""en"", ""mt"")"),"12 ta ’Mejju 1705")</f>
        <v>12 ta ’Mejju 1705</v>
      </c>
    </row>
    <row r="9243" ht="15.75" customHeight="1">
      <c r="A9243" s="2" t="s">
        <v>9243</v>
      </c>
      <c r="B9243" s="2" t="str">
        <f>IFERROR(__xludf.DUMMYFUNCTION("GOOGLETRANSLATE(A9243, ""en"", ""mt"")"),"Liema tagħmir jintuża biex jidentifika kristalli individwali?")</f>
        <v>Liema tagħmir jintuża biex jidentifika kristalli individwali?</v>
      </c>
    </row>
    <row r="9244" ht="15.75" customHeight="1">
      <c r="A9244" s="2" t="s">
        <v>9244</v>
      </c>
      <c r="B9244" s="2" t="str">
        <f>IFERROR(__xludf.DUMMYFUNCTION("GOOGLETRANSLATE(A9244, ""en"", ""mt"")"),"X'inhu l-parassita ewkarjotika responsabbli għall-malarja magħrufa bħala?")</f>
        <v>X'inhu l-parassita ewkarjotika responsabbli għall-malarja magħrufa bħala?</v>
      </c>
    </row>
    <row r="9245" ht="15.75" customHeight="1">
      <c r="A9245" s="2" t="s">
        <v>9245</v>
      </c>
      <c r="B9245" s="2" t="str">
        <f>IFERROR(__xludf.DUMMYFUNCTION("GOOGLETRANSLATE(A9245, ""en"", ""mt"")"),"Kemm irħula tal-pajjiż jistgħu jinstabu fis-Sit tal-Wirt Dinji tal-UNESCO?")</f>
        <v>Kemm irħula tal-pajjiż jistgħu jinstabu fis-Sit tal-Wirt Dinji tal-UNESCO?</v>
      </c>
    </row>
    <row r="9246" ht="15.75" customHeight="1">
      <c r="A9246" s="2" t="s">
        <v>9246</v>
      </c>
      <c r="B9246" s="2" t="str">
        <f>IFERROR(__xludf.DUMMYFUNCTION("GOOGLETRANSLATE(A9246, ""en"", ""mt"")"),"Għalkemm Turabi pproklama l-appoġġ tiegħu għall-proċess demokratiku, huwa applika strettament xiex wara li daħal fil-poter?")</f>
        <v>Għalkemm Turabi pproklama l-appoġġ tiegħu għall-proċess demokratiku, huwa applika strettament xiex wara li daħal fil-poter?</v>
      </c>
    </row>
    <row r="9247" ht="15.75" customHeight="1">
      <c r="A9247" s="2" t="s">
        <v>9247</v>
      </c>
      <c r="B9247" s="2" t="str">
        <f>IFERROR(__xludf.DUMMYFUNCTION("GOOGLETRANSLATE(A9247, ""en"", ""mt"")"),"X'ġara lil George Carlin wara li bagħat l-e-mail?")</f>
        <v>X'ġara lil George Carlin wara li bagħat l-e-mail?</v>
      </c>
    </row>
    <row r="9248" ht="15.75" customHeight="1">
      <c r="A9248" s="2" t="s">
        <v>9248</v>
      </c>
      <c r="B9248" s="2" t="str">
        <f>IFERROR(__xludf.DUMMYFUNCTION("GOOGLETRANSLATE(A9248, ""en"", ""mt"")"),"mili ta 'orbitali molekulari")</f>
        <v>mili ta 'orbitali molekulari</v>
      </c>
    </row>
    <row r="9249" ht="15.75" customHeight="1">
      <c r="A9249" s="2" t="s">
        <v>9249</v>
      </c>
      <c r="B9249" s="2" t="str">
        <f>IFERROR(__xludf.DUMMYFUNCTION("GOOGLETRANSLATE(A9249, ""en"", ""mt"")"),"Sky + HD Box")</f>
        <v>Sky + HD Box</v>
      </c>
    </row>
    <row r="9250" ht="15.75" customHeight="1">
      <c r="A9250" s="2" t="s">
        <v>9250</v>
      </c>
      <c r="B9250" s="2" t="str">
        <f>IFERROR(__xludf.DUMMYFUNCTION("GOOGLETRANSLATE(A9250, ""en"", ""mt"")"),"Cologne, il-Ġermanja")</f>
        <v>Cologne, il-Ġermanja</v>
      </c>
    </row>
    <row r="9251" ht="15.75" customHeight="1">
      <c r="A9251" s="2" t="s">
        <v>9251</v>
      </c>
      <c r="B9251" s="2" t="str">
        <f>IFERROR(__xludf.DUMMYFUNCTION("GOOGLETRANSLATE(A9251, ""en"", ""mt"")")," Min ma ħasibx ħafna attakki ta 'terrur?")</f>
        <v> Min ma ħasibx ħafna attakki ta 'terrur?</v>
      </c>
    </row>
    <row r="9252" ht="15.75" customHeight="1">
      <c r="A9252" s="2" t="s">
        <v>9252</v>
      </c>
      <c r="B9252" s="2" t="str">
        <f>IFERROR(__xludf.DUMMYFUNCTION("GOOGLETRANSLATE(A9252, ""en"", ""mt"")"),"Meta waqfet il-ġlied fil-Prussja?")</f>
        <v>Meta waqfet il-ġlied fil-Prussja?</v>
      </c>
    </row>
    <row r="9253" ht="15.75" customHeight="1">
      <c r="A9253" s="2" t="s">
        <v>9253</v>
      </c>
      <c r="B9253" s="2" t="str">
        <f>IFERROR(__xludf.DUMMYFUNCTION("GOOGLETRANSLATE(A9253, ""en"", ""mt"")"),"63,519")</f>
        <v>63,519</v>
      </c>
    </row>
    <row r="9254" ht="15.75" customHeight="1">
      <c r="A9254" s="2" t="s">
        <v>9254</v>
      </c>
      <c r="B9254" s="2" t="str">
        <f>IFERROR(__xludf.DUMMYFUNCTION("GOOGLETRANSLATE(A9254, ""en"", ""mt"")"),"diversi")</f>
        <v>diversi</v>
      </c>
    </row>
    <row r="9255" ht="15.75" customHeight="1">
      <c r="A9255" s="2" t="s">
        <v>9255</v>
      </c>
      <c r="B9255" s="2" t="str">
        <f>IFERROR(__xludf.DUMMYFUNCTION("GOOGLETRANSLATE(A9255, ""en"", ""mt"")"),"Iroquois Six Nations, u wkoll miċ-Cherokee")</f>
        <v>Iroquois Six Nations, u wkoll miċ-Cherokee</v>
      </c>
    </row>
    <row r="9256" ht="15.75" customHeight="1">
      <c r="A9256" s="2" t="s">
        <v>9256</v>
      </c>
      <c r="B9256" s="2" t="str">
        <f>IFERROR(__xludf.DUMMYFUNCTION("GOOGLETRANSLATE(A9256, ""en"", ""mt"")"),"Belt Konsolidata ta 'Jacksonville")</f>
        <v>Belt Konsolidata ta 'Jacksonville</v>
      </c>
    </row>
    <row r="9257" ht="15.75" customHeight="1">
      <c r="A9257" s="2" t="s">
        <v>9257</v>
      </c>
      <c r="B9257" s="2" t="str">
        <f>IFERROR(__xludf.DUMMYFUNCTION("GOOGLETRANSLATE(A9257, ""en"", ""mt"")"),"Liema fenomenu wassal għal kritika?")</f>
        <v>Liema fenomenu wassal għal kritika?</v>
      </c>
    </row>
    <row r="9258" ht="15.75" customHeight="1">
      <c r="A9258" s="2" t="s">
        <v>9258</v>
      </c>
      <c r="B9258" s="2" t="str">
        <f>IFERROR(__xludf.DUMMYFUNCTION("GOOGLETRANSLATE(A9258, ""en"", ""mt"")"),"1596")</f>
        <v>1596</v>
      </c>
    </row>
    <row r="9259" ht="15.75" customHeight="1">
      <c r="A9259" s="2" t="s">
        <v>9259</v>
      </c>
      <c r="B9259" s="2" t="str">
        <f>IFERROR(__xludf.DUMMYFUNCTION("GOOGLETRANSLATE(A9259, ""en"", ""mt"")"),"Michael Heckenberger u l-kollegi tal-Università ta ’Florida")</f>
        <v>Michael Heckenberger u l-kollegi tal-Università ta ’Florida</v>
      </c>
    </row>
    <row r="9260" ht="15.75" customHeight="1">
      <c r="A9260" s="2" t="s">
        <v>9260</v>
      </c>
      <c r="B9260" s="2" t="str">
        <f>IFERROR(__xludf.DUMMYFUNCTION("GOOGLETRANSLATE(A9260, ""en"", ""mt"")"),"X'tip ta 'rispons immuni biex jipprovokaw mediċini iżgħar?")</f>
        <v>X'tip ta 'rispons immuni biex jipprovokaw mediċini iżgħar?</v>
      </c>
    </row>
    <row r="9261" ht="15.75" customHeight="1">
      <c r="A9261" s="2" t="s">
        <v>9261</v>
      </c>
      <c r="B9261" s="2" t="str">
        <f>IFERROR(__xludf.DUMMYFUNCTION("GOOGLETRANSLATE(A9261, ""en"", ""mt"")"),"Xi jfisser il-mostru tal-baħar bl-iskrizzjoni fuq id-dwiefer tagħha?")</f>
        <v>Xi jfisser il-mostru tal-baħar bl-iskrizzjoni fuq id-dwiefer tagħha?</v>
      </c>
    </row>
    <row r="9262" ht="15.75" customHeight="1">
      <c r="A9262" s="2" t="s">
        <v>9262</v>
      </c>
      <c r="B9262" s="2" t="str">
        <f>IFERROR(__xludf.DUMMYFUNCTION("GOOGLETRANSLATE(A9262, ""en"", ""mt"")"),"Rows moxt")</f>
        <v>Rows moxt</v>
      </c>
    </row>
    <row r="9263" ht="15.75" customHeight="1">
      <c r="A9263" s="2" t="s">
        <v>9263</v>
      </c>
      <c r="B9263" s="2" t="str">
        <f>IFERROR(__xludf.DUMMYFUNCTION("GOOGLETRANSLATE(A9263, ""en"", ""mt"")"),"tilwima dwar il-kontroll tal-konfluwenza tax-xmajjar Allegheny u Monongahela")</f>
        <v>tilwima dwar il-kontroll tal-konfluwenza tax-xmajjar Allegheny u Monongahela</v>
      </c>
    </row>
    <row r="9264" ht="15.75" customHeight="1">
      <c r="A9264" s="2" t="s">
        <v>9264</v>
      </c>
      <c r="B9264" s="2" t="str">
        <f>IFERROR(__xludf.DUMMYFUNCTION("GOOGLETRANSLATE(A9264, ""en"", ""mt"")"),"F'April 1191 Richard il-Lion-Hearted ħalla lil Messina bi flotta kbira sabiex tilħaq acre. Imma maltempata xerred il-flotta. Wara ftit tfittxija, ġie skopert li d-dgħajsa li ġġorr lil oħtu u l-għarus tiegħu Berengaria kienet ankrata fuq il-kosta tan-nofsi"&amp;"nhar ta 'Ċipru, flimkien ma' l-inkaljar ta 'diversi vapuri oħra, inkluż il-vapur tat-teżor. Is-sopravissuti ta 'l-inkaljar kienu ttieħdu priġunier mid-despot tal-gżira Isaac Komnenos. Fl-1 ta 'Mejju 1191, il-flotta ta' Richard waslet fil-port ta 'Limassol"&amp;" fuq Ċipru. Huwa ordna lil Iżakk biex jeħles lill-priġunieri u t-teżor. Isaac irrifjuta, u għalhekk Richard żbarka t-truppi tiegħu u ħa Limassol.")</f>
        <v>F'April 1191 Richard il-Lion-Hearted ħalla lil Messina bi flotta kbira sabiex tilħaq acre. Imma maltempata xerred il-flotta. Wara ftit tfittxija, ġie skopert li d-dgħajsa li ġġorr lil oħtu u l-għarus tiegħu Berengaria kienet ankrata fuq il-kosta tan-nofsinhar ta 'Ċipru, flimkien ma' l-inkaljar ta 'diversi vapuri oħra, inkluż il-vapur tat-teżor. Is-sopravissuti ta 'l-inkaljar kienu ttieħdu priġunier mid-despot tal-gżira Isaac Komnenos. Fl-1 ta 'Mejju 1191, il-flotta ta' Richard waslet fil-port ta 'Limassol fuq Ċipru. Huwa ordna lil Iżakk biex jeħles lill-priġunieri u t-teżor. Isaac irrifjuta, u għalhekk Richard żbarka t-truppi tiegħu u ħa Limassol.</v>
      </c>
    </row>
    <row r="9265" ht="15.75" customHeight="1">
      <c r="A9265" s="2" t="s">
        <v>9265</v>
      </c>
      <c r="B9265" s="2" t="str">
        <f>IFERROR(__xludf.DUMMYFUNCTION("GOOGLETRANSLATE(A9265, ""en"", ""mt"")"),"Min kiteb fuljett li jiddeskrivi l-ideat radikali tal-estremisti?")</f>
        <v>Min kiteb fuljett li jiddeskrivi l-ideat radikali tal-estremisti?</v>
      </c>
    </row>
    <row r="9266" ht="15.75" customHeight="1">
      <c r="A9266" s="2" t="s">
        <v>9266</v>
      </c>
      <c r="B9266" s="2" t="str">
        <f>IFERROR(__xludf.DUMMYFUNCTION("GOOGLETRANSLATE(A9266, ""en"", ""mt"")"),"Kif huwa orjentat lejn il-konnessjoni X.25 fis-saff tnejn?")</f>
        <v>Kif huwa orjentat lejn il-konnessjoni X.25 fis-saff tnejn?</v>
      </c>
    </row>
    <row r="9267" ht="15.75" customHeight="1">
      <c r="A9267" s="2" t="s">
        <v>9267</v>
      </c>
      <c r="B9267" s="2" t="str">
        <f>IFERROR(__xludf.DUMMYFUNCTION("GOOGLETRANSLATE(A9267, ""en"", ""mt"")"),"Meta kien l-Imperu Ottoman fl-eqqel tiegħu?")</f>
        <v>Meta kien l-Imperu Ottoman fl-eqqel tiegħu?</v>
      </c>
    </row>
    <row r="9268" ht="15.75" customHeight="1">
      <c r="A9268" s="2" t="s">
        <v>9268</v>
      </c>
      <c r="B9268" s="2" t="str">
        <f>IFERROR(__xludf.DUMMYFUNCTION("GOOGLETRANSLATE(A9268, ""en"", ""mt"")"),"Partijiet mill-Ewropa li kellhom relazzjonijiet kummerċjali iżgħar mal-ġirien tagħhom")</f>
        <v>Partijiet mill-Ewropa li kellhom relazzjonijiet kummerċjali iżgħar mal-ġirien tagħhom</v>
      </c>
    </row>
    <row r="9269" ht="15.75" customHeight="1">
      <c r="A9269" s="2" t="s">
        <v>9269</v>
      </c>
      <c r="B9269" s="2" t="str">
        <f>IFERROR(__xludf.DUMMYFUNCTION("GOOGLETRANSLATE(A9269, ""en"", ""mt"")"),"Ma 'xi tfisser il-Ferrovija ta' San Joaquin Valley?")</f>
        <v>Ma 'xi tfisser il-Ferrovija ta' San Joaquin Valley?</v>
      </c>
    </row>
    <row r="9270" ht="15.75" customHeight="1">
      <c r="A9270" s="2" t="s">
        <v>9270</v>
      </c>
      <c r="B9270" s="2" t="str">
        <f>IFERROR(__xludf.DUMMYFUNCTION("GOOGLETRANSLATE(A9270, ""en"", ""mt"")"),"Il-konkwista ta ’Ċipru mill-forzi Anglo-Norman tat-Tielet Kruċjata fetħet kapitolu ġdid fl-istorja tal-gżira, li kienet tkun taħt il-ħakma tal-Ewropa tal-Punent għat-380 sena li ġejjin. Għalkemm mhux parti minn operazzjoni ppjanata, il-konkwista kellha ri"&amp;"żultati ferm aktar permanenti milli kien mistenni inizjalment.")</f>
        <v>Il-konkwista ta ’Ċipru mill-forzi Anglo-Norman tat-Tielet Kruċjata fetħet kapitolu ġdid fl-istorja tal-gżira, li kienet tkun taħt il-ħakma tal-Ewropa tal-Punent għat-380 sena li ġejjin. Għalkemm mhux parti minn operazzjoni ppjanata, il-konkwista kellha riżultati ferm aktar permanenti milli kien mistenni inizjalment.</v>
      </c>
    </row>
    <row r="9271" ht="15.75" customHeight="1">
      <c r="A9271" s="2" t="s">
        <v>9271</v>
      </c>
      <c r="B9271" s="2" t="str">
        <f>IFERROR(__xludf.DUMMYFUNCTION("GOOGLETRANSLATE(A9271, ""en"", ""mt"")"),"Matul liema tip ta 'klima huwa l-ossiġenu 18 fl-ilma baħar f'livelli ogħla?")</f>
        <v>Matul liema tip ta 'klima huwa l-ossiġenu 18 fl-ilma baħar f'livelli ogħla?</v>
      </c>
    </row>
    <row r="9272" ht="15.75" customHeight="1">
      <c r="A9272" s="2" t="s">
        <v>9272</v>
      </c>
      <c r="B9272" s="2" t="str">
        <f>IFERROR(__xludf.DUMMYFUNCTION("GOOGLETRANSLATE(A9272, ""en"", ""mt"")")," X'kienet inkarigata l-Aġenzija ta 'l-Informazzjoni ta' l-Istati Uniti li għamlet matul il-gwerra sħuna?")</f>
        <v> X'kienet inkarigata l-Aġenzija ta 'l-Informazzjoni ta' l-Istati Uniti li għamlet matul il-gwerra sħuna?</v>
      </c>
    </row>
    <row r="9273" ht="15.75" customHeight="1">
      <c r="A9273" s="2" t="s">
        <v>9273</v>
      </c>
      <c r="B9273" s="2" t="str">
        <f>IFERROR(__xludf.DUMMYFUNCTION("GOOGLETRANSLATE(A9273, ""en"", ""mt"")"),"99")</f>
        <v>99</v>
      </c>
    </row>
    <row r="9274" ht="15.75" customHeight="1">
      <c r="A9274" s="2" t="s">
        <v>9274</v>
      </c>
      <c r="B9274" s="2" t="str">
        <f>IFERROR(__xludf.DUMMYFUNCTION("GOOGLETRANSLATE(A9274, ""en"", ""mt"")"),"Quantum")</f>
        <v>Quantum</v>
      </c>
    </row>
    <row r="9275" ht="15.75" customHeight="1">
      <c r="A9275" s="2" t="s">
        <v>9275</v>
      </c>
      <c r="B9275" s="2" t="str">
        <f>IFERROR(__xludf.DUMMYFUNCTION("GOOGLETRANSLATE(A9275, ""en"", ""mt"")"),"Liema dizzjunarju fih definizzjoni mhux vjolenti?")</f>
        <v>Liema dizzjunarju fih definizzjoni mhux vjolenti?</v>
      </c>
    </row>
    <row r="9276" ht="15.75" customHeight="1">
      <c r="A9276" s="2" t="s">
        <v>9276</v>
      </c>
      <c r="B9276" s="2" t="str">
        <f>IFERROR(__xludf.DUMMYFUNCTION("GOOGLETRANSLATE(A9276, ""en"", ""mt"")"),"Meta ġie maħkum Dali mill-Yuan?")</f>
        <v>Meta ġie maħkum Dali mill-Yuan?</v>
      </c>
    </row>
    <row r="9277" ht="15.75" customHeight="1">
      <c r="A9277" s="2" t="s">
        <v>9277</v>
      </c>
      <c r="B9277" s="2" t="str">
        <f>IFERROR(__xludf.DUMMYFUNCTION("GOOGLETRANSLATE(A9277, ""en"", ""mt"")"),"id-duttrina tat-trans-startjazzjoni")</f>
        <v>id-duttrina tat-trans-startjazzjoni</v>
      </c>
    </row>
    <row r="9278" ht="15.75" customHeight="1">
      <c r="A9278" s="2" t="s">
        <v>9278</v>
      </c>
      <c r="B9278" s="2" t="str">
        <f>IFERROR(__xludf.DUMMYFUNCTION("GOOGLETRANSLATE(A9278, ""en"", ""mt"")"),"X'kien il-pjan tal-gwerra tal-patt ta 'Varsavja?")</f>
        <v>X'kien il-pjan tal-gwerra tal-patt ta 'Varsavja?</v>
      </c>
    </row>
    <row r="9279" ht="15.75" customHeight="1">
      <c r="A9279" s="2" t="s">
        <v>9279</v>
      </c>
      <c r="B9279" s="2" t="str">
        <f>IFERROR(__xludf.DUMMYFUNCTION("GOOGLETRANSLATE(A9279, ""en"", ""mt"")"),"Tnaqqis fost problemi kombinatorji")</f>
        <v>Tnaqqis fost problemi kombinatorji</v>
      </c>
    </row>
    <row r="9280" ht="15.75" customHeight="1">
      <c r="A9280" s="2" t="s">
        <v>9280</v>
      </c>
      <c r="B9280" s="2" t="str">
        <f>IFERROR(__xludf.DUMMYFUNCTION("GOOGLETRANSLATE(A9280, ""en"", ""mt"")"),"L-arkitettura Gotika hija rrappreżentata fil-knejjes maestużi iżda wkoll fid-djar u l-fortifikazzjonijiet tal-burgher. L-iktar bini sinifikanti huma l-Katidral ta ’San Ġwann (seklu 14), it-tempju huwa eżempju tipiku tal-hekk imsejħa stil Gotiku Masovjan, "&amp;"Santa Marija tal-Knisja (1411), dar tal-belt tal-familja Burbach (seklu 14), Gunpowder Tower (wara l-1379) u r-Royal Castle Curia Maior (1407-1410). L-iktar eżempji notevoli ta 'arkitettura ta' Rinaxximent fil-belt huma l-familja merkantili tad-dar ta 'Ba"&amp;"ryczko (1562), bini msejjaħ ""in-negro"" (seklu 17 kmieni) u l-fond ta' Salwator (1632). L-iktar eżempji interessanti ta 'arkitettura ta' manjerista huma l-Kastell Irjali (1596-1619) u l-Knisja tal-Ġiżwiti (1609-1626) fil-Belt il-Qadima. Fost l-ewwel stru"&amp;"tturi tal-Barokk bikri l-iktar importanti huma l-Knisja ta ’San Ġjaċint (1603-1639) u l-kolonna ta’ Sigismund (1644).")</f>
        <v>L-arkitettura Gotika hija rrappreżentata fil-knejjes maestużi iżda wkoll fid-djar u l-fortifikazzjonijiet tal-burgher. L-iktar bini sinifikanti huma l-Katidral ta ’San Ġwann (seklu 14), it-tempju huwa eżempju tipiku tal-hekk imsejħa stil Gotiku Masovjan, Santa Marija tal-Knisja (1411), dar tal-belt tal-familja Burbach (seklu 14), Gunpowder Tower (wara l-1379) u r-Royal Castle Curia Maior (1407-1410). L-iktar eżempji notevoli ta 'arkitettura ta' Rinaxximent fil-belt huma l-familja merkantili tad-dar ta 'Baryczko (1562), bini msejjaħ "in-negro" (seklu 17 kmieni) u l-fond ta' Salwator (1632). L-iktar eżempji interessanti ta 'arkitettura ta' manjerista huma l-Kastell Irjali (1596-1619) u l-Knisja tal-Ġiżwiti (1609-1626) fil-Belt il-Qadima. Fost l-ewwel strutturi tal-Barokk bikri l-iktar importanti huma l-Knisja ta ’San Ġjaċint (1603-1639) u l-kolonna ta’ Sigismund (1644).</v>
      </c>
    </row>
    <row r="9281" ht="15.75" customHeight="1">
      <c r="A9281" s="2" t="s">
        <v>9281</v>
      </c>
      <c r="B9281" s="2" t="str">
        <f>IFERROR(__xludf.DUMMYFUNCTION("GOOGLETRANSLATE(A9281, ""en"", ""mt"")"),"Kemm kienu akbar livelli tal-baħar tal-1990 minn dawk antiċipati fis-sena 2100?")</f>
        <v>Kemm kienu akbar livelli tal-baħar tal-1990 minn dawk antiċipati fis-sena 2100?</v>
      </c>
    </row>
    <row r="9282" ht="15.75" customHeight="1">
      <c r="A9282" s="2" t="s">
        <v>9282</v>
      </c>
      <c r="B9282" s="2" t="str">
        <f>IFERROR(__xludf.DUMMYFUNCTION("GOOGLETRANSLATE(A9282, ""en"", ""mt"")"),"is-sid tal-propjetà")</f>
        <v>is-sid tal-propjetà</v>
      </c>
    </row>
    <row r="9283" ht="15.75" customHeight="1">
      <c r="A9283" s="2" t="s">
        <v>9283</v>
      </c>
      <c r="B9283" s="2" t="str">
        <f>IFERROR(__xludf.DUMMYFUNCTION("GOOGLETRANSLATE(A9283, ""en"", ""mt"")"),"L-intervalli tan-numru ewlieni bejn il-emerġenzi jagħmluha diffiċli ħafna għall-predaturi biex jevolvu")</f>
        <v>L-intervalli tan-numru ewlieni bejn il-emerġenzi jagħmluha diffiċli ħafna għall-predaturi biex jevolvu</v>
      </c>
    </row>
    <row r="9284" ht="15.75" customHeight="1">
      <c r="A9284" s="2" t="s">
        <v>9284</v>
      </c>
      <c r="B9284" s="2" t="str">
        <f>IFERROR(__xludf.DUMMYFUNCTION("GOOGLETRANSLATE(A9284, ""en"", ""mt"")"),"Kif kien imsejjaħ Fulton Mall?")</f>
        <v>Kif kien imsejjaħ Fulton Mall?</v>
      </c>
    </row>
    <row r="9285" ht="15.75" customHeight="1">
      <c r="A9285" s="2" t="s">
        <v>9285</v>
      </c>
      <c r="B9285" s="2" t="str">
        <f>IFERROR(__xludf.DUMMYFUNCTION("GOOGLETRANSLATE(A9285, ""en"", ""mt"")"),"Gass diatomiku tal-ossiġnu")</f>
        <v>Gass diatomiku tal-ossiġnu</v>
      </c>
    </row>
    <row r="9286" ht="15.75" customHeight="1">
      <c r="A9286" s="2" t="s">
        <v>9286</v>
      </c>
      <c r="B9286" s="2" t="str">
        <f>IFERROR(__xludf.DUMMYFUNCTION("GOOGLETRANSLATE(A9286, ""en"", ""mt"")"),"Konservattivi")</f>
        <v>Konservattivi</v>
      </c>
    </row>
    <row r="9287" ht="15.75" customHeight="1">
      <c r="A9287" s="2" t="s">
        <v>9287</v>
      </c>
      <c r="B9287" s="2" t="str">
        <f>IFERROR(__xludf.DUMMYFUNCTION("GOOGLETRANSLATE(A9287, ""en"", ""mt"")"),"Sistema tat-taxxa")</f>
        <v>Sistema tat-taxxa</v>
      </c>
    </row>
    <row r="9288" ht="15.75" customHeight="1">
      <c r="A9288" s="2" t="s">
        <v>9288</v>
      </c>
      <c r="B9288" s="2" t="str">
        <f>IFERROR(__xludf.DUMMYFUNCTION("GOOGLETRANSLATE(A9288, ""en"", ""mt"")"),"1000 u 1900")</f>
        <v>1000 u 1900</v>
      </c>
    </row>
    <row r="9289" ht="15.75" customHeight="1">
      <c r="A9289" s="2" t="s">
        <v>9289</v>
      </c>
      <c r="B9289" s="2" t="str">
        <f>IFERROR(__xludf.DUMMYFUNCTION("GOOGLETRANSLATE(A9289, ""en"", ""mt"")"),"1920")</f>
        <v>1920</v>
      </c>
    </row>
    <row r="9290" ht="15.75" customHeight="1">
      <c r="A9290" s="2" t="s">
        <v>9290</v>
      </c>
      <c r="B9290" s="2" t="str">
        <f>IFERROR(__xludf.DUMMYFUNCTION("GOOGLETRANSLATE(A9290, ""en"", ""mt"")"),"Sib dak li jgħin biex jiddetermina jekk tort huwiex difett normali jew tort tal-ġibda?")</f>
        <v>Sib dak li jgħin biex jiddetermina jekk tort huwiex difett normali jew tort tal-ġibda?</v>
      </c>
    </row>
    <row r="9291" ht="15.75" customHeight="1">
      <c r="A9291" s="2" t="s">
        <v>9291</v>
      </c>
      <c r="B9291" s="2" t="str">
        <f>IFERROR(__xludf.DUMMYFUNCTION("GOOGLETRANSLATE(A9291, ""en"", ""mt"")"),"X’kawża li s-sejbiet ta ’Oxfam ma jiġux interrogati?")</f>
        <v>X’kawża li s-sejbiet ta ’Oxfam ma jiġux interrogati?</v>
      </c>
    </row>
    <row r="9292" ht="15.75" customHeight="1">
      <c r="A9292" s="2" t="s">
        <v>9292</v>
      </c>
      <c r="B9292" s="2" t="str">
        <f>IFERROR(__xludf.DUMMYFUNCTION("GOOGLETRANSLATE(A9292, ""en"", ""mt"")"),"1573")</f>
        <v>1573</v>
      </c>
    </row>
    <row r="9293" ht="15.75" customHeight="1">
      <c r="A9293" s="2" t="s">
        <v>9293</v>
      </c>
      <c r="B9293" s="2" t="str">
        <f>IFERROR(__xludf.DUMMYFUNCTION("GOOGLETRANSLATE(A9293, ""en"", ""mt"")"),"lineari")</f>
        <v>lineari</v>
      </c>
    </row>
    <row r="9294" ht="15.75" customHeight="1">
      <c r="A9294" s="2" t="s">
        <v>9294</v>
      </c>
      <c r="B9294" s="2" t="str">
        <f>IFERROR(__xludf.DUMMYFUNCTION("GOOGLETRANSLATE(A9294, ""en"", ""mt"")"),"X'inhu wieħed miż-żewġ rapporti ta 'stima ppubblikati fl-2011?")</f>
        <v>X'inhu wieħed miż-żewġ rapporti ta 'stima ppubblikati fl-2011?</v>
      </c>
    </row>
    <row r="9295" ht="15.75" customHeight="1">
      <c r="A9295" s="2" t="s">
        <v>9295</v>
      </c>
      <c r="B9295" s="2" t="str">
        <f>IFERROR(__xludf.DUMMYFUNCTION("GOOGLETRANSLATE(A9295, ""en"", ""mt"")"),"jistgħu jinterpretaw it-trattati, iżda ma jistgħux jiddeċiedu fuq il-validità tagħhom")</f>
        <v>jistgħu jinterpretaw it-trattati, iżda ma jistgħux jiddeċiedu fuq il-validità tagħhom</v>
      </c>
    </row>
    <row r="9296" ht="15.75" customHeight="1">
      <c r="A9296" s="2" t="s">
        <v>9296</v>
      </c>
      <c r="B9296" s="2" t="str">
        <f>IFERROR(__xludf.DUMMYFUNCTION("GOOGLETRANSLATE(A9296, ""en"", ""mt"")"),"Liema kumpanija ewlenija tal-gazzetta ma setgħetx tevadi t-taxxa billi tbiddel ir-residenza tagħha lill-Olanda?")</f>
        <v>Liema kumpanija ewlenija tal-gazzetta ma setgħetx tevadi t-taxxa billi tbiddel ir-residenza tagħha lill-Olanda?</v>
      </c>
    </row>
    <row r="9297" ht="15.75" customHeight="1">
      <c r="A9297" s="2" t="s">
        <v>9297</v>
      </c>
      <c r="B9297" s="2" t="str">
        <f>IFERROR(__xludf.DUMMYFUNCTION("GOOGLETRANSLATE(A9297, ""en"", ""mt"")"),"Normandija")</f>
        <v>Normandija</v>
      </c>
    </row>
    <row r="9298" ht="15.75" customHeight="1">
      <c r="A9298" s="2" t="s">
        <v>9298</v>
      </c>
      <c r="B9298" s="2" t="str">
        <f>IFERROR(__xludf.DUMMYFUNCTION("GOOGLETRANSLATE(A9298, ""en"", ""mt"")"),"Kemm huma għoljin ir-reġjuni alpini tar-Rabat?")</f>
        <v>Kemm huma għoljin ir-reġjuni alpini tar-Rabat?</v>
      </c>
    </row>
    <row r="9299" ht="15.75" customHeight="1">
      <c r="A9299" s="2" t="s">
        <v>9299</v>
      </c>
      <c r="B9299" s="2" t="str">
        <f>IFERROR(__xludf.DUMMYFUNCTION("GOOGLETRANSLATE(A9299, ""en"", ""mt"")"),"Elementi ta 'Euclid")</f>
        <v>Elementi ta 'Euclid</v>
      </c>
    </row>
    <row r="9300" ht="15.75" customHeight="1">
      <c r="A9300" s="2" t="s">
        <v>9300</v>
      </c>
      <c r="B9300" s="2" t="str">
        <f>IFERROR(__xludf.DUMMYFUNCTION("GOOGLETRANSLATE(A9300, ""en"", ""mt"")"),"Dollaru minfuq minn persuna rikka x'aktarx jipprovdi dak għalihom?")</f>
        <v>Dollaru minfuq minn persuna rikka x'aktarx jipprovdi dak għalihom?</v>
      </c>
    </row>
    <row r="9301" ht="15.75" customHeight="1">
      <c r="A9301" s="2" t="s">
        <v>9301</v>
      </c>
      <c r="B9301" s="2" t="str">
        <f>IFERROR(__xludf.DUMMYFUNCTION("GOOGLETRANSLATE(A9301, ""en"", ""mt"")"),"Ġwanni Pawlu II")</f>
        <v>Ġwanni Pawlu II</v>
      </c>
    </row>
    <row r="9302" ht="15.75" customHeight="1">
      <c r="A9302" s="2" t="s">
        <v>9302</v>
      </c>
      <c r="B9302" s="2" t="str">
        <f>IFERROR(__xludf.DUMMYFUNCTION("GOOGLETRANSLATE(A9302, ""en"", ""mt"")"),"Kif huma spazjati l-istatokisti?")</f>
        <v>Kif huma spazjati l-istatokisti?</v>
      </c>
    </row>
    <row r="9303" ht="15.75" customHeight="1">
      <c r="A9303" s="2" t="s">
        <v>9303</v>
      </c>
      <c r="B9303" s="2" t="str">
        <f>IFERROR(__xludf.DUMMYFUNCTION("GOOGLETRANSLATE(A9303, ""en"", ""mt"")"),"Il-kumplessità tal-komunikazzjoni hija eżempju ta 'liema tip ta' miżura?")</f>
        <v>Il-kumplessità tal-komunikazzjoni hija eżempju ta 'liema tip ta' miżura?</v>
      </c>
    </row>
    <row r="9304" ht="15.75" customHeight="1">
      <c r="A9304" s="2" t="s">
        <v>9304</v>
      </c>
      <c r="B9304" s="2" t="str">
        <f>IFERROR(__xludf.DUMMYFUNCTION("GOOGLETRANSLATE(A9304, ""en"", ""mt"")")," Fejn Franza ffokat l-isforzi tagħha biex ma terġax tibni l-imperu tagħha?")</f>
        <v> Fejn Franza ffokat l-isforzi tagħha biex ma terġax tibni l-imperu tagħha?</v>
      </c>
    </row>
    <row r="9305" ht="15.75" customHeight="1">
      <c r="A9305" s="2" t="s">
        <v>9305</v>
      </c>
      <c r="B9305" s="2" t="str">
        <f>IFERROR(__xludf.DUMMYFUNCTION("GOOGLETRANSLATE(A9305, ""en"", ""mt"")"),"Ħxejjex")</f>
        <v>Ħxejjex</v>
      </c>
    </row>
    <row r="9306" ht="15.75" customHeight="1">
      <c r="A9306" s="2" t="s">
        <v>9306</v>
      </c>
      <c r="B9306" s="2" t="str">
        <f>IFERROR(__xludf.DUMMYFUNCTION("GOOGLETRANSLATE(A9306, ""en"", ""mt"")"),"Xi jaqra l-għoqda?")</f>
        <v>Xi jaqra l-għoqda?</v>
      </c>
    </row>
    <row r="9307" ht="15.75" customHeight="1">
      <c r="A9307" s="2" t="s">
        <v>9307</v>
      </c>
      <c r="B9307" s="2" t="str">
        <f>IFERROR(__xludf.DUMMYFUNCTION("GOOGLETRANSLATE(A9307, ""en"", ""mt"")"),"Xi jfisser li marda tkun enzootika?")</f>
        <v>Xi jfisser li marda tkun enzootika?</v>
      </c>
    </row>
    <row r="9308" ht="15.75" customHeight="1">
      <c r="A9308" s="2" t="s">
        <v>9308</v>
      </c>
      <c r="B9308" s="2" t="str">
        <f>IFERROR(__xludf.DUMMYFUNCTION("GOOGLETRANSLATE(A9308, ""en"", ""mt"")"),"It-taħlita ta 'Varsavja ta' stili arkitettoniċi tirrifletti l-istorja mqallba tal-belt u l-pajjiż. Matul it-Tieni Gwerra Dinjija, Varsavja kienet imqaxxra mal-art billi bombi r-rejds u l-qerda ppjanata. Wara l-liberazzjoni, il-bini mill-ġdid beda bħal fi "&amp;"bliet oħra tal-PRL immexxi mill-komunista. Il-biċċa l-kbira tal-binjiet storiċi ġew rikostruwiti sewwa. Madankollu, uħud mill-binjiet mis-seklu 19 li kienu ġew ippreservati f'forma raġonevolment rikostructible ġew madankollu meqruda fl-1950 u l-1960 (e.g."&amp;" il-Palazz Leopold Kronenberg). Inbnew blokki residenzjali tal-massa, b'disinn bażiku tipiku tal-pajjiżi tal-Blokk tal-Lvant.")</f>
        <v>It-taħlita ta 'Varsavja ta' stili arkitettoniċi tirrifletti l-istorja mqallba tal-belt u l-pajjiż. Matul it-Tieni Gwerra Dinjija, Varsavja kienet imqaxxra mal-art billi bombi r-rejds u l-qerda ppjanata. Wara l-liberazzjoni, il-bini mill-ġdid beda bħal fi bliet oħra tal-PRL immexxi mill-komunista. Il-biċċa l-kbira tal-binjiet storiċi ġew rikostruwiti sewwa. Madankollu, uħud mill-binjiet mis-seklu 19 li kienu ġew ippreservati f'forma raġonevolment rikostructible ġew madankollu meqruda fl-1950 u l-1960 (e.g. il-Palazz Leopold Kronenberg). Inbnew blokki residenzjali tal-massa, b'disinn bażiku tipiku tal-pajjiżi tal-Blokk tal-Lvant.</v>
      </c>
    </row>
    <row r="9309" ht="15.75" customHeight="1">
      <c r="A9309" s="2" t="s">
        <v>9309</v>
      </c>
      <c r="B9309" s="2" t="str">
        <f>IFERROR(__xludf.DUMMYFUNCTION("GOOGLETRANSLATE(A9309, ""en"", ""mt"")"),"It-tieni l-iktar komunement")</f>
        <v>It-tieni l-iktar komunement</v>
      </c>
    </row>
    <row r="9310" ht="15.75" customHeight="1">
      <c r="A9310" s="2" t="s">
        <v>9310</v>
      </c>
      <c r="B9310" s="2" t="str">
        <f>IFERROR(__xludf.DUMMYFUNCTION("GOOGLETRANSLATE(A9310, ""en"", ""mt"")"),"kompetizzjoni bejn min iħaddem għall-impjegati")</f>
        <v>kompetizzjoni bejn min iħaddem għall-impjegati</v>
      </c>
    </row>
    <row r="9311" ht="15.75" customHeight="1">
      <c r="A9311" s="2" t="s">
        <v>9311</v>
      </c>
      <c r="B9311" s="2" t="str">
        <f>IFERROR(__xludf.DUMMYFUNCTION("GOOGLETRANSLATE(A9311, ""en"", ""mt"")"),"Skond reviżjoni tal-1954, x'kienu l-iffrankar mill-ħsieb sinjur?")</f>
        <v>Skond reviżjoni tal-1954, x'kienu l-iffrankar mill-ħsieb sinjur?</v>
      </c>
    </row>
    <row r="9312" ht="15.75" customHeight="1">
      <c r="A9312" s="2" t="s">
        <v>9312</v>
      </c>
      <c r="B9312" s="2" t="str">
        <f>IFERROR(__xludf.DUMMYFUNCTION("GOOGLETRANSLATE(A9312, ""en"", ""mt"")"),"Seminarju Teoloġiku ta ’Chicago")</f>
        <v>Seminarju Teoloġiku ta ’Chicago</v>
      </c>
    </row>
    <row r="9313" ht="15.75" customHeight="1">
      <c r="A9313" s="2" t="s">
        <v>9313</v>
      </c>
      <c r="B9313" s="2" t="str">
        <f>IFERROR(__xludf.DUMMYFUNCTION("GOOGLETRANSLATE(A9313, ""en"", ""mt"")"),"Moviment tal-Pakistan")</f>
        <v>Moviment tal-Pakistan</v>
      </c>
    </row>
    <row r="9314" ht="15.75" customHeight="1">
      <c r="A9314" s="2" t="s">
        <v>9314</v>
      </c>
      <c r="B9314" s="2" t="str">
        <f>IFERROR(__xludf.DUMMYFUNCTION("GOOGLETRANSLATE(A9314, ""en"", ""mt"")"),"Id-deforestazzjoni naqset")</f>
        <v>Id-deforestazzjoni naqset</v>
      </c>
    </row>
    <row r="9315" ht="15.75" customHeight="1">
      <c r="A9315" s="2" t="s">
        <v>9315</v>
      </c>
      <c r="B9315" s="2" t="str">
        <f>IFERROR(__xludf.DUMMYFUNCTION("GOOGLETRANSLATE(A9315, ""en"", ""mt"")"),"Liema forza tbiddel il-veloċità tal-oġġetti?")</f>
        <v>Liema forza tbiddel il-veloċità tal-oġġetti?</v>
      </c>
    </row>
    <row r="9316" ht="15.75" customHeight="1">
      <c r="A9316" s="2" t="s">
        <v>9316</v>
      </c>
      <c r="B9316" s="2" t="str">
        <f>IFERROR(__xludf.DUMMYFUNCTION("GOOGLETRANSLATE(A9316, ""en"", ""mt"")"),"Mekkaniżmi ta 'silenzjar ta' l-RNA")</f>
        <v>Mekkaniżmi ta 'silenzjar ta' l-RNA</v>
      </c>
    </row>
    <row r="9317" ht="15.75" customHeight="1">
      <c r="A9317" s="2" t="s">
        <v>9317</v>
      </c>
      <c r="B9317" s="2" t="str">
        <f>IFERROR(__xludf.DUMMYFUNCTION("GOOGLETRANSLATE(A9317, ""en"", ""mt"")"),"Minbarra vapuri tal-gwerra, liema vapuri tipikament kienu jeħtieġu veloċitajiet għoljin?")</f>
        <v>Minbarra vapuri tal-gwerra, liema vapuri tipikament kienu jeħtieġu veloċitajiet għoljin?</v>
      </c>
    </row>
    <row r="9318" ht="15.75" customHeight="1">
      <c r="A9318" s="2" t="s">
        <v>9318</v>
      </c>
      <c r="B9318" s="2" t="str">
        <f>IFERROR(__xludf.DUMMYFUNCTION("GOOGLETRANSLATE(A9318, ""en"", ""mt"")"),"diversi operaturi tal-ferrovija privati ​​u pubbliċi")</f>
        <v>diversi operaturi tal-ferrovija privati ​​u pubbliċi</v>
      </c>
    </row>
    <row r="9319" ht="15.75" customHeight="1">
      <c r="A9319" s="2" t="s">
        <v>9319</v>
      </c>
      <c r="B9319" s="2" t="str">
        <f>IFERROR(__xludf.DUMMYFUNCTION("GOOGLETRANSLATE(A9319, ""en"", ""mt"")"),"X'kien l-ewwel servizz online kummerċjali tad-dinja?")</f>
        <v>X'kien l-ewwel servizz online kummerċjali tad-dinja?</v>
      </c>
    </row>
    <row r="9320" ht="15.75" customHeight="1">
      <c r="A9320" s="2" t="s">
        <v>9320</v>
      </c>
      <c r="B9320" s="2" t="str">
        <f>IFERROR(__xludf.DUMMYFUNCTION("GOOGLETRANSLATE(A9320, ""en"", ""mt"")"),"Isiah Bowman")</f>
        <v>Isiah Bowman</v>
      </c>
    </row>
    <row r="9321" ht="15.75" customHeight="1">
      <c r="A9321" s="2" t="s">
        <v>9321</v>
      </c>
      <c r="B9321" s="2" t="str">
        <f>IFERROR(__xludf.DUMMYFUNCTION("GOOGLETRANSLATE(A9321, ""en"", ""mt"")"),"Kemm irċeviet il-finanzjament tal-Korporazzjoni Rand?")</f>
        <v>Kemm irċeviet il-finanzjament tal-Korporazzjoni Rand?</v>
      </c>
    </row>
    <row r="9322" ht="15.75" customHeight="1">
      <c r="A9322" s="2" t="s">
        <v>9322</v>
      </c>
      <c r="B9322" s="2" t="str">
        <f>IFERROR(__xludf.DUMMYFUNCTION("GOOGLETRANSLATE(A9322, ""en"", ""mt"")"),"Matul is-snin sebgħin")</f>
        <v>Matul is-snin sebgħin</v>
      </c>
    </row>
    <row r="9323" ht="15.75" customHeight="1">
      <c r="A9323" s="2" t="s">
        <v>9323</v>
      </c>
      <c r="B9323" s="2" t="str">
        <f>IFERROR(__xludf.DUMMYFUNCTION("GOOGLETRANSLATE(A9323, ""en"", ""mt"")"),"F'liema jinbidel l-isem ta 'Nederrikn?")</f>
        <v>F'liema jinbidel l-isem ta 'Nederrikn?</v>
      </c>
    </row>
    <row r="9324" ht="15.75" customHeight="1">
      <c r="A9324" s="2" t="s">
        <v>9324</v>
      </c>
      <c r="B9324" s="2" t="str">
        <f>IFERROR(__xludf.DUMMYFUNCTION("GOOGLETRANSLATE(A9324, ""en"", ""mt"")"),"Skandinavja")</f>
        <v>Skandinavja</v>
      </c>
    </row>
    <row r="9325" ht="15.75" customHeight="1">
      <c r="A9325" s="2" t="s">
        <v>9325</v>
      </c>
      <c r="B9325" s="2" t="str">
        <f>IFERROR(__xludf.DUMMYFUNCTION("GOOGLETRANSLATE(A9325, ""en"", ""mt"")"),"Sthène")</f>
        <v>Sthène</v>
      </c>
    </row>
    <row r="9326" ht="15.75" customHeight="1">
      <c r="A9326" s="2" t="s">
        <v>9326</v>
      </c>
      <c r="B9326" s="2" t="str">
        <f>IFERROR(__xludf.DUMMYFUNCTION("GOOGLETRANSLATE(A9326, ""en"", ""mt"")"),"Musulmani")</f>
        <v>Musulmani</v>
      </c>
    </row>
    <row r="9327" ht="15.75" customHeight="1">
      <c r="A9327" s="2" t="s">
        <v>9327</v>
      </c>
      <c r="B9327" s="2" t="str">
        <f>IFERROR(__xludf.DUMMYFUNCTION("GOOGLETRANSLATE(A9327, ""en"", ""mt"")"),"Utent jew ospitanti jistgħu jċemplu ospitanti fuq netwerk barrani billi jinkludu d-DNIC tan-netwerk remot bħala parti mill-indirizz tad-destinazzjoni")</f>
        <v>Utent jew ospitanti jistgħu jċemplu ospitanti fuq netwerk barrani billi jinkludu d-DNIC tan-netwerk remot bħala parti mill-indirizz tad-destinazzjoni</v>
      </c>
    </row>
    <row r="9328" ht="15.75" customHeight="1">
      <c r="A9328" s="2" t="s">
        <v>9328</v>
      </c>
      <c r="B9328" s="2" t="str">
        <f>IFERROR(__xludf.DUMMYFUNCTION("GOOGLETRANSLATE(A9328, ""en"", ""mt"")"),"1740s")</f>
        <v>1740s</v>
      </c>
    </row>
    <row r="9329" ht="15.75" customHeight="1">
      <c r="A9329" s="2" t="s">
        <v>9329</v>
      </c>
      <c r="B9329" s="2" t="str">
        <f>IFERROR(__xludf.DUMMYFUNCTION("GOOGLETRANSLATE(A9329, ""en"", ""mt"")"),"L-attakk Amerikan fuq l-Iraq")</f>
        <v>L-attakk Amerikan fuq l-Iraq</v>
      </c>
    </row>
    <row r="9330" ht="15.75" customHeight="1">
      <c r="A9330" s="2" t="s">
        <v>9330</v>
      </c>
      <c r="B9330" s="2" t="str">
        <f>IFERROR(__xludf.DUMMYFUNCTION("GOOGLETRANSLATE(A9330, ""en"", ""mt"")"),"27.7 miljun tunnellata")</f>
        <v>27.7 miljun tunnellata</v>
      </c>
    </row>
    <row r="9331" ht="15.75" customHeight="1">
      <c r="A9331" s="2" t="s">
        <v>9331</v>
      </c>
      <c r="B9331" s="2" t="str">
        <f>IFERROR(__xludf.DUMMYFUNCTION("GOOGLETRANSLATE(A9331, ""en"", ""mt"")"),"Inugwaljanza għolja")</f>
        <v>Inugwaljanza għolja</v>
      </c>
    </row>
    <row r="9332" ht="15.75" customHeight="1">
      <c r="A9332" s="2" t="s">
        <v>9332</v>
      </c>
      <c r="B9332" s="2" t="str">
        <f>IFERROR(__xludf.DUMMYFUNCTION("GOOGLETRANSLATE(A9332, ""en"", ""mt"")"),"X’wassal għaż-żieda ta ’Newcastle għall-poter bħala konsulent militari?")</f>
        <v>X’wassal għaż-żieda ta ’Newcastle għall-poter bħala konsulent militari?</v>
      </c>
    </row>
    <row r="9333" ht="15.75" customHeight="1">
      <c r="A9333" s="2" t="s">
        <v>9333</v>
      </c>
      <c r="B9333" s="2" t="str">
        <f>IFERROR(__xludf.DUMMYFUNCTION("GOOGLETRANSLATE(A9333, ""en"", ""mt"")"),"fir-renju")</f>
        <v>fir-renju</v>
      </c>
    </row>
    <row r="9334" ht="15.75" customHeight="1">
      <c r="A9334" s="2" t="s">
        <v>9334</v>
      </c>
      <c r="B9334" s="2" t="str">
        <f>IFERROR(__xludf.DUMMYFUNCTION("GOOGLETRANSLATE(A9334, ""en"", ""mt"")"),"Permezz ta 'ġustifikazzjoni ċerta teoriji razzjali u ġeografiċi, l-Ewropa ħasbet minnha nnifisha?")</f>
        <v>Permezz ta 'ġustifikazzjoni ċerta teoriji razzjali u ġeografiċi, l-Ewropa ħasbet minnha nnifisha?</v>
      </c>
    </row>
    <row r="9335" ht="15.75" customHeight="1">
      <c r="A9335" s="2" t="s">
        <v>9335</v>
      </c>
      <c r="B9335" s="2" t="str">
        <f>IFERROR(__xludf.DUMMYFUNCTION("GOOGLETRANSLATE(A9335, ""en"", ""mt"")"),"Ma 'min kien Ralph inkarigat li qiegħed fil-gwerra?")</f>
        <v>Ma 'min kien Ralph inkarigat li qiegħed fil-gwerra?</v>
      </c>
    </row>
    <row r="9336" ht="15.75" customHeight="1">
      <c r="A9336" s="2" t="s">
        <v>9336</v>
      </c>
      <c r="B9336" s="2" t="str">
        <f>IFERROR(__xludf.DUMMYFUNCTION("GOOGLETRANSLATE(A9336, ""en"", ""mt"")"),"X'tip ta 'periklu huwa kkunsidrat l-ossiġnu?")</f>
        <v>X'tip ta 'periklu huwa kkunsidrat l-ossiġnu?</v>
      </c>
    </row>
    <row r="9337" ht="15.75" customHeight="1">
      <c r="A9337" s="2" t="s">
        <v>9337</v>
      </c>
      <c r="B9337" s="2" t="str">
        <f>IFERROR(__xludf.DUMMYFUNCTION("GOOGLETRANSLATE(A9337, ""en"", ""mt"")"),"Fejn jaqgħu t-twemmin ta 'Khomeini meta mqabbel ma' Mawdudi u Qutb?")</f>
        <v>Fejn jaqgħu t-twemmin ta 'Khomeini meta mqabbel ma' Mawdudi u Qutb?</v>
      </c>
    </row>
    <row r="9338" ht="15.75" customHeight="1">
      <c r="A9338" s="2" t="s">
        <v>9338</v>
      </c>
      <c r="B9338" s="2" t="str">
        <f>IFERROR(__xludf.DUMMYFUNCTION("GOOGLETRANSLATE(A9338, ""en"", ""mt"")"),"Kumpaniji tal-milizja lokali")</f>
        <v>Kumpaniji tal-milizja lokali</v>
      </c>
    </row>
    <row r="9339" ht="15.75" customHeight="1">
      <c r="A9339" s="2" t="s">
        <v>9339</v>
      </c>
      <c r="B9339" s="2" t="str">
        <f>IFERROR(__xludf.DUMMYFUNCTION("GOOGLETRANSLATE(A9339, ""en"", ""mt"")"),"Ftit wara li kiseb Florida, x’għamlu l-Ingliżi?")</f>
        <v>Ftit wara li kiseb Florida, x’għamlu l-Ingliżi?</v>
      </c>
    </row>
    <row r="9340" ht="15.75" customHeight="1">
      <c r="A9340" s="2" t="s">
        <v>9340</v>
      </c>
      <c r="B9340" s="2" t="str">
        <f>IFERROR(__xludf.DUMMYFUNCTION("GOOGLETRANSLATE(A9340, ""en"", ""mt"")"),"Il-Qorti tal-Ġustizzja tal-Unjoni Ewropea")</f>
        <v>Il-Qorti tal-Ġustizzja tal-Unjoni Ewropea</v>
      </c>
    </row>
    <row r="9341" ht="15.75" customHeight="1">
      <c r="A9341" s="2" t="s">
        <v>9341</v>
      </c>
      <c r="B9341" s="2" t="str">
        <f>IFERROR(__xludf.DUMMYFUNCTION("GOOGLETRANSLATE(A9341, ""en"", ""mt"")"),"Diversità kulturali rikka żviluppata matul id-dinastija Yuan. Il-kisbiet kulturali ewlenin kienu l-iżvilupp tad-drama u r-rumanz u l-użu akbar tal-vernakolari bil-miktub. L-għaqda politika taċ-Ċina u ħafna mill-Asja Ċentrali ppromwovew il-kummerċ bejn il-"&amp;"Lvant u l-Punent. Il-kuntatti estensivi ta 'l-Asja tal-Punent u Ewropej tal-Mongoli pproduċew ammont ġust ta' skambju kulturali. Il-kulturi u l-popli l-oħra fl-Imperu Dinji tal-Mongolja influwenzaw ukoll ħafna ċ-Ċina. Huwa kien taffew b'mod sinifikanti l-"&amp;"kummerċ u l-kummerċ madwar l-Asja sat-tnaqqis tiegħu; Il-komunikazzjonijiet bejn id-dinastija Yuan u l-alleat tagħha u s-subordinati fil-Persja, il-Ilkhanate, ħeġġew dan l-iżvilupp. Il-Buddiżmu kellu influwenza kbira fil-gvern tal-Yuan, u l-Buddiżmu Tantr"&amp;"iku tar-Rit Tibetan kien influwenza b'mod sinifikanti liċ-Ċina matul dan il-perjodu. Il-Musulmani tad-dinastija Yuan introduċew kartografija tal-Lvant Nofsani, astronomija, mediċina, ħwejjeġ, u dieta fl-Asja tal-Lvant. Uċuħ tal-Lvant bħal karrotti, nevew,"&amp;" varjetajiet ġodda ta 'lumi, brunġiel u bettieħ, zokkor granulat ta' kwalità għolja, u l-qoton kienu kollha jew introdotti jew popolarizzati b'suċċess matul id-dinastija Yuan.")</f>
        <v>Diversità kulturali rikka żviluppata matul id-dinastija Yuan. Il-kisbiet kulturali ewlenin kienu l-iżvilupp tad-drama u r-rumanz u l-użu akbar tal-vernakolari bil-miktub. L-għaqda politika taċ-Ċina u ħafna mill-Asja Ċentrali ppromwovew il-kummerċ bejn il-Lvant u l-Punent. Il-kuntatti estensivi ta 'l-Asja tal-Punent u Ewropej tal-Mongoli pproduċew ammont ġust ta' skambju kulturali. Il-kulturi u l-popli l-oħra fl-Imperu Dinji tal-Mongolja influwenzaw ukoll ħafna ċ-Ċina. Huwa kien taffew b'mod sinifikanti l-kummerċ u l-kummerċ madwar l-Asja sat-tnaqqis tiegħu; Il-komunikazzjonijiet bejn id-dinastija Yuan u l-alleat tagħha u s-subordinati fil-Persja, il-Ilkhanate, ħeġġew dan l-iżvilupp. Il-Buddiżmu kellu influwenza kbira fil-gvern tal-Yuan, u l-Buddiżmu Tantriku tar-Rit Tibetan kien influwenza b'mod sinifikanti liċ-Ċina matul dan il-perjodu. Il-Musulmani tad-dinastija Yuan introduċew kartografija tal-Lvant Nofsani, astronomija, mediċina, ħwejjeġ, u dieta fl-Asja tal-Lvant. Uċuħ tal-Lvant bħal karrotti, nevew, varjetajiet ġodda ta 'lumi, brunġiel u bettieħ, zokkor granulat ta' kwalità għolja, u l-qoton kienu kollha jew introdotti jew popolarizzati b'suċċess matul id-dinastija Yuan.</v>
      </c>
    </row>
    <row r="9342" ht="15.75" customHeight="1">
      <c r="A9342" s="2" t="s">
        <v>9342</v>
      </c>
      <c r="B9342" s="2" t="str">
        <f>IFERROR(__xludf.DUMMYFUNCTION("GOOGLETRANSLATE(A9342, ""en"", ""mt"")"),"X'inhu l-akbar pont ta 'sospensjoni fil-Ġermanja?")</f>
        <v>X'inhu l-akbar pont ta 'sospensjoni fil-Ġermanja?</v>
      </c>
    </row>
    <row r="9343" ht="15.75" customHeight="1">
      <c r="A9343" s="2" t="s">
        <v>9343</v>
      </c>
      <c r="B9343" s="2" t="str">
        <f>IFERROR(__xludf.DUMMYFUNCTION("GOOGLETRANSLATE(A9343, ""en"", ""mt"")"),"Teatru ħaj")</f>
        <v>Teatru ħaj</v>
      </c>
    </row>
    <row r="9344" ht="15.75" customHeight="1">
      <c r="A9344" s="2" t="s">
        <v>9344</v>
      </c>
      <c r="B9344" s="2" t="str">
        <f>IFERROR(__xludf.DUMMYFUNCTION("GOOGLETRANSLATE(A9344, ""en"", ""mt"")"),"Rep. Joe Barton")</f>
        <v>Rep. Joe Barton</v>
      </c>
    </row>
    <row r="9345" ht="15.75" customHeight="1">
      <c r="A9345" s="2" t="s">
        <v>9345</v>
      </c>
      <c r="B9345" s="2" t="str">
        <f>IFERROR(__xludf.DUMMYFUNCTION("GOOGLETRANSLATE(A9345, ""en"", ""mt"")"),"Il-Ġappun ħa parti mill-Gżira Sakhalin")</f>
        <v>Il-Ġappun ħa parti mill-Gżira Sakhalin</v>
      </c>
    </row>
    <row r="9346" ht="15.75" customHeight="1">
      <c r="A9346" s="2" t="s">
        <v>9346</v>
      </c>
      <c r="B9346" s="2" t="str">
        <f>IFERROR(__xludf.DUMMYFUNCTION("GOOGLETRANSLATE(A9346, ""en"", ""mt"")"),"tnaqqis fil-pagi")</f>
        <v>tnaqqis fil-pagi</v>
      </c>
    </row>
    <row r="9347" ht="15.75" customHeight="1">
      <c r="A9347" s="2" t="s">
        <v>9347</v>
      </c>
      <c r="B9347" s="2" t="str">
        <f>IFERROR(__xludf.DUMMYFUNCTION("GOOGLETRANSLATE(A9347, ""en"", ""mt"")"),"X'inhu mistenni bl-input kontinwu tas-sediment fid-Dornbirner ACh?")</f>
        <v>X'inhu mistenni bl-input kontinwu tas-sediment fid-Dornbirner ACh?</v>
      </c>
    </row>
    <row r="9348" ht="15.75" customHeight="1">
      <c r="A9348" s="2" t="s">
        <v>9348</v>
      </c>
      <c r="B9348" s="2" t="str">
        <f>IFERROR(__xludf.DUMMYFUNCTION("GOOGLETRANSLATE(A9348, ""en"", ""mt"")"),"Brest, Franza")</f>
        <v>Brest, Franza</v>
      </c>
    </row>
    <row r="9349" ht="15.75" customHeight="1">
      <c r="A9349" s="2" t="s">
        <v>9349</v>
      </c>
      <c r="B9349" s="2" t="str">
        <f>IFERROR(__xludf.DUMMYFUNCTION("GOOGLETRANSLATE(A9349, ""en"", ""mt"")"),"Xi teoriji jargumentaw li d-diżubbidjenza ċivili hija ġġustifikata fir-rigward?")</f>
        <v>Xi teoriji jargumentaw li d-diżubbidjenza ċivili hija ġġustifikata fir-rigward?</v>
      </c>
    </row>
    <row r="9350" ht="15.75" customHeight="1">
      <c r="A9350" s="2" t="s">
        <v>9350</v>
      </c>
      <c r="B9350" s="2" t="str">
        <f>IFERROR(__xludf.DUMMYFUNCTION("GOOGLETRANSLATE(A9350, ""en"", ""mt"")"),"Fit-teorija tal-kumplessità tal-komputazzjoni, x'inhu t-terminu mogħti biex tiddeskrivi l-mistoqsija astratta tal-linja ta 'bażi ​​li hemm bżonn tissolva?")</f>
        <v>Fit-teorija tal-kumplessità tal-komputazzjoni, x'inhu t-terminu mogħti biex tiddeskrivi l-mistoqsija astratta tal-linja ta 'bażi ​​li hemm bżonn tissolva?</v>
      </c>
    </row>
    <row r="9351" ht="15.75" customHeight="1">
      <c r="A9351" s="2" t="s">
        <v>9351</v>
      </c>
      <c r="B9351" s="2" t="str">
        <f>IFERROR(__xludf.DUMMYFUNCTION("GOOGLETRANSLATE(A9351, ""en"", ""mt"")"),"X'inhu l-Port ta 'San Diego biswit?")</f>
        <v>X'inhu l-Port ta 'San Diego biswit?</v>
      </c>
    </row>
    <row r="9352" ht="15.75" customHeight="1">
      <c r="A9352" s="2" t="s">
        <v>9352</v>
      </c>
      <c r="B9352" s="2" t="str">
        <f>IFERROR(__xludf.DUMMYFUNCTION("GOOGLETRANSLATE(A9352, ""en"", ""mt"")"),"1.4 darbiet normali")</f>
        <v>1.4 darbiet normali</v>
      </c>
    </row>
    <row r="9353" ht="15.75" customHeight="1">
      <c r="A9353" s="2" t="s">
        <v>9353</v>
      </c>
      <c r="B9353" s="2" t="str">
        <f>IFERROR(__xludf.DUMMYFUNCTION("GOOGLETRANSLATE(A9353, ""en"", ""mt"")"),"X'għandu jagħmel Sofokli minflok isegwi r-rieda tar-re?")</f>
        <v>X'għandu jagħmel Sofokli minflok isegwi r-rieda tar-re?</v>
      </c>
    </row>
    <row r="9354" ht="15.75" customHeight="1">
      <c r="A9354" s="2" t="s">
        <v>9354</v>
      </c>
      <c r="B9354" s="2" t="str">
        <f>IFERROR(__xludf.DUMMYFUNCTION("GOOGLETRANSLATE(A9354, ""en"", ""mt"")"),"X'inhu l-eqdem eżempju ta 'linji ta' difetti finanzjarji?")</f>
        <v>X'inhu l-eqdem eżempju ta 'linji ta' difetti finanzjarji?</v>
      </c>
    </row>
    <row r="9355" ht="15.75" customHeight="1">
      <c r="A9355" s="2" t="s">
        <v>9355</v>
      </c>
      <c r="B9355" s="2" t="str">
        <f>IFERROR(__xludf.DUMMYFUNCTION("GOOGLETRANSLATE(A9355, ""en"", ""mt"")"),"Kemm ir-riċerkaturi issa jaħsbu li l-livelli tal-baħar se jogħlew mill-1990 sal-2100?")</f>
        <v>Kemm ir-riċerkaturi issa jaħsbu li l-livelli tal-baħar se jogħlew mill-1990 sal-2100?</v>
      </c>
    </row>
    <row r="9356" ht="15.75" customHeight="1">
      <c r="A9356" s="2" t="s">
        <v>9356</v>
      </c>
      <c r="B9356" s="2" t="str">
        <f>IFERROR(__xludf.DUMMYFUNCTION("GOOGLETRANSLATE(A9356, ""en"", ""mt"")"),"Min kien responsabbli għall-interpretazzjoni antika tat-teħid ta 'deċiżjonijiet organizzattivi?")</f>
        <v>Min kien responsabbli għall-interpretazzjoni antika tat-teħid ta 'deċiżjonijiet organizzattivi?</v>
      </c>
    </row>
    <row r="9357" ht="15.75" customHeight="1">
      <c r="A9357" s="2" t="s">
        <v>9357</v>
      </c>
      <c r="B9357" s="2" t="str">
        <f>IFERROR(__xludf.DUMMYFUNCTION("GOOGLETRANSLATE(A9357, ""en"", ""mt"")"),"Tekniki ġodda tal-kostruzzjoni tal-bini qed jiġu riċerkati, magħmula possibbli permezz ta 'avvanzi fit-teknoloġija tal-istampar 3D. F'forma ta 'kostruzzjoni ta' bini addittiv, simili għat-tekniki tal-manifattura tal-addittivi għal partijiet manifatturati,"&amp;" l-istampar tal-bini qed jagħmilha possibbli li jinbnew b'mod flessibbli bini kummerċjali żgħar u abitazzjonijiet privati ​​f'madwar 20 siegħa, b'faċilitajiet integrati u elettriċi, f'faċilitajiet elettriċi, f'waħda kontinwa Ibni, billi tuża printers 3D k"&amp;"bar. Verżjonijiet tax-xogħol tat-teknoloġija tal-bini tal-istampar 3D diġà qed jistampaw 2 metri (6 ft 7 in) ta 'materjal tal-bini fis-siegħa minn Jannar 2013 [aġġornament], bl-istampaturi tal-ġenerazzjoni li jmiss kapaċi ta' 3.5 metri (11 ft) fis-siegħa,"&amp;" suffiċjenti Biex tlesti bini f'ġimgħa. L-arkitettura performattiva tal-perit Olandiż Janjaap Ruijssenaars hija skedata li tinbena fl-2014.")</f>
        <v>Tekniki ġodda tal-kostruzzjoni tal-bini qed jiġu riċerkati, magħmula possibbli permezz ta 'avvanzi fit-teknoloġija tal-istampar 3D. F'forma ta 'kostruzzjoni ta' bini addittiv, simili għat-tekniki tal-manifattura tal-addittivi għal partijiet manifatturati, l-istampar tal-bini qed jagħmilha possibbli li jinbnew b'mod flessibbli bini kummerċjali żgħar u abitazzjonijiet privati ​​f'madwar 20 siegħa, b'faċilitajiet integrati u elettriċi, f'faċilitajiet elettriċi, f'waħda kontinwa Ibni, billi tuża printers 3D kbar. Verżjonijiet tax-xogħol tat-teknoloġija tal-bini tal-istampar 3D diġà qed jistampaw 2 metri (6 ft 7 in) ta 'materjal tal-bini fis-siegħa minn Jannar 2013 [aġġornament], bl-istampaturi tal-ġenerazzjoni li jmiss kapaċi ta' 3.5 metri (11 ft) fis-siegħa, suffiċjenti Biex tlesti bini f'ġimgħa. L-arkitettura performattiva tal-perit Olandiż Janjaap Ruijssenaars hija skedata li tinbena fl-2014.</v>
      </c>
    </row>
    <row r="9358" ht="15.75" customHeight="1">
      <c r="A9358" s="2" t="s">
        <v>9358</v>
      </c>
      <c r="B9358" s="2" t="str">
        <f>IFERROR(__xludf.DUMMYFUNCTION("GOOGLETRANSLATE(A9358, ""en"", ""mt"")"),"Kif jissejjaħ iċ-ċentru tal-belt ta ’Varsavja bil-Pollakk?")</f>
        <v>Kif jissejjaħ iċ-ċentru tal-belt ta ’Varsavja bil-Pollakk?</v>
      </c>
    </row>
    <row r="9359" ht="15.75" customHeight="1">
      <c r="A9359" s="2" t="s">
        <v>9359</v>
      </c>
      <c r="B9359" s="2" t="str">
        <f>IFERROR(__xludf.DUMMYFUNCTION("GOOGLETRANSLATE(A9359, ""en"", ""mt"")"),"L-Alpi Vittorjani fil-Grigal huma l-iktar parti kiesħa tar-Rabat. L-Alpi huma parti mis-sistema kbira tal-Muntanji tal-Muntanji Diviżorji li jestendu l-Lvant-Punent miċ-ċentru tar-Rabat. It-temperaturi medji huma inqas minn 9 ° C (48 ° F) fix-xitwa u taħt"&amp;" 0 ° C (32 ° F) fl-ogħla partijiet tal-meded. L-inqas temperatura minima ta 'l-istat ta' -11.7 ° C (10.9 ° F) ġiet irreġistrata f'OMEO fit-13 ta 'Ġunju 1965, u għal darb'oħra fi Falls Creek fit-3 ta' Lulju 1970. It-temperatura estremi għall-istat huma ele"&amp;"nkati fit-tabella hawn taħt:")</f>
        <v>L-Alpi Vittorjani fil-Grigal huma l-iktar parti kiesħa tar-Rabat. L-Alpi huma parti mis-sistema kbira tal-Muntanji tal-Muntanji Diviżorji li jestendu l-Lvant-Punent miċ-ċentru tar-Rabat. It-temperaturi medji huma inqas minn 9 ° C (48 ° F) fix-xitwa u taħt 0 ° C (32 ° F) fl-ogħla partijiet tal-meded. L-inqas temperatura minima ta 'l-istat ta' -11.7 ° C (10.9 ° F) ġiet irreġistrata f'OMEO fit-13 ta 'Ġunju 1965, u għal darb'oħra fi Falls Creek fit-3 ta' Lulju 1970. It-temperatura estremi għall-istat huma elenkati fit-tabella hawn taħt:</v>
      </c>
    </row>
    <row r="9360" ht="15.75" customHeight="1">
      <c r="A9360" s="2" t="s">
        <v>9360</v>
      </c>
      <c r="B9360" s="2" t="str">
        <f>IFERROR(__xludf.DUMMYFUNCTION("GOOGLETRANSLATE(A9360, ""en"", ""mt"")"),"Politiki li jnaqqsu l-effetti assoċjati tal-inugwaljanza tal-qgħad iweġġgħu liema tip ta 'tkabbir?")</f>
        <v>Politiki li jnaqqsu l-effetti assoċjati tal-inugwaljanza tal-qgħad iweġġgħu liema tip ta 'tkabbir?</v>
      </c>
    </row>
    <row r="9361" ht="15.75" customHeight="1">
      <c r="A9361" s="2" t="s">
        <v>9361</v>
      </c>
      <c r="B9361" s="2" t="str">
        <f>IFERROR(__xludf.DUMMYFUNCTION("GOOGLETRANSLATE(A9361, ""en"", ""mt"")"),"Kemm hemm riżervi naturali f'Czerniakow?")</f>
        <v>Kemm hemm riżervi naturali f'Czerniakow?</v>
      </c>
    </row>
    <row r="9362" ht="15.75" customHeight="1">
      <c r="A9362" s="2" t="s">
        <v>9362</v>
      </c>
      <c r="B9362" s="2" t="str">
        <f>IFERROR(__xludf.DUMMYFUNCTION("GOOGLETRANSLATE(A9362, ""en"", ""mt"")"),"Singlet Oxygen huwa isem mogħti lil diversi speċi ta 'enerġija ogħla ta' o molekulari
2 li fih l-ispins kollha tal-elettroni huma mqabbla. Huwa ferm aktar reattiv lejn molekuli organiċi komuni milli huwa molekulari ossiġnu per se. Fin-natura, l-ossiġnu si"&amp;"nglet huwa komunement iffurmat mill-ilma waqt il-fotosintesi, bl-użu tal-enerġija tad-dawl tax-xemx. Huwa prodott ukoll fit-troposfera bil-fotolisi ta 'l-ożonu bid-dawl ta' tul ta 'mewġa qasira, u mis-sistema immunitarja bħala sors ta' ossiġnu attiv. Il-k"&amp;"arotenojdi f'organiżmi fotosintetiċi (u possibbilment ukoll f'annimali) għandhom rwol ewlieni fl-assorbiment tal-enerġija mill-ossiġnu singlet u jibdluha fl-istat tal-art mhux eżitat qabel ma jistgħu jikkawżaw ħsara lit-tessuti.")</f>
        <v>Singlet Oxygen huwa isem mogħti lil diversi speċi ta 'enerġija ogħla ta' o molekulari
2 li fih l-ispins kollha tal-elettroni huma mqabbla. Huwa ferm aktar reattiv lejn molekuli organiċi komuni milli huwa molekulari ossiġnu per se. Fin-natura, l-ossiġnu singlet huwa komunement iffurmat mill-ilma waqt il-fotosintesi, bl-użu tal-enerġija tad-dawl tax-xemx. Huwa prodott ukoll fit-troposfera bil-fotolisi ta 'l-ożonu bid-dawl ta' tul ta 'mewġa qasira, u mis-sistema immunitarja bħala sors ta' ossiġnu attiv. Il-karotenojdi f'organiżmi fotosintetiċi (u possibbilment ukoll f'annimali) għandhom rwol ewlieni fl-assorbiment tal-enerġija mill-ossiġnu singlet u jibdluha fl-istat tal-art mhux eżitat qabel ma jistgħu jikkawżaw ħsara lit-tessuti.</v>
      </c>
    </row>
    <row r="9363" ht="15.75" customHeight="1">
      <c r="A9363" s="2" t="s">
        <v>9363</v>
      </c>
      <c r="B9363" s="2" t="str">
        <f>IFERROR(__xludf.DUMMYFUNCTION("GOOGLETRANSLATE(A9363, ""en"", ""mt"")"),"F’liema sena miet ir-Re Hugo?")</f>
        <v>F’liema sena miet ir-Re Hugo?</v>
      </c>
    </row>
    <row r="9364" ht="15.75" customHeight="1">
      <c r="A9364" s="2" t="s">
        <v>9364</v>
      </c>
      <c r="B9364" s="2" t="str">
        <f>IFERROR(__xludf.DUMMYFUNCTION("GOOGLETRANSLATE(A9364, ""en"", ""mt"")"),"F’liema sena Clay Bartlett ta donazzjoni ta ’art minn Marshall Field?")</f>
        <v>F’liema sena Clay Bartlett ta donazzjoni ta ’art minn Marshall Field?</v>
      </c>
    </row>
    <row r="9365" ht="15.75" customHeight="1">
      <c r="A9365" s="2" t="s">
        <v>9365</v>
      </c>
      <c r="B9365" s="2" t="str">
        <f>IFERROR(__xludf.DUMMYFUNCTION("GOOGLETRANSLATE(A9365, ""en"", ""mt"")"),"Huwa eħfef jew aktar diffiċli li tbiddel il-liġi tal-UE milli tibqa 'l-istess?")</f>
        <v>Huwa eħfef jew aktar diffiċli li tbiddel il-liġi tal-UE milli tibqa 'l-istess?</v>
      </c>
    </row>
    <row r="9366" ht="15.75" customHeight="1">
      <c r="A9366" s="2" t="s">
        <v>9366</v>
      </c>
      <c r="B9366" s="2" t="str">
        <f>IFERROR(__xludf.DUMMYFUNCTION("GOOGLETRANSLATE(A9366, ""en"", ""mt"")"),"Stadju 3")</f>
        <v>Stadju 3</v>
      </c>
    </row>
    <row r="9367" ht="15.75" customHeight="1">
      <c r="A9367" s="2" t="s">
        <v>9367</v>
      </c>
      <c r="B9367" s="2" t="str">
        <f>IFERROR(__xludf.DUMMYFUNCTION("GOOGLETRANSLATE(A9367, ""en"", ""mt"")"),"X’beda Telecom Australia?")</f>
        <v>X’beda Telecom Australia?</v>
      </c>
    </row>
    <row r="9368" ht="15.75" customHeight="1">
      <c r="A9368" s="2" t="s">
        <v>9368</v>
      </c>
      <c r="B9368" s="2" t="str">
        <f>IFERROR(__xludf.DUMMYFUNCTION("GOOGLETRANSLATE(A9368, ""en"", ""mt"")"),"ogħla")</f>
        <v>ogħla</v>
      </c>
    </row>
    <row r="9369" ht="15.75" customHeight="1">
      <c r="A9369" s="2" t="s">
        <v>9369</v>
      </c>
      <c r="B9369" s="2" t="str">
        <f>IFERROR(__xludf.DUMMYFUNCTION("GOOGLETRANSLATE(A9369, ""en"", ""mt"")"),"X'aktarx li sistema immunitarja adattattiva b'ħafna komponenti nibtet bl-ewwel vertebrati, peress li l-invertebrati ma jiġġenerawx limfoċiti jew rispons umoristiku bbażat fuq l-antikorpi. Bosta speċi, madankollu, jużaw mekkaniżmi li jidhru li huma prekurs"&amp;"uri ta 'dawn l-aspetti ta' l-immunità vertebra. Sistemi immuni jidhru anke fil-forom ta 'ħajja strutturalment l-iktar sempliċi, b'batterji jużaw mekkaniżmu ta' difiża uniku, imsejjaħ is-sistema ta 'modifika ta' restrizzjoni biex jipproteġu lilhom infushom"&amp;" minn patoġeni virali, imsejħa batterjofagi. Il-prokarioti għandhom ukoll immunità akkwistata, permezz ta 'sistema li tuża sekwenzi CRISPR biex iżżomm frammenti tal-ġenomi tal-fagi li ġew f'kuntatt magħhom fil-passat, li jippermettilhom jimblokkaw ir-repl"&amp;"ikazzjoni tal-virus permezz ta' forma ta 'interferenza RNA. Elementi offensivi tas-sistemi immuni huma preżenti wkoll fl-ewkarioti uniċellulari, iżda l-istudji tar-rwoli tagħhom fid-difiża huma ftit.")</f>
        <v>X'aktarx li sistema immunitarja adattattiva b'ħafna komponenti nibtet bl-ewwel vertebrati, peress li l-invertebrati ma jiġġenerawx limfoċiti jew rispons umoristiku bbażat fuq l-antikorpi. Bosta speċi, madankollu, jużaw mekkaniżmi li jidhru li huma prekursuri ta 'dawn l-aspetti ta' l-immunità vertebra. Sistemi immuni jidhru anke fil-forom ta 'ħajja strutturalment l-iktar sempliċi, b'batterji jużaw mekkaniżmu ta' difiża uniku, imsejjaħ is-sistema ta 'modifika ta' restrizzjoni biex jipproteġu lilhom infushom minn patoġeni virali, imsejħa batterjofagi. Il-prokarioti għandhom ukoll immunità akkwistata, permezz ta 'sistema li tuża sekwenzi CRISPR biex iżżomm frammenti tal-ġenomi tal-fagi li ġew f'kuntatt magħhom fil-passat, li jippermettilhom jimblokkaw ir-replikazzjoni tal-virus permezz ta' forma ta 'interferenza RNA. Elementi offensivi tas-sistemi immuni huma preżenti wkoll fl-ewkarioti uniċellulari, iżda l-istudji tar-rwoli tagħhom fid-difiża huma ftit.</v>
      </c>
    </row>
    <row r="9370" ht="15.75" customHeight="1">
      <c r="A9370" s="2" t="s">
        <v>9370</v>
      </c>
      <c r="B9370" s="2" t="str">
        <f>IFERROR(__xludf.DUMMYFUNCTION("GOOGLETRANSLATE(A9370, ""en"", ""mt"")"),"L-Armata l-Ħamra kienet waslet il-belt")</f>
        <v>L-Armata l-Ħamra kienet waslet il-belt</v>
      </c>
    </row>
    <row r="9371" ht="15.75" customHeight="1">
      <c r="A9371" s="2" t="s">
        <v>9371</v>
      </c>
      <c r="B9371" s="2" t="str">
        <f>IFERROR(__xludf.DUMMYFUNCTION("GOOGLETRANSLATE(A9371, ""en"", ""mt"")"),"Orjent kontemporanju")</f>
        <v>Orjent kontemporanju</v>
      </c>
    </row>
    <row r="9372" ht="15.75" customHeight="1">
      <c r="A9372" s="2" t="s">
        <v>9372</v>
      </c>
      <c r="B9372" s="2" t="str">
        <f>IFERROR(__xludf.DUMMYFUNCTION("GOOGLETRANSLATE(A9372, ""en"", ""mt"")"),"Liema relay tal-qafas sostitwit u x.25")</f>
        <v>Liema relay tal-qafas sostitwit u x.25</v>
      </c>
    </row>
    <row r="9373" ht="15.75" customHeight="1">
      <c r="A9373" s="2" t="s">
        <v>9373</v>
      </c>
      <c r="B9373" s="2" t="str">
        <f>IFERROR(__xludf.DUMMYFUNCTION("GOOGLETRANSLATE(A9373, ""en"", ""mt"")"),"Liema kunsilli jassenjaw kompiti lill-IPCC?")</f>
        <v>Liema kunsilli jassenjaw kompiti lill-IPCC?</v>
      </c>
    </row>
    <row r="9374" ht="15.75" customHeight="1">
      <c r="A9374" s="2" t="s">
        <v>9374</v>
      </c>
      <c r="B9374" s="2" t="str">
        <f>IFERROR(__xludf.DUMMYFUNCTION("GOOGLETRANSLATE(A9374, ""en"", ""mt"")"),"Sport uffiċjali tal-iskola")</f>
        <v>Sport uffiċjali tal-iskola</v>
      </c>
    </row>
    <row r="9375" ht="15.75" customHeight="1">
      <c r="A9375" s="2" t="s">
        <v>9375</v>
      </c>
      <c r="B9375" s="2" t="str">
        <f>IFERROR(__xludf.DUMMYFUNCTION("GOOGLETRANSLATE(A9375, ""en"", ""mt"")"),"X'kienet il-Plymouth Gran Fury bħala preludju fil-kategoriji tal-vettura?")</f>
        <v>X'kienet il-Plymouth Gran Fury bħala preludju fil-kategoriji tal-vettura?</v>
      </c>
    </row>
    <row r="9376" ht="15.75" customHeight="1">
      <c r="A9376" s="2" t="s">
        <v>9376</v>
      </c>
      <c r="B9376" s="2" t="str">
        <f>IFERROR(__xludf.DUMMYFUNCTION("GOOGLETRANSLATE(A9376, ""en"", ""mt"")"),"X'inhu l-pjanijiet ta 'Richard biex jilħqu l-acre?")</f>
        <v>X'inhu l-pjanijiet ta 'Richard biex jilħqu l-acre?</v>
      </c>
    </row>
    <row r="9377" ht="15.75" customHeight="1">
      <c r="A9377" s="2" t="s">
        <v>9377</v>
      </c>
      <c r="B9377" s="2" t="str">
        <f>IFERROR(__xludf.DUMMYFUNCTION("GOOGLETRANSLATE(A9377, ""en"", ""mt"")"),"Tliet azzjonijiet offensivi ewlenin")</f>
        <v>Tliet azzjonijiet offensivi ewlenin</v>
      </c>
    </row>
    <row r="9378" ht="15.75" customHeight="1">
      <c r="A9378" s="2" t="s">
        <v>9378</v>
      </c>
      <c r="B9378" s="2" t="str">
        <f>IFERROR(__xludf.DUMMYFUNCTION("GOOGLETRANSLATE(A9378, ""en"", ""mt"")"),"Kemm kien mingħajr suċċess l-isforz inizjali minn Braddock?")</f>
        <v>Kemm kien mingħajr suċċess l-isforz inizjali minn Braddock?</v>
      </c>
    </row>
    <row r="9379" ht="15.75" customHeight="1">
      <c r="A9379" s="2" t="s">
        <v>9379</v>
      </c>
      <c r="B9379" s="2" t="str">
        <f>IFERROR(__xludf.DUMMYFUNCTION("GOOGLETRANSLATE(A9379, ""en"", ""mt"")"),"Meta se jiċċaqlaq oġġett għaliex il-forza applikata hija opposta minn frizzjoni statika?")</f>
        <v>Meta se jiċċaqlaq oġġett għaliex il-forza applikata hija opposta minn frizzjoni statika?</v>
      </c>
    </row>
    <row r="9380" ht="15.75" customHeight="1">
      <c r="A9380" s="2" t="s">
        <v>9380</v>
      </c>
      <c r="B9380" s="2" t="str">
        <f>IFERROR(__xludf.DUMMYFUNCTION("GOOGLETRANSLATE(A9380, ""en"", ""mt"")"),"Min kien ħu Margaret?")</f>
        <v>Min kien ħu Margaret?</v>
      </c>
    </row>
    <row r="9381" ht="15.75" customHeight="1">
      <c r="A9381" s="2" t="s">
        <v>9381</v>
      </c>
      <c r="B9381" s="2" t="str">
        <f>IFERROR(__xludf.DUMMYFUNCTION("GOOGLETRANSLATE(A9381, ""en"", ""mt"")"),"Liema grupp ġie mħarreġ f'Cambridge fl-1643?")</f>
        <v>Liema grupp ġie mħarreġ f'Cambridge fl-1643?</v>
      </c>
    </row>
    <row r="9382" ht="15.75" customHeight="1">
      <c r="A9382" s="2" t="s">
        <v>9382</v>
      </c>
      <c r="B9382" s="2" t="str">
        <f>IFERROR(__xludf.DUMMYFUNCTION("GOOGLETRANSLATE(A9382, ""en"", ""mt"")"),"Interventiżmu")</f>
        <v>Interventiżmu</v>
      </c>
    </row>
    <row r="9383" ht="15.75" customHeight="1">
      <c r="A9383" s="2" t="s">
        <v>9383</v>
      </c>
      <c r="B9383" s="2" t="str">
        <f>IFERROR(__xludf.DUMMYFUNCTION("GOOGLETRANSLATE(A9383, ""en"", ""mt"")"),"Phlogiston Teorija tal-Kombustjoni u l-Korrużjoni")</f>
        <v>Phlogiston Teorija tal-Kombustjoni u l-Korrużjoni</v>
      </c>
    </row>
    <row r="9384" ht="15.75" customHeight="1">
      <c r="A9384" s="2" t="s">
        <v>9384</v>
      </c>
      <c r="B9384" s="2" t="str">
        <f>IFERROR(__xludf.DUMMYFUNCTION("GOOGLETRANSLATE(A9384, ""en"", ""mt"")"),"X'inhi t-terapija ta 'respirazzjoni ta' l-ossiġnu użata biex tikkura?")</f>
        <v>X'inhi t-terapija ta 'respirazzjoni ta' l-ossiġnu użata biex tikkura?</v>
      </c>
    </row>
    <row r="9385" ht="15.75" customHeight="1">
      <c r="A9385" s="2" t="s">
        <v>9385</v>
      </c>
      <c r="B9385" s="2" t="str">
        <f>IFERROR(__xludf.DUMMYFUNCTION("GOOGLETRANSLATE(A9385, ""en"", ""mt"")"),"X'inhuma kapaċi jagħmlu ċelloli epiteljali jekk il-priża hija kbira wisq biex tibla '?")</f>
        <v>X'inhuma kapaċi jagħmlu ċelloli epiteljali jekk il-priża hija kbira wisq biex tibla '?</v>
      </c>
    </row>
    <row r="9386" ht="15.75" customHeight="1">
      <c r="A9386" s="2" t="s">
        <v>9386</v>
      </c>
      <c r="B9386" s="2" t="str">
        <f>IFERROR(__xludf.DUMMYFUNCTION("GOOGLETRANSLATE(A9386, ""en"", ""mt"")"),"fl-1050s")</f>
        <v>fl-1050s</v>
      </c>
    </row>
    <row r="9387" ht="15.75" customHeight="1">
      <c r="A9387" s="2" t="s">
        <v>9387</v>
      </c>
      <c r="B9387" s="2" t="str">
        <f>IFERROR(__xludf.DUMMYFUNCTION("GOOGLETRANSLATE(A9387, ""en"", ""mt"")"),"1923")</f>
        <v>1923</v>
      </c>
    </row>
    <row r="9388" ht="15.75" customHeight="1">
      <c r="A9388" s="2" t="s">
        <v>9388</v>
      </c>
      <c r="B9388" s="2" t="str">
        <f>IFERROR(__xludf.DUMMYFUNCTION("GOOGLETRANSLATE(A9388, ""en"", ""mt"")"),"Is-Soċjetà ta ’San Piju X")</f>
        <v>Is-Soċjetà ta ’San Piju X</v>
      </c>
    </row>
    <row r="9389" ht="15.75" customHeight="1">
      <c r="A9389" s="2" t="s">
        <v>9389</v>
      </c>
      <c r="B9389" s="2" t="str">
        <f>IFERROR(__xludf.DUMMYFUNCTION("GOOGLETRANSLATE(A9389, ""en"", ""mt"")"),"Il-gass tal-ossiġnu jista 'jiġi prodott ukoll permezz ta' elettroliżi ta 'l-ilma f'ossiġenu molekulari u idroġenu. L-elettriku DC għandu jintuża: Jekk jintuża AC, il-gassijiet f'kull parti tikkonsistu minn idroġenu u ossiġenu fil-proporzjon splussiv 2: 1."&amp;" Kuntrarju għat-twemmin popolari, il-proporzjon 2: 1 osservat fl-elettroliżi DC ta 'ilma aċidifikat ma jipprovax li l-formula empirika ta' l-ilma hija H2O sakemm ma jsirux ċerti suppożizzjonijiet dwar il-formuli molekulari ta 'l-idroġenu u l-ossiġenu nfus"&amp;"hom. Metodu simili huwa l-o elettrokatalitiku
2 Evoluzzjoni minn ossidi u oxoacids. Katalizzaturi kimiċi jistgħu jintużaw ukoll, bħal fil-ġeneraturi tal-ossiġnu kimiku jew xemgħat ta 'ossiġnu li jintużaw bħala parti mit-tagħmir ta' appoġġ għall-ħajja fuq "&amp;"sottomarini, u għadhom parti minn tagħmir standard fuq linji tal-ajru kummerċjali f'każ ta 'emerġenzi ta' depressurizzazzjoni. Teknoloġija oħra ta 'separazzjoni ta' l-arja tinvolvi li l-arja tinħall permezz ta 'membrani taċ-ċeramika bbażati fuq dijossidu "&amp;"taż-żirkonju jew bi pressjoni għolja jew minn kurrent elettriku, biex tipproduċi kważi o pur
2 gass.")</f>
        <v>Il-gass tal-ossiġnu jista 'jiġi prodott ukoll permezz ta' elettroliżi ta 'l-ilma f'ossiġenu molekulari u idroġenu. L-elettriku DC għandu jintuża: Jekk jintuża AC, il-gassijiet f'kull parti tikkonsistu minn idroġenu u ossiġenu fil-proporzjon splussiv 2: 1. Kuntrarju għat-twemmin popolari, il-proporzjon 2: 1 osservat fl-elettroliżi DC ta 'ilma aċidifikat ma jipprovax li l-formula empirika ta' l-ilma hija H2O sakemm ma jsirux ċerti suppożizzjonijiet dwar il-formuli molekulari ta 'l-idroġenu u l-ossiġenu nfushom. Metodu simili huwa l-o elettrokatalitiku
2 Evoluzzjoni minn ossidi u oxoacids. Katalizzaturi kimiċi jistgħu jintużaw ukoll, bħal fil-ġeneraturi tal-ossiġnu kimiku jew xemgħat ta 'ossiġnu li jintużaw bħala parti mit-tagħmir ta' appoġġ għall-ħajja fuq sottomarini, u għadhom parti minn tagħmir standard fuq linji tal-ajru kummerċjali f'każ ta 'emerġenzi ta' depressurizzazzjoni. Teknoloġija oħra ta 'separazzjoni ta' l-arja tinvolvi li l-arja tinħall permezz ta 'membrani taċ-ċeramika bbażati fuq dijossidu taż-żirkonju jew bi pressjoni għolja jew minn kurrent elettriku, biex tipproduċi kważi o pur
2 gass.</v>
      </c>
    </row>
    <row r="9390" ht="15.75" customHeight="1">
      <c r="A9390" s="2" t="s">
        <v>9390</v>
      </c>
      <c r="B9390" s="2" t="str">
        <f>IFERROR(__xludf.DUMMYFUNCTION("GOOGLETRANSLATE(A9390, ""en"", ""mt"")"),"Il-votanti approvaw il-pjan")</f>
        <v>Il-votanti approvaw il-pjan</v>
      </c>
    </row>
    <row r="9391" ht="15.75" customHeight="1">
      <c r="A9391" s="2" t="s">
        <v>9391</v>
      </c>
      <c r="B9391" s="2" t="str">
        <f>IFERROR(__xludf.DUMMYFUNCTION("GOOGLETRANSLATE(A9391, ""en"", ""mt"")"),"Kif kien jissejjaħ il-vapur ta ’John of London?")</f>
        <v>Kif kien jissejjaħ il-vapur ta ’John of London?</v>
      </c>
    </row>
    <row r="9392" ht="15.75" customHeight="1">
      <c r="A9392" s="2" t="s">
        <v>9392</v>
      </c>
      <c r="B9392" s="2" t="str">
        <f>IFERROR(__xludf.DUMMYFUNCTION("GOOGLETRANSLATE(A9392, ""en"", ""mt"")"),"komponenti ortogonali")</f>
        <v>komponenti ortogonali</v>
      </c>
    </row>
    <row r="9393" ht="15.75" customHeight="1">
      <c r="A9393" s="2" t="s">
        <v>9393</v>
      </c>
      <c r="B9393" s="2" t="str">
        <f>IFERROR(__xludf.DUMMYFUNCTION("GOOGLETRANSLATE(A9393, ""en"", ""mt"")"),"alkoħol")</f>
        <v>alkoħol</v>
      </c>
    </row>
    <row r="9394" ht="15.75" customHeight="1">
      <c r="A9394" s="2" t="s">
        <v>9394</v>
      </c>
      <c r="B9394" s="2" t="str">
        <f>IFERROR(__xludf.DUMMYFUNCTION("GOOGLETRANSLATE(A9394, ""en"", ""mt"")"),"Statokist")</f>
        <v>Statokist</v>
      </c>
    </row>
    <row r="9395" ht="15.75" customHeight="1">
      <c r="A9395" s="2" t="s">
        <v>9395</v>
      </c>
      <c r="B9395" s="2" t="str">
        <f>IFERROR(__xludf.DUMMYFUNCTION("GOOGLETRANSLATE(A9395, ""en"", ""mt"")"),"meqjusa bħala li ma tkunx diżubbidjenti ċivili")</f>
        <v>meqjusa bħala li ma tkunx diżubbidjenti ċivili</v>
      </c>
    </row>
    <row r="9396" ht="15.75" customHeight="1">
      <c r="A9396" s="2" t="s">
        <v>9396</v>
      </c>
      <c r="B9396" s="2" t="str">
        <f>IFERROR(__xludf.DUMMYFUNCTION("GOOGLETRANSLATE(A9396, ""en"", ""mt"")"),"Ftit qtar")</f>
        <v>Ftit qtar</v>
      </c>
    </row>
    <row r="9397" ht="15.75" customHeight="1">
      <c r="A9397" s="2" t="s">
        <v>9397</v>
      </c>
      <c r="B9397" s="2" t="str">
        <f>IFERROR(__xludf.DUMMYFUNCTION("GOOGLETRANSLATE(A9397, ""en"", ""mt"")"),"Liema element jinstab fil-biċċa l-kbira tal-organiżmi organiċi?")</f>
        <v>Liema element jinstab fil-biċċa l-kbira tal-organiżmi organiċi?</v>
      </c>
    </row>
    <row r="9398" ht="15.75" customHeight="1">
      <c r="A9398" s="2" t="s">
        <v>9398</v>
      </c>
      <c r="B9398" s="2" t="str">
        <f>IFERROR(__xludf.DUMMYFUNCTION("GOOGLETRANSLATE(A9398, ""en"", ""mt"")"),"MPEG-4")</f>
        <v>MPEG-4</v>
      </c>
    </row>
    <row r="9399" ht="15.75" customHeight="1">
      <c r="A9399" s="2" t="s">
        <v>9399</v>
      </c>
      <c r="B9399" s="2" t="str">
        <f>IFERROR(__xludf.DUMMYFUNCTION("GOOGLETRANSLATE(A9399, ""en"", ""mt"")"),"It-tieni ministru jista 'jwassal xiex?")</f>
        <v>It-tieni ministru jista 'jwassal xiex?</v>
      </c>
    </row>
    <row r="9400" ht="15.75" customHeight="1">
      <c r="A9400" s="2" t="s">
        <v>9400</v>
      </c>
      <c r="B9400" s="2" t="str">
        <f>IFERROR(__xludf.DUMMYFUNCTION("GOOGLETRANSLATE(A9400, ""en"", ""mt"")"),"L-awtorità ta 'pajjiż wieħed fuq numru ta' oħrajn jikkostitwixxi l-pajjiż oriġinali?")</f>
        <v>L-awtorità ta 'pajjiż wieħed fuq numru ta' oħrajn jikkostitwixxi l-pajjiż oriġinali?</v>
      </c>
    </row>
    <row r="9401" ht="15.75" customHeight="1">
      <c r="A9401" s="2" t="s">
        <v>9401</v>
      </c>
      <c r="B9401" s="2" t="str">
        <f>IFERROR(__xludf.DUMMYFUNCTION("GOOGLETRANSLATE(A9401, ""en"", ""mt"")"),"Kemm 'il bogħod mid-dar tal-istat fiċ-ċentru ta' Boston huwa Harvard Yard?")</f>
        <v>Kemm 'il bogħod mid-dar tal-istat fiċ-ċentru ta' Boston huwa Harvard Yard?</v>
      </c>
    </row>
    <row r="9402" ht="15.75" customHeight="1">
      <c r="A9402" s="2" t="s">
        <v>9402</v>
      </c>
      <c r="B9402" s="2" t="str">
        <f>IFERROR(__xludf.DUMMYFUNCTION("GOOGLETRANSLATE(A9402, ""en"", ""mt"")"),"is-superjur u n-norma")</f>
        <v>is-superjur u n-norma</v>
      </c>
    </row>
    <row r="9403" ht="15.75" customHeight="1">
      <c r="A9403" s="2" t="s">
        <v>9403</v>
      </c>
      <c r="B9403" s="2" t="str">
        <f>IFERROR(__xludf.DUMMYFUNCTION("GOOGLETRANSLATE(A9403, ""en"", ""mt"")"),"Ċivili, Militari, u Ċensura")</f>
        <v>Ċivili, Militari, u Ċensura</v>
      </c>
    </row>
    <row r="9404" ht="15.75" customHeight="1">
      <c r="A9404" s="2" t="s">
        <v>9404</v>
      </c>
      <c r="B9404" s="2" t="str">
        <f>IFERROR(__xludf.DUMMYFUNCTION("GOOGLETRANSLATE(A9404, ""en"", ""mt"")"),"L-Iran għen liema tip ta 'gruppi fiċ-Ċina?")</f>
        <v>L-Iran għen liema tip ta 'gruppi fiċ-Ċina?</v>
      </c>
    </row>
    <row r="9405" ht="15.75" customHeight="1">
      <c r="A9405" s="2" t="s">
        <v>9405</v>
      </c>
      <c r="B9405" s="2" t="str">
        <f>IFERROR(__xludf.DUMMYFUNCTION("GOOGLETRANSLATE(A9405, ""en"", ""mt"")"),"Knisja ta ’Santa Maria Novella f’Firenze, l-Italja")</f>
        <v>Knisja ta ’Santa Maria Novella f’Firenze, l-Italja</v>
      </c>
    </row>
    <row r="9406" ht="15.75" customHeight="1">
      <c r="A9406" s="2" t="s">
        <v>9406</v>
      </c>
      <c r="B9406" s="2" t="str">
        <f>IFERROR(__xludf.DUMMYFUNCTION("GOOGLETRANSLATE(A9406, ""en"", ""mt"")"),"Blat igneous huwa blat li jikkristallizza minn xiex?")</f>
        <v>Blat igneous huwa blat li jikkristallizza minn xiex?</v>
      </c>
    </row>
    <row r="9407" ht="15.75" customHeight="1">
      <c r="A9407" s="2" t="s">
        <v>9407</v>
      </c>
      <c r="B9407" s="2" t="str">
        <f>IFERROR(__xludf.DUMMYFUNCTION("GOOGLETRANSLATE(A9407, ""en"", ""mt"")"),"X’għamel ir-Rhine biex tespandi?")</f>
        <v>X’għamel ir-Rhine biex tespandi?</v>
      </c>
    </row>
    <row r="9408" ht="15.75" customHeight="1">
      <c r="A9408" s="2" t="s">
        <v>9408</v>
      </c>
      <c r="B9408" s="2" t="str">
        <f>IFERROR(__xludf.DUMMYFUNCTION("GOOGLETRANSLATE(A9408, ""en"", ""mt"")"),"Terminu użat oriġinarjament fid-derision, Huguenot għandu oriġini mhux ċari. Ġew promossi diversi ipoteżijiet. Il-laqam seta 'kien referenza kkombinata għall-politikant Żvizzeru Besançon Hugues (miet fl-1532) u n-natura reliġjuża f'kunflitt tar-repubblika"&amp;"niżmu Żvizzeru fi żmienu, bl-użu ta' pun derogatorju għaqlija fuq l-isem Hugues permezz tal-kelma Olandiża Huisgenoten (litteralment akkomodati) , li tirreferi għall-konnotazzjonijiet ta 'kelma kemmxejn relatata fl-eidgenosse Ġermaniża (konfederati bħal f"&amp;"' ""ċittadin ta 'wieħed mill-istati tal-Konfederazzjoni Żvizzera""). Ġinevra kien id-dar adottata ta 'John Calvin u ċ-ċentru tal-moviment kalvinista. F'Ġinevra, Hugues, għalkemm Kattoliku, kien mexxej tal- ""Partit Konfederat"", hekk imsejjaħ minħabba li "&amp;"kien iffavorixxa l-indipendenza mid-Duka ta 'Savoy permezz ta' alleanza bejn l-istat tal-belt ta 'Ġinevra u l-Konfederazzjoni Żvizzera. It-tikketta Huguenot kienet suppost applikata l-ewwel fi Franza għal dawk il-konspiraturi (kollha kemm huma membri aris"&amp;"tokratiċi tal-knisja Riformata) involuti fil-plott tal-Amboise tal-1560: tentattiv fuljett biex iwaqqaf il-poter fi Franza mill-Kamra Influwenti tal-Iskuża. Il-mossa kienet ikollha l-effett sekondarju li titrawwem ir-relazzjonijiet mal-Isvizzeri. Għalhekk"&amp;", Hugues flimkien ma 'Eidgenosse permezz ta' Huisgenoten suppost sar Huguenot, laqam li jassoċja l-kawża Protestanti mal-politika mhux popolari fi Franza. [Ċitazzjoni meħtieġa]")</f>
        <v>Terminu użat oriġinarjament fid-derision, Huguenot għandu oriġini mhux ċari. Ġew promossi diversi ipoteżijiet. Il-laqam seta 'kien referenza kkombinata għall-politikant Żvizzeru Besançon Hugues (miet fl-1532) u n-natura reliġjuża f'kunflitt tar-repubblikaniżmu Żvizzeru fi żmienu, bl-użu ta' pun derogatorju għaqlija fuq l-isem Hugues permezz tal-kelma Olandiża Huisgenoten (litteralment akkomodati) , li tirreferi għall-konnotazzjonijiet ta 'kelma kemmxejn relatata fl-eidgenosse Ġermaniża (konfederati bħal f' "ċittadin ta 'wieħed mill-istati tal-Konfederazzjoni Żvizzera"). Ġinevra kien id-dar adottata ta 'John Calvin u ċ-ċentru tal-moviment kalvinista. F'Ġinevra, Hugues, għalkemm Kattoliku, kien mexxej tal- "Partit Konfederat", hekk imsejjaħ minħabba li kien iffavorixxa l-indipendenza mid-Duka ta 'Savoy permezz ta' alleanza bejn l-istat tal-belt ta 'Ġinevra u l-Konfederazzjoni Żvizzera. It-tikketta Huguenot kienet suppost applikata l-ewwel fi Franza għal dawk il-konspiraturi (kollha kemm huma membri aristokratiċi tal-knisja Riformata) involuti fil-plott tal-Amboise tal-1560: tentattiv fuljett biex iwaqqaf il-poter fi Franza mill-Kamra Influwenti tal-Iskuża. Il-mossa kienet ikollha l-effett sekondarju li titrawwem ir-relazzjonijiet mal-Isvizzeri. Għalhekk, Hugues flimkien ma 'Eidgenosse permezz ta' Huisgenoten suppost sar Huguenot, laqam li jassoċja l-kawża Protestanti mal-politika mhux popolari fi Franza. [Ċitazzjoni meħtieġa]</v>
      </c>
    </row>
    <row r="9409" ht="15.75" customHeight="1">
      <c r="A9409" s="2" t="s">
        <v>9409</v>
      </c>
      <c r="B9409" s="2" t="str">
        <f>IFERROR(__xludf.DUMMYFUNCTION("GOOGLETRANSLATE(A9409, ""en"", ""mt"")"),"X'inhuma l-peptidi li jgħinu l-mikrobi jiffjorixxu?")</f>
        <v>X'inhuma l-peptidi li jgħinu l-mikrobi jiffjorixxu?</v>
      </c>
    </row>
    <row r="9410" ht="15.75" customHeight="1">
      <c r="A9410" s="2" t="s">
        <v>9410</v>
      </c>
      <c r="B9410" s="2" t="str">
        <f>IFERROR(__xludf.DUMMYFUNCTION("GOOGLETRANSLATE(A9410, ""en"", ""mt"")"),"X'inhu preżenti fil-ħalib tas-sider?")</f>
        <v>X'inhu preżenti fil-ħalib tas-sider?</v>
      </c>
    </row>
    <row r="9411" ht="15.75" customHeight="1">
      <c r="A9411" s="2" t="s">
        <v>9411</v>
      </c>
      <c r="B9411" s="2" t="str">
        <f>IFERROR(__xludf.DUMMYFUNCTION("GOOGLETRANSLATE(A9411, ""en"", ""mt"")"),"X'inhu l-iżgħar reġjun ġeografiku diskuss?")</f>
        <v>X'inhu l-iżgħar reġjun ġeografiku diskuss?</v>
      </c>
    </row>
    <row r="9412" ht="15.75" customHeight="1">
      <c r="A9412" s="2" t="s">
        <v>9412</v>
      </c>
      <c r="B9412" s="2" t="str">
        <f>IFERROR(__xludf.DUMMYFUNCTION("GOOGLETRANSLATE(A9412, ""en"", ""mt"")"),"X'effett għandu l-kummerċ ma 'pajjiżi l-aktar fqar fuq il-ħaddiema f'pajjiżi ifqar?")</f>
        <v>X'effett għandu l-kummerċ ma 'pajjiżi l-aktar fqar fuq il-ħaddiema f'pajjiżi ifqar?</v>
      </c>
    </row>
    <row r="9413" ht="15.75" customHeight="1">
      <c r="A9413" s="2" t="s">
        <v>9413</v>
      </c>
      <c r="B9413" s="2" t="str">
        <f>IFERROR(__xludf.DUMMYFUNCTION("GOOGLETRANSLATE(A9413, ""en"", ""mt"")"),"X'inhu jiffriża f'90.20 k?")</f>
        <v>X'inhu jiffriża f'90.20 k?</v>
      </c>
    </row>
    <row r="9414" ht="15.75" customHeight="1">
      <c r="A9414" s="2" t="s">
        <v>9414</v>
      </c>
      <c r="B9414" s="2" t="str">
        <f>IFERROR(__xludf.DUMMYFUNCTION("GOOGLETRANSLATE(A9414, ""en"", ""mt"")"),"Kemm huwa ddedikat bandwidth għal kull sessjoni ta 'komunikazzjoni?")</f>
        <v>Kemm huwa ddedikat bandwidth għal kull sessjoni ta 'komunikazzjoni?</v>
      </c>
    </row>
    <row r="9415" ht="15.75" customHeight="1">
      <c r="A9415" s="2" t="s">
        <v>9415</v>
      </c>
      <c r="B9415" s="2" t="str">
        <f>IFERROR(__xludf.DUMMYFUNCTION("GOOGLETRANSLATE(A9415, ""en"", ""mt"")"),"Il-biċċa l-kbira tal-kongregazzjonijiet Huguenot (jew individwi) fl-Amerika ta 'Fuq eventwalment affiljati ma' denominazzjonijiet Protestanti oħra ma 'membri aktar numerużi. Il-Huguenots adattaw malajr u spiss miżżewġin barra l-komunitajiet Franċiżi immed"&amp;"jati tagħhom, u dan wassal għall-assimilazzjoni tagħhom. Id-dixxendenti tagħhom f’ħafna familji komplew jużaw l-ismijiet u l-kunjomijiet Franċiżi għat-tfal tagħhom sew fis-seklu dsatax. Assimilati, il-Franċiżi għamlu bosta kontribuzzjonijiet għall-ħajja e"&amp;"konomika tal-Istati Uniti, speċjalment bħala negozjanti u artiġjani fil-perjodi kolonjali u federali bikrija tard. Pereżempju, E.I. Du Pont, ex-student ta 'Lavoisier, stabbilixxa l-Eleutherian Gunpowder Mills.")</f>
        <v>Il-biċċa l-kbira tal-kongregazzjonijiet Huguenot (jew individwi) fl-Amerika ta 'Fuq eventwalment affiljati ma' denominazzjonijiet Protestanti oħra ma 'membri aktar numerużi. Il-Huguenots adattaw malajr u spiss miżżewġin barra l-komunitajiet Franċiżi immedjati tagħhom, u dan wassal għall-assimilazzjoni tagħhom. Id-dixxendenti tagħhom f’ħafna familji komplew jużaw l-ismijiet u l-kunjomijiet Franċiżi għat-tfal tagħhom sew fis-seklu dsatax. Assimilati, il-Franċiżi għamlu bosta kontribuzzjonijiet għall-ħajja ekonomika tal-Istati Uniti, speċjalment bħala negozjanti u artiġjani fil-perjodi kolonjali u federali bikrija tard. Pereżempju, E.I. Du Pont, ex-student ta 'Lavoisier, stabbilixxa l-Eleutherian Gunpowder Mills.</v>
      </c>
    </row>
    <row r="9416" ht="15.75" customHeight="1">
      <c r="A9416" s="2" t="s">
        <v>9416</v>
      </c>
      <c r="B9416" s="2" t="str">
        <f>IFERROR(__xludf.DUMMYFUNCTION("GOOGLETRANSLATE(A9416, ""en"", ""mt"")"),"Tossiċità akuta ta 'ossiġnu")</f>
        <v>Tossiċità akuta ta 'ossiġnu</v>
      </c>
    </row>
    <row r="9417" ht="15.75" customHeight="1">
      <c r="A9417" s="2" t="s">
        <v>9417</v>
      </c>
      <c r="B9417" s="2" t="str">
        <f>IFERROR(__xludf.DUMMYFUNCTION("GOOGLETRANSLATE(A9417, ""en"", ""mt"")"),"1269")</f>
        <v>1269</v>
      </c>
    </row>
    <row r="9418" ht="15.75" customHeight="1">
      <c r="A9418" s="2" t="s">
        <v>9418</v>
      </c>
      <c r="B9418" s="2" t="str">
        <f>IFERROR(__xludf.DUMMYFUNCTION("GOOGLETRANSLATE(A9418, ""en"", ""mt"")"),"Kif iqabbel il-livell ta 'tagħlim fl-iskejjel privati ​​Ġermaniżi ma' skejjel privati ​​f'pajjiżi oħra tal-Ewropa tal-Punent?")</f>
        <v>Kif iqabbel il-livell ta 'tagħlim fl-iskejjel privati ​​Ġermaniżi ma' skejjel privati ​​f'pajjiżi oħra tal-Ewropa tal-Punent?</v>
      </c>
    </row>
    <row r="9419" ht="15.75" customHeight="1">
      <c r="A9419" s="2" t="s">
        <v>9419</v>
      </c>
      <c r="B9419" s="2" t="str">
        <f>IFERROR(__xludf.DUMMYFUNCTION("GOOGLETRANSLATE(A9419, ""en"", ""mt"")"),"Pontijiet ġodda u mkabbra, servizz tax-shuttle u / jew tram.")</f>
        <v>Pontijiet ġodda u mkabbra, servizz tax-shuttle u / jew tram.</v>
      </c>
    </row>
    <row r="9420" ht="15.75" customHeight="1">
      <c r="A9420" s="2" t="s">
        <v>9420</v>
      </c>
      <c r="B9420" s="2" t="str">
        <f>IFERROR(__xludf.DUMMYFUNCTION("GOOGLETRANSLATE(A9420, ""en"", ""mt"")"),"Sistema ta 'rappreżentazzjoni proporzjonali b'ħafna membri")</f>
        <v>Sistema ta 'rappreżentazzjoni proporzjonali b'ħafna membri</v>
      </c>
    </row>
    <row r="9421" ht="15.75" customHeight="1">
      <c r="A9421" s="2" t="s">
        <v>9421</v>
      </c>
      <c r="B9421" s="2" t="str">
        <f>IFERROR(__xludf.DUMMYFUNCTION("GOOGLETRANSLATE(A9421, ""en"", ""mt"")"),"X'inhu l-katidral ta 'Baryczko eżempju ta' stilistikament?")</f>
        <v>X'inhu l-katidral ta 'Baryczko eżempju ta' stilistikament?</v>
      </c>
    </row>
    <row r="9422" ht="15.75" customHeight="1">
      <c r="A9422" s="2" t="s">
        <v>9422</v>
      </c>
      <c r="B9422" s="2" t="str">
        <f>IFERROR(__xludf.DUMMYFUNCTION("GOOGLETRANSLATE(A9422, ""en"", ""mt"")"),"Upper Danubju")</f>
        <v>Upper Danubju</v>
      </c>
    </row>
    <row r="9423" ht="15.75" customHeight="1">
      <c r="A9423" s="2" t="s">
        <v>9423</v>
      </c>
      <c r="B9423" s="2" t="str">
        <f>IFERROR(__xludf.DUMMYFUNCTION("GOOGLETRANSLATE(A9423, ""en"", ""mt"")"),"ċediment jew il-possedimenti kontinentali tal-Amerika ta ’Fuq fil-lvant tal-Mississippi jew il-gżejjer tal-Karibew ta’ Guadeloupe u Martinique")</f>
        <v>ċediment jew il-possedimenti kontinentali tal-Amerika ta ’Fuq fil-lvant tal-Mississippi jew il-gżejjer tal-Karibew ta’ Guadeloupe u Martinique</v>
      </c>
    </row>
    <row r="9424" ht="15.75" customHeight="1">
      <c r="A9424" s="2" t="s">
        <v>9424</v>
      </c>
      <c r="B9424" s="2" t="str">
        <f>IFERROR(__xludf.DUMMYFUNCTION("GOOGLETRANSLATE(A9424, ""en"", ""mt"")"),"7,200")</f>
        <v>7,200</v>
      </c>
    </row>
    <row r="9425" ht="15.75" customHeight="1">
      <c r="A9425" s="2" t="s">
        <v>9425</v>
      </c>
      <c r="B9425" s="2" t="str">
        <f>IFERROR(__xludf.DUMMYFUNCTION("GOOGLETRANSLATE(A9425, ""en"", ""mt"")"),"Triq Konwiktorska")</f>
        <v>Triq Konwiktorska</v>
      </c>
    </row>
    <row r="9426" ht="15.75" customHeight="1">
      <c r="A9426" s="2" t="s">
        <v>9426</v>
      </c>
      <c r="B9426" s="2" t="str">
        <f>IFERROR(__xludf.DUMMYFUNCTION("GOOGLETRANSLATE(A9426, ""en"", ""mt"")"),"Meta l-OPEC ħarġet komunikat konġunt?")</f>
        <v>Meta l-OPEC ħarġet komunikat konġunt?</v>
      </c>
    </row>
    <row r="9427" ht="15.75" customHeight="1">
      <c r="A9427" s="2" t="s">
        <v>9427</v>
      </c>
      <c r="B9427" s="2" t="str">
        <f>IFERROR(__xludf.DUMMYFUNCTION("GOOGLETRANSLATE(A9427, ""en"", ""mt"")"),"Fuq min il-kultura Irlandiża kellha effett profond?")</f>
        <v>Fuq min il-kultura Irlandiża kellha effett profond?</v>
      </c>
    </row>
    <row r="9428" ht="15.75" customHeight="1">
      <c r="A9428" s="2" t="s">
        <v>9428</v>
      </c>
      <c r="B9428" s="2" t="str">
        <f>IFERROR(__xludf.DUMMYFUNCTION("GOOGLETRANSLATE(A9428, ""en"", ""mt"")"),"BSKYB juża s-sistema ta 'ġirja tal-videoguard pay-TV li hija proprjetà ta' NDS, kumpanija Cisco Systems. Hemm kontrolli stretti fuq l-użu ta 'decoders tal-vidjow; Mhumiex disponibbli bħala CAMS DVB stand-alone (moduli ta 'aċċess kondizzjonali). BSKYB għan"&amp;"du awtorità tad-disinn fuq ir-riċevituri tas-satellita diġitali kollha li kapaċi jirċievu s-servizz tagħhom. Ir-riċevituri, għalkemm iddisinjati u mibnija minn manifatturi differenti, għandhom jikkonformaw mal-istess interface tal-utent li jħarsu u jħarsu"&amp;" bħall-oħrajn kollha. Dan jestendi għall-offerta personali tal-vidjow (PVR) (Sky tad-ditta +).")</f>
        <v>BSKYB juża s-sistema ta 'ġirja tal-videoguard pay-TV li hija proprjetà ta' NDS, kumpanija Cisco Systems. Hemm kontrolli stretti fuq l-użu ta 'decoders tal-vidjow; Mhumiex disponibbli bħala CAMS DVB stand-alone (moduli ta 'aċċess kondizzjonali). BSKYB għandu awtorità tad-disinn fuq ir-riċevituri tas-satellita diġitali kollha li kapaċi jirċievu s-servizz tagħhom. Ir-riċevituri, għalkemm iddisinjati u mibnija minn manifatturi differenti, għandhom jikkonformaw mal-istess interface tal-utent li jħarsu u jħarsu bħall-oħrajn kollha. Dan jestendi għall-offerta personali tal-vidjow (PVR) (Sky tad-ditta +).</v>
      </c>
    </row>
    <row r="9429" ht="15.75" customHeight="1">
      <c r="A9429" s="2" t="s">
        <v>9429</v>
      </c>
      <c r="B9429" s="2" t="str">
        <f>IFERROR(__xludf.DUMMYFUNCTION("GOOGLETRANSLATE(A9429, ""en"", ""mt"")"),"X'kienet l-ideoloġija uffiċjali ta 'Zia-ul-Haq?")</f>
        <v>X'kienet l-ideoloġija uffiċjali ta 'Zia-ul-Haq?</v>
      </c>
    </row>
    <row r="9430" ht="15.75" customHeight="1">
      <c r="A9430" s="2" t="s">
        <v>9430</v>
      </c>
      <c r="B9430" s="2" t="str">
        <f>IFERROR(__xludf.DUMMYFUNCTION("GOOGLETRANSLATE(A9430, ""en"", ""mt"")"),"Liema manifattur tal-karozzi tal-Korea t'Isfel xtara l-fabbrika fl-2005?")</f>
        <v>Liema manifattur tal-karozzi tal-Korea t'Isfel xtara l-fabbrika fl-2005?</v>
      </c>
    </row>
    <row r="9431" ht="15.75" customHeight="1">
      <c r="A9431" s="2" t="s">
        <v>9431</v>
      </c>
      <c r="B9431" s="2" t="str">
        <f>IFERROR(__xludf.DUMMYFUNCTION("GOOGLETRANSLATE(A9431, ""en"", ""mt"")"),"ħames l-iktar popolati fl-istat")</f>
        <v>ħames l-iktar popolati fl-istat</v>
      </c>
    </row>
    <row r="9432" ht="15.75" customHeight="1">
      <c r="A9432" s="2" t="s">
        <v>9432</v>
      </c>
      <c r="B9432" s="2" t="str">
        <f>IFERROR(__xludf.DUMMYFUNCTION("GOOGLETRANSLATE(A9432, ""en"", ""mt"")"),"Filwaqt li l-kompetizzjoni bejn il-ħaddiema tnaqqas il-pagi għal impjiegi bi provvista għolja ta 'ħaddiem, li l-kompetizzjoni tiegħu tmexxi l-pagi għall-invers?")</f>
        <v>Filwaqt li l-kompetizzjoni bejn il-ħaddiema tnaqqas il-pagi għal impjiegi bi provvista għolja ta 'ħaddiem, li l-kompetizzjoni tiegħu tmexxi l-pagi għall-invers?</v>
      </c>
    </row>
    <row r="9433" ht="15.75" customHeight="1">
      <c r="A9433" s="2" t="s">
        <v>9433</v>
      </c>
      <c r="B9433" s="2" t="str">
        <f>IFERROR(__xludf.DUMMYFUNCTION("GOOGLETRANSLATE(A9433, ""en"", ""mt"")"),"X'inhu ż-żieda jew it-tnaqqis b'reazzjoni għal frizzjoni statika?")</f>
        <v>X'inhu ż-żieda jew it-tnaqqis b'reazzjoni għal frizzjoni statika?</v>
      </c>
    </row>
    <row r="9434" ht="15.75" customHeight="1">
      <c r="A9434" s="2" t="s">
        <v>9434</v>
      </c>
      <c r="B9434" s="2" t="str">
        <f>IFERROR(__xludf.DUMMYFUNCTION("GOOGLETRANSLATE(A9434, ""en"", ""mt"")"),"jinkorporaw in-nematokisti tal-priża tagħhom (ċelloli stinging) fit-tentakli tagħhom stess minflok kolloblasti")</f>
        <v>jinkorporaw in-nematokisti tal-priża tagħhom (ċelloli stinging) fit-tentakli tagħhom stess minflok kolloblasti</v>
      </c>
    </row>
    <row r="9435" ht="15.75" customHeight="1">
      <c r="A9435" s="2" t="s">
        <v>9435</v>
      </c>
      <c r="B9435" s="2" t="str">
        <f>IFERROR(__xludf.DUMMYFUNCTION("GOOGLETRANSLATE(A9435, ""en"", ""mt"")"),"Liema teorija fformula Niels Jerne?")</f>
        <v>Liema teorija fformula Niels Jerne?</v>
      </c>
    </row>
    <row r="9436" ht="15.75" customHeight="1">
      <c r="A9436" s="2" t="s">
        <v>9436</v>
      </c>
      <c r="B9436" s="2" t="str">
        <f>IFERROR(__xludf.DUMMYFUNCTION("GOOGLETRANSLATE(A9436, ""en"", ""mt"")"),"11")</f>
        <v>11</v>
      </c>
    </row>
    <row r="9437" ht="15.75" customHeight="1">
      <c r="A9437" s="2" t="s">
        <v>9437</v>
      </c>
      <c r="B9437" s="2" t="str">
        <f>IFERROR(__xludf.DUMMYFUNCTION("GOOGLETRANSLATE(A9437, ""en"", ""mt"")"),"Gwerra tal-Vjetnam")</f>
        <v>Gwerra tal-Vjetnam</v>
      </c>
    </row>
    <row r="9438" ht="15.75" customHeight="1">
      <c r="A9438" s="2" t="s">
        <v>9438</v>
      </c>
      <c r="B9438" s="2" t="str">
        <f>IFERROR(__xludf.DUMMYFUNCTION("GOOGLETRANSLATE(A9438, ""en"", ""mt"")"),"megħjuna")</f>
        <v>megħjuna</v>
      </c>
    </row>
    <row r="9439" ht="15.75" customHeight="1">
      <c r="A9439" s="2" t="s">
        <v>9439</v>
      </c>
      <c r="B9439" s="2" t="str">
        <f>IFERROR(__xludf.DUMMYFUNCTION("GOOGLETRANSLATE(A9439, ""en"", ""mt"")"),"Kemm-il sena jeżistu prattiki imperjalisti?")</f>
        <v>Kemm-il sena jeżistu prattiki imperjalisti?</v>
      </c>
    </row>
    <row r="9440" ht="15.75" customHeight="1">
      <c r="A9440" s="2" t="s">
        <v>9440</v>
      </c>
      <c r="B9440" s="2" t="str">
        <f>IFERROR(__xludf.DUMMYFUNCTION("GOOGLETRANSLATE(A9440, ""en"", ""mt"")"),"Min kien maħsub li qatel lil Tugh Temur?")</f>
        <v>Min kien maħsub li qatel lil Tugh Temur?</v>
      </c>
    </row>
    <row r="9441" ht="15.75" customHeight="1">
      <c r="A9441" s="2" t="s">
        <v>9441</v>
      </c>
      <c r="B9441" s="2" t="str">
        <f>IFERROR(__xludf.DUMMYFUNCTION("GOOGLETRANSLATE(A9441, ""en"", ""mt"")"),"0.5")</f>
        <v>0.5</v>
      </c>
    </row>
    <row r="9442" ht="15.75" customHeight="1">
      <c r="A9442" s="2" t="s">
        <v>9442</v>
      </c>
      <c r="B9442" s="2" t="str">
        <f>IFERROR(__xludf.DUMMYFUNCTION("GOOGLETRANSLATE(A9442, ""en"", ""mt"")"),"X'għandhom iħallsu t-tfal bojod biss meta jmorru l-iskola?")</f>
        <v>X'għandhom iħallsu t-tfal bojod biss meta jmorru l-iskola?</v>
      </c>
    </row>
    <row r="9443" ht="15.75" customHeight="1">
      <c r="A9443" s="2" t="s">
        <v>9443</v>
      </c>
      <c r="B9443" s="2" t="str">
        <f>IFERROR(__xludf.DUMMYFUNCTION("GOOGLETRANSLATE(A9443, ""en"", ""mt"")"),"Min ultimatly saq il-Biżantini barra mill-Ewropa?")</f>
        <v>Min ultimatly saq il-Biżantini barra mill-Ewropa?</v>
      </c>
    </row>
    <row r="9444" ht="15.75" customHeight="1">
      <c r="A9444" s="2" t="s">
        <v>9444</v>
      </c>
      <c r="B9444" s="2" t="str">
        <f>IFERROR(__xludf.DUMMYFUNCTION("GOOGLETRANSLATE(A9444, ""en"", ""mt"")"),"Newcastle ħa postha f'Jannar 1756 ma 'Lord Loudoun, bil-Ġeneral Maġġur James Abercrombie bħala t-tieni fil-kmand tiegħu. L-ebda waħda minn dawn l-irġiel ma kellha daqshekk esperjenza ta 'kampanja daqs it-trio ta' uffiċjali Franza mibgħuta lejn l-Amerika t"&amp;"a 'Fuq. Ir-rinforzi tal-Armata Regolari Franċiżi waslu fi New Franza f'Mejju 1756, immexxija mill-Ġeneral Maġġur Louis-Joseph de Montcalm u ssekondati mill-Chevalier de Lévis u l-Kurunell François-Charles de Bourlamaque, kollha esperjenzaw veterani mill-g"&amp;"werra tas-suċċessjoni Awstrijaka. Matul dak iż-żmien fl-Ewropa, fit-18 ta 'Mejju, 1756, l-Ingilterra ddikjarat formalment gwerra fuq Franza, li espandiet il-gwerra fl-Ewropa, li aktar tard kellha tkun magħrufa bħala l-gwerra tas-seba' snin.")</f>
        <v>Newcastle ħa postha f'Jannar 1756 ma 'Lord Loudoun, bil-Ġeneral Maġġur James Abercrombie bħala t-tieni fil-kmand tiegħu. L-ebda waħda minn dawn l-irġiel ma kellha daqshekk esperjenza ta 'kampanja daqs it-trio ta' uffiċjali Franza mibgħuta lejn l-Amerika ta 'Fuq. Ir-rinforzi tal-Armata Regolari Franċiżi waslu fi New Franza f'Mejju 1756, immexxija mill-Ġeneral Maġġur Louis-Joseph de Montcalm u ssekondati mill-Chevalier de Lévis u l-Kurunell François-Charles de Bourlamaque, kollha esperjenzaw veterani mill-gwerra tas-suċċessjoni Awstrijaka. Matul dak iż-żmien fl-Ewropa, fit-18 ta 'Mejju, 1756, l-Ingilterra ddikjarat formalment gwerra fuq Franza, li espandiet il-gwerra fl-Ewropa, li aktar tard kellha tkun magħrufa bħala l-gwerra tas-seba' snin.</v>
      </c>
    </row>
    <row r="9445" ht="15.75" customHeight="1">
      <c r="A9445" s="2" t="s">
        <v>9445</v>
      </c>
      <c r="B9445" s="2" t="str">
        <f>IFERROR(__xludf.DUMMYFUNCTION("GOOGLETRANSLATE(A9445, ""en"", ""mt"")"),"kitba")</f>
        <v>kitba</v>
      </c>
    </row>
    <row r="9446" ht="15.75" customHeight="1">
      <c r="A9446" s="2" t="s">
        <v>9446</v>
      </c>
      <c r="B9446" s="2" t="str">
        <f>IFERROR(__xludf.DUMMYFUNCTION("GOOGLETRANSLATE(A9446, ""en"", ""mt"")"),"Min qatel in-nar tal-kabina tal-ossiġnu taħt pressjoni?")</f>
        <v>Min qatel in-nar tal-kabina tal-ossiġnu taħt pressjoni?</v>
      </c>
    </row>
    <row r="9447" ht="15.75" customHeight="1">
      <c r="A9447" s="2" t="s">
        <v>9447</v>
      </c>
      <c r="B9447" s="2" t="str">
        <f>IFERROR(__xludf.DUMMYFUNCTION("GOOGLETRANSLATE(A9447, ""en"", ""mt"")"),"L-ewwel inugwaljanza tiżdied")</f>
        <v>L-ewwel inugwaljanza tiżdied</v>
      </c>
    </row>
    <row r="9448" ht="15.75" customHeight="1">
      <c r="A9448" s="2" t="s">
        <v>9448</v>
      </c>
      <c r="B9448" s="2" t="str">
        <f>IFERROR(__xludf.DUMMYFUNCTION("GOOGLETRANSLATE(A9448, ""en"", ""mt"")"),"Biex tifformalizza front unifikat fil-kummerċ u n-negozjati ma 'diversi Indjani")</f>
        <v>Biex tifformalizza front unifikat fil-kummerċ u n-negozjati ma 'diversi Indjani</v>
      </c>
    </row>
    <row r="9449" ht="15.75" customHeight="1">
      <c r="A9449" s="2" t="s">
        <v>9449</v>
      </c>
      <c r="B9449" s="2" t="str">
        <f>IFERROR(__xludf.DUMMYFUNCTION("GOOGLETRANSLATE(A9449, ""en"", ""mt"")"),"Kif l-inugwaljanza tad-dħul kif ġeneralment ma titqiesx mill-ħaddiema?")</f>
        <v>Kif l-inugwaljanza tad-dħul kif ġeneralment ma titqiesx mill-ħaddiema?</v>
      </c>
    </row>
    <row r="9450" ht="15.75" customHeight="1">
      <c r="A9450" s="2" t="s">
        <v>9450</v>
      </c>
      <c r="B9450" s="2" t="str">
        <f>IFERROR(__xludf.DUMMYFUNCTION("GOOGLETRANSLATE(A9450, ""en"", ""mt"")"),"L-IP u l-AM huma l-aktar definiti minn liema tip ta 'sistema ta' prova?")</f>
        <v>L-IP u l-AM huma l-aktar definiti minn liema tip ta 'sistema ta' prova?</v>
      </c>
    </row>
    <row r="9451" ht="15.75" customHeight="1">
      <c r="A9451" s="2" t="s">
        <v>9451</v>
      </c>
      <c r="B9451" s="2" t="str">
        <f>IFERROR(__xludf.DUMMYFUNCTION("GOOGLETRANSLATE(A9451, ""en"", ""mt"")"),"Meta huwa miftuħ l-anfiteatru?")</f>
        <v>Meta huwa miftuħ l-anfiteatru?</v>
      </c>
    </row>
    <row r="9452" ht="15.75" customHeight="1">
      <c r="A9452" s="2" t="s">
        <v>9452</v>
      </c>
      <c r="B9452" s="2" t="str">
        <f>IFERROR(__xludf.DUMMYFUNCTION("GOOGLETRANSLATE(A9452, ""en"", ""mt"")"),"Fuq liema tip ta 'esponenzjazzjoni jiddependi fuq l-iskambju ewlieni Diffie - Hellman?")</f>
        <v>Fuq liema tip ta 'esponenzjazzjoni jiddependi fuq l-iskambju ewlieni Diffie - Hellman?</v>
      </c>
    </row>
    <row r="9453" ht="15.75" customHeight="1">
      <c r="A9453" s="2" t="s">
        <v>9453</v>
      </c>
      <c r="B9453" s="2" t="str">
        <f>IFERROR(__xludf.DUMMYFUNCTION("GOOGLETRANSLATE(A9453, ""en"", ""mt"")"),"Hekk kif persuna tixjieħ, minn xiex tipproduċi l-ġilda inqas?")</f>
        <v>Hekk kif persuna tixjieħ, minn xiex tipproduċi l-ġilda inqas?</v>
      </c>
    </row>
    <row r="9454" ht="15.75" customHeight="1">
      <c r="A9454" s="2" t="s">
        <v>9454</v>
      </c>
      <c r="B9454" s="2" t="str">
        <f>IFERROR(__xludf.DUMMYFUNCTION("GOOGLETRANSLATE(A9454, ""en"", ""mt"")"),"Progressività tat-taxxa aktar wieqfa applikata għall-infiq soċjali")</f>
        <v>Progressività tat-taxxa aktar wieqfa applikata għall-infiq soċjali</v>
      </c>
    </row>
    <row r="9455" ht="15.75" customHeight="1">
      <c r="A9455" s="2" t="s">
        <v>9455</v>
      </c>
      <c r="B9455" s="2" t="str">
        <f>IFERROR(__xludf.DUMMYFUNCTION("GOOGLETRANSLATE(A9455, ""en"", ""mt"")"),"X'inhi d-definizzjoni tal-Ġermanja li tadotta gvern komunista?")</f>
        <v>X'inhi d-definizzjoni tal-Ġermanja li tadotta gvern komunista?</v>
      </c>
    </row>
    <row r="9456" ht="15.75" customHeight="1">
      <c r="A9456" s="2" t="s">
        <v>9456</v>
      </c>
      <c r="B9456" s="2" t="str">
        <f>IFERROR(__xludf.DUMMYFUNCTION("GOOGLETRANSLATE(A9456, ""en"", ""mt"")"),"isegwi l-istess proċeduri bħal għal rapporti ta 'valutazzjoni tal-IPCC")</f>
        <v>isegwi l-istess proċeduri bħal għal rapporti ta 'valutazzjoni tal-IPCC</v>
      </c>
    </row>
    <row r="9457" ht="15.75" customHeight="1">
      <c r="A9457" s="2" t="s">
        <v>9457</v>
      </c>
      <c r="B9457" s="2" t="str">
        <f>IFERROR(__xludf.DUMMYFUNCTION("GOOGLETRANSLATE(A9457, ""en"", ""mt"")"),"Standards ta 'sigurtà federali, bħall-istandard tas-sigurtà tal-vetturi bil-mutur federali tal-NHTSA 215 (li għandhom x'jaqsmu ma' bumpers tas-sigurtà), u kumpatti bħall-Mustang I tal-1974 kienu preludju għar-reviżjoni ""Dot"" inaqqsu d-daqs ""tal-kategor"&amp;"iji tal-vetturi. Sal-1977, il-karozzi ta 'daqs sħiħ ta' GM kienu jirriflettu l-kriżi. Sal-1979, kważi l-karozzi Amerikani ""ta 'daqs sħiħ"" kienu naqsu, li jinkludu magni iżgħar u dimensjonijiet iżgħar barra. Chrysler temm il-produzzjoni tas-sedans lussuż"&amp;"i ta 'daqs sħiħ tagħhom fl-aħħar tas-sena tal-mudell tal-1981, u marru minflok għal formazzjoni sħiħa ta' sewqan tar-roti ta 'quddiem għall-1982 (ħlief għad-diplomatiku Dodge tal-korp M / Plymouth Gran Fury u Chrysler New Yorker Fifth Avenue sedans).")</f>
        <v>Standards ta 'sigurtà federali, bħall-istandard tas-sigurtà tal-vetturi bil-mutur federali tal-NHTSA 215 (li għandhom x'jaqsmu ma' bumpers tas-sigurtà), u kumpatti bħall-Mustang I tal-1974 kienu preludju għar-reviżjoni "Dot" inaqqsu d-daqs "tal-kategoriji tal-vetturi. Sal-1977, il-karozzi ta 'daqs sħiħ ta' GM kienu jirriflettu l-kriżi. Sal-1979, kważi l-karozzi Amerikani "ta 'daqs sħiħ" kienu naqsu, li jinkludu magni iżgħar u dimensjonijiet iżgħar barra. Chrysler temm il-produzzjoni tas-sedans lussużi ta 'daqs sħiħ tagħhom fl-aħħar tas-sena tal-mudell tal-1981, u marru minflok għal formazzjoni sħiħa ta' sewqan tar-roti ta 'quddiem għall-1982 (ħlief għad-diplomatiku Dodge tal-korp M / Plymouth Gran Fury u Chrysler New Yorker Fifth Avenue sedans).</v>
      </c>
    </row>
    <row r="9458" ht="15.75" customHeight="1">
      <c r="A9458" s="2" t="s">
        <v>9458</v>
      </c>
      <c r="B9458" s="2" t="str">
        <f>IFERROR(__xludf.DUMMYFUNCTION("GOOGLETRANSLATE(A9458, ""en"", ""mt"")"),"X'kien magħruf Hollywood bħala?")</f>
        <v>X'kien magħruf Hollywood bħala?</v>
      </c>
    </row>
    <row r="9459" ht="15.75" customHeight="1">
      <c r="A9459" s="2" t="s">
        <v>9459</v>
      </c>
      <c r="B9459" s="2" t="str">
        <f>IFERROR(__xludf.DUMMYFUNCTION("GOOGLETRANSLATE(A9459, ""en"", ""mt"")"),"Fejn għamlu Charles de Gaulle u l-Operazzjonijiet tal-Ġirja Franċiża b'xejn matul it-Tieni Gwerra Dinjija?")</f>
        <v>Fejn għamlu Charles de Gaulle u l-Operazzjonijiet tal-Ġirja Franċiża b'xejn matul it-Tieni Gwerra Dinjija?</v>
      </c>
    </row>
    <row r="9460" ht="15.75" customHeight="1">
      <c r="A9460" s="2" t="s">
        <v>9460</v>
      </c>
      <c r="B9460" s="2" t="str">
        <f>IFERROR(__xludf.DUMMYFUNCTION("GOOGLETRANSLATE(A9460, ""en"", ""mt"")"),"Minn liema sistema tal-muntanji huma l-Alpi Vittorjani bħala parti?")</f>
        <v>Minn liema sistema tal-muntanji huma l-Alpi Vittorjani bħala parti?</v>
      </c>
    </row>
    <row r="9461" ht="15.75" customHeight="1">
      <c r="A9461" s="2" t="s">
        <v>9461</v>
      </c>
      <c r="B9461" s="2" t="str">
        <f>IFERROR(__xludf.DUMMYFUNCTION("GOOGLETRANSLATE(A9461, ""en"", ""mt"")"),"British Gas Plc")</f>
        <v>British Gas Plc</v>
      </c>
    </row>
    <row r="9462" ht="15.75" customHeight="1">
      <c r="A9462" s="2" t="s">
        <v>9462</v>
      </c>
      <c r="B9462" s="2" t="str">
        <f>IFERROR(__xludf.DUMMYFUNCTION("GOOGLETRANSLATE(A9462, ""en"", ""mt"")"),"Ta 'liema forma huma testijiet ta' Sophie Germain?")</f>
        <v>Ta 'liema forma huma testijiet ta' Sophie Germain?</v>
      </c>
    </row>
    <row r="9463" ht="15.75" customHeight="1">
      <c r="A9463" s="2" t="s">
        <v>9463</v>
      </c>
      <c r="B9463" s="2" t="str">
        <f>IFERROR(__xludf.DUMMYFUNCTION("GOOGLETRANSLATE(A9463, ""en"", ""mt"")"),"Għal kemm dam il-pesta?")</f>
        <v>Għal kemm dam il-pesta?</v>
      </c>
    </row>
    <row r="9464" ht="15.75" customHeight="1">
      <c r="A9464" s="2" t="s">
        <v>9464</v>
      </c>
      <c r="B9464" s="2" t="str">
        <f>IFERROR(__xludf.DUMMYFUNCTION("GOOGLETRANSLATE(A9464, ""en"", ""mt"")"),"Fl-1929, il-ħames president tal-università, Robert Maynard Hutchins, ħa l-kariga; L-università għaddiet minn ħafna bidliet matul il-mandat ta '24 sena tiegħu. Hutchins elimina l-futbol tal-varsity mill-università f'attentat biex jenfasizza l-akkademiċi fu"&amp;"q l-atletika, stabbilixxa l-kurrikulu liberali tal-kulleġġ li għadhom ma ggradwawx magħruf bħala l-Qofol Komuni, u organizza x-xogħol gradwat tal-università fil-kurrent tagħha [meta?] Erba 'diviżjonijiet. Fl-1933, Hutchins ippropona pjan li ma rnexxiex bi"&amp;"ex jingħaqad l-Università ta 'Chicago u l-Università tal-Majjistral f'università waħda. Matul il-mandat tiegħu, l-isptarijiet tal-Università ta ’Chicago (issa msejħa l-Università ta’ Chicago Medical Center) temmew il-kostruzzjoni u rreġistraw l-ewwel stud"&amp;"enti mediċi tagħha. Inħoloq ukoll, il-Kumitat għall-Ħsieb Soċjali, istituzzjoni distintiva tal-università.")</f>
        <v>Fl-1929, il-ħames president tal-università, Robert Maynard Hutchins, ħa l-kariga; L-università għaddiet minn ħafna bidliet matul il-mandat ta '24 sena tiegħu. Hutchins elimina l-futbol tal-varsity mill-università f'attentat biex jenfasizza l-akkademiċi fuq l-atletika, stabbilixxa l-kurrikulu liberali tal-kulleġġ li għadhom ma ggradwawx magħruf bħala l-Qofol Komuni, u organizza x-xogħol gradwat tal-università fil-kurrent tagħha [meta?] Erba 'diviżjonijiet. Fl-1933, Hutchins ippropona pjan li ma rnexxiex biex jingħaqad l-Università ta 'Chicago u l-Università tal-Majjistral f'università waħda. Matul il-mandat tiegħu, l-isptarijiet tal-Università ta ’Chicago (issa msejħa l-Università ta’ Chicago Medical Center) temmew il-kostruzzjoni u rreġistraw l-ewwel studenti mediċi tagħha. Inħoloq ukoll, il-Kumitat għall-Ħsieb Soċjali, istituzzjoni distintiva tal-università.</v>
      </c>
    </row>
    <row r="9465" ht="15.75" customHeight="1">
      <c r="A9465" s="2" t="s">
        <v>9465</v>
      </c>
      <c r="B9465" s="2" t="str">
        <f>IFERROR(__xludf.DUMMYFUNCTION("GOOGLETRANSLATE(A9465, ""en"", ""mt"")"),"Min ipprotesta kontra t-taxxi tal-Parlament?")</f>
        <v>Min ipprotesta kontra t-taxxi tal-Parlament?</v>
      </c>
    </row>
    <row r="9466" ht="15.75" customHeight="1">
      <c r="A9466" s="2" t="s">
        <v>9466</v>
      </c>
      <c r="B9466" s="2" t="str">
        <f>IFERROR(__xludf.DUMMYFUNCTION("GOOGLETRANSLATE(A9466, ""en"", ""mt"")"),"Liema foresta hija mill-fruntiera tan-Nofsinhar ta 'Kampinos?")</f>
        <v>Liema foresta hija mill-fruntiera tan-Nofsinhar ta 'Kampinos?</v>
      </c>
    </row>
    <row r="9467" ht="15.75" customHeight="1">
      <c r="A9467" s="2" t="s">
        <v>9467</v>
      </c>
      <c r="B9467" s="2" t="str">
        <f>IFERROR(__xludf.DUMMYFUNCTION("GOOGLETRANSLATE(A9467, ""en"", ""mt"")"),"Liema artijiet ġew riservati għan-nies tan-nies?")</f>
        <v>Liema artijiet ġew riservati għan-nies tan-nies?</v>
      </c>
    </row>
    <row r="9468" ht="15.75" customHeight="1">
      <c r="A9468" s="2" t="s">
        <v>9468</v>
      </c>
      <c r="B9468" s="2" t="str">
        <f>IFERROR(__xludf.DUMMYFUNCTION("GOOGLETRANSLATE(A9468, ""en"", ""mt"")"),"Ħarifa tal-1991")</f>
        <v>Ħarifa tal-1991</v>
      </c>
    </row>
    <row r="9469" ht="15.75" customHeight="1">
      <c r="A9469" s="2" t="s">
        <v>9469</v>
      </c>
      <c r="B9469" s="2" t="str">
        <f>IFERROR(__xludf.DUMMYFUNCTION("GOOGLETRANSLATE(A9469, ""en"", ""mt"")"),"Il-biċċa l-kbira tal-ispeċi huma ermafroditi - annimal wieħed jista 'jipproduċi kemm bajd kif ukoll sperma, li jfisser li jista' fertilize l-bajd tiegħu stess, u m'għandux bżonn sieħeb. Uħud huma ermafroditi simultanji, li jistgħu jipproduċu kemm bajd kif"&amp;" ukoll sperma fl-istess ħin. Oħrajn huma ermafroditi sekwenzjali, li fihom il-bajd u l-isperma jimmaturaw fi żminijiet differenti. Il-fertilizzazzjoni hija ġeneralment esterna, għalkemm il-bajd tal-platyctenids huma fertilizzati ġewwa ġisimhom u jinżammu "&amp;"hemm sakemm ifaqqsu. Iż-żgħażagħ ġeneralment huma planktoniċi u fil-biċċa l-kbira tal-ispeċi jidhru bħal ċidippidi żgħar, li jinbidlu gradwalment fil-forom adulti tagħhom hekk kif jikbru. L-eċċezzjonijiet huma l-Beroids, li ż-żgħażagħ tagħhom huma beroids"&amp;" minjatura b'ħalq kbir u mingħajr tentakli, u l-platyctenids, li ż-żgħażagħ tagħhom jgħixu bħala plankton bħal Cydippid sakemm jilħqu d-daqs kważi adult, iżda mbagħad jegħrqu sal-qiegħ u malajr metamorfose fl-adult forma. F’mill-inqas xi speċi, il-minoren"&amp;"ni huma kapaċi jirriproduċu qabel ma jilħqu d-daqs u l-għamla tal-adulti. Il-kombinazzjoni ta 'ermafroditiżmu u riproduzzjoni bikrija tippermetti lill-popolazzjonijiet żgħar jikbru b'rata splussiva.")</f>
        <v>Il-biċċa l-kbira tal-ispeċi huma ermafroditi - annimal wieħed jista 'jipproduċi kemm bajd kif ukoll sperma, li jfisser li jista' fertilize l-bajd tiegħu stess, u m'għandux bżonn sieħeb. Uħud huma ermafroditi simultanji, li jistgħu jipproduċu kemm bajd kif ukoll sperma fl-istess ħin. Oħrajn huma ermafroditi sekwenzjali, li fihom il-bajd u l-isperma jimmaturaw fi żminijiet differenti. Il-fertilizzazzjoni hija ġeneralment esterna, għalkemm il-bajd tal-platyctenids huma fertilizzati ġewwa ġisimhom u jinżammu hemm sakemm ifaqqsu. Iż-żgħażagħ ġeneralment huma planktoniċi u fil-biċċa l-kbira tal-ispeċi jidhru bħal ċidippidi żgħar, li jinbidlu gradwalment fil-forom adulti tagħhom hekk kif jikbru. L-eċċezzjonijiet huma l-Beroids, li ż-żgħażagħ tagħhom huma beroids minjatura b'ħalq kbir u mingħajr tentakli, u l-platyctenids, li ż-żgħażagħ tagħhom jgħixu bħala plankton bħal Cydippid sakemm jilħqu d-daqs kważi adult, iżda mbagħad jegħrqu sal-qiegħ u malajr metamorfose fl-adult forma. F’mill-inqas xi speċi, il-minorenni huma kapaċi jirriproduċu qabel ma jilħqu d-daqs u l-għamla tal-adulti. Il-kombinazzjoni ta 'ermafroditiżmu u riproduzzjoni bikrija tippermetti lill-popolazzjonijiet żgħar jikbru b'rata splussiva.</v>
      </c>
    </row>
    <row r="9470" ht="15.75" customHeight="1">
      <c r="A9470" s="2" t="s">
        <v>9470</v>
      </c>
      <c r="B9470" s="2" t="str">
        <f>IFERROR(__xludf.DUMMYFUNCTION("GOOGLETRANSLATE(A9470, ""en"", ""mt"")"),"Metodu ta 'lokomozzjoni")</f>
        <v>Metodu ta 'lokomozzjoni</v>
      </c>
    </row>
    <row r="9471" ht="15.75" customHeight="1">
      <c r="A9471" s="2" t="s">
        <v>9471</v>
      </c>
      <c r="B9471" s="2" t="str">
        <f>IFERROR(__xludf.DUMMYFUNCTION("GOOGLETRANSLATE(A9471, ""en"", ""mt"")"),"Minn fejn ġie l-appoġġ minn gruppi governattivi u reliġjużi?")</f>
        <v>Minn fejn ġie l-appoġġ minn gruppi governattivi u reliġjużi?</v>
      </c>
    </row>
    <row r="9472" ht="15.75" customHeight="1">
      <c r="A9472" s="2" t="s">
        <v>9472</v>
      </c>
      <c r="B9472" s="2" t="str">
        <f>IFERROR(__xludf.DUMMYFUNCTION("GOOGLETRANSLATE(A9472, ""en"", ""mt"")"),"Infiq soċjali")</f>
        <v>Infiq soċjali</v>
      </c>
    </row>
    <row r="9473" ht="15.75" customHeight="1">
      <c r="A9473" s="2" t="s">
        <v>9473</v>
      </c>
      <c r="B9473" s="2" t="str">
        <f>IFERROR(__xludf.DUMMYFUNCTION("GOOGLETRANSLATE(A9473, ""en"", ""mt"")"),"X'inhi soluzzjoni ta 'funzjoni eżempju ta'?")</f>
        <v>X'inhi soluzzjoni ta 'funzjoni eżempju ta'?</v>
      </c>
    </row>
    <row r="9474" ht="15.75" customHeight="1">
      <c r="A9474" s="2" t="s">
        <v>9474</v>
      </c>
      <c r="B9474" s="2" t="str">
        <f>IFERROR(__xludf.DUMMYFUNCTION("GOOGLETRANSLATE(A9474, ""en"", ""mt"")"),"imnissel bħala kandidati tal-partit uffiċjali")</f>
        <v>imnissel bħala kandidati tal-partit uffiċjali</v>
      </c>
    </row>
    <row r="9475" ht="15.75" customHeight="1">
      <c r="A9475" s="2" t="s">
        <v>9475</v>
      </c>
      <c r="B9475" s="2" t="str">
        <f>IFERROR(__xludf.DUMMYFUNCTION("GOOGLETRANSLATE(A9475, ""en"", ""mt"")"),"Meta l-imperjalizmu ma jolqotx in-normi soċjali ta 'stat, kif jissejjaħ?")</f>
        <v>Meta l-imperjalizmu ma jolqotx in-normi soċjali ta 'stat, kif jissejjaħ?</v>
      </c>
    </row>
    <row r="9476" ht="15.75" customHeight="1">
      <c r="A9476" s="2" t="s">
        <v>9476</v>
      </c>
      <c r="B9476" s="2" t="str">
        <f>IFERROR(__xludf.DUMMYFUNCTION("GOOGLETRANSLATE(A9476, ""en"", ""mt"")"),"Il-foqra u l-klassi tan-nofs")</f>
        <v>Il-foqra u l-klassi tan-nofs</v>
      </c>
    </row>
    <row r="9477" ht="15.75" customHeight="1">
      <c r="A9477" s="2" t="s">
        <v>9477</v>
      </c>
      <c r="B9477" s="2" t="str">
        <f>IFERROR(__xludf.DUMMYFUNCTION("GOOGLETRANSLATE(A9477, ""en"", ""mt"")"),"Moviment li jdur kontinwu")</f>
        <v>Moviment li jdur kontinwu</v>
      </c>
    </row>
    <row r="9478" ht="15.75" customHeight="1">
      <c r="A9478" s="2" t="s">
        <v>9478</v>
      </c>
      <c r="B9478" s="2" t="str">
        <f>IFERROR(__xludf.DUMMYFUNCTION("GOOGLETRANSLATE(A9478, ""en"", ""mt"")"),"Magni tax-xogħol ta 'daqs sħiħ fuq liema vetturi kultant jużaw magni tal-fwar taċ-ċilindru li joxxillaw?")</f>
        <v>Magni tax-xogħol ta 'daqs sħiħ fuq liema vetturi kultant jużaw magni tal-fwar taċ-ċilindru li joxxillaw?</v>
      </c>
    </row>
    <row r="9479" ht="15.75" customHeight="1">
      <c r="A9479" s="2" t="s">
        <v>9479</v>
      </c>
      <c r="B9479" s="2" t="str">
        <f>IFERROR(__xludf.DUMMYFUNCTION("GOOGLETRANSLATE(A9479, ""en"", ""mt"")"),"Liema forza tiddeskrivi l-liġi ta 'Lorenzo?")</f>
        <v>Liema forza tiddeskrivi l-liġi ta 'Lorenzo?</v>
      </c>
    </row>
    <row r="9480" ht="15.75" customHeight="1">
      <c r="A9480" s="2" t="s">
        <v>9480</v>
      </c>
      <c r="B9480" s="2" t="str">
        <f>IFERROR(__xludf.DUMMYFUNCTION("GOOGLETRANSLATE(A9480, ""en"", ""mt"")"),"Liema perċentwali tirrappreżenta l-Amazon fil-foresti tropikali fuq il-pjaneta?")</f>
        <v>Liema perċentwali tirrappreżenta l-Amazon fil-foresti tropikali fuq il-pjaneta?</v>
      </c>
    </row>
    <row r="9481" ht="15.75" customHeight="1">
      <c r="A9481" s="2" t="s">
        <v>9481</v>
      </c>
      <c r="B9481" s="2" t="str">
        <f>IFERROR(__xludf.DUMMYFUNCTION("GOOGLETRANSLATE(A9481, ""en"", ""mt"")"),"X'inhu l-isem Ċiniż għad-dinastija Yuan?")</f>
        <v>X'inhu l-isem Ċiniż għad-dinastija Yuan?</v>
      </c>
    </row>
    <row r="9482" ht="15.75" customHeight="1">
      <c r="A9482" s="2" t="s">
        <v>9482</v>
      </c>
      <c r="B9482" s="2" t="str">
        <f>IFERROR(__xludf.DUMMYFUNCTION("GOOGLETRANSLATE(A9482, ""en"", ""mt"")"),"L-ewwel referenza storika għal Varsavja tmur lura għas-sena 1313, fi żmien meta Kraków serva bħala l-belt kapitali Pollakka. Minħabba l-lok ċentrali tagħha bejn il-kapitali Pollakki-Litwani tal-Commonwealth ta 'Kraków u Vilnius, Varsav It-tielet diviżjoni"&amp;" tal-Polonja fl-1795, Varsavja ġiet inkorporata fir-Renju tal-Prussja. Fl-1806 matul il-Gwerer Napoloniċi, il-belt saret il-kapitali uffiċjali tal-Gran Dukat ta ’Varsavja, stat ta’ pupazzi tal-ewwel imperu Franċiż stabbilit minn Napoleon Bonaparte. Skond "&amp;"id-deċiżjonijiet tal-Kungress ta 'Vjenna, l-Imperu Russu annessa Varsavja fl-1815 u sar parti mir- ""Renju tal-Kungress"". Fl-1918 biss kisbet l-indipendenza mir-regola barranija u ħarġet bħala kapitali ġdida tar-Repubblika Indipendenti tal-Polonja. L-inv"&amp;"ażjoni Ġermaniża fl-1939, il-massakru tal-popolazzjoni Lhudija u d-deportazzjonijiet għall-kampijiet tal-konċentrament wasslu għar-rewwixta fil-ghetto ta 'Varsav ""Minħabba li baqa 'ħaj ħafna gwerer, kunflitti u invażjonijiet matul l-istorja twila tiegħu."&amp;" L-iktar notevolment, il-belt kienet teħtieġ bini mill-ġdid iebes wara l-ħsara estensiva li sofriet fit-Tieni Gwerra Dinjija, li qerdet 85% tal-bini tagħha. Fid-9 ta 'Novembru 1940, il-belt ingħatat l-ogħla dekorazzjoni militari għall-eroiżmu tal-Polonja,"&amp;" il-militari VirtUti, waqt l-Assedju ta' Varsavja (1939).")</f>
        <v>L-ewwel referenza storika għal Varsavja tmur lura għas-sena 1313, fi żmien meta Kraków serva bħala l-belt kapitali Pollakka. Minħabba l-lok ċentrali tagħha bejn il-kapitali Pollakki-Litwani tal-Commonwealth ta 'Kraków u Vilnius, Varsav It-tielet diviżjoni tal-Polonja fl-1795, Varsavja ġiet inkorporata fir-Renju tal-Prussja. Fl-1806 matul il-Gwerer Napoloniċi, il-belt saret il-kapitali uffiċjali tal-Gran Dukat ta ’Varsavja, stat ta’ pupazzi tal-ewwel imperu Franċiż stabbilit minn Napoleon Bonaparte. Skond id-deċiżjonijiet tal-Kungress ta 'Vjenna, l-Imperu Russu annessa Varsavja fl-1815 u sar parti mir- "Renju tal-Kungress". Fl-1918 biss kisbet l-indipendenza mir-regola barranija u ħarġet bħala kapitali ġdida tar-Repubblika Indipendenti tal-Polonja. L-invażjoni Ġermaniża fl-1939, il-massakru tal-popolazzjoni Lhudija u d-deportazzjonijiet għall-kampijiet tal-konċentrament wasslu għar-rewwixta fil-ghetto ta 'Varsav "Minħabba li baqa 'ħaj ħafna gwerer, kunflitti u invażjonijiet matul l-istorja twila tiegħu. L-iktar notevolment, il-belt kienet teħtieġ bini mill-ġdid iebes wara l-ħsara estensiva li sofriet fit-Tieni Gwerra Dinjija, li qerdet 85% tal-bini tagħha. Fid-9 ta 'Novembru 1940, il-belt ingħatat l-ogħla dekorazzjoni militari għall-eroiżmu tal-Polonja, il-militari VirtUti, waqt l-Assedju ta' Varsavja (1939).</v>
      </c>
    </row>
    <row r="9483" ht="15.75" customHeight="1">
      <c r="A9483" s="2" t="s">
        <v>9483</v>
      </c>
      <c r="B9483" s="2" t="str">
        <f>IFERROR(__xludf.DUMMYFUNCTION("GOOGLETRANSLATE(A9483, ""en"", ""mt"")"),"Is-sistema immunitarja adattiva tirrikonoxxi antiġeni mhux awto waqt proċess imsejjaħ?")</f>
        <v>Is-sistema immunitarja adattiva tirrikonoxxi antiġeni mhux awto waqt proċess imsejjaħ?</v>
      </c>
    </row>
    <row r="9484" ht="15.75" customHeight="1">
      <c r="A9484" s="2" t="s">
        <v>9484</v>
      </c>
      <c r="B9484" s="2" t="str">
        <f>IFERROR(__xludf.DUMMYFUNCTION("GOOGLETRANSLATE(A9484, ""en"", ""mt"")"),"Jet ta 'ilma mkeċċi jmexxihom lura malajr ħafna")</f>
        <v>Jet ta 'ilma mkeċċi jmexxihom lura malajr ħafna</v>
      </c>
    </row>
    <row r="9485" ht="15.75" customHeight="1">
      <c r="A9485" s="2" t="s">
        <v>9485</v>
      </c>
      <c r="B9485" s="2" t="str">
        <f>IFERROR(__xludf.DUMMYFUNCTION("GOOGLETRANSLATE(A9485, ""en"", ""mt"")"),"Eero Saarinen")</f>
        <v>Eero Saarinen</v>
      </c>
    </row>
    <row r="9486" ht="15.75" customHeight="1">
      <c r="A9486" s="2" t="s">
        <v>9486</v>
      </c>
      <c r="B9486" s="2" t="str">
        <f>IFERROR(__xludf.DUMMYFUNCTION("GOOGLETRANSLATE(A9486, ""en"", ""mt"")"),"Kontraenti tas-Servizz tal-Edukazzjoni")</f>
        <v>Kontraenti tas-Servizz tal-Edukazzjoni</v>
      </c>
    </row>
    <row r="9487" ht="15.75" customHeight="1">
      <c r="A9487" s="2" t="s">
        <v>9487</v>
      </c>
      <c r="B9487" s="2" t="str">
        <f>IFERROR(__xludf.DUMMYFUNCTION("GOOGLETRANSLATE(A9487, ""en"", ""mt"")"),"Teoriji ta 'l-immunità ""ċellulari"" u ""umoristiċi""")</f>
        <v>Teoriji ta 'l-immunità "ċellulari" u "umoristiċi"</v>
      </c>
    </row>
    <row r="9488" ht="15.75" customHeight="1">
      <c r="A9488" s="2" t="s">
        <v>9488</v>
      </c>
      <c r="B9488" s="2" t="str">
        <f>IFERROR(__xludf.DUMMYFUNCTION("GOOGLETRANSLATE(A9488, ""en"", ""mt"")"),"Liema disturb jikkawża li s-sistema immunitarja tiddistingwi bejn awto u dawk li mhumiex self?")</f>
        <v>Liema disturb jikkawża li s-sistema immunitarja tiddistingwi bejn awto u dawk li mhumiex self?</v>
      </c>
    </row>
    <row r="9489" ht="15.75" customHeight="1">
      <c r="A9489" s="2" t="s">
        <v>9489</v>
      </c>
      <c r="B9489" s="2" t="str">
        <f>IFERROR(__xludf.DUMMYFUNCTION("GOOGLETRANSLATE(A9489, ""en"", ""mt"")"),"Netwerks privati ​​ġew konnessi permezz ta ’gateways għal liema raġuni?")</f>
        <v>Netwerks privati ​​ġew konnessi permezz ta ’gateways għal liema raġuni?</v>
      </c>
    </row>
    <row r="9490" ht="15.75" customHeight="1">
      <c r="A9490" s="2" t="s">
        <v>9490</v>
      </c>
      <c r="B9490" s="2" t="str">
        <f>IFERROR(__xludf.DUMMYFUNCTION("GOOGLETRANSLATE(A9490, ""en"", ""mt"")"),"ċertu numru ta 'salarji tal-għalliema jitħallsu mill-istat")</f>
        <v>ċertu numru ta 'salarji tal-għalliema jitħallsu mill-istat</v>
      </c>
    </row>
    <row r="9491" ht="15.75" customHeight="1">
      <c r="A9491" s="2" t="s">
        <v>9491</v>
      </c>
      <c r="B9491" s="2" t="str">
        <f>IFERROR(__xludf.DUMMYFUNCTION("GOOGLETRANSLATE(A9491, ""en"", ""mt"")"),"X'jagħmlu l-fosfati għat-tkabbir tan-nitrati?")</f>
        <v>X'jagħmlu l-fosfati għat-tkabbir tan-nitrati?</v>
      </c>
    </row>
    <row r="9492" ht="15.75" customHeight="1">
      <c r="A9492" s="2" t="s">
        <v>9492</v>
      </c>
      <c r="B9492" s="2" t="str">
        <f>IFERROR(__xludf.DUMMYFUNCTION("GOOGLETRANSLATE(A9492, ""en"", ""mt"")"),"inbid")</f>
        <v>inbid</v>
      </c>
    </row>
    <row r="9493" ht="15.75" customHeight="1">
      <c r="A9493" s="2" t="s">
        <v>9493</v>
      </c>
      <c r="B9493" s="2" t="str">
        <f>IFERROR(__xludf.DUMMYFUNCTION("GOOGLETRANSLATE(A9493, ""en"", ""mt"")"),"Biegħ mediċini bir-riċetta")</f>
        <v>Biegħ mediċini bir-riċetta</v>
      </c>
    </row>
    <row r="9494" ht="15.75" customHeight="1">
      <c r="A9494" s="2" t="s">
        <v>9494</v>
      </c>
      <c r="B9494" s="2" t="str">
        <f>IFERROR(__xludf.DUMMYFUNCTION("GOOGLETRANSLATE(A9494, ""en"", ""mt"")"),"Is-servizz ferrovjarju tal-passiġġieri huwa pprovdut minn Amtrak San Joaquins. L-istazzjon tal-ferrovija tal-passiġġieri prinċipali huwa l-istoriku storiku rinnovat ta 'Santa Fe Depot fil-belt ta' Fresno. Il-linji ewlenin ta 'Bakersfield-Stockton tal-Ferr"&amp;"ovija ta' Burlington Northern Santa Fe u l-Ferrovija tal-Ferrovija tal-Paċifiku tal-Unjoni fi Fresno, u ż-żewġ ferroviji jżommu l-ferroviji fil-belt; Il-Ferrovija ta ’San Joaquin Valley topera wkoll ex-fergħat tal-Paċifiku tan-Nofsinhar li jmorru lejn il-"&amp;"punent u n-nofsinhar barra mill-belt. Il-belt ta 'Fresno hija ppjanata li sservi l-ferrovija futura ta' veloċità għolja ta 'California.")</f>
        <v>Is-servizz ferrovjarju tal-passiġġieri huwa pprovdut minn Amtrak San Joaquins. L-istazzjon tal-ferrovija tal-passiġġieri prinċipali huwa l-istoriku storiku rinnovat ta 'Santa Fe Depot fil-belt ta' Fresno. Il-linji ewlenin ta 'Bakersfield-Stockton tal-Ferrovija ta' Burlington Northern Santa Fe u l-Ferrovija tal-Ferrovija tal-Paċifiku tal-Unjoni fi Fresno, u ż-żewġ ferroviji jżommu l-ferroviji fil-belt; Il-Ferrovija ta ’San Joaquin Valley topera wkoll ex-fergħat tal-Paċifiku tan-Nofsinhar li jmorru lejn il-punent u n-nofsinhar barra mill-belt. Il-belt ta 'Fresno hija ppjanata li sservi l-ferrovija futura ta' veloċità għolja ta 'California.</v>
      </c>
    </row>
    <row r="9495" ht="15.75" customHeight="1">
      <c r="A9495" s="2" t="s">
        <v>9495</v>
      </c>
      <c r="B9495" s="2" t="str">
        <f>IFERROR(__xludf.DUMMYFUNCTION("GOOGLETRANSLATE(A9495, ""en"", ""mt"")"),"Sabiex jitnaqqsu l-ispejjeż tal-konsumatur")</f>
        <v>Sabiex jitnaqqsu l-ispejjeż tal-konsumatur</v>
      </c>
    </row>
    <row r="9496" ht="15.75" customHeight="1">
      <c r="A9496" s="2" t="s">
        <v>9496</v>
      </c>
      <c r="B9496" s="2" t="str">
        <f>IFERROR(__xludf.DUMMYFUNCTION("GOOGLETRANSLATE(A9496, ""en"", ""mt"")"),"$ 20 biljun")</f>
        <v>$ 20 biljun</v>
      </c>
    </row>
    <row r="9497" ht="15.75" customHeight="1">
      <c r="A9497" s="2" t="s">
        <v>9497</v>
      </c>
      <c r="B9497" s="2" t="str">
        <f>IFERROR(__xludf.DUMMYFUNCTION("GOOGLETRANSLATE(A9497, ""en"", ""mt"")"),"It-trattati ewlenin li jiffurmaw l-Unjoni Ewropea bdew b'regoli komuni għall-faħam u l-azzar, u mbagħad l-enerġija atomika, iżda istituzzjonijiet aktar kompluti u formali ġew stabbiliti permezz tat-Trattat ta 'Ruma 1957 u t-Trattat Maastricht 1992 (issa: "&amp;"TFEU). Emendi minuri saru matul is-snin 1960 u 1970. Ġew iffirmati trattati ewlenin li jemendaw biex jitlesta l-iżvilupp ta 'suq intern wieħed fl-Att Uniku Ewropew tal-1986, biex ikompli l-iżvilupp ta' Ewropa aktar soċjali fit-Trattat ta 'Amsterdam 1997, "&amp;"u biex jagħmlu emendi minuri għall-poter relattiv tal-Istati Membri Fl-istituzzjonijiet tal-UE fit-Trattat ta 'Nizza 2001 u t-Trattat ta' Lisbona 2007. Mill-istabbiliment tiegħu, aktar stati membri ngħaqdu permezz ta 'serje ta' trattati ta 'adeżjoni, mir-"&amp;"Renju Unit, l-Irlanda, id-Danimarka u n-Norveġja fl-1972 (għalkemm in-Norveġja ma ntemmitx Ingħaqad), il-Greċja fl-1979, Spanja u l-Portugall 1985, l-Awstrija, il-Finlandja, in-Norveġja u l-Iżvezja fl-1994 (għalkemm għal darb'oħra n-Norveġja naqset milli "&amp;"tissieħeb, minħabba nuqqas ta 'appoġġ fir-referendum), ir-Repubblika Ċeka, Ċipru, Ċipru, l-Estonja, l-Ungerija, Il-Latvja, il-Litwanja, Malta, il-Polonja, is-Slovakkja u s-Slovenja fl-2004, ir-Rumanija u l-Bulgarija fl-2007 u l-Kroazja fl-2013. Greenland "&amp;"iffirmat trattat fl-1985 billi taha status speċjali.")</f>
        <v>It-trattati ewlenin li jiffurmaw l-Unjoni Ewropea bdew b'regoli komuni għall-faħam u l-azzar, u mbagħad l-enerġija atomika, iżda istituzzjonijiet aktar kompluti u formali ġew stabbiliti permezz tat-Trattat ta 'Ruma 1957 u t-Trattat Maastricht 1992 (issa: TFEU). Emendi minuri saru matul is-snin 1960 u 1970. Ġew iffirmati trattati ewlenin li jemendaw biex jitlesta l-iżvilupp ta 'suq intern wieħed fl-Att Uniku Ewropew tal-1986, biex ikompli l-iżvilupp ta' Ewropa aktar soċjali fit-Trattat ta 'Amsterdam 1997, u biex jagħmlu emendi minuri għall-poter relattiv tal-Istati Membri Fl-istituzzjonijiet tal-UE fit-Trattat ta 'Nizza 2001 u t-Trattat ta' Lisbona 2007. Mill-istabbiliment tiegħu, aktar stati membri ngħaqdu permezz ta 'serje ta' trattati ta 'adeżjoni, mir-Renju Unit, l-Irlanda, id-Danimarka u n-Norveġja fl-1972 (għalkemm in-Norveġja ma ntemmitx Ingħaqad), il-Greċja fl-1979, Spanja u l-Portugall 1985, l-Awstrija, il-Finlandja, in-Norveġja u l-Iżvezja fl-1994 (għalkemm għal darb'oħra n-Norveġja naqset milli tissieħeb, minħabba nuqqas ta 'appoġġ fir-referendum), ir-Repubblika Ċeka, Ċipru, Ċipru, l-Estonja, l-Ungerija, Il-Latvja, il-Litwanja, Malta, il-Polonja, is-Slovakkja u s-Slovenja fl-2004, ir-Rumanija u l-Bulgarija fl-2007 u l-Kroazja fl-2013. Greenland iffirmat trattat fl-1985 billi taha status speċjali.</v>
      </c>
    </row>
    <row r="9498" ht="15.75" customHeight="1">
      <c r="A9498" s="2" t="s">
        <v>9498</v>
      </c>
      <c r="B9498" s="2" t="str">
        <f>IFERROR(__xludf.DUMMYFUNCTION("GOOGLETRANSLATE(A9498, ""en"", ""mt"")"),"Meta l-Kaptan Daniel Woodriff żar New South Wales?")</f>
        <v>Meta l-Kaptan Daniel Woodriff żar New South Wales?</v>
      </c>
    </row>
    <row r="9499" ht="15.75" customHeight="1">
      <c r="A9499" s="2" t="s">
        <v>9499</v>
      </c>
      <c r="B9499" s="2" t="str">
        <f>IFERROR(__xludf.DUMMYFUNCTION("GOOGLETRANSLATE(A9499, ""en"", ""mt"")"),"Meta seħħet l-estinzjoni tal-Paleogene Kretaċeju?")</f>
        <v>Meta seħħet l-estinzjoni tal-Paleogene Kretaċeju?</v>
      </c>
    </row>
    <row r="9500" ht="15.75" customHeight="1">
      <c r="A9500" s="2" t="s">
        <v>9500</v>
      </c>
      <c r="B9500" s="2" t="str">
        <f>IFERROR(__xludf.DUMMYFUNCTION("GOOGLETRANSLATE(A9500, ""en"", ""mt"")"),"il-piż tal-oġġett")</f>
        <v>il-piż tal-oġġett</v>
      </c>
    </row>
    <row r="9501" ht="15.75" customHeight="1">
      <c r="A9501" s="2" t="s">
        <v>9501</v>
      </c>
      <c r="B9501" s="2" t="str">
        <f>IFERROR(__xludf.DUMMYFUNCTION("GOOGLETRANSLATE(A9501, ""en"", ""mt"")"),"In-Nofsinhar tal-Kalifornja tinkludi ż-żona urbana mibnija ħafna tul il-kosta tal-Paċifiku minn Ventura, permezz tal-Greater Los Angeles Area u l-Imperu Intern, u 'l isfel għall-Greater San Diego. Il-popolazzjoni tan-Nofsinhar ta 'California tiġbor fiha s"&amp;"eba' żoni metropolitani, jew MSAs: iż-żona metropolitana ta 'Los Angeles, li tikkonsisti minn kontej ta' Los Angeles u Orange; l-imperu intern, li jikkonsisti minn kontej Riverside u San Bernardino; iż-żona metropolitana ta 'San Diego; Iż-żona metropolita"&amp;"na ta 'Oxnard - Elf Oaks-Ventura; iż-żona tal-metro Santa Barbara; iż-żona metropolitana ta 'San Luis Obispo; u ż-żona El Centro. Minn dawn, tlieta huma żoni b'popolazzjoni qawwija: iż-żona ta 'Los Angeles b'aktar minn 12-il miljun abitant, iż-żona Rivers"&amp;"ide-San Bernardino b'aktar minn erba' miljun abitant, u ż-żona ta 'San Diego b'aktar minn 3 miljun abitant. Għal skopijiet metropolitani CSA, il-ħames kontej ta 'Los Angeles, Orange, Riverside, San Bernardino, u Ventura huma kollha kkombinati biex jagħmlu"&amp;" l-akbar żona ta' Los Angeles b'aktar minn 17.5 miljun persuna. B'aktar minn 22 miljun persuna, in-Nofsinhar ta 'California fih madwar 60 fil-mija tal-popolazzjoni ta' California.")</f>
        <v>In-Nofsinhar tal-Kalifornja tinkludi ż-żona urbana mibnija ħafna tul il-kosta tal-Paċifiku minn Ventura, permezz tal-Greater Los Angeles Area u l-Imperu Intern, u 'l isfel għall-Greater San Diego. Il-popolazzjoni tan-Nofsinhar ta 'California tiġbor fiha seba' żoni metropolitani, jew MSAs: iż-żona metropolitana ta 'Los Angeles, li tikkonsisti minn kontej ta' Los Angeles u Orange; l-imperu intern, li jikkonsisti minn kontej Riverside u San Bernardino; iż-żona metropolitana ta 'San Diego; Iż-żona metropolitana ta 'Oxnard - Elf Oaks-Ventura; iż-żona tal-metro Santa Barbara; iż-żona metropolitana ta 'San Luis Obispo; u ż-żona El Centro. Minn dawn, tlieta huma żoni b'popolazzjoni qawwija: iż-żona ta 'Los Angeles b'aktar minn 12-il miljun abitant, iż-żona Riverside-San Bernardino b'aktar minn erba' miljun abitant, u ż-żona ta 'San Diego b'aktar minn 3 miljun abitant. Għal skopijiet metropolitani CSA, il-ħames kontej ta 'Los Angeles, Orange, Riverside, San Bernardino, u Ventura huma kollha kkombinati biex jagħmlu l-akbar żona ta' Los Angeles b'aktar minn 17.5 miljun persuna. B'aktar minn 22 miljun persuna, in-Nofsinhar ta 'California fih madwar 60 fil-mija tal-popolazzjoni ta' California.</v>
      </c>
    </row>
    <row r="9502" ht="15.75" customHeight="1">
      <c r="A9502" s="2" t="s">
        <v>9502</v>
      </c>
      <c r="B9502" s="2" t="str">
        <f>IFERROR(__xludf.DUMMYFUNCTION("GOOGLETRANSLATE(A9502, ""en"", ""mt"")"),"bi flus minn sistemi bankarji Iżlamisti barranin")</f>
        <v>bi flus minn sistemi bankarji Iżlamisti barranin</v>
      </c>
    </row>
    <row r="9503" ht="15.75" customHeight="1">
      <c r="A9503" s="2" t="s">
        <v>9503</v>
      </c>
      <c r="B9503" s="2" t="str">
        <f>IFERROR(__xludf.DUMMYFUNCTION("GOOGLETRANSLATE(A9503, ""en"", ""mt"")")," Min ma użax l-imperjalizmu matul ir-regola tagħhom tal-imperu Mongoljan?")</f>
        <v> Min ma użax l-imperjalizmu matul ir-regola tagħhom tal-imperu Mongoljan?</v>
      </c>
    </row>
    <row r="9504" ht="15.75" customHeight="1">
      <c r="A9504" s="2" t="s">
        <v>9504</v>
      </c>
      <c r="B9504" s="2" t="str">
        <f>IFERROR(__xludf.DUMMYFUNCTION("GOOGLETRANSLATE(A9504, ""en"", ""mt"")"),"mill-inqas 11,000 sena")</f>
        <v>mill-inqas 11,000 sena</v>
      </c>
    </row>
    <row r="9505" ht="15.75" customHeight="1">
      <c r="A9505" s="2" t="s">
        <v>9505</v>
      </c>
      <c r="B9505" s="2" t="str">
        <f>IFERROR(__xludf.DUMMYFUNCTION("GOOGLETRANSLATE(A9505, ""en"", ""mt"")"),"Liema formazzjoni għandha xejra asimmetrika ta 'terrazzi differenti?")</f>
        <v>Liema formazzjoni għandha xejra asimmetrika ta 'terrazzi differenti?</v>
      </c>
    </row>
    <row r="9506" ht="15.75" customHeight="1">
      <c r="A9506" s="2" t="s">
        <v>9506</v>
      </c>
      <c r="B9506" s="2" t="str">
        <f>IFERROR(__xludf.DUMMYFUNCTION("GOOGLETRANSLATE(A9506, ""en"", ""mt"")"),"Liema tliet affarijiet huma rrakkomandati qabel ma tibda l-kostruzzjoni?")</f>
        <v>Liema tliet affarijiet huma rrakkomandati qabel ma tibda l-kostruzzjoni?</v>
      </c>
    </row>
    <row r="9507" ht="15.75" customHeight="1">
      <c r="A9507" s="2" t="s">
        <v>9507</v>
      </c>
      <c r="B9507" s="2" t="str">
        <f>IFERROR(__xludf.DUMMYFUNCTION("GOOGLETRANSLATE(A9507, ""en"", ""mt"")"),"Letteratura tal-ivvjaġġar, kartografija, ġeografija, u edukazzjoni xjentifika")</f>
        <v>Letteratura tal-ivvjaġġar, kartografija, ġeografija, u edukazzjoni xjentifika</v>
      </c>
    </row>
    <row r="9508" ht="15.75" customHeight="1">
      <c r="A9508" s="2" t="s">
        <v>9508</v>
      </c>
      <c r="B9508" s="2" t="str">
        <f>IFERROR(__xludf.DUMMYFUNCTION("GOOGLETRANSLATE(A9508, ""en"", ""mt"")"),"Teorema ta ’Wilson")</f>
        <v>Teorema ta ’Wilson</v>
      </c>
    </row>
    <row r="9509" ht="15.75" customHeight="1">
      <c r="A9509" s="2" t="s">
        <v>9509</v>
      </c>
      <c r="B9509" s="2" t="str">
        <f>IFERROR(__xludf.DUMMYFUNCTION("GOOGLETRANSLATE(A9509, ""en"", ""mt"")"),"Dħul mill-ħsad tal-kerrejja Ċiniżi tagħhom")</f>
        <v>Dħul mill-ħsad tal-kerrejja Ċiniżi tagħhom</v>
      </c>
    </row>
    <row r="9510" ht="15.75" customHeight="1">
      <c r="A9510" s="2" t="s">
        <v>9510</v>
      </c>
      <c r="B9510" s="2" t="str">
        <f>IFERROR(__xludf.DUMMYFUNCTION("GOOGLETRANSLATE(A9510, ""en"", ""mt"")"),"Magni ta 'kombustjoni interna jew muturi elettriċi")</f>
        <v>Magni ta 'kombustjoni interna jew muturi elettriċi</v>
      </c>
    </row>
    <row r="9511" ht="15.75" customHeight="1">
      <c r="A9511" s="2" t="s">
        <v>9511</v>
      </c>
      <c r="B9511" s="2" t="str">
        <f>IFERROR(__xludf.DUMMYFUNCTION("GOOGLETRANSLATE(A9511, ""en"", ""mt"")"),"X'inhu l-fluwidu tipiku tax-xogħol fit-turbina tal-fwar?")</f>
        <v>X'inhu l-fluwidu tipiku tax-xogħol fit-turbina tal-fwar?</v>
      </c>
    </row>
    <row r="9512" ht="15.75" customHeight="1">
      <c r="A9512" s="2" t="s">
        <v>9512</v>
      </c>
      <c r="B9512" s="2" t="str">
        <f>IFERROR(__xludf.DUMMYFUNCTION("GOOGLETRANSLATE(A9512, ""en"", ""mt"")"),"Liema tattika użaw il-kumpaniji biex jikkumpensaw id-defiċit ta 'xogħol preċedenti li jdawwar il-kumplessità ta' problemi algoritmiċi?")</f>
        <v>Liema tattika użaw il-kumpaniji biex jikkumpensaw id-defiċit ta 'xogħol preċedenti li jdawwar il-kumplessità ta' problemi algoritmiċi?</v>
      </c>
    </row>
    <row r="9513" ht="15.75" customHeight="1">
      <c r="A9513" s="2" t="s">
        <v>9513</v>
      </c>
      <c r="B9513" s="2" t="str">
        <f>IFERROR(__xludf.DUMMYFUNCTION("GOOGLETRANSLATE(A9513, ""en"", ""mt"")"),"aktar minn 1,100")</f>
        <v>aktar minn 1,100</v>
      </c>
    </row>
    <row r="9514" ht="15.75" customHeight="1">
      <c r="A9514" s="2" t="s">
        <v>9514</v>
      </c>
      <c r="B9514" s="2" t="str">
        <f>IFERROR(__xludf.DUMMYFUNCTION("GOOGLETRANSLATE(A9514, ""en"", ""mt"")"),"Konsultazzjoni tal-ħaddiema fin-negozji")</f>
        <v>Konsultazzjoni tal-ħaddiema fin-negozji</v>
      </c>
    </row>
    <row r="9515" ht="15.75" customHeight="1">
      <c r="A9515" s="2" t="s">
        <v>9515</v>
      </c>
      <c r="B9515" s="2" t="str">
        <f>IFERROR(__xludf.DUMMYFUNCTION("GOOGLETRANSLATE(A9515, ""en"", ""mt"")"),"Liema miżura ta 'problema tal-komputazzjoni tiddefinixxi b'mod wiesa' d-diffikultà inerenti tas-soluzzjoni?")</f>
        <v>Liema miżura ta 'problema tal-komputazzjoni tiddefinixxi b'mod wiesa' d-diffikultà inerenti tas-soluzzjoni?</v>
      </c>
    </row>
    <row r="9516" ht="15.75" customHeight="1">
      <c r="A9516" s="2" t="s">
        <v>9516</v>
      </c>
      <c r="B9516" s="2" t="str">
        <f>IFERROR(__xludf.DUMMYFUNCTION("GOOGLETRANSLATE(A9516, ""en"", ""mt"")"),"Kuntratturi D&amp;B")</f>
        <v>Kuntratturi D&amp;B</v>
      </c>
    </row>
    <row r="9517" ht="15.75" customHeight="1">
      <c r="A9517" s="2" t="s">
        <v>9517</v>
      </c>
      <c r="B9517" s="2" t="str">
        <f>IFERROR(__xludf.DUMMYFUNCTION("GOOGLETRANSLATE(A9517, ""en"", ""mt"")"),"Perjodu ta 'Cambrian.")</f>
        <v>Perjodu ta 'Cambrian.</v>
      </c>
    </row>
    <row r="9518" ht="15.75" customHeight="1">
      <c r="A9518" s="2" t="s">
        <v>9518</v>
      </c>
      <c r="B9518" s="2" t="str">
        <f>IFERROR(__xludf.DUMMYFUNCTION("GOOGLETRANSLATE(A9518, ""en"", ""mt"")"),"Kemm hemm sodod l-Istitut tas-Saħħa Memorial Maria?")</f>
        <v>Kemm hemm sodod l-Istitut tas-Saħħa Memorial Maria?</v>
      </c>
    </row>
    <row r="9519" ht="15.75" customHeight="1">
      <c r="A9519" s="2" t="s">
        <v>9519</v>
      </c>
      <c r="B9519" s="2" t="str">
        <f>IFERROR(__xludf.DUMMYFUNCTION("GOOGLETRANSLATE(A9519, ""en"", ""mt"")"),"X'jeżisti bejn l-Iżlazzina Fundamentalista u l-Iżlamiżmu mhux Riformist?")</f>
        <v>X'jeżisti bejn l-Iżlazzina Fundamentalista u l-Iżlamiżmu mhux Riformist?</v>
      </c>
    </row>
    <row r="9520" ht="15.75" customHeight="1">
      <c r="A9520" s="2" t="s">
        <v>9520</v>
      </c>
      <c r="B9520" s="2" t="str">
        <f>IFERROR(__xludf.DUMMYFUNCTION("GOOGLETRANSLATE(A9520, ""en"", ""mt"")"),"Qorti Kbira u Ġenerali tal-Kolonja tal-Bajja ta ’Massachusetts")</f>
        <v>Qorti Kbira u Ġenerali tal-Kolonja tal-Bajja ta ’Massachusetts</v>
      </c>
    </row>
    <row r="9521" ht="15.75" customHeight="1">
      <c r="A9521" s="2" t="s">
        <v>9521</v>
      </c>
      <c r="B9521" s="2" t="str">
        <f>IFERROR(__xludf.DUMMYFUNCTION("GOOGLETRANSLATE(A9521, ""en"", ""mt"")"),"125p")</f>
        <v>125p</v>
      </c>
    </row>
    <row r="9522" ht="15.75" customHeight="1">
      <c r="A9522" s="2" t="s">
        <v>9522</v>
      </c>
      <c r="B9522" s="2" t="str">
        <f>IFERROR(__xludf.DUMMYFUNCTION("GOOGLETRANSLATE(A9522, ""en"", ""mt"")"),"Għaliex il-parti dejqa tax-Xmara San Ġwann imsejħa Cowford?")</f>
        <v>Għaliex il-parti dejqa tax-Xmara San Ġwann imsejħa Cowford?</v>
      </c>
    </row>
    <row r="9523" ht="15.75" customHeight="1">
      <c r="A9523" s="2" t="s">
        <v>9523</v>
      </c>
      <c r="B9523" s="2" t="str">
        <f>IFERROR(__xludf.DUMMYFUNCTION("GOOGLETRANSLATE(A9523, ""en"", ""mt"")"),"Minħabba li ħafna anzjani issa qed jieħdu bosta mediċini iżda jkomplu jgħixu barra minn settings istituzzjonali")</f>
        <v>Minħabba li ħafna anzjani issa qed jieħdu bosta mediċini iżda jkomplu jgħixu barra minn settings istituzzjonali</v>
      </c>
    </row>
    <row r="9524" ht="15.75" customHeight="1">
      <c r="A9524" s="2" t="s">
        <v>9524</v>
      </c>
      <c r="B9524" s="2" t="str">
        <f>IFERROR(__xludf.DUMMYFUNCTION("GOOGLETRANSLATE(A9524, ""en"", ""mt"")"),"Min ma kellu l-ebda influwenza fil-promozzjoni tal-użu ta 'komposti kimiċi bħala mediċini?")</f>
        <v>Min ma kellu l-ebda influwenza fil-promozzjoni tal-użu ta 'komposti kimiċi bħala mediċini?</v>
      </c>
    </row>
    <row r="9525" ht="15.75" customHeight="1">
      <c r="A9525" s="2" t="s">
        <v>9525</v>
      </c>
      <c r="B9525" s="2" t="str">
        <f>IFERROR(__xludf.DUMMYFUNCTION("GOOGLETRANSLATE(A9525, ""en"", ""mt"")"),"Liema porzjon tad-djar f'Jacksonville għandhom persuna waħda biss?")</f>
        <v>Liema porzjon tad-djar f'Jacksonville għandhom persuna waħda biss?</v>
      </c>
    </row>
    <row r="9526" ht="15.75" customHeight="1">
      <c r="A9526" s="2" t="s">
        <v>9526</v>
      </c>
      <c r="B9526" s="2" t="str">
        <f>IFERROR(__xludf.DUMMYFUNCTION("GOOGLETRANSLATE(A9526, ""en"", ""mt"")"),"Mhux poter marittimu, u mhux stat nazzjon, kif eventwalment sar, il-parteċipazzjoni tal-Ġermanja fl-imperjalizmu tal-Punent kienet negliġibbli sal-aħħar tas-seklu 19. Il-parteċipazzjoni tal-Awstrija kienet primarjament bħala riżultat tal-kontroll ta ’Habs"&amp;"burg tal-ewwel imperu, it-tron Spanjol, u djar irjali oħra. [Aktar spjegazzjoni meħtieġa] wara t-telfa ta’ Napuljun, li kkawża x-xoljiment ta ’dak l-Imperu Ruman qaddis, il-Prussja u L-istati Ġermaniżi komplew joħorġu mill-imperjalizmu, u ppreferu jimmani"&amp;"pulaw is-sistema Ewropea permezz tal-kunċert tal-Ewropa. Wara li l-Prussja unifikat l-istati l-oħra fit-tieni imperu Ġermaniż wara l-gwerra Franco-Ġermaniża, il-kanċillier tagħha fit-tul, Otto von Bismarck (1862–90), fit-tul oppona l-akkwisti kolonjali, b"&amp;"illi argumenta li l-piż li jikseb, iżomm u jiddefendi tali Il-possedimenti jiżbqu kwalunkwe benefiċċju potenzjali. Huwa ħass li l-kolonji ma ħallsux għalihom infushom, li s-sistema burokratika Ġermaniża ma taħdimx sew fit-tropiċi u li t-tilwim diplomatiku"&amp;" fuq il-kolonji jaljena l-Ġermanja mill-interess ċentrali tagħha, l-Ewropa nnifisha.")</f>
        <v>Mhux poter marittimu, u mhux stat nazzjon, kif eventwalment sar, il-parteċipazzjoni tal-Ġermanja fl-imperjalizmu tal-Punent kienet negliġibbli sal-aħħar tas-seklu 19. Il-parteċipazzjoni tal-Awstrija kienet primarjament bħala riżultat tal-kontroll ta ’Habsburg tal-ewwel imperu, it-tron Spanjol, u djar irjali oħra. [Aktar spjegazzjoni meħtieġa] wara t-telfa ta’ Napuljun, li kkawża x-xoljiment ta ’dak l-Imperu Ruman qaddis, il-Prussja u L-istati Ġermaniżi komplew joħorġu mill-imperjalizmu, u ppreferu jimmanipulaw is-sistema Ewropea permezz tal-kunċert tal-Ewropa. Wara li l-Prussja unifikat l-istati l-oħra fit-tieni imperu Ġermaniż wara l-gwerra Franco-Ġermaniża, il-kanċillier tagħha fit-tul, Otto von Bismarck (1862–90), fit-tul oppona l-akkwisti kolonjali, billi argumenta li l-piż li jikseb, iżomm u jiddefendi tali Il-possedimenti jiżbqu kwalunkwe benefiċċju potenzjali. Huwa ħass li l-kolonji ma ħallsux għalihom infushom, li s-sistema burokratika Ġermaniża ma taħdimx sew fit-tropiċi u li t-tilwim diplomatiku fuq il-kolonji jaljena l-Ġermanja mill-interess ċentrali tagħha, l-Ewropa nnifisha.</v>
      </c>
    </row>
    <row r="9527" ht="15.75" customHeight="1">
      <c r="A9527" s="2" t="s">
        <v>9527</v>
      </c>
      <c r="B9527" s="2" t="str">
        <f>IFERROR(__xludf.DUMMYFUNCTION("GOOGLETRANSLATE(A9527, ""en"", ""mt"")"),"Maududi jemmen ukoll li s-soċjetà Musulmana ma tistax tkun Iżlamika mingħajr sharia, u l-Iżlam kien jeħtieġ it-twaqqif ta 'stat Iżlamiku. Dan l-istat għandu jkun ""Theo-Democracy"", ibbażat fuq il-prinċipji ta ': Tawhid (Unità ta' Alla), Risala (Prophetho"&amp;"od) u Khilafa (Kalifat). Għalkemm Maududi tkellem dwar ir-rivoluzzjoni Iżlamika, permezz ta '""rivoluzzjoni"" huwa fisser mhux il-vjolenza jew il-politiki populisti tar-rivoluzzjoni Iranjana, iżda l-bidla gradwali li tbiddel il-qlub u l-imħuħ ta' individw"&amp;"i mill-quċċata tas-soċjetà 'l isfel permezz ta' proċess edukattiv jew da'wah.")</f>
        <v>Maududi jemmen ukoll li s-soċjetà Musulmana ma tistax tkun Iżlamika mingħajr sharia, u l-Iżlam kien jeħtieġ it-twaqqif ta 'stat Iżlamiku. Dan l-istat għandu jkun "Theo-Democracy", ibbażat fuq il-prinċipji ta ': Tawhid (Unità ta' Alla), Risala (Prophethood) u Khilafa (Kalifat). Għalkemm Maududi tkellem dwar ir-rivoluzzjoni Iżlamika, permezz ta '"rivoluzzjoni" huwa fisser mhux il-vjolenza jew il-politiki populisti tar-rivoluzzjoni Iranjana, iżda l-bidla gradwali li tbiddel il-qlub u l-imħuħ ta' individwi mill-quċċata tas-soċjetà 'l isfel permezz ta' proċess edukattiv jew da'wah.</v>
      </c>
    </row>
    <row r="9528" ht="15.75" customHeight="1">
      <c r="A9528" s="2" t="s">
        <v>9528</v>
      </c>
      <c r="B9528" s="2" t="str">
        <f>IFERROR(__xludf.DUMMYFUNCTION("GOOGLETRANSLATE(A9528, ""en"", ""mt"")"),"L-akbar komunità Amerikana Filippina")</f>
        <v>L-akbar komunità Amerikana Filippina</v>
      </c>
    </row>
    <row r="9529" ht="15.75" customHeight="1">
      <c r="A9529" s="2" t="s">
        <v>9529</v>
      </c>
      <c r="B9529" s="2" t="str">
        <f>IFERROR(__xludf.DUMMYFUNCTION("GOOGLETRANSLATE(A9529, ""en"", ""mt"")"),"Liema fergħat 'il bogħod minn Dordrecht?")</f>
        <v>Liema fergħat 'il bogħod minn Dordrecht?</v>
      </c>
    </row>
    <row r="9530" ht="15.75" customHeight="1">
      <c r="A9530" s="2" t="s">
        <v>9530</v>
      </c>
      <c r="B9530" s="2" t="str">
        <f>IFERROR(__xludf.DUMMYFUNCTION("GOOGLETRANSLATE(A9530, ""en"", ""mt"")"),"X'jinhu rilaxx ċelloli tat-tumur li jsaħħaħ ir-rispons immuni?")</f>
        <v>X'jinhu rilaxx ċelloli tat-tumur li jsaħħaħ ir-rispons immuni?</v>
      </c>
    </row>
    <row r="9531" ht="15.75" customHeight="1">
      <c r="A9531" s="2" t="s">
        <v>9531</v>
      </c>
      <c r="B9531" s="2" t="str">
        <f>IFERROR(__xludf.DUMMYFUNCTION("GOOGLETRANSLATE(A9531, ""en"", ""mt"")"),"Videoguard Pay-TV")</f>
        <v>Videoguard Pay-TV</v>
      </c>
    </row>
    <row r="9532" ht="15.75" customHeight="1">
      <c r="A9532" s="2" t="s">
        <v>9532</v>
      </c>
      <c r="B9532" s="2" t="str">
        <f>IFERROR(__xludf.DUMMYFUNCTION("GOOGLETRANSLATE(A9532, ""en"", ""mt"")"),"X'inhu ctenophora?")</f>
        <v>X'inhu ctenophora?</v>
      </c>
    </row>
    <row r="9533" ht="15.75" customHeight="1">
      <c r="A9533" s="2" t="s">
        <v>9533</v>
      </c>
      <c r="B9533" s="2" t="str">
        <f>IFERROR(__xludf.DUMMYFUNCTION("GOOGLETRANSLATE(A9533, ""en"", ""mt"")"),"Min kiteb li diffiċli biex tifformula definizzjoni ta 'niceties grammatikali?")</f>
        <v>Min kiteb li diffiċli biex tifformula definizzjoni ta 'niceties grammatikali?</v>
      </c>
    </row>
    <row r="9534" ht="15.75" customHeight="1">
      <c r="A9534" s="2" t="s">
        <v>9534</v>
      </c>
      <c r="B9534" s="2" t="str">
        <f>IFERROR(__xludf.DUMMYFUNCTION("GOOGLETRANSLATE(A9534, ""en"", ""mt"")"),"Liema grupp ta 'nies wettaq diżubbidjenza ċivili rivoluzzjonarja lejn il-gvern Awstrijak?")</f>
        <v>Liema grupp ta 'nies wettaq diżubbidjenza ċivili rivoluzzjonarja lejn il-gvern Awstrijak?</v>
      </c>
    </row>
    <row r="9535" ht="15.75" customHeight="1">
      <c r="A9535" s="2" t="s">
        <v>9535</v>
      </c>
      <c r="B9535" s="2" t="str">
        <f>IFERROR(__xludf.DUMMYFUNCTION("GOOGLETRANSLATE(A9535, ""en"", ""mt"")"),"TRIBE TRIO")</f>
        <v>TRIBE TRIO</v>
      </c>
    </row>
    <row r="9536" ht="15.75" customHeight="1">
      <c r="A9536" s="2" t="s">
        <v>9536</v>
      </c>
      <c r="B9536" s="2" t="str">
        <f>IFERROR(__xludf.DUMMYFUNCTION("GOOGLETRANSLATE(A9536, ""en"", ""mt"")"),"Torque żbilanċjat")</f>
        <v>Torque żbilanċjat</v>
      </c>
    </row>
    <row r="9537" ht="15.75" customHeight="1">
      <c r="A9537" s="2" t="s">
        <v>9537</v>
      </c>
      <c r="B9537" s="2" t="str">
        <f>IFERROR(__xludf.DUMMYFUNCTION("GOOGLETRANSLATE(A9537, ""en"", ""mt"")"),"Elementi ewlenin")</f>
        <v>Elementi ewlenin</v>
      </c>
    </row>
    <row r="9538" ht="15.75" customHeight="1">
      <c r="A9538" s="2" t="s">
        <v>9538</v>
      </c>
      <c r="B9538" s="2" t="str">
        <f>IFERROR(__xludf.DUMMYFUNCTION("GOOGLETRANSLATE(A9538, ""en"", ""mt"")"),"Hekk kif il-majjistral tal-Ewropa bil-mod bdiet tisħon minn 22,000 sena ilu 'l quddiem, is-sottosen iffriżat u l-glaċieri alpin estiżi bdew jinħallu u l-għata tas-silġ tal-waqgħa tax-xitwa mdewba fir-rebbiegħa. Ħafna mill-iskarikar kien immexxi lejn ir-Re"&amp;"nu u l-estensjoni 'l isfel tagħha. It-tisħin rapidu u l-bidliet tal-veġetazzjoni, għall-foresta miftuħa, bdew madwar 13,000 bp. Minn 9000 bp, l-Ewropa kienet forestata għal kollox. Bil-kopertura tas-silġ li qed tonqos globalment, il-livelli tal-ilma tal-o"&amp;"ċean żdiedu u l-Kanal Ingliż u l-Baħar tat-Tramuntana reġgħu ġew inundati. Meltwater, li żied mal-oċean u s-sussidju tal-art, għerqu l-kosti preċedenti tal-Ewropa transgpressionalment.")</f>
        <v>Hekk kif il-majjistral tal-Ewropa bil-mod bdiet tisħon minn 22,000 sena ilu 'l quddiem, is-sottosen iffriżat u l-glaċieri alpin estiżi bdew jinħallu u l-għata tas-silġ tal-waqgħa tax-xitwa mdewba fir-rebbiegħa. Ħafna mill-iskarikar kien immexxi lejn ir-Renu u l-estensjoni 'l isfel tagħha. It-tisħin rapidu u l-bidliet tal-veġetazzjoni, għall-foresta miftuħa, bdew madwar 13,000 bp. Minn 9000 bp, l-Ewropa kienet forestata għal kollox. Bil-kopertura tas-silġ li qed tonqos globalment, il-livelli tal-ilma tal-oċean żdiedu u l-Kanal Ingliż u l-Baħar tat-Tramuntana reġgħu ġew inundati. Meltwater, li żied mal-oċean u s-sussidju tal-art, għerqu l-kosti preċedenti tal-Ewropa transgpressionalment.</v>
      </c>
    </row>
    <row r="9539" ht="15.75" customHeight="1">
      <c r="A9539" s="2" t="s">
        <v>9539</v>
      </c>
      <c r="B9539" s="2" t="str">
        <f>IFERROR(__xludf.DUMMYFUNCTION("GOOGLETRANSLATE(A9539, ""en"", ""mt"")"),"Fluttwazzjonijiet fil-klima")</f>
        <v>Fluttwazzjonijiet fil-klima</v>
      </c>
    </row>
    <row r="9540" ht="15.75" customHeight="1">
      <c r="A9540" s="2" t="s">
        <v>9540</v>
      </c>
      <c r="B9540" s="2" t="str">
        <f>IFERROR(__xludf.DUMMYFUNCTION("GOOGLETRANSLATE(A9540, ""en"", ""mt"")"),"Liema varjazzjoni eponima ta 'aritmetika tippreżenta problema ta' deċiżjoni li ma ġietx evidenzjata f'P?")</f>
        <v>Liema varjazzjoni eponima ta 'aritmetika tippreżenta problema ta' deċiżjoni li ma ġietx evidenzjata f'P?</v>
      </c>
    </row>
    <row r="9541" ht="15.75" customHeight="1">
      <c r="A9541" s="2" t="s">
        <v>9541</v>
      </c>
      <c r="B9541" s="2" t="str">
        <f>IFERROR(__xludf.DUMMYFUNCTION("GOOGLETRANSLATE(A9541, ""en"", ""mt"")"),"Transcendentalist Unitarju")</f>
        <v>Transcendentalist Unitarju</v>
      </c>
    </row>
    <row r="9542" ht="15.75" customHeight="1">
      <c r="A9542" s="2" t="s">
        <v>9542</v>
      </c>
      <c r="B9542" s="2" t="str">
        <f>IFERROR(__xludf.DUMMYFUNCTION("GOOGLETRANSLATE(A9542, ""en"", ""mt"")"),"X'inhu d-Delta delimitat fin-Nofsinhar?")</f>
        <v>X'inhu d-Delta delimitat fin-Nofsinhar?</v>
      </c>
    </row>
    <row r="9543" ht="15.75" customHeight="1">
      <c r="A9543" s="2" t="s">
        <v>9543</v>
      </c>
      <c r="B9543" s="2" t="str">
        <f>IFERROR(__xludf.DUMMYFUNCTION("GOOGLETRANSLATE(A9543, ""en"", ""mt"")"),"Liema oqsma tilfu l-influwenza fuq l-ispiżerija fl-Istati Uniti?")</f>
        <v>Liema oqsma tilfu l-influwenza fuq l-ispiżerija fl-Istati Uniti?</v>
      </c>
    </row>
    <row r="9544" ht="15.75" customHeight="1">
      <c r="A9544" s="2" t="s">
        <v>9544</v>
      </c>
      <c r="B9544" s="2" t="str">
        <f>IFERROR(__xludf.DUMMYFUNCTION("GOOGLETRANSLATE(A9544, ""en"", ""mt"")"),"Min żviluppa indikatur tal-magna bil-fwar ta 'suċċess għal Charles Porter?")</f>
        <v>Min żviluppa indikatur tal-magna bil-fwar ta 'suċċess għal Charles Porter?</v>
      </c>
    </row>
    <row r="9545" ht="15.75" customHeight="1">
      <c r="A9545" s="2" t="s">
        <v>9545</v>
      </c>
      <c r="B9545" s="2" t="str">
        <f>IFERROR(__xludf.DUMMYFUNCTION("GOOGLETRANSLATE(A9545, ""en"", ""mt"")"),"Hangzhou")</f>
        <v>Hangzhou</v>
      </c>
    </row>
    <row r="9546" ht="15.75" customHeight="1">
      <c r="A9546" s="2" t="s">
        <v>9546</v>
      </c>
      <c r="B9546" s="2" t="str">
        <f>IFERROR(__xludf.DUMMYFUNCTION("GOOGLETRANSLATE(A9546, ""en"", ""mt"")"),"X'tip ta 'numru jikkunsidraw il-matematiċi moderni 1 bħala?")</f>
        <v>X'tip ta 'numru jikkunsidraw il-matematiċi moderni 1 bħala?</v>
      </c>
    </row>
    <row r="9547" ht="15.75" customHeight="1">
      <c r="A9547" s="2" t="s">
        <v>9547</v>
      </c>
      <c r="B9547" s="2" t="str">
        <f>IFERROR(__xludf.DUMMYFUNCTION("GOOGLETRANSLATE(A9547, ""en"", ""mt"")"),"L-ispiżerija tal-mili għandha responsabbiltà korrispondenti biex tiżgura li l-preskrizzjoni tkun valida")</f>
        <v>L-ispiżerija tal-mili għandha responsabbiltà korrispondenti biex tiżgura li l-preskrizzjoni tkun valida</v>
      </c>
    </row>
    <row r="9548" ht="15.75" customHeight="1">
      <c r="A9548" s="2" t="s">
        <v>9548</v>
      </c>
      <c r="B9548" s="2" t="str">
        <f>IFERROR(__xludf.DUMMYFUNCTION("GOOGLETRANSLATE(A9548, ""en"", ""mt"")"),"Punent")</f>
        <v>Punent</v>
      </c>
    </row>
    <row r="9549" ht="15.75" customHeight="1">
      <c r="A9549" s="2" t="s">
        <v>9549</v>
      </c>
      <c r="B9549" s="2" t="str">
        <f>IFERROR(__xludf.DUMMYFUNCTION("GOOGLETRANSLATE(A9549, ""en"", ""mt"")"),"Kif tiġi ċċarġjata l-informazzjoni b'mod differenti għall-bidla taċ-ċirkwiti?")</f>
        <v>Kif tiġi ċċarġjata l-informazzjoni b'mod differenti għall-bidla taċ-ċirkwiti?</v>
      </c>
    </row>
    <row r="9550" ht="15.75" customHeight="1">
      <c r="A9550" s="2" t="s">
        <v>9550</v>
      </c>
      <c r="B9550" s="2" t="str">
        <f>IFERROR(__xludf.DUMMYFUNCTION("GOOGLETRANSLATE(A9550, ""en"", ""mt"")"),"Spiżjar tal-Kura Ambulatorja Ċertifikata tal-Bord")</f>
        <v>Spiżjar tal-Kura Ambulatorja Ċertifikata tal-Bord</v>
      </c>
    </row>
    <row r="9551" ht="15.75" customHeight="1">
      <c r="A9551" s="2" t="s">
        <v>9551</v>
      </c>
      <c r="B9551" s="2" t="str">
        <f>IFERROR(__xludf.DUMMYFUNCTION("GOOGLETRANSLATE(A9551, ""en"", ""mt"")"),"Kemm idum ir-Renu?")</f>
        <v>Kemm idum ir-Renu?</v>
      </c>
    </row>
    <row r="9552" ht="15.75" customHeight="1">
      <c r="A9552" s="2" t="s">
        <v>9552</v>
      </c>
      <c r="B9552" s="2" t="str">
        <f>IFERROR(__xludf.DUMMYFUNCTION("GOOGLETRANSLATE(A9552, ""en"", ""mt"")"),"Fejn hu prodott l-ossiġnu paired?")</f>
        <v>Fejn hu prodott l-ossiġnu paired?</v>
      </c>
    </row>
    <row r="9553" ht="15.75" customHeight="1">
      <c r="A9553" s="2" t="s">
        <v>9553</v>
      </c>
      <c r="B9553" s="2" t="str">
        <f>IFERROR(__xludf.DUMMYFUNCTION("GOOGLETRANSLATE(A9553, ""en"", ""mt"")"),"Liema belt għandha l-akbar port fil-Ġermanja?")</f>
        <v>Liema belt għandha l-akbar port fil-Ġermanja?</v>
      </c>
    </row>
    <row r="9554" ht="15.75" customHeight="1">
      <c r="A9554" s="2" t="s">
        <v>9554</v>
      </c>
      <c r="B9554" s="2" t="str">
        <f>IFERROR(__xludf.DUMMYFUNCTION("GOOGLETRANSLATE(A9554, ""en"", ""mt"")"),"isuq lil Iżrael barra mill-istrixxa ta ’Gaża")</f>
        <v>isuq lil Iżrael barra mill-istrixxa ta ’Gaża</v>
      </c>
    </row>
    <row r="9555" ht="15.75" customHeight="1">
      <c r="A9555" s="2" t="s">
        <v>9555</v>
      </c>
      <c r="B9555" s="2" t="str">
        <f>IFERROR(__xludf.DUMMYFUNCTION("GOOGLETRANSLATE(A9555, ""en"", ""mt"")"),"L-ewwel servizz online kummerċjali tad-dinja")</f>
        <v>L-ewwel servizz online kummerċjali tad-dinja</v>
      </c>
    </row>
    <row r="9556" ht="15.75" customHeight="1">
      <c r="A9556" s="2" t="s">
        <v>9556</v>
      </c>
      <c r="B9556" s="2" t="str">
        <f>IFERROR(__xludf.DUMMYFUNCTION("GOOGLETRANSLATE(A9556, ""en"", ""mt"")"),"Kunsill Reġjonali Lothian")</f>
        <v>Kunsill Reġjonali Lothian</v>
      </c>
    </row>
    <row r="9557" ht="15.75" customHeight="1">
      <c r="A9557" s="2" t="s">
        <v>9557</v>
      </c>
      <c r="B9557" s="2" t="str">
        <f>IFERROR(__xludf.DUMMYFUNCTION("GOOGLETRANSLATE(A9557, ""en"", ""mt"")"),"ix-xokk taż-żejt")</f>
        <v>ix-xokk taż-żejt</v>
      </c>
    </row>
    <row r="9558" ht="15.75" customHeight="1">
      <c r="A9558" s="2" t="s">
        <v>9558</v>
      </c>
      <c r="B9558" s="2" t="str">
        <f>IFERROR(__xludf.DUMMYFUNCTION("GOOGLETRANSLATE(A9558, ""en"", ""mt"")"),"Il-Gżejjer Channel")</f>
        <v>Il-Gżejjer Channel</v>
      </c>
    </row>
    <row r="9559" ht="15.75" customHeight="1">
      <c r="A9559" s="2" t="s">
        <v>9559</v>
      </c>
      <c r="B9559" s="2" t="str">
        <f>IFERROR(__xludf.DUMMYFUNCTION("GOOGLETRANSLATE(A9559, ""en"", ""mt"")"),"Din il-projezzjoni ma ġietx inkluża fis-sommarju finali għal dawk li jfasslu l-politika. Minn dakinhar l-IPCC irrikonoxxa li d-data mhix korretta, filwaqt li afferma mill-ġdid li l-konklużjoni fis-sommarju finali kienet robusta. Huma esprimew dispjaċir għ"&amp;"al ""l-applikazzjoni ħażina ta 'proċeduri IPCC stabbiliti sew f'dan il-każ"". Id-data tal-2035 ġiet ikkwotata b'mod korrett mill-IPCC mir-rapport tal-WWF, li ħażin is-sors tiegħu stess, rapport tal-ICSI ""Varjazzjonijiet tal-borra u s-silġ fil-passat u fi"&amp;"l-preżent fuq skala globali u reġjonali"".")</f>
        <v>Din il-projezzjoni ma ġietx inkluża fis-sommarju finali għal dawk li jfasslu l-politika. Minn dakinhar l-IPCC irrikonoxxa li d-data mhix korretta, filwaqt li afferma mill-ġdid li l-konklużjoni fis-sommarju finali kienet robusta. Huma esprimew dispjaċir għal "l-applikazzjoni ħażina ta 'proċeduri IPCC stabbiliti sew f'dan il-każ". Id-data tal-2035 ġiet ikkwotata b'mod korrett mill-IPCC mir-rapport tal-WWF, li ħażin is-sors tiegħu stess, rapport tal-ICSI "Varjazzjonijiet tal-borra u s-silġ fil-passat u fil-preżent fuq skala globali u reġjonali".</v>
      </c>
    </row>
    <row r="9560" ht="15.75" customHeight="1">
      <c r="A9560" s="2" t="s">
        <v>9560</v>
      </c>
      <c r="B9560" s="2" t="str">
        <f>IFERROR(__xludf.DUMMYFUNCTION("GOOGLETRANSLATE(A9560, ""en"", ""mt"")"),"Minbarra Uchicago jew sempliċement Chicago, x'inhu terminu ieħor għan-negozju tal-Università ta 'Graham?")</f>
        <v>Minbarra Uchicago jew sempliċement Chicago, x'inhu terminu ieħor għan-negozju tal-Università ta 'Graham?</v>
      </c>
    </row>
    <row r="9561" ht="15.75" customHeight="1">
      <c r="A9561" s="2" t="s">
        <v>9561</v>
      </c>
      <c r="B9561" s="2" t="str">
        <f>IFERROR(__xludf.DUMMYFUNCTION("GOOGLETRANSLATE(A9561, ""en"", ""mt"")"),"Warraghgey")</f>
        <v>Warraghgey</v>
      </c>
    </row>
    <row r="9562" ht="15.75" customHeight="1">
      <c r="A9562" s="2" t="s">
        <v>9562</v>
      </c>
      <c r="B9562" s="2" t="str">
        <f>IFERROR(__xludf.DUMMYFUNCTION("GOOGLETRANSLATE(A9562, ""en"", ""mt"")"),"Qatt kien hemm xi ħadd inkarigat li jimporta mediċini mill-Kanada għal użu mediċinali personali?")</f>
        <v>Qatt kien hemm xi ħadd inkarigat li jimporta mediċini mill-Kanada għal użu mediċinali personali?</v>
      </c>
    </row>
    <row r="9563" ht="15.75" customHeight="1">
      <c r="A9563" s="2" t="s">
        <v>9563</v>
      </c>
      <c r="B9563" s="2" t="str">
        <f>IFERROR(__xludf.DUMMYFUNCTION("GOOGLETRANSLATE(A9563, ""en"", ""mt"")"),"F’liema snin Spanja u l-Portugall ingħaqdu mal-Unjoni Ewropea?")</f>
        <v>F’liema snin Spanja u l-Portugall ingħaqdu mal-Unjoni Ewropea?</v>
      </c>
    </row>
    <row r="9564" ht="15.75" customHeight="1">
      <c r="A9564" s="2" t="s">
        <v>9564</v>
      </c>
      <c r="B9564" s="2" t="str">
        <f>IFERROR(__xludf.DUMMYFUNCTION("GOOGLETRANSLATE(A9564, ""en"", ""mt"")"),"Ġeografikament titkellem, fejn hu l-punt tan-nofs tan-nofsinhar ta 'California f'termini ta' latitudni?")</f>
        <v>Ġeografikament titkellem, fejn hu l-punt tan-nofs tan-nofsinhar ta 'California f'termini ta' latitudni?</v>
      </c>
    </row>
    <row r="9565" ht="15.75" customHeight="1">
      <c r="A9565" s="2" t="s">
        <v>9565</v>
      </c>
      <c r="B9565" s="2" t="str">
        <f>IFERROR(__xludf.DUMMYFUNCTION("GOOGLETRANSLATE(A9565, ""en"", ""mt"")"),"Għal xiex mhux magħruf il-Pedanius Dioscorides?")</f>
        <v>Għal xiex mhux magħruf il-Pedanius Dioscorides?</v>
      </c>
    </row>
    <row r="9566" ht="15.75" customHeight="1">
      <c r="A9566" s="2" t="s">
        <v>9566</v>
      </c>
      <c r="B9566" s="2" t="str">
        <f>IFERROR(__xludf.DUMMYFUNCTION("GOOGLETRANSLATE(A9566, ""en"", ""mt"")"),"ditti tas-servizz")</f>
        <v>ditti tas-servizz</v>
      </c>
    </row>
    <row r="9567" ht="15.75" customHeight="1">
      <c r="A9567" s="2" t="s">
        <v>9567</v>
      </c>
      <c r="B9567" s="2" t="str">
        <f>IFERROR(__xludf.DUMMYFUNCTION("GOOGLETRANSLATE(A9567, ""en"", ""mt"")")," Permezz ta 'ġustifikazzjoni ċerta teoriji razzjali u ġeografiċi, l-Asja ħasbet minnha nnifisha?")</f>
        <v> Permezz ta 'ġustifikazzjoni ċerta teoriji razzjali u ġeografiċi, l-Asja ħasbet minnha nnifisha?</v>
      </c>
    </row>
    <row r="9568" ht="15.75" customHeight="1">
      <c r="A9568" s="2" t="s">
        <v>9568</v>
      </c>
      <c r="B9568" s="2" t="str">
        <f>IFERROR(__xludf.DUMMYFUNCTION("GOOGLETRANSLATE(A9568, ""en"", ""mt"")"),"linji dritti")</f>
        <v>linji dritti</v>
      </c>
    </row>
    <row r="9569" ht="15.75" customHeight="1">
      <c r="A9569" s="2" t="s">
        <v>9569</v>
      </c>
      <c r="B9569" s="2" t="str">
        <f>IFERROR(__xludf.DUMMYFUNCTION("GOOGLETRANSLATE(A9569, ""en"", ""mt"")"),"Jekk l-UE ma tikkonformax mad-drittijiet u l-prinċipji kostituzzjonali bażiċi tagħha")</f>
        <v>Jekk l-UE ma tikkonformax mad-drittijiet u l-prinċipji kostituzzjonali bażiċi tagħha</v>
      </c>
    </row>
    <row r="9570" ht="15.75" customHeight="1">
      <c r="A9570" s="2" t="s">
        <v>9570</v>
      </c>
      <c r="B9570" s="2" t="str">
        <f>IFERROR(__xludf.DUMMYFUNCTION("GOOGLETRANSLATE(A9570, ""en"", ""mt"")"),"X'inhu l-isem tat-tim mill-USC?")</f>
        <v>X'inhu l-isem tat-tim mill-USC?</v>
      </c>
    </row>
    <row r="9571" ht="15.75" customHeight="1">
      <c r="A9571" s="2" t="s">
        <v>9571</v>
      </c>
      <c r="B9571" s="2" t="str">
        <f>IFERROR(__xludf.DUMMYFUNCTION("GOOGLETRANSLATE(A9571, ""en"", ""mt"")"),"5-ċilindru")</f>
        <v>5-ċilindru</v>
      </c>
    </row>
    <row r="9572" ht="15.75" customHeight="1">
      <c r="A9572" s="2" t="s">
        <v>9572</v>
      </c>
      <c r="B9572" s="2" t="str">
        <f>IFERROR(__xludf.DUMMYFUNCTION("GOOGLETRANSLATE(A9572, ""en"", ""mt"")"),"L-ewwel binjiet tal-kampus tal-Università ta ’Chicago, li jiffurmaw dak li issa huwa magħruf bħala l-kwadrangles ewlenin, kienu parti minn"" pjan ewlieni ”maħsub minn żewġ trustees tal-Università ta’ Chicago u mpinġija mill-perit ta ’Chicago Henry Ives Co"&amp;"bb. Il-kwadrangles ewlenin jikkonsistu minn sitt kwadrangles, kull wieħed imdawwar bil-bini, li jmissu ma 'kwadrangle ikbar. Il-bini tal-kwadrangles ewlenin kienu ddisinjati minn Cobb, Shepley, Rutan u Coolidge, Holabird &amp; Roche, u ditti arkitettoniċi oħr"&amp;"a f'taħlita ta 'l-istili Gotiċi Gotiċi u kolleġjali Vittorjani, b'disinn fuq il-kulleġġi ta' l-Università ta 'Oxford. (Mitchell Tower, pereżempju, huwa mfassal wara t-Torri Magdalen ta 'Oxford, u l-Università Commons, Hutchinson Hall, jirreplikaw lil Chri"&amp;"st Church Hall.)")</f>
        <v>L-ewwel binjiet tal-kampus tal-Università ta ’Chicago, li jiffurmaw dak li issa huwa magħruf bħala l-kwadrangles ewlenin, kienu parti minn" pjan ewlieni ”maħsub minn żewġ trustees tal-Università ta’ Chicago u mpinġija mill-perit ta ’Chicago Henry Ives Cobb. Il-kwadrangles ewlenin jikkonsistu minn sitt kwadrangles, kull wieħed imdawwar bil-bini, li jmissu ma 'kwadrangle ikbar. Il-bini tal-kwadrangles ewlenin kienu ddisinjati minn Cobb, Shepley, Rutan u Coolidge, Holabird &amp; Roche, u ditti arkitettoniċi oħra f'taħlita ta 'l-istili Gotiċi Gotiċi u kolleġjali Vittorjani, b'disinn fuq il-kulleġġi ta' l-Università ta 'Oxford. (Mitchell Tower, pereżempju, huwa mfassal wara t-Torri Magdalen ta 'Oxford, u l-Università Commons, Hutchinson Hall, jirreplikaw lil Christ Church Hall.)</v>
      </c>
    </row>
    <row r="9573" ht="15.75" customHeight="1">
      <c r="A9573" s="2" t="s">
        <v>9573</v>
      </c>
      <c r="B9573" s="2" t="str">
        <f>IFERROR(__xludf.DUMMYFUNCTION("GOOGLETRANSLATE(A9573, ""en"", ""mt"")"),"Meta ssieħbu l-Meuse u l-Waal?")</f>
        <v>Meta ssieħbu l-Meuse u l-Waal?</v>
      </c>
    </row>
    <row r="9574" ht="15.75" customHeight="1">
      <c r="A9574" s="2" t="s">
        <v>9574</v>
      </c>
      <c r="B9574" s="2" t="str">
        <f>IFERROR(__xludf.DUMMYFUNCTION("GOOGLETRANSLATE(A9574, ""en"", ""mt"")"),"X’ir-regolamenti tal-gvern taw skejjel pubbliċi reċentement?")</f>
        <v>X’ir-regolamenti tal-gvern taw skejjel pubbliċi reċentement?</v>
      </c>
    </row>
    <row r="9575" ht="15.75" customHeight="1">
      <c r="A9575" s="2" t="s">
        <v>9575</v>
      </c>
      <c r="B9575" s="2" t="str">
        <f>IFERROR(__xludf.DUMMYFUNCTION("GOOGLETRANSLATE(A9575, ""en"", ""mt"")"),"Meta l-elettroni huma ppakkjati b'mod laxk, m'hemmx biżżejjed x'inhu?")</f>
        <v>Meta l-elettroni huma ppakkjati b'mod laxk, m'hemmx biżżejjed x'inhu?</v>
      </c>
    </row>
    <row r="9576" ht="15.75" customHeight="1">
      <c r="A9576" s="2" t="s">
        <v>9576</v>
      </c>
      <c r="B9576" s="2" t="str">
        <f>IFERROR(__xludf.DUMMYFUNCTION("GOOGLETRANSLATE(A9576, ""en"", ""mt"")"),"Iċ-ċentru tal-università f'Beijing jinsab ħdejn il-kampus tal-iskola?")</f>
        <v>Iċ-ċentru tal-università f'Beijing jinsab ħdejn il-kampus tal-iskola?</v>
      </c>
    </row>
    <row r="9577" ht="15.75" customHeight="1">
      <c r="A9577" s="2" t="s">
        <v>9577</v>
      </c>
      <c r="B9577" s="2" t="str">
        <f>IFERROR(__xludf.DUMMYFUNCTION("GOOGLETRANSLATE(A9577, ""en"", ""mt"")"),"X'inhuma żewġ eżempji ta 'kejl huma marbuta fl-algoritmi biex jistabbilixxu klassijiet ta' kumplessità?")</f>
        <v>X'inhuma żewġ eżempji ta 'kejl huma marbuta fl-algoritmi biex jistabbilixxu klassijiet ta' kumplessità?</v>
      </c>
    </row>
    <row r="9578" ht="15.75" customHeight="1">
      <c r="A9578" s="2" t="s">
        <v>9578</v>
      </c>
      <c r="B9578" s="2" t="str">
        <f>IFERROR(__xludf.DUMMYFUNCTION("GOOGLETRANSLATE(A9578, ""en"", ""mt"")"),"X'tipi ta 'funzjonijiet ta' l-ispiżerija bdew jiġu esternalizzati?")</f>
        <v>X'tipi ta 'funzjonijiet ta' l-ispiżerija bdew jiġu esternalizzati?</v>
      </c>
    </row>
    <row r="9579" ht="15.75" customHeight="1">
      <c r="A9579" s="2" t="s">
        <v>9579</v>
      </c>
      <c r="B9579" s="2" t="str">
        <f>IFERROR(__xludf.DUMMYFUNCTION("GOOGLETRANSLATE(A9579, ""en"", ""mt"")"),"Fejn jinsab l-organu aboral?")</f>
        <v>Fejn jinsab l-organu aboral?</v>
      </c>
    </row>
    <row r="9580" ht="15.75" customHeight="1">
      <c r="A9580" s="2" t="s">
        <v>9580</v>
      </c>
      <c r="B9580" s="2" t="str">
        <f>IFERROR(__xludf.DUMMYFUNCTION("GOOGLETRANSLATE(A9580, ""en"", ""mt"")"),"numru Prim")</f>
        <v>numru Prim</v>
      </c>
    </row>
    <row r="9581" ht="15.75" customHeight="1">
      <c r="A9581" s="2" t="s">
        <v>9581</v>
      </c>
      <c r="B9581" s="2" t="str">
        <f>IFERROR(__xludf.DUMMYFUNCTION("GOOGLETRANSLATE(A9581, ""en"", ""mt"")"),"Id-Dipartiment tal-Affarijiet tal-Istat")</f>
        <v>Id-Dipartiment tal-Affarijiet tal-Istat</v>
      </c>
    </row>
    <row r="9582" ht="15.75" customHeight="1">
      <c r="A9582" s="2" t="s">
        <v>9582</v>
      </c>
      <c r="B9582" s="2" t="str">
        <f>IFERROR(__xludf.DUMMYFUNCTION("GOOGLETRANSLATE(A9582, ""en"", ""mt"")"),"Kemm mid-dħul nazzjonali tal-Polonja tipproduċi Srodmiescie?")</f>
        <v>Kemm mid-dħul nazzjonali tal-Polonja tipproduċi Srodmiescie?</v>
      </c>
    </row>
    <row r="9583" ht="15.75" customHeight="1">
      <c r="A9583" s="2" t="s">
        <v>9583</v>
      </c>
      <c r="B9583" s="2" t="str">
        <f>IFERROR(__xludf.DUMMYFUNCTION("GOOGLETRANSLATE(A9583, ""en"", ""mt"")"),"Riverside")</f>
        <v>Riverside</v>
      </c>
    </row>
    <row r="9584" ht="15.75" customHeight="1">
      <c r="A9584" s="2" t="s">
        <v>9584</v>
      </c>
      <c r="B9584" s="2" t="str">
        <f>IFERROR(__xludf.DUMMYFUNCTION("GOOGLETRANSLATE(A9584, ""en"", ""mt"")"),"F'liema kompost jinstab l-ossiġnu f'ammonti żgħar fl-atmosfera?")</f>
        <v>F'liema kompost jinstab l-ossiġnu f'ammonti żgħar fl-atmosfera?</v>
      </c>
    </row>
    <row r="9585" ht="15.75" customHeight="1">
      <c r="A9585" s="2" t="s">
        <v>9585</v>
      </c>
      <c r="B9585" s="2" t="str">
        <f>IFERROR(__xludf.DUMMYFUNCTION("GOOGLETRANSLATE(A9585, ""en"", ""mt"")"),"Id-diviżjoni tal-prova tinvolvi d-diviżjoni N minn kull numru sħiħ m inqas minn xiex?")</f>
        <v>Id-diviżjoni tal-prova tinvolvi d-diviżjoni N minn kull numru sħiħ m inqas minn xiex?</v>
      </c>
    </row>
    <row r="9586" ht="15.75" customHeight="1">
      <c r="A9586" s="2" t="s">
        <v>9586</v>
      </c>
      <c r="B9586" s="2" t="str">
        <f>IFERROR(__xludf.DUMMYFUNCTION("GOOGLETRANSLATE(A9586, ""en"", ""mt"")"),"X'inhu d-daqsijiet skont kemm hi dgħajfa l-imbuttatura jew il-ġibda?")</f>
        <v>X'inhu d-daqsijiet skont kemm hi dgħajfa l-imbuttatura jew il-ġibda?</v>
      </c>
    </row>
    <row r="9587" ht="15.75" customHeight="1">
      <c r="A9587" s="2" t="s">
        <v>9587</v>
      </c>
      <c r="B9587" s="2" t="str">
        <f>IFERROR(__xludf.DUMMYFUNCTION("GOOGLETRANSLATE(A9587, ""en"", ""mt"")"),"Kemm hu twil it-Torri tal-Bank of America?")</f>
        <v>Kemm hu twil it-Torri tal-Bank of America?</v>
      </c>
    </row>
    <row r="9588" ht="15.75" customHeight="1">
      <c r="A9588" s="2" t="s">
        <v>9588</v>
      </c>
      <c r="B9588" s="2" t="str">
        <f>IFERROR(__xludf.DUMMYFUNCTION("GOOGLETRANSLATE(A9588, ""en"", ""mt"")"),"Liema avveniment rebħet Cornell fl-2003?")</f>
        <v>Liema avveniment rebħet Cornell fl-2003?</v>
      </c>
    </row>
    <row r="9589" ht="15.75" customHeight="1">
      <c r="A9589" s="2" t="s">
        <v>9589</v>
      </c>
      <c r="B9589" s="2" t="str">
        <f>IFERROR(__xludf.DUMMYFUNCTION("GOOGLETRANSLATE(A9589, ""en"", ""mt"")"),"L-ewwel vjaġġar irreġistrat mill-Ewropej lejn iċ-Ċina u d-data ta 'wara minn dan iż-żmien. L-iktar vjaġġatur famuż tal-perjodu kien il-Venezjan Marco Polo, li r-rendikont tiegħu tal-vjaġġ tiegħu lejn ""Cambaluc,"" il-kapitali tal-Khan il-Kbir, u tal-ħajja"&amp;" hemm stagħġeb lin-nies tal-Ewropa. Ir-rendikont tal-ivvjaġġar tiegħu, IL Milione (jew, il-miljun, magħruf bl-Ingliż bħala l-ivvjaġġar ta 'Marco Polo), deher madwar is-sena 1299. Xi wħud jargumentaw fuq l-eżattezza tal-kontijiet ta' Marco Polo minħabba n-"&amp;"nuqqas li jsemmu l-Ħajt il-Kbir ta ' Iċ-Ċina, djar tat-te, li kienu jkunu vista prominenti peress li l-Ewropej kienu għadhom iridu jadottaw kultura tat-te, kif ukoll il-prattika ta 'marda li torbot min-nisa fil-kapitali tal-Khan il-Kbir. Xi wħud jissuġġer"&amp;"ixxu li Marco Polo akkwista ħafna mill-għarfien tiegħu permezz ta 'kuntatt ma' negozjanti Persjani peress li ħafna mill-postijiet li hu jismu kienu fil-Persjan.")</f>
        <v>L-ewwel vjaġġar irreġistrat mill-Ewropej lejn iċ-Ċina u d-data ta 'wara minn dan iż-żmien. L-iktar vjaġġatur famuż tal-perjodu kien il-Venezjan Marco Polo, li r-rendikont tiegħu tal-vjaġġ tiegħu lejn "Cambaluc," il-kapitali tal-Khan il-Kbir, u tal-ħajja hemm stagħġeb lin-nies tal-Ewropa. Ir-rendikont tal-ivvjaġġar tiegħu, IL Milione (jew, il-miljun, magħruf bl-Ingliż bħala l-ivvjaġġar ta 'Marco Polo), deher madwar is-sena 1299. Xi wħud jargumentaw fuq l-eżattezza tal-kontijiet ta' Marco Polo minħabba n-nuqqas li jsemmu l-Ħajt il-Kbir ta ' Iċ-Ċina, djar tat-te, li kienu jkunu vista prominenti peress li l-Ewropej kienu għadhom iridu jadottaw kultura tat-te, kif ukoll il-prattika ta 'marda li torbot min-nisa fil-kapitali tal-Khan il-Kbir. Xi wħud jissuġġerixxu li Marco Polo akkwista ħafna mill-għarfien tiegħu permezz ta 'kuntatt ma' negozjanti Persjani peress li ħafna mill-postijiet li hu jismu kienu fil-Persjan.</v>
      </c>
    </row>
    <row r="9590" ht="15.75" customHeight="1">
      <c r="A9590" s="2" t="s">
        <v>9590</v>
      </c>
      <c r="B9590" s="2" t="str">
        <f>IFERROR(__xludf.DUMMYFUNCTION("GOOGLETRANSLATE(A9590, ""en"", ""mt"")"),"Matul liema perjodu ta 'żmien inugwaljanza fid-dħul naqset fl-Istati Uniti?")</f>
        <v>Matul liema perjodu ta 'żmien inugwaljanza fid-dħul naqset fl-Istati Uniti?</v>
      </c>
    </row>
    <row r="9591" ht="15.75" customHeight="1">
      <c r="A9591" s="2" t="s">
        <v>9591</v>
      </c>
      <c r="B9591" s="2" t="str">
        <f>IFERROR(__xludf.DUMMYFUNCTION("GOOGLETRANSLATE(A9591, ""en"", ""mt"")"),"Liema terminu huwa shorthand għall-ġeneraturi tal-antikorpi?")</f>
        <v>Liema terminu huwa shorthand għall-ġeneraturi tal-antikorpi?</v>
      </c>
    </row>
    <row r="9592" ht="15.75" customHeight="1">
      <c r="A9592" s="2" t="s">
        <v>9592</v>
      </c>
      <c r="B9592" s="2" t="str">
        <f>IFERROR(__xludf.DUMMYFUNCTION("GOOGLETRANSLATE(A9592, ""en"", ""mt"")"),"Il-Konferenza tal-Big Ten")</f>
        <v>Il-Konferenza tal-Big Ten</v>
      </c>
    </row>
    <row r="9593" ht="15.75" customHeight="1">
      <c r="A9593" s="2" t="s">
        <v>9593</v>
      </c>
      <c r="B9593" s="2" t="str">
        <f>IFERROR(__xludf.DUMMYFUNCTION("GOOGLETRANSLATE(A9593, ""en"", ""mt"")"),"Kemm żdied il-prodott agrikolu gross mill-2003-04?")</f>
        <v>Kemm żdied il-prodott agrikolu gross mill-2003-04?</v>
      </c>
    </row>
    <row r="9594" ht="15.75" customHeight="1">
      <c r="A9594" s="2" t="s">
        <v>9594</v>
      </c>
      <c r="B9594" s="2" t="str">
        <f>IFERROR(__xludf.DUMMYFUNCTION("GOOGLETRANSLATE(A9594, ""en"", ""mt"")"),"TCP / IP")</f>
        <v>TCP / IP</v>
      </c>
    </row>
    <row r="9595" ht="15.75" customHeight="1">
      <c r="A9595" s="2" t="s">
        <v>9595</v>
      </c>
      <c r="B9595" s="2" t="str">
        <f>IFERROR(__xludf.DUMMYFUNCTION("GOOGLETRANSLATE(A9595, ""en"", ""mt"")"),"annimal wieħed jista 'jipproduċi kemm bajd kif ukoll sperma")</f>
        <v>annimal wieħed jista 'jipproduċi kemm bajd kif ukoll sperma</v>
      </c>
    </row>
    <row r="9596" ht="15.75" customHeight="1">
      <c r="A9596" s="2" t="s">
        <v>9596</v>
      </c>
      <c r="B9596" s="2" t="str">
        <f>IFERROR(__xludf.DUMMYFUNCTION("GOOGLETRANSLATE(A9596, ""en"", ""mt"")"),"X'jiġri qabel ma titħaffer il-fondazzjoni u meta tgħaddi spezzjoni finali?")</f>
        <v>X'jiġri qabel ma titħaffer il-fondazzjoni u meta tgħaddi spezzjoni finali?</v>
      </c>
    </row>
    <row r="9597" ht="15.75" customHeight="1">
      <c r="A9597" s="2" t="s">
        <v>9597</v>
      </c>
      <c r="B9597" s="2" t="str">
        <f>IFERROR(__xludf.DUMMYFUNCTION("GOOGLETRANSLATE(A9597, ""en"", ""mt"")"),"Doc Films")</f>
        <v>Doc Films</v>
      </c>
    </row>
    <row r="9598" ht="15.75" customHeight="1">
      <c r="A9598" s="2" t="s">
        <v>9598</v>
      </c>
      <c r="B9598" s="2" t="str">
        <f>IFERROR(__xludf.DUMMYFUNCTION("GOOGLETRANSLATE(A9598, ""en"", ""mt"")"),"bejn wieħed u ieħor 80%")</f>
        <v>bejn wieħed u ieħor 80%</v>
      </c>
    </row>
    <row r="9599" ht="15.75" customHeight="1">
      <c r="A9599" s="2" t="s">
        <v>9599</v>
      </c>
      <c r="B9599" s="2" t="str">
        <f>IFERROR(__xludf.DUMMYFUNCTION("GOOGLETRANSLATE(A9599, ""en"", ""mt"")"),"Liema settur jinkludi xogħlijiet pubbliċi kbar imma mhux distribuzzjoni ta 'utilità?")</f>
        <v>Liema settur jinkludi xogħlijiet pubbliċi kbar imma mhux distribuzzjoni ta 'utilità?</v>
      </c>
    </row>
    <row r="9600" ht="15.75" customHeight="1">
      <c r="A9600" s="2" t="s">
        <v>9600</v>
      </c>
      <c r="B9600" s="2" t="str">
        <f>IFERROR(__xludf.DUMMYFUNCTION("GOOGLETRANSLATE(A9600, ""en"", ""mt"")"),"Min dehret li l-liġi tal-gravità tiegħu kellha tkun universali?")</f>
        <v>Min dehret li l-liġi tal-gravità tiegħu kellha tkun universali?</v>
      </c>
    </row>
    <row r="9601" ht="15.75" customHeight="1">
      <c r="A9601" s="2" t="s">
        <v>9601</v>
      </c>
      <c r="B9601" s="2" t="str">
        <f>IFERROR(__xludf.DUMMYFUNCTION("GOOGLETRANSLATE(A9601, ""en"", ""mt"")"),"Rhine għolja")</f>
        <v>Rhine għolja</v>
      </c>
    </row>
    <row r="9602" ht="15.75" customHeight="1">
      <c r="A9602" s="2" t="s">
        <v>9602</v>
      </c>
      <c r="B9602" s="2" t="str">
        <f>IFERROR(__xludf.DUMMYFUNCTION("GOOGLETRANSLATE(A9602, ""en"", ""mt"")"),"X'inhu mod ieħor kif tirreferi għall-istaturi?")</f>
        <v>X'inhu mod ieħor kif tirreferi għall-istaturi?</v>
      </c>
    </row>
    <row r="9603" ht="15.75" customHeight="1">
      <c r="A9603" s="2" t="s">
        <v>9603</v>
      </c>
      <c r="B9603" s="2" t="str">
        <f>IFERROR(__xludf.DUMMYFUNCTION("GOOGLETRANSLATE(A9603, ""en"", ""mt"")"),"waqa 'b'mod sinifikanti")</f>
        <v>waqa 'b'mod sinifikanti</v>
      </c>
    </row>
    <row r="9604" ht="15.75" customHeight="1">
      <c r="A9604" s="2" t="s">
        <v>9604</v>
      </c>
      <c r="B9604" s="2" t="str">
        <f>IFERROR(__xludf.DUMMYFUNCTION("GOOGLETRANSLATE(A9604, ""en"", ""mt"")"),"Liema nazzjonalità kienet Pierre L'Oseleur?")</f>
        <v>Liema nazzjonalità kienet Pierre L'Oseleur?</v>
      </c>
    </row>
    <row r="9605" ht="15.75" customHeight="1">
      <c r="A9605" s="2" t="s">
        <v>9605</v>
      </c>
      <c r="B9605" s="2" t="str">
        <f>IFERROR(__xludf.DUMMYFUNCTION("GOOGLETRANSLATE(A9605, ""en"", ""mt"")"),"parallelogramma")</f>
        <v>parallelogramma</v>
      </c>
    </row>
    <row r="9606" ht="15.75" customHeight="1">
      <c r="A9606" s="2" t="s">
        <v>9606</v>
      </c>
      <c r="B9606" s="2" t="str">
        <f>IFERROR(__xludf.DUMMYFUNCTION("GOOGLETRANSLATE(A9606, ""en"", ""mt"")"),"X'kienet l-ewwel ħjiel li t-teorija tal-phlogiston kienet korretta?")</f>
        <v>X'kienet l-ewwel ħjiel li t-teorija tal-phlogiston kienet korretta?</v>
      </c>
    </row>
    <row r="9607" ht="15.75" customHeight="1">
      <c r="A9607" s="2" t="s">
        <v>9607</v>
      </c>
      <c r="B9607" s="2" t="str">
        <f>IFERROR(__xludf.DUMMYFUNCTION("GOOGLETRANSLATE(A9607, ""en"", ""mt"")"),"Ċittadin jista 'jistrieħ fuq id-direttiva f'tali azzjoni")</f>
        <v>Ċittadin jista 'jistrieħ fuq id-direttiva f'tali azzjoni</v>
      </c>
    </row>
    <row r="9608" ht="15.75" customHeight="1">
      <c r="A9608" s="2" t="s">
        <v>9608</v>
      </c>
      <c r="B9608" s="2" t="str">
        <f>IFERROR(__xludf.DUMMYFUNCTION("GOOGLETRANSLATE(A9608, ""en"", ""mt"")"),"£ 42,090")</f>
        <v>£ 42,090</v>
      </c>
    </row>
    <row r="9609" ht="15.75" customHeight="1">
      <c r="A9609" s="2" t="s">
        <v>9609</v>
      </c>
      <c r="B9609" s="2" t="str">
        <f>IFERROR(__xludf.DUMMYFUNCTION("GOOGLETRANSLATE(A9609, ""en"", ""mt"")"),"il-ħila li ssegwi għanijiet stmati")</f>
        <v>il-ħila li ssegwi għanijiet stmati</v>
      </c>
    </row>
    <row r="9610" ht="15.75" customHeight="1">
      <c r="A9610" s="2" t="s">
        <v>9610</v>
      </c>
      <c r="B9610" s="2" t="str">
        <f>IFERROR(__xludf.DUMMYFUNCTION("GOOGLETRANSLATE(A9610, ""en"", ""mt"")"),"Flimkien mal-ġestjoni tal-laboratorji tal-istudenti, x'iktar jagħmel il-Bord tal-Fiduċjarji?")</f>
        <v>Flimkien mal-ġestjoni tal-laboratorji tal-istudenti, x'iktar jagħmel il-Bord tal-Fiduċjarji?</v>
      </c>
    </row>
    <row r="9611" ht="15.75" customHeight="1">
      <c r="A9611" s="2" t="s">
        <v>9611</v>
      </c>
      <c r="B9611" s="2" t="str">
        <f>IFERROR(__xludf.DUMMYFUNCTION("GOOGLETRANSLATE(A9611, ""en"", ""mt"")")," Minbarra l-Afrika, fejn l-Irlanda kellha interessi imperjali?")</f>
        <v> Minbarra l-Afrika, fejn l-Irlanda kellha interessi imperjali?</v>
      </c>
    </row>
    <row r="9612" ht="15.75" customHeight="1">
      <c r="A9612" s="2" t="s">
        <v>9612</v>
      </c>
      <c r="B9612" s="2" t="str">
        <f>IFERROR(__xludf.DUMMYFUNCTION("GOOGLETRANSLATE(A9612, ""en"", ""mt"")"),"Olimpiku")</f>
        <v>Olimpiku</v>
      </c>
    </row>
    <row r="9613" ht="15.75" customHeight="1">
      <c r="A9613" s="2" t="s">
        <v>9613</v>
      </c>
      <c r="B9613" s="2" t="str">
        <f>IFERROR(__xludf.DUMMYFUNCTION("GOOGLETRANSLATE(A9613, ""en"", ""mt"")"),"X'inhu t-terminu ġenerali użat biex jiddeskrivi l-output għal kwalunkwe input mogħti f'istanza ta 'problema?")</f>
        <v>X'inhu t-terminu ġenerali użat biex jiddeskrivi l-output għal kwalunkwe input mogħti f'istanza ta 'problema?</v>
      </c>
    </row>
    <row r="9614" ht="15.75" customHeight="1">
      <c r="A9614" s="2" t="s">
        <v>9614</v>
      </c>
      <c r="B9614" s="2" t="str">
        <f>IFERROR(__xludf.DUMMYFUNCTION("GOOGLETRANSLATE(A9614, ""en"", ""mt"")"),"fabbrikazzjoni ta 'evidenza jew twettaq sperġur")</f>
        <v>fabbrikazzjoni ta 'evidenza jew twettaq sperġur</v>
      </c>
    </row>
    <row r="9615" ht="15.75" customHeight="1">
      <c r="A9615" s="2" t="s">
        <v>9615</v>
      </c>
      <c r="B9615" s="2" t="str">
        <f>IFERROR(__xludf.DUMMYFUNCTION("GOOGLETRANSLATE(A9615, ""en"", ""mt"")"),"Kemm malajr qed jonqos il-livell tal-baħar?")</f>
        <v>Kemm malajr qed jonqos il-livell tal-baħar?</v>
      </c>
    </row>
    <row r="9616" ht="15.75" customHeight="1">
      <c r="A9616" s="2" t="s">
        <v>9616</v>
      </c>
      <c r="B9616" s="2" t="str">
        <f>IFERROR(__xludf.DUMMYFUNCTION("GOOGLETRANSLATE(A9616, ""en"", ""mt"")"),"Fejn kien jinsab is-sit tad-dfin użat għall-ittestjar?")</f>
        <v>Fejn kien jinsab is-sit tad-dfin użat għall-ittestjar?</v>
      </c>
    </row>
    <row r="9617" ht="15.75" customHeight="1">
      <c r="A9617" s="2" t="s">
        <v>9617</v>
      </c>
      <c r="B9617" s="2" t="str">
        <f>IFERROR(__xludf.DUMMYFUNCTION("GOOGLETRANSLATE(A9617, ""en"", ""mt"")"),"kombinazzjoni ta 'antrax u pandemiċi oħra")</f>
        <v>kombinazzjoni ta 'antrax u pandemiċi oħra</v>
      </c>
    </row>
    <row r="9618" ht="15.75" customHeight="1">
      <c r="A9618" s="2" t="s">
        <v>9618</v>
      </c>
      <c r="B9618" s="2" t="str">
        <f>IFERROR(__xludf.DUMMYFUNCTION("GOOGLETRANSLATE(A9618, ""en"", ""mt"")"),"L-edukaturi jappoġġjaw l-għażla edukattiva sakemm jiġri?")</f>
        <v>L-edukaturi jappoġġjaw l-għażla edukattiva sakemm jiġri?</v>
      </c>
    </row>
    <row r="9619" ht="15.75" customHeight="1">
      <c r="A9619" s="2" t="s">
        <v>9619</v>
      </c>
      <c r="B9619" s="2" t="str">
        <f>IFERROR(__xludf.DUMMYFUNCTION("GOOGLETRANSLATE(A9619, ""en"", ""mt"")"),"It-telf ta 'Edinburgh Pentlands tassew diżappuntat min l-iktar?")</f>
        <v>It-telf ta 'Edinburgh Pentlands tassew diżappuntat min l-iktar?</v>
      </c>
    </row>
    <row r="9620" ht="15.75" customHeight="1">
      <c r="A9620" s="2" t="s">
        <v>9620</v>
      </c>
      <c r="B9620" s="2" t="str">
        <f>IFERROR(__xludf.DUMMYFUNCTION("GOOGLETRANSLATE(A9620, ""en"", ""mt"")"),"Kif jirrikonoxxu ċ-ċelloli T tal-helper kif?")</f>
        <v>Kif jirrikonoxxu ċ-ċelloli T tal-helper kif?</v>
      </c>
    </row>
    <row r="9621" ht="15.75" customHeight="1">
      <c r="A9621" s="2" t="s">
        <v>9621</v>
      </c>
      <c r="B9621" s="2" t="str">
        <f>IFERROR(__xludf.DUMMYFUNCTION("GOOGLETRANSLATE(A9621, ""en"", ""mt"")"),"Kemm kienu jdumu l-ġellieda tar-rewwixta tal-ghetto Ġermaniżi li jistgħu jżommu?")</f>
        <v>Kemm kienu jdumu l-ġellieda tar-rewwixta tal-ghetto Ġermaniżi li jistgħu jżommu?</v>
      </c>
    </row>
    <row r="9622" ht="15.75" customHeight="1">
      <c r="A9622" s="2" t="s">
        <v>9622</v>
      </c>
      <c r="B9622" s="2" t="str">
        <f>IFERROR(__xludf.DUMMYFUNCTION("GOOGLETRANSLATE(A9622, ""en"", ""mt"")"),"Bethencourt ħa t-titlu tar-Re tal-Gżejjer Kanarji, bħala Vassal għal Henry III ta 'Kastilja. Fl-1418, in-neputi ta 'Jean Maciot de Bethencourt biegħ id-drittijiet lill-gżejjer lil Enrique Pérez de Guzmán, it-2 Konti de Niebla.")</f>
        <v>Bethencourt ħa t-titlu tar-Re tal-Gżejjer Kanarji, bħala Vassal għal Henry III ta 'Kastilja. Fl-1418, in-neputi ta 'Jean Maciot de Bethencourt biegħ id-drittijiet lill-gżejjer lil Enrique Pérez de Guzmán, it-2 Konti de Niebla.</v>
      </c>
    </row>
    <row r="9623" ht="15.75" customHeight="1">
      <c r="A9623" s="2" t="s">
        <v>9623</v>
      </c>
      <c r="B9623" s="2" t="str">
        <f>IFERROR(__xludf.DUMMYFUNCTION("GOOGLETRANSLATE(A9623, ""en"", ""mt"")"),"Madwar 3.5 biljun sena ilu")</f>
        <v>Madwar 3.5 biljun sena ilu</v>
      </c>
    </row>
    <row r="9624" ht="15.75" customHeight="1">
      <c r="A9624" s="2" t="s">
        <v>9624</v>
      </c>
      <c r="B9624" s="2" t="str">
        <f>IFERROR(__xludf.DUMMYFUNCTION("GOOGLETRANSLATE(A9624, ""en"", ""mt"")"),"William the Conqueror")</f>
        <v>William the Conqueror</v>
      </c>
    </row>
    <row r="9625" ht="15.75" customHeight="1">
      <c r="A9625" s="2" t="s">
        <v>9625</v>
      </c>
      <c r="B9625" s="2" t="str">
        <f>IFERROR(__xludf.DUMMYFUNCTION("GOOGLETRANSLATE(A9625, ""en"", ""mt"")"),"Il-varjanti tal-forom tal-isem tar-Rhine fil-lingwi moderni huma kollha derivati ​​mill-isem Gaulish Rēnos, li ġie adattat fil-ġeografija tal-era Rumana (l-1 seklu QK) bħala ῥῆνος Grieg (rhēnos), Latin Rhenus. [Nota 3] l-ortografija Bir-Rh- fir-Renu Ingli"&amp;"ż kif ukoll fir-Rhein Ġermaniż u r-Rhin Franċiż huwa dovut għall-influwenza tal-ortografija Griega, filwaqt li l-vokalizzazzjoni -i- hija dovuta għall-adozzjoni proto-Ġermanika tal-isem Gaulish bħala * rīnaz, permezz ta 'Frankish qodma Old English Rín, Ol"&amp;"d High German Rīn, Olandiż Rijn (li qabel kien ukoll spelt Rhijn)). Id-diftong fir-Rhein modern Ġermaniż (adottat ukoll fir-Romansh Rein, Rain) huwa żvilupp tal-Ġermanja ċentrali tal-perjodu modern bikri, l-isem Alemannic Rī (n) li jżomm il-vokaliżmu anzj"&amp;"an, [nota 4] bħalma jagħmel ir-ripuarian, filwaqt li Palatine għandha Rhei diphtongized, Rhoi. L-Ispanjol huwa bil-Franċiż fl-adozzjoni tal-vokaliżmu Ġermaniku Rin-, filwaqt li Taljan, Occitan u Portugiż iżomm ir-Ren- Latin.")</f>
        <v>Il-varjanti tal-forom tal-isem tar-Rhine fil-lingwi moderni huma kollha derivati ​​mill-isem Gaulish Rēnos, li ġie adattat fil-ġeografija tal-era Rumana (l-1 seklu QK) bħala ῥῆνος Grieg (rhēnos), Latin Rhenus. [Nota 3] l-ortografija Bir-Rh- fir-Renu Ingliż kif ukoll fir-Rhein Ġermaniż u r-Rhin Franċiż huwa dovut għall-influwenza tal-ortografija Griega, filwaqt li l-vokalizzazzjoni -i- hija dovuta għall-adozzjoni proto-Ġermanika tal-isem Gaulish bħala * rīnaz, permezz ta 'Frankish qodma Old English Rín, Old High German Rīn, Olandiż Rijn (li qabel kien ukoll spelt Rhijn)). Id-diftong fir-Rhein modern Ġermaniż (adottat ukoll fir-Romansh Rein, Rain) huwa żvilupp tal-Ġermanja ċentrali tal-perjodu modern bikri, l-isem Alemannic Rī (n) li jżomm il-vokaliżmu anzjan, [nota 4] bħalma jagħmel ir-ripuarian, filwaqt li Palatine għandha Rhei diphtongized, Rhoi. L-Ispanjol huwa bil-Franċiż fl-adozzjoni tal-vokaliżmu Ġermaniku Rin-, filwaqt li Taljan, Occitan u Portugiż iżomm ir-Ren- Latin.</v>
      </c>
    </row>
    <row r="9626" ht="15.75" customHeight="1">
      <c r="A9626" s="2" t="s">
        <v>9626</v>
      </c>
      <c r="B9626" s="2" t="str">
        <f>IFERROR(__xludf.DUMMYFUNCTION("GOOGLETRANSLATE(A9626, ""en"", ""mt"")"),"Duval")</f>
        <v>Duval</v>
      </c>
    </row>
    <row r="9627" ht="15.75" customHeight="1">
      <c r="A9627" s="2" t="s">
        <v>9627</v>
      </c>
      <c r="B9627" s="2" t="str">
        <f>IFERROR(__xludf.DUMMYFUNCTION("GOOGLETRANSLATE(A9627, ""en"", ""mt"")"),"Gvern Awstraljan")</f>
        <v>Gvern Awstraljan</v>
      </c>
    </row>
    <row r="9628" ht="15.75" customHeight="1">
      <c r="A9628" s="2" t="s">
        <v>9628</v>
      </c>
      <c r="B9628" s="2" t="str">
        <f>IFERROR(__xludf.DUMMYFUNCTION("GOOGLETRANSLATE(A9628, ""en"", ""mt"")"),"Möngke Khan")</f>
        <v>Möngke Khan</v>
      </c>
    </row>
    <row r="9629" ht="15.75" customHeight="1">
      <c r="A9629" s="2" t="s">
        <v>9629</v>
      </c>
      <c r="B9629" s="2" t="str">
        <f>IFERROR(__xludf.DUMMYFUNCTION("GOOGLETRANSLATE(A9629, ""en"", ""mt"")"),"żball fundamentali")</f>
        <v>żball fundamentali</v>
      </c>
    </row>
    <row r="9630" ht="15.75" customHeight="1">
      <c r="A9630" s="2" t="s">
        <v>9630</v>
      </c>
      <c r="B9630" s="2" t="str">
        <f>IFERROR(__xludf.DUMMYFUNCTION("GOOGLETRANSLATE(A9630, ""en"", ""mt"")"),"perjodi ta 'temperaturi globali aktar baxxi")</f>
        <v>perjodi ta 'temperaturi globali aktar baxxi</v>
      </c>
    </row>
    <row r="9631" ht="15.75" customHeight="1">
      <c r="A9631" s="2" t="s">
        <v>9631</v>
      </c>
      <c r="B9631" s="2" t="str">
        <f>IFERROR(__xludf.DUMMYFUNCTION("GOOGLETRANSLATE(A9631, ""en"", ""mt"")"),"soluzzjoni")</f>
        <v>soluzzjoni</v>
      </c>
    </row>
    <row r="9632" ht="15.75" customHeight="1">
      <c r="A9632" s="2" t="s">
        <v>9632</v>
      </c>
      <c r="B9632" s="2" t="str">
        <f>IFERROR(__xludf.DUMMYFUNCTION("GOOGLETRANSLATE(A9632, ""en"", ""mt"")"),"Il-liġijiet tal-fiżika huma l-istess f'kull qafas ta 'referenza inerzjali")</f>
        <v>Il-liġijiet tal-fiżika huma l-istess f'kull qafas ta 'referenza inerzjali</v>
      </c>
    </row>
    <row r="9633" ht="15.75" customHeight="1">
      <c r="A9633" s="2" t="s">
        <v>9633</v>
      </c>
      <c r="B9633" s="2" t="str">
        <f>IFERROR(__xludf.DUMMYFUNCTION("GOOGLETRANSLATE(A9633, ""en"", ""mt"")"),"Meta Ribault stabbilixxa l-ewwel darba f'South Carolina?")</f>
        <v>Meta Ribault stabbilixxa l-ewwel darba f'South Carolina?</v>
      </c>
    </row>
    <row r="9634" ht="15.75" customHeight="1">
      <c r="A9634" s="2" t="s">
        <v>9634</v>
      </c>
      <c r="B9634" s="2" t="str">
        <f>IFERROR(__xludf.DUMMYFUNCTION("GOOGLETRANSLATE(A9634, ""en"", ""mt"")"),"Liema familja prominenti tal-Afrika t'Isfel kellha vinja fi Franza?")</f>
        <v>Liema familja prominenti tal-Afrika t'Isfel kellha vinja fi Franza?</v>
      </c>
    </row>
    <row r="9635" ht="15.75" customHeight="1">
      <c r="A9635" s="2" t="s">
        <v>9635</v>
      </c>
      <c r="B9635" s="2" t="str">
        <f>IFERROR(__xludf.DUMMYFUNCTION("GOOGLETRANSLATE(A9635, ""en"", ""mt"")"),"X'inhu eżempju ta 'diżubbidjenza illegali?")</f>
        <v>X'inhu eżempju ta 'diżubbidjenza illegali?</v>
      </c>
    </row>
    <row r="9636" ht="15.75" customHeight="1">
      <c r="A9636" s="2" t="s">
        <v>9636</v>
      </c>
      <c r="B9636" s="2" t="str">
        <f>IFERROR(__xludf.DUMMYFUNCTION("GOOGLETRANSLATE(A9636, ""en"", ""mt"")"),"833,500")</f>
        <v>833,500</v>
      </c>
    </row>
    <row r="9637" ht="15.75" customHeight="1">
      <c r="A9637" s="2" t="s">
        <v>9637</v>
      </c>
      <c r="B9637" s="2" t="str">
        <f>IFERROR(__xludf.DUMMYFUNCTION("GOOGLETRANSLATE(A9637, ""en"", ""mt"")"),"Liema distretti tan-negozju jżommu ż-żona ta 'San Bernardino?")</f>
        <v>Liema distretti tan-negozju jżommu ż-żona ta 'San Bernardino?</v>
      </c>
    </row>
    <row r="9638" ht="15.75" customHeight="1">
      <c r="A9638" s="2" t="s">
        <v>9638</v>
      </c>
      <c r="B9638" s="2" t="str">
        <f>IFERROR(__xludf.DUMMYFUNCTION("GOOGLETRANSLATE(A9638, ""en"", ""mt"")"),"Sit tal-Wirt Dinji tal-UNESCO")</f>
        <v>Sit tal-Wirt Dinji tal-UNESCO</v>
      </c>
    </row>
    <row r="9639" ht="15.75" customHeight="1">
      <c r="A9639" s="2" t="s">
        <v>9639</v>
      </c>
      <c r="B9639" s="2" t="str">
        <f>IFERROR(__xludf.DUMMYFUNCTION("GOOGLETRANSLATE(A9639, ""en"", ""mt"")"),"Il-Ferrovija Ċentrali tal-Paċifiku stabbilixxiet stazzjon għal-linja l-ġdida tagħha f'liema sena?")</f>
        <v>Il-Ferrovija Ċentrali tal-Paċifiku stabbilixxiet stazzjon għal-linja l-ġdida tagħha f'liema sena?</v>
      </c>
    </row>
    <row r="9640" ht="15.75" customHeight="1">
      <c r="A9640" s="2" t="s">
        <v>9640</v>
      </c>
      <c r="B9640" s="2" t="str">
        <f>IFERROR(__xludf.DUMMYFUNCTION("GOOGLETRANSLATE(A9640, ""en"", ""mt"")"),"Artikoli 1 sa 7")</f>
        <v>Artikoli 1 sa 7</v>
      </c>
    </row>
    <row r="9641" ht="15.75" customHeight="1">
      <c r="A9641" s="2" t="s">
        <v>9641</v>
      </c>
      <c r="B9641" s="2" t="str">
        <f>IFERROR(__xludf.DUMMYFUNCTION("GOOGLETRANSLATE(A9641, ""en"", ""mt"")"),"Li tillimita l-ħin u l-ispazju jew kejl simili ħafna drabi jintużaw minn algoritmi biex jiddefinixxu x'inhu?")</f>
        <v>Li tillimita l-ħin u l-ispazju jew kejl simili ħafna drabi jintużaw minn algoritmi biex jiddefinixxu x'inhu?</v>
      </c>
    </row>
    <row r="9642" ht="15.75" customHeight="1">
      <c r="A9642" s="2" t="s">
        <v>9642</v>
      </c>
      <c r="B9642" s="2" t="str">
        <f>IFERROR(__xludf.DUMMYFUNCTION("GOOGLETRANSLATE(A9642, ""en"", ""mt"")"),"Il-pesta setgħet daħlet fl-Ewropa f'żewġ mewġ")</f>
        <v>Il-pesta setgħet daħlet fl-Ewropa f'żewġ mewġ</v>
      </c>
    </row>
    <row r="9643" ht="15.75" customHeight="1">
      <c r="A9643" s="2" t="s">
        <v>9643</v>
      </c>
      <c r="B9643" s="2" t="str">
        <f>IFERROR(__xludf.DUMMYFUNCTION("GOOGLETRANSLATE(A9643, ""en"", ""mt"")"),"Għal x'inhu l-ossiġnu singlet aktar reattiv?")</f>
        <v>Għal x'inhu l-ossiġnu singlet aktar reattiv?</v>
      </c>
    </row>
    <row r="9644" ht="15.75" customHeight="1">
      <c r="A9644" s="2" t="s">
        <v>9644</v>
      </c>
      <c r="B9644" s="2" t="str">
        <f>IFERROR(__xludf.DUMMYFUNCTION("GOOGLETRANSLATE(A9644, ""en"", ""mt"")"),"X'inhu l-wustite minerali?")</f>
        <v>X'inhu l-wustite minerali?</v>
      </c>
    </row>
    <row r="9645" ht="15.75" customHeight="1">
      <c r="A9645" s="2" t="s">
        <v>9645</v>
      </c>
      <c r="B9645" s="2" t="str">
        <f>IFERROR(__xludf.DUMMYFUNCTION("GOOGLETRANSLATE(A9645, ""en"", ""mt"")"),"""Kolonjaliżmu Intern""")</f>
        <v>"Kolonjaliżmu Intern"</v>
      </c>
    </row>
    <row r="9646" ht="15.75" customHeight="1">
      <c r="A9646" s="2" t="s">
        <v>9646</v>
      </c>
      <c r="B9646" s="2" t="str">
        <f>IFERROR(__xludf.DUMMYFUNCTION("GOOGLETRANSLATE(A9646, ""en"", ""mt"")"),"Għandu jinħareġ għal skop mediku leġittimu minn prattikant liċenzjat li jaġixxi matul ir-relazzjoni leġittima ta 'tabib-pazjent")</f>
        <v>Għandu jinħareġ għal skop mediku leġittimu minn prattikant liċenzjat li jaġixxi matul ir-relazzjoni leġittima ta 'tabib-pazjent</v>
      </c>
    </row>
    <row r="9647" ht="15.75" customHeight="1">
      <c r="A9647" s="2" t="s">
        <v>9647</v>
      </c>
      <c r="B9647" s="2" t="str">
        <f>IFERROR(__xludf.DUMMYFUNCTION("GOOGLETRANSLATE(A9647, ""en"", ""mt"")"),"F’liema seklu nbena l-Pont Memorial Huguenot?")</f>
        <v>F’liema seklu nbena l-Pont Memorial Huguenot?</v>
      </c>
    </row>
    <row r="9648" ht="15.75" customHeight="1">
      <c r="A9648" s="2" t="s">
        <v>9648</v>
      </c>
      <c r="B9648" s="2" t="str">
        <f>IFERROR(__xludf.DUMMYFUNCTION("GOOGLETRANSLATE(A9648, ""en"", ""mt"")"),"Min kien l-ostaġġ?")</f>
        <v>Min kien l-ostaġġ?</v>
      </c>
    </row>
    <row r="9649" ht="15.75" customHeight="1">
      <c r="A9649" s="2" t="s">
        <v>9649</v>
      </c>
      <c r="B9649" s="2" t="str">
        <f>IFERROR(__xludf.DUMMYFUNCTION("GOOGLETRANSLATE(A9649, ""en"", ""mt"")"),"Storikament, ir-Rabat kienet il-bażi għall-impjanti tal-manifattura tal-marki tal-karozzi ewlenin Ford, Toyota u Holden; Madankollu, avviżi ta 'għeluq mit-tliet kumpaniji kollha fis-seklu 21 se jfissru li l-Awstralja ma tibqax bażi għall-industrija tal-ka"&amp;"rozzi globali, bid-dikjarazzjoni ta' Toyota fi Frar 2014 li tiddeskrivi sena ta 'għeluq ta' l-2017. L-aħbar ta 'Holden seħħet f'Mejju 2013, segwita minn Id-deċiżjoni ta 'Ford f'Diċembru tal-istess sena (il-pjanti Vittorjani ta' Ford - fil-Broadmeadows u G"&amp;"eelong - se jagħlqu f'Ottubru 2016).")</f>
        <v>Storikament, ir-Rabat kienet il-bażi għall-impjanti tal-manifattura tal-marki tal-karozzi ewlenin Ford, Toyota u Holden; Madankollu, avviżi ta 'għeluq mit-tliet kumpaniji kollha fis-seklu 21 se jfissru li l-Awstralja ma tibqax bażi għall-industrija tal-karozzi globali, bid-dikjarazzjoni ta' Toyota fi Frar 2014 li tiddeskrivi sena ta 'għeluq ta' l-2017. L-aħbar ta 'Holden seħħet f'Mejju 2013, segwita minn Id-deċiżjoni ta 'Ford f'Diċembru tal-istess sena (il-pjanti Vittorjani ta' Ford - fil-Broadmeadows u Geelong - se jagħlqu f'Ottubru 2016).</v>
      </c>
    </row>
    <row r="9650" ht="15.75" customHeight="1">
      <c r="A9650" s="2" t="s">
        <v>9650</v>
      </c>
      <c r="B9650" s="2" t="str">
        <f>IFERROR(__xludf.DUMMYFUNCTION("GOOGLETRANSLATE(A9650, ""en"", ""mt"")"),"1329")</f>
        <v>1329</v>
      </c>
    </row>
    <row r="9651" ht="15.75" customHeight="1">
      <c r="A9651" s="2" t="s">
        <v>9651</v>
      </c>
      <c r="B9651" s="2" t="str">
        <f>IFERROR(__xludf.DUMMYFUNCTION("GOOGLETRANSLATE(A9651, ""en"", ""mt"")"),"X'impatt kellu l-moviment tal-edukazzjoni tal-iskola għolja fuq il-pagi tal-ħaddiema mhux kwalifikati?")</f>
        <v>X'impatt kellu l-moviment tal-edukazzjoni tal-iskola għolja fuq il-pagi tal-ħaddiema mhux kwalifikati?</v>
      </c>
    </row>
    <row r="9652" ht="15.75" customHeight="1">
      <c r="A9652" s="2" t="s">
        <v>9652</v>
      </c>
      <c r="B9652" s="2" t="str">
        <f>IFERROR(__xludf.DUMMYFUNCTION("GOOGLETRANSLATE(A9652, ""en"", ""mt"")"),"Fejn huma maqsuma r-Renu ta 'Fuq u d-Danubju ta' Fuq?")</f>
        <v>Fejn huma maqsuma r-Renu ta 'Fuq u d-Danubju ta' Fuq?</v>
      </c>
    </row>
    <row r="9653" ht="15.75" customHeight="1">
      <c r="A9653" s="2" t="s">
        <v>9653</v>
      </c>
      <c r="B9653" s="2" t="str">
        <f>IFERROR(__xludf.DUMMYFUNCTION("GOOGLETRANSLATE(A9653, ""en"", ""mt"")"),"X'għandhom l-istudji dwar l-inugwaljanza fid-dħul xi kultant sabu evidenza li tikkonferma?")</f>
        <v>X'għandhom l-istudji dwar l-inugwaljanza fid-dħul xi kultant sabu evidenza li tikkonferma?</v>
      </c>
    </row>
    <row r="9654" ht="15.75" customHeight="1">
      <c r="A9654" s="2" t="s">
        <v>9654</v>
      </c>
      <c r="B9654" s="2" t="str">
        <f>IFERROR(__xludf.DUMMYFUNCTION("GOOGLETRANSLATE(A9654, ""en"", ""mt"")"),"X'inhu l-isem ta 'tip wieħed ta' prim fejn P + 1 jew P-1 jieħu ċerta forma?")</f>
        <v>X'inhu l-isem ta 'tip wieħed ta' prim fejn P + 1 jew P-1 jieħu ċerta forma?</v>
      </c>
    </row>
    <row r="9655" ht="15.75" customHeight="1">
      <c r="A9655" s="2" t="s">
        <v>9655</v>
      </c>
      <c r="B9655" s="2" t="str">
        <f>IFERROR(__xludf.DUMMYFUNCTION("GOOGLETRANSLATE(A9655, ""en"", ""mt"")"),"X'jistgħu ġurati simpatetiċi f'każijiet ma 'diżubbidjenti ċivili?")</f>
        <v>X'jistgħu ġurati simpatetiċi f'każijiet ma 'diżubbidjenti ċivili?</v>
      </c>
    </row>
    <row r="9656" ht="15.75" customHeight="1">
      <c r="A9656" s="2" t="s">
        <v>9656</v>
      </c>
      <c r="B9656" s="2" t="str">
        <f>IFERROR(__xludf.DUMMYFUNCTION("GOOGLETRANSLATE(A9656, ""en"", ""mt"")"),"Produzzjoni radikali ħielsa")</f>
        <v>Produzzjoni radikali ħielsa</v>
      </c>
    </row>
    <row r="9657" ht="15.75" customHeight="1">
      <c r="A9657" s="2" t="s">
        <v>9657</v>
      </c>
      <c r="B9657" s="2" t="str">
        <f>IFERROR(__xludf.DUMMYFUNCTION("GOOGLETRANSLATE(A9657, ""en"", ""mt"")"),"jeqirdu mikrobi li jinvadu")</f>
        <v>jeqirdu mikrobi li jinvadu</v>
      </c>
    </row>
    <row r="9658" ht="15.75" customHeight="1">
      <c r="A9658" s="2" t="s">
        <v>9658</v>
      </c>
      <c r="B9658" s="2" t="str">
        <f>IFERROR(__xludf.DUMMYFUNCTION("GOOGLETRANSLATE(A9658, ""en"", ""mt"")"),"Liema kejl kumpless ġew definiti minn ""fuq il-kumplessità tal-komputazzjoni tal-algoritmi""?")</f>
        <v>Liema kejl kumpless ġew definiti minn "fuq il-kumplessità tal-komputazzjoni tal-algoritmi"?</v>
      </c>
    </row>
    <row r="9659" ht="15.75" customHeight="1">
      <c r="A9659" s="2" t="s">
        <v>9659</v>
      </c>
      <c r="B9659" s="2" t="str">
        <f>IFERROR(__xludf.DUMMYFUNCTION("GOOGLETRANSLATE(A9659, ""en"", ""mt"")"),"X'inhuma l-klades?")</f>
        <v>X'inhuma l-klades?</v>
      </c>
    </row>
    <row r="9660" ht="15.75" customHeight="1">
      <c r="A9660" s="2" t="s">
        <v>9660</v>
      </c>
      <c r="B9660" s="2" t="str">
        <f>IFERROR(__xludf.DUMMYFUNCTION("GOOGLETRANSLATE(A9660, ""en"", ""mt"")"),"L-Asja Ċentrali")</f>
        <v>L-Asja Ċentrali</v>
      </c>
    </row>
    <row r="9661" ht="15.75" customHeight="1">
      <c r="A9661" s="2" t="s">
        <v>9661</v>
      </c>
      <c r="B9661" s="2" t="str">
        <f>IFERROR(__xludf.DUMMYFUNCTION("GOOGLETRANSLATE(A9661, ""en"", ""mt"")"),"Is-soċjalisti kif jaħsbu li l-mezzi ta 'produzzjoni m'għandhomx ikunu proprjetà?")</f>
        <v>Is-soċjalisti kif jaħsbu li l-mezzi ta 'produzzjoni m'għandhomx ikunu proprjetà?</v>
      </c>
    </row>
    <row r="9662" ht="15.75" customHeight="1">
      <c r="A9662" s="2" t="s">
        <v>9662</v>
      </c>
      <c r="B9662" s="2" t="str">
        <f>IFERROR(__xludf.DUMMYFUNCTION("GOOGLETRANSLATE(A9662, ""en"", ""mt"")"),"X'inhuma ismijiet alternattivi oħra għall-Gwerra Franċiża u Indjana?")</f>
        <v>X'inhuma ismijiet alternattivi oħra għall-Gwerra Franċiża u Indjana?</v>
      </c>
    </row>
    <row r="9663" ht="15.75" customHeight="1">
      <c r="A9663" s="2" t="s">
        <v>9663</v>
      </c>
      <c r="B9663" s="2" t="str">
        <f>IFERROR(__xludf.DUMMYFUNCTION("GOOGLETRANSLATE(A9663, ""en"", ""mt"")"),"Min ikkonferma l-iskoperta ta 'Watt dwar is-sħana moħbija?")</f>
        <v>Min ikkonferma l-iskoperta ta 'Watt dwar is-sħana moħbija?</v>
      </c>
    </row>
    <row r="9664" ht="15.75" customHeight="1">
      <c r="A9664" s="2" t="s">
        <v>9664</v>
      </c>
      <c r="B9664" s="2" t="str">
        <f>IFERROR(__xludf.DUMMYFUNCTION("GOOGLETRANSLATE(A9664, ""en"", ""mt"")"),"Deforestazzjoni fuq il-klima reġjonali")</f>
        <v>Deforestazzjoni fuq il-klima reġjonali</v>
      </c>
    </row>
    <row r="9665" ht="15.75" customHeight="1">
      <c r="A9665" s="2" t="s">
        <v>9665</v>
      </c>
      <c r="B9665" s="2" t="str">
        <f>IFERROR(__xludf.DUMMYFUNCTION("GOOGLETRANSLATE(A9665, ""en"", ""mt"")"),"X’għamel l-Istat Iżlamiku fl-2014?")</f>
        <v>X’għamel l-Istat Iżlamiku fl-2014?</v>
      </c>
    </row>
    <row r="9666" ht="15.75" customHeight="1">
      <c r="A9666" s="2" t="s">
        <v>9666</v>
      </c>
      <c r="B9666" s="2" t="str">
        <f>IFERROR(__xludf.DUMMYFUNCTION("GOOGLETRANSLATE(A9666, ""en"", ""mt"")"),"Kemm hemm tipi ta 'flagella?")</f>
        <v>Kemm hemm tipi ta 'flagella?</v>
      </c>
    </row>
    <row r="9667" ht="15.75" customHeight="1">
      <c r="A9667" s="2" t="s">
        <v>9667</v>
      </c>
      <c r="B9667" s="2" t="str">
        <f>IFERROR(__xludf.DUMMYFUNCTION("GOOGLETRANSLATE(A9667, ""en"", ""mt"")"),"L-ewwel apparat kummerċjali li jaħdem bil-fwar kien pompa tal-ilma, żviluppata fl-1698 minn Thomas Savery. Huwa uża l-fwar tal-kondensazzjoni biex joħloq vakwu li ntuża biex jgħolli l-ilma minn taħt, imbagħad uża l-pressjoni tal-fwar biex tgħolliha ogħla."&amp;" Magni żgħar kienu effettivi għalkemm mudelli akbar kienu problematiċi. Huma wrew biss li kellhom għoli limitat tal-lift u kienu suxxettibbli għal splużjonijiet tal-bojler. Irċieva xi użu fil-minjieri, stazzjonijiet tal-ippumpjar u għall-forniment tar-rot"&amp;"i tal-ilma użati biex jitħaddmu makkinarju tat-tessuti. Karatteristika attraenti tal-magna tas-salvataġġ kienet l-ispiża baxxa tagħha. Il-Portugal ta 'Bento de Moura introduċa titjib inġenjuż tal-kostruzzjoni ta' SAVERY ""biex tirrendiha kapaċi taħdem inn"&amp;"ifsu"", kif deskritt minn John Smeaton fit-tranżazzjonijiet filosofiċi ppubblikati fl-1751. Kompla jiġi manifatturat sal-aħħar tas-seklu 18. Magna waħda kienet għadha magħrufa li qed topera fl-1820.")</f>
        <v>L-ewwel apparat kummerċjali li jaħdem bil-fwar kien pompa tal-ilma, żviluppata fl-1698 minn Thomas Savery. Huwa uża l-fwar tal-kondensazzjoni biex joħloq vakwu li ntuża biex jgħolli l-ilma minn taħt, imbagħad uża l-pressjoni tal-fwar biex tgħolliha ogħla. Magni żgħar kienu effettivi għalkemm mudelli akbar kienu problematiċi. Huma wrew biss li kellhom għoli limitat tal-lift u kienu suxxettibbli għal splużjonijiet tal-bojler. Irċieva xi użu fil-minjieri, stazzjonijiet tal-ippumpjar u għall-forniment tar-roti tal-ilma użati biex jitħaddmu makkinarju tat-tessuti. Karatteristika attraenti tal-magna tas-salvataġġ kienet l-ispiża baxxa tagħha. Il-Portugal ta 'Bento de Moura introduċa titjib inġenjuż tal-kostruzzjoni ta' SAVERY "biex tirrendiha kapaċi taħdem innifsu", kif deskritt minn John Smeaton fit-tranżazzjonijiet filosofiċi ppubblikati fl-1751. Kompla jiġi manifatturat sal-aħħar tas-seklu 18. Magna waħda kienet għadha magħrufa li qed topera fl-1820.</v>
      </c>
    </row>
    <row r="9668" ht="15.75" customHeight="1">
      <c r="A9668" s="2" t="s">
        <v>9668</v>
      </c>
      <c r="B9668" s="2" t="str">
        <f>IFERROR(__xludf.DUMMYFUNCTION("GOOGLETRANSLATE(A9668, ""en"", ""mt"")"),"Bejn wieħed u ieħor kemm klabbs spiċċaw fl-università?")</f>
        <v>Bejn wieħed u ieħor kemm klabbs spiċċaw fl-università?</v>
      </c>
    </row>
    <row r="9669" ht="15.75" customHeight="1">
      <c r="A9669" s="2" t="s">
        <v>9669</v>
      </c>
      <c r="B9669" s="2" t="str">
        <f>IFERROR(__xludf.DUMMYFUNCTION("GOOGLETRANSLATE(A9669, ""en"", ""mt"")"),"Liema Prim Ministru Amerikan huwa alumni?")</f>
        <v>Liema Prim Ministru Amerikan huwa alumni?</v>
      </c>
    </row>
    <row r="9670" ht="15.75" customHeight="1">
      <c r="A9670" s="2" t="s">
        <v>9670</v>
      </c>
      <c r="B9670" s="2" t="str">
        <f>IFERROR(__xludf.DUMMYFUNCTION("GOOGLETRANSLATE(A9670, ""en"", ""mt"")"),"Liema familja prominenti tal-Afrika t'Isfel iddistillat il-brandi u kienu Huguenots?")</f>
        <v>Liema familja prominenti tal-Afrika t'Isfel iddistillat il-brandi u kienu Huguenots?</v>
      </c>
    </row>
    <row r="9671" ht="15.75" customHeight="1">
      <c r="A9671" s="2" t="s">
        <v>9671</v>
      </c>
      <c r="B9671" s="2" t="str">
        <f>IFERROR(__xludf.DUMMYFUNCTION("GOOGLETRANSLATE(A9671, ""en"", ""mt"")")," Fejn kienet il-fruntiera taċ-Ċina Kublai fit-territorju?")</f>
        <v> Fejn kienet il-fruntiera taċ-Ċina Kublai fit-territorju?</v>
      </c>
    </row>
    <row r="9672" ht="15.75" customHeight="1">
      <c r="A9672" s="2" t="s">
        <v>9672</v>
      </c>
      <c r="B9672" s="2" t="str">
        <f>IFERROR(__xludf.DUMMYFUNCTION("GOOGLETRANSLATE(A9672, ""en"", ""mt"")"),"Kissinger")</f>
        <v>Kissinger</v>
      </c>
    </row>
    <row r="9673" ht="15.75" customHeight="1">
      <c r="A9673" s="2" t="s">
        <v>9673</v>
      </c>
      <c r="B9673" s="2" t="str">
        <f>IFERROR(__xludf.DUMMYFUNCTION("GOOGLETRANSLATE(A9673, ""en"", ""mt"")"),"L-Assoċjazzjoni tal-Atletika tal-Università")</f>
        <v>L-Assoċjazzjoni tal-Atletika tal-Università</v>
      </c>
    </row>
    <row r="9674" ht="15.75" customHeight="1">
      <c r="A9674" s="2" t="s">
        <v>9674</v>
      </c>
      <c r="B9674" s="2" t="str">
        <f>IFERROR(__xludf.DUMMYFUNCTION("GOOGLETRANSLATE(A9674, ""en"", ""mt"")"),"X'inhi l-forma attiva ta 'vitamina D magħrufa bħala?")</f>
        <v>X'inhi l-forma attiva ta 'vitamina D magħrufa bħala?</v>
      </c>
    </row>
    <row r="9675" ht="15.75" customHeight="1">
      <c r="A9675" s="2" t="s">
        <v>9675</v>
      </c>
      <c r="B9675" s="2" t="str">
        <f>IFERROR(__xludf.DUMMYFUNCTION("GOOGLETRANSLATE(A9675, ""en"", ""mt"")"),"X'inhi rivista kummerċjali għall-industrija tad-disinn?")</f>
        <v>X'inhi rivista kummerċjali għall-industrija tad-disinn?</v>
      </c>
    </row>
    <row r="9676" ht="15.75" customHeight="1">
      <c r="A9676" s="2" t="s">
        <v>9676</v>
      </c>
      <c r="B9676" s="2" t="str">
        <f>IFERROR(__xludf.DUMMYFUNCTION("GOOGLETRANSLATE(A9676, ""en"", ""mt"")"),"Kemm inqatlu Huguenots f'Bordeaux?")</f>
        <v>Kemm inqatlu Huguenots f'Bordeaux?</v>
      </c>
    </row>
    <row r="9677" ht="15.75" customHeight="1">
      <c r="A9677" s="2" t="s">
        <v>9677</v>
      </c>
      <c r="B9677" s="2" t="str">
        <f>IFERROR(__xludf.DUMMYFUNCTION("GOOGLETRANSLATE(A9677, ""en"", ""mt"")"),"Tliet speċi putattivi addizzjonali")</f>
        <v>Tliet speċi putattivi addizzjonali</v>
      </c>
    </row>
    <row r="9678" ht="15.75" customHeight="1">
      <c r="A9678" s="2" t="s">
        <v>9678</v>
      </c>
      <c r="B9678" s="2" t="str">
        <f>IFERROR(__xludf.DUMMYFUNCTION("GOOGLETRANSLATE(A9678, ""en"", ""mt"")"),"Madankollu, fl-1883–84 il-Ġermanja bdiet tibni imperu kolonjali fl-Afrika u fil-Paċifiku t'Isfel, qabel ma tilfet l-interess fl-imperjalizmu. L-istoriċi ddiskutew eżattament għaliex il-Ġermanja għamlet din il-mossa f'daqqa u b'ħajja qasira. [Verifika meħt"&amp;"ieġa] Bismarck kienet konxja li l-opinjoni pubblika kienet bdiet titlob kolonji għal raġunijiet ta 'prestiġju Ġermaniż. Huwa kien influwenzat minn negozjanti u negozjanti ta 'Hamburg, il-ġirien tiegħu fi Friedrichsruh. It-twaqqif tal-Imperu Kolonjali Ġerm"&amp;"aniż ipproċeda bla xkiel, u beda bil-Guinea Ġermaniża Ġermaniża fl-1884.")</f>
        <v>Madankollu, fl-1883–84 il-Ġermanja bdiet tibni imperu kolonjali fl-Afrika u fil-Paċifiku t'Isfel, qabel ma tilfet l-interess fl-imperjalizmu. L-istoriċi ddiskutew eżattament għaliex il-Ġermanja għamlet din il-mossa f'daqqa u b'ħajja qasira. [Verifika meħtieġa] Bismarck kienet konxja li l-opinjoni pubblika kienet bdiet titlob kolonji għal raġunijiet ta 'prestiġju Ġermaniż. Huwa kien influwenzat minn negozjanti u negozjanti ta 'Hamburg, il-ġirien tiegħu fi Friedrichsruh. It-twaqqif tal-Imperu Kolonjali Ġermaniż ipproċeda bla xkiel, u beda bil-Guinea Ġermaniża Ġermaniża fl-1884.</v>
      </c>
    </row>
    <row r="9679" ht="15.75" customHeight="1">
      <c r="A9679" s="2" t="s">
        <v>9679</v>
      </c>
      <c r="B9679" s="2" t="str">
        <f>IFERROR(__xludf.DUMMYFUNCTION("GOOGLETRANSLATE(A9679, ""en"", ""mt"")"),"X'inhu l-UE ma tmexxix minn stati mhux membri?")</f>
        <v>X'inhu l-UE ma tmexxix minn stati mhux membri?</v>
      </c>
    </row>
    <row r="9680" ht="15.75" customHeight="1">
      <c r="A9680" s="2" t="s">
        <v>9680</v>
      </c>
      <c r="B9680" s="2" t="str">
        <f>IFERROR(__xludf.DUMMYFUNCTION("GOOGLETRANSLATE(A9680, ""en"", ""mt"")"),"Suġġetti li jinsabu fil-kompetenza leġiżlattiva tal-Parlament tal-Iskozja huma msejħa?")</f>
        <v>Suġġetti li jinsabu fil-kompetenza leġiżlattiva tal-Parlament tal-Iskozja huma msejħa?</v>
      </c>
    </row>
    <row r="9681" ht="15.75" customHeight="1">
      <c r="A9681" s="2" t="s">
        <v>9681</v>
      </c>
      <c r="B9681" s="2" t="str">
        <f>IFERROR(__xludf.DUMMYFUNCTION("GOOGLETRANSLATE(A9681, ""en"", ""mt"")"),"X’ma ttella ’x l-Unjoni Ewropea wara l-adozzjoni tal-Karta Soċjali?")</f>
        <v>X’ma ttella ’x l-Unjoni Ewropea wara l-adozzjoni tal-Karta Soċjali?</v>
      </c>
    </row>
    <row r="9682" ht="15.75" customHeight="1">
      <c r="A9682" s="2" t="s">
        <v>9682</v>
      </c>
      <c r="B9682" s="2" t="str">
        <f>IFERROR(__xludf.DUMMYFUNCTION("GOOGLETRANSLATE(A9682, ""en"", ""mt"")"),"Kompressar u Tkessiħ")</f>
        <v>Kompressar u Tkessiħ</v>
      </c>
    </row>
    <row r="9683" ht="15.75" customHeight="1">
      <c r="A9683" s="2" t="s">
        <v>9683</v>
      </c>
      <c r="B9683" s="2" t="str">
        <f>IFERROR(__xludf.DUMMYFUNCTION("GOOGLETRANSLATE(A9683, ""en"", ""mt"")"),"Herodotus ivvjaġġa bejn liema fruntiera?")</f>
        <v>Herodotus ivvjaġġa bejn liema fruntiera?</v>
      </c>
    </row>
    <row r="9684" ht="15.75" customHeight="1">
      <c r="A9684" s="2" t="s">
        <v>9684</v>
      </c>
      <c r="B9684" s="2" t="str">
        <f>IFERROR(__xludf.DUMMYFUNCTION("GOOGLETRANSLATE(A9684, ""en"", ""mt"")"),"Kemm żejt importat ġie mill-Lvant Nofsani?")</f>
        <v>Kemm żejt importat ġie mill-Lvant Nofsani?</v>
      </c>
    </row>
    <row r="9685" ht="15.75" customHeight="1">
      <c r="A9685" s="2" t="s">
        <v>9685</v>
      </c>
      <c r="B9685" s="2" t="str">
        <f>IFERROR(__xludf.DUMMYFUNCTION("GOOGLETRANSLATE(A9685, ""en"", ""mt"")"),"Ir-riżultat tal-biċċa l-kbira tal-voti jista 'jiġi mbassar minn qabel peress li l-partiti politiċi normalment jagħtu struzzjonijiet lill-membri liema mod jivvutaw. Il-partijiet jafdaw xi MSPs, magħrufa bħala whips, bil-kompitu li jiżguraw li l-membri tal-"&amp;"partit jivvutaw skont il-linja tal-partit. L-MSPs m'għandhomx it-tendenza li jivvutaw kontra struzzjonijiet bħal dawn, peress li dawk li jagħmlu x'aktarx ma jilħqux gradi politiċi ogħla fil-partiti tagħhom. Membri erranti jistgħu jiġu magħżula bħala kandi"&amp;"dati uffiċjali tal-partit waqt elezzjonijiet futuri, u, f'każijiet serji, jistgħu jitkeċċew mill-partijiet tagħhom għal kollox. Għalhekk, bħal f'ħafna parlamenti, l-indipendenza tal-membri tal-Parlament Skoċċiż għandha tendenza li tkun baxxa, u r-ribelljo"&amp;"nijiet tal-backbench minn membri li huma mdejqa mal-politiki tal-partit tagħhom huma rari. Madankollu, f'xi ċirkostanzi, il-partijiet iħabbru ""voti b'xejn"", li jippermetti lill-membri jivvutaw kif jixtiequ. Dan tipikament isir fuq kwistjonijiet morali.")</f>
        <v>Ir-riżultat tal-biċċa l-kbira tal-voti jista 'jiġi mbassar minn qabel peress li l-partiti politiċi normalment jagħtu struzzjonijiet lill-membri liema mod jivvutaw. Il-partijiet jafdaw xi MSPs, magħrufa bħala whips, bil-kompitu li jiżguraw li l-membri tal-partit jivvutaw skont il-linja tal-partit. L-MSPs m'għandhomx it-tendenza li jivvutaw kontra struzzjonijiet bħal dawn, peress li dawk li jagħmlu x'aktarx ma jilħqux gradi politiċi ogħla fil-partiti tagħhom. Membri erranti jistgħu jiġu magħżula bħala kandidati uffiċjali tal-partit waqt elezzjonijiet futuri, u, f'każijiet serji, jistgħu jitkeċċew mill-partijiet tagħhom għal kollox. Għalhekk, bħal f'ħafna parlamenti, l-indipendenza tal-membri tal-Parlament Skoċċiż għandha tendenza li tkun baxxa, u r-ribelljonijiet tal-backbench minn membri li huma mdejqa mal-politiki tal-partit tagħhom huma rari. Madankollu, f'xi ċirkostanzi, il-partijiet iħabbru "voti b'xejn", li jippermetti lill-membri jivvutaw kif jixtiequ. Dan tipikament isir fuq kwistjonijiet morali.</v>
      </c>
    </row>
    <row r="9686" ht="15.75" customHeight="1">
      <c r="A9686" s="2" t="s">
        <v>9686</v>
      </c>
      <c r="B9686" s="2" t="str">
        <f>IFERROR(__xludf.DUMMYFUNCTION("GOOGLETRANSLATE(A9686, ""en"", ""mt"")"),"L-aħħar tifqigħa tal-pesta ħarbgħet lil Oslo fl-1654.")</f>
        <v>L-aħħar tifqigħa tal-pesta ħarbgħet lil Oslo fl-1654.</v>
      </c>
    </row>
    <row r="9687" ht="15.75" customHeight="1">
      <c r="A9687" s="2" t="s">
        <v>9687</v>
      </c>
      <c r="B9687" s="2" t="str">
        <f>IFERROR(__xludf.DUMMYFUNCTION("GOOGLETRANSLATE(A9687, ""en"", ""mt"")"),"sat-tieni kwart tas-seklu 19.")</f>
        <v>sat-tieni kwart tas-seklu 19.</v>
      </c>
    </row>
    <row r="9688" ht="15.75" customHeight="1">
      <c r="A9688" s="2" t="s">
        <v>9688</v>
      </c>
      <c r="B9688" s="2" t="str">
        <f>IFERROR(__xludf.DUMMYFUNCTION("GOOGLETRANSLATE(A9688, ""en"", ""mt"")"),"cortisol u katekolamini")</f>
        <v>cortisol u katekolamini</v>
      </c>
    </row>
    <row r="9689" ht="15.75" customHeight="1">
      <c r="A9689" s="2" t="s">
        <v>9689</v>
      </c>
      <c r="B9689" s="2" t="str">
        <f>IFERROR(__xludf.DUMMYFUNCTION("GOOGLETRANSLATE(A9689, ""en"", ""mt"")"),"Mill-Eocene 'l hawn, l-orogenija Alpina li għaddejja kkawżat sistema ta' Rift N-S biex tiżviluppa f'din iż-żona. L-elementi ewlenin ta 'din il-qasma huma l-Upper Rhine Graben, fil-Lbiċ tal-Ġermanja u l-Lvant ta' Franza u l-imbarazz ta 'Lower Rhine, fil-ma"&amp;"jjistral tal-Ġermanja u l-Olanda tax-Xlokk. Saż-żmien tal-Miocene, sistema ta 'xmajjar kienet żviluppat fil-parti ta' fuq tar-Renu, li kompliet lejn it-tramuntana u hija meqjusa bħala l-ewwel xmara Rhine. Dak iż-żmien, huwa għadu ma wettaqx kwittanza mill"&amp;"-Alpi; Minflok, il-friskaturi tal-ilma tar-Rhone u d-Danubju ixxotta l-ġnub tat-tramuntana tal-Alpi.")</f>
        <v>Mill-Eocene 'l hawn, l-orogenija Alpina li għaddejja kkawżat sistema ta' Rift N-S biex tiżviluppa f'din iż-żona. L-elementi ewlenin ta 'din il-qasma huma l-Upper Rhine Graben, fil-Lbiċ tal-Ġermanja u l-Lvant ta' Franza u l-imbarazz ta 'Lower Rhine, fil-majjistral tal-Ġermanja u l-Olanda tax-Xlokk. Saż-żmien tal-Miocene, sistema ta 'xmajjar kienet żviluppat fil-parti ta' fuq tar-Renu, li kompliet lejn it-tramuntana u hija meqjusa bħala l-ewwel xmara Rhine. Dak iż-żmien, huwa għadu ma wettaqx kwittanza mill-Alpi; Minflok, il-friskaturi tal-ilma tar-Rhone u d-Danubju ixxotta l-ġnub tat-tramuntana tal-Alpi.</v>
      </c>
    </row>
    <row r="9690" ht="15.75" customHeight="1">
      <c r="A9690" s="2" t="s">
        <v>9690</v>
      </c>
      <c r="B9690" s="2" t="str">
        <f>IFERROR(__xludf.DUMMYFUNCTION("GOOGLETRANSLATE(A9690, ""en"", ""mt"")"),"Liema monument huwa fil-memorja tal-ikbar insurrezzjoni tal-WWI?")</f>
        <v>Liema monument huwa fil-memorja tal-ikbar insurrezzjoni tal-WWI?</v>
      </c>
    </row>
    <row r="9691" ht="15.75" customHeight="1">
      <c r="A9691" s="2" t="s">
        <v>9691</v>
      </c>
      <c r="B9691" s="2" t="str">
        <f>IFERROR(__xludf.DUMMYFUNCTION("GOOGLETRANSLATE(A9691, ""en"", ""mt"")"),"ħabi Lhudi")</f>
        <v>ħabi Lhudi</v>
      </c>
    </row>
    <row r="9692" ht="15.75" customHeight="1">
      <c r="A9692" s="2" t="s">
        <v>9692</v>
      </c>
      <c r="B9692" s="2" t="str">
        <f>IFERROR(__xludf.DUMMYFUNCTION("GOOGLETRANSLATE(A9692, ""en"", ""mt"")"),"MLB")</f>
        <v>MLB</v>
      </c>
    </row>
    <row r="9693" ht="15.75" customHeight="1">
      <c r="A9693" s="2" t="s">
        <v>9693</v>
      </c>
      <c r="B9693" s="2" t="str">
        <f>IFERROR(__xludf.DUMMYFUNCTION("GOOGLETRANSLATE(A9693, ""en"", ""mt"")"),"Liema kanzunetta kiteb Bob Gallion?")</f>
        <v>Liema kanzunetta kiteb Bob Gallion?</v>
      </c>
    </row>
    <row r="9694" ht="15.75" customHeight="1">
      <c r="A9694" s="2" t="s">
        <v>9694</v>
      </c>
      <c r="B9694" s="2" t="str">
        <f>IFERROR(__xludf.DUMMYFUNCTION("GOOGLETRANSLATE(A9694, ""en"", ""mt"")"),"kanċer")</f>
        <v>kanċer</v>
      </c>
    </row>
    <row r="9695" ht="15.75" customHeight="1">
      <c r="A9695" s="2" t="s">
        <v>9695</v>
      </c>
      <c r="B9695" s="2" t="str">
        <f>IFERROR(__xludf.DUMMYFUNCTION("GOOGLETRANSLATE(A9695, ""en"", ""mt"")"),"Petrografiku")</f>
        <v>Petrografiku</v>
      </c>
    </row>
    <row r="9696" ht="15.75" customHeight="1">
      <c r="A9696" s="2" t="s">
        <v>9696</v>
      </c>
      <c r="B9696" s="2" t="str">
        <f>IFERROR(__xludf.DUMMYFUNCTION("GOOGLETRANSLATE(A9696, ""en"", ""mt"")"),"Fl-1846 il-lezzjonijiet tal-istorja naturali min ġew milqugħin fi New York u Harvard?")</f>
        <v>Fl-1846 il-lezzjonijiet tal-istorja naturali min ġew milqugħin fi New York u Harvard?</v>
      </c>
    </row>
    <row r="9697" ht="15.75" customHeight="1">
      <c r="A9697" s="2" t="s">
        <v>9697</v>
      </c>
      <c r="B9697" s="2" t="str">
        <f>IFERROR(__xludf.DUMMYFUNCTION("GOOGLETRANSLATE(A9697, ""en"", ""mt"")"),"X'inhu pajjiż ieħor li jippermetti lit-tobba jagħtu d-droga minn ġewwa l-prattika tagħhom?")</f>
        <v>X'inhu pajjiż ieħor li jippermetti lit-tobba jagħtu d-droga minn ġewwa l-prattika tagħhom?</v>
      </c>
    </row>
    <row r="9698" ht="15.75" customHeight="1">
      <c r="A9698" s="2" t="s">
        <v>9698</v>
      </c>
      <c r="B9698" s="2" t="str">
        <f>IFERROR(__xludf.DUMMYFUNCTION("GOOGLETRANSLATE(A9698, ""en"", ""mt"")"),"Liema teorija ssuġġeriet li n-nies fit-tropiċi kienu ċivilizzati?")</f>
        <v>Liema teorija ssuġġeriet li n-nies fit-tropiċi kienu ċivilizzati?</v>
      </c>
    </row>
    <row r="9699" ht="15.75" customHeight="1">
      <c r="A9699" s="2" t="s">
        <v>9699</v>
      </c>
      <c r="B9699" s="2" t="str">
        <f>IFERROR(__xludf.DUMMYFUNCTION("GOOGLETRANSLATE(A9699, ""en"", ""mt"")"),"ħames miljun")</f>
        <v>ħames miljun</v>
      </c>
    </row>
    <row r="9700" ht="15.75" customHeight="1">
      <c r="A9700" s="2" t="s">
        <v>9700</v>
      </c>
      <c r="B9700" s="2" t="str">
        <f>IFERROR(__xludf.DUMMYFUNCTION("GOOGLETRANSLATE(A9700, ""en"", ""mt"")"),"1264")</f>
        <v>1264</v>
      </c>
    </row>
    <row r="9701" ht="15.75" customHeight="1">
      <c r="A9701" s="2" t="s">
        <v>9701</v>
      </c>
      <c r="B9701" s="2" t="str">
        <f>IFERROR(__xludf.DUMMYFUNCTION("GOOGLETRANSLATE(A9701, ""en"", ""mt"")"),"""Imperjalizmu formali")</f>
        <v>"Imperjalizmu formali</v>
      </c>
    </row>
    <row r="9702" ht="15.75" customHeight="1">
      <c r="A9702" s="2" t="s">
        <v>9702</v>
      </c>
      <c r="B9702" s="2" t="str">
        <f>IFERROR(__xludf.DUMMYFUNCTION("GOOGLETRANSLATE(A9702, ""en"", ""mt"")"),"Għaliex il-firien jistgħu ma jkunux responsabbli għall-pesta?")</f>
        <v>Għaliex il-firien jistgħu ma jkunux responsabbli għall-pesta?</v>
      </c>
    </row>
    <row r="9703" ht="15.75" customHeight="1">
      <c r="A9703" s="2" t="s">
        <v>9703</v>
      </c>
      <c r="B9703" s="2" t="str">
        <f>IFERROR(__xludf.DUMMYFUNCTION("GOOGLETRANSLATE(A9703, ""en"", ""mt"")"),"X'inhuma d-diviżuri speċifiċi tan-numri kollha uniformi akbar minn 2?")</f>
        <v>X'inhuma d-diviżuri speċifiċi tan-numri kollha uniformi akbar minn 2?</v>
      </c>
    </row>
    <row r="9704" ht="15.75" customHeight="1">
      <c r="A9704" s="2" t="s">
        <v>9704</v>
      </c>
      <c r="B9704" s="2" t="str">
        <f>IFERROR(__xludf.DUMMYFUNCTION("GOOGLETRANSLATE(A9704, ""en"", ""mt"")"),"X'inhuma x-xandiriet kriptati free-to-air magħrufa bħala?")</f>
        <v>X'inhuma x-xandiriet kriptati free-to-air magħrufa bħala?</v>
      </c>
    </row>
    <row r="9705" ht="15.75" customHeight="1">
      <c r="A9705" s="2" t="s">
        <v>9705</v>
      </c>
      <c r="B9705" s="2" t="str">
        <f>IFERROR(__xludf.DUMMYFUNCTION("GOOGLETRANSLATE(A9705, ""en"", ""mt"")"),"Melatonin waqt l-irqad jista 'jikkumbatti b'mod attiv il-produzzjoni ta' xiex?")</f>
        <v>Melatonin waqt l-irqad jista 'jikkumbatti b'mod attiv il-produzzjoni ta' xiex?</v>
      </c>
    </row>
    <row r="9706" ht="15.75" customHeight="1">
      <c r="A9706" s="2" t="s">
        <v>9706</v>
      </c>
      <c r="B9706" s="2" t="str">
        <f>IFERROR(__xludf.DUMMYFUNCTION("GOOGLETRANSLATE(A9706, ""en"", ""mt"")"),"Iċ-Ċiklu Rankine")</f>
        <v>Iċ-Ċiklu Rankine</v>
      </c>
    </row>
    <row r="9707" ht="15.75" customHeight="1">
      <c r="A9707" s="2" t="s">
        <v>9707</v>
      </c>
      <c r="B9707" s="2" t="str">
        <f>IFERROR(__xludf.DUMMYFUNCTION("GOOGLETRANSLATE(A9707, ""en"", ""mt"")"),"X'għandux kontroparti metrika?")</f>
        <v>X'għandux kontroparti metrika?</v>
      </c>
    </row>
    <row r="9708" ht="15.75" customHeight="1">
      <c r="A9708" s="2" t="s">
        <v>9708</v>
      </c>
      <c r="B9708" s="2" t="str">
        <f>IFERROR(__xludf.DUMMYFUNCTION("GOOGLETRANSLATE(A9708, ""en"", ""mt"")"),"132 miljun tunnellata")</f>
        <v>132 miljun tunnellata</v>
      </c>
    </row>
    <row r="9709" ht="15.75" customHeight="1">
      <c r="A9709" s="2" t="s">
        <v>9709</v>
      </c>
      <c r="B9709" s="2" t="str">
        <f>IFERROR(__xludf.DUMMYFUNCTION("GOOGLETRANSLATE(A9709, ""en"", ""mt"")"),"Meta s-Soċjetà Filosofika Amerikana ingaġġat lil MacLure biex tagħmel l-istħarriġ ġeoloġiku?")</f>
        <v>Meta s-Soċjetà Filosofika Amerikana ingaġġat lil MacLure biex tagħmel l-istħarriġ ġeoloġiku?</v>
      </c>
    </row>
    <row r="9710" ht="15.75" customHeight="1">
      <c r="A9710" s="2" t="s">
        <v>9710</v>
      </c>
      <c r="B9710" s="2" t="str">
        <f>IFERROR(__xludf.DUMMYFUNCTION("GOOGLETRANSLATE(A9710, ""en"", ""mt"")"),"Watt x'għamel mal-magna tal-fwar fl-1788?")</f>
        <v>Watt x'għamel mal-magna tal-fwar fl-1788?</v>
      </c>
    </row>
    <row r="9711" ht="15.75" customHeight="1">
      <c r="A9711" s="2" t="s">
        <v>9711</v>
      </c>
      <c r="B9711" s="2" t="str">
        <f>IFERROR(__xludf.DUMMYFUNCTION("GOOGLETRANSLATE(A9711, ""en"", ""mt"")"),"X'inhu l-isem tas-suppożizzjoni li hemm pari infiniti ta 'primes li d-differenza tagħhom hija ewlenija?")</f>
        <v>X'inhu l-isem tas-suppożizzjoni li hemm pari infiniti ta 'primes li d-differenza tagħhom hija ewlenija?</v>
      </c>
    </row>
    <row r="9712" ht="15.75" customHeight="1">
      <c r="A9712" s="2" t="s">
        <v>9712</v>
      </c>
      <c r="B9712" s="2" t="str">
        <f>IFERROR(__xludf.DUMMYFUNCTION("GOOGLETRANSLATE(A9712, ""en"", ""mt"")"),"X'inhu metodu wieħed biex jinkiseb konsum ta 'aspirazzjoni?")</f>
        <v>X'inhu metodu wieħed biex jinkiseb konsum ta 'aspirazzjoni?</v>
      </c>
    </row>
    <row r="9713" ht="15.75" customHeight="1">
      <c r="A9713" s="2" t="s">
        <v>9713</v>
      </c>
      <c r="B9713" s="2" t="str">
        <f>IFERROR(__xludf.DUMMYFUNCTION("GOOGLETRANSLATE(A9713, ""en"", ""mt"")"),"Dak li ma jinsabx bejn L u P li jippermetti determinazzjoni definittiva tar-relazzjoni bejn L u P?")</f>
        <v>Dak li ma jinsabx bejn L u P li jippermetti determinazzjoni definittiva tar-relazzjoni bejn L u P?</v>
      </c>
    </row>
    <row r="9714" ht="15.75" customHeight="1">
      <c r="A9714" s="2" t="s">
        <v>9714</v>
      </c>
      <c r="B9714" s="2" t="str">
        <f>IFERROR(__xludf.DUMMYFUNCTION("GOOGLETRANSLATE(A9714, ""en"", ""mt"")"),"f'Marzu")</f>
        <v>f'Marzu</v>
      </c>
    </row>
    <row r="9715" ht="15.75" customHeight="1">
      <c r="A9715" s="2" t="s">
        <v>9715</v>
      </c>
      <c r="B9715" s="2" t="str">
        <f>IFERROR(__xludf.DUMMYFUNCTION("GOOGLETRANSLATE(A9715, ""en"", ""mt"")"),"Liema prodott ġdid introduċa l-Bank of America fl-1958?")</f>
        <v>Liema prodott ġdid introduċa l-Bank of America fl-1958?</v>
      </c>
    </row>
    <row r="9716" ht="15.75" customHeight="1">
      <c r="A9716" s="2" t="s">
        <v>9716</v>
      </c>
      <c r="B9716" s="2" t="str">
        <f>IFERROR(__xludf.DUMMYFUNCTION("GOOGLETRANSLATE(A9716, ""en"", ""mt"")"),"22")</f>
        <v>22</v>
      </c>
    </row>
    <row r="9717" ht="15.75" customHeight="1">
      <c r="A9717" s="2" t="s">
        <v>9717</v>
      </c>
      <c r="B9717" s="2" t="str">
        <f>IFERROR(__xludf.DUMMYFUNCTION("GOOGLETRANSLATE(A9717, ""en"", ""mt"")"),"Kemm ta 'PGD ta' pajjiżi żviluppati jinkludi l-manifattura?")</f>
        <v>Kemm ta 'PGD ta' pajjiżi żviluppati jinkludi l-manifattura?</v>
      </c>
    </row>
    <row r="9718" ht="15.75" customHeight="1">
      <c r="A9718" s="2" t="s">
        <v>9718</v>
      </c>
      <c r="B9718" s="2" t="str">
        <f>IFERROR(__xludf.DUMMYFUNCTION("GOOGLETRANSLATE(A9718, ""en"", ""mt"")"),"Dak li jiddeskrivi oġġetti li ma jiċċaqilqux liberament?")</f>
        <v>Dak li jiddeskrivi oġġetti li ma jiċċaqilqux liberament?</v>
      </c>
    </row>
    <row r="9719" ht="15.75" customHeight="1">
      <c r="A9719" s="2" t="s">
        <v>9719</v>
      </c>
      <c r="B9719" s="2" t="str">
        <f>IFERROR(__xludf.DUMMYFUNCTION("GOOGLETRANSLATE(A9719, ""en"", ""mt"")"),"Fejn kien il-bieb tar-Re Hugo?")</f>
        <v>Fejn kien il-bieb tar-Re Hugo?</v>
      </c>
    </row>
    <row r="9720" ht="15.75" customHeight="1">
      <c r="A9720" s="2" t="s">
        <v>9720</v>
      </c>
      <c r="B9720" s="2" t="str">
        <f>IFERROR(__xludf.DUMMYFUNCTION("GOOGLETRANSLATE(A9720, ""en"", ""mt"")"),"Liema relazzjoni jinvolvu inizjattivi finanzjarji?")</f>
        <v>Liema relazzjoni jinvolvu inizjattivi finanzjarji?</v>
      </c>
    </row>
    <row r="9721" ht="15.75" customHeight="1">
      <c r="A9721" s="2" t="s">
        <v>9721</v>
      </c>
      <c r="B9721" s="2" t="str">
        <f>IFERROR(__xludf.DUMMYFUNCTION("GOOGLETRANSLATE(A9721, ""en"", ""mt"")"),"Trevithick kompla l-esperimenti tiegħu stess bl-użu ta 'trio ta' lokomottivi, li kkonkluda mal-Qabda Me li jista 'fl-1808. Erba' snin biss wara, is-suċċess tal-lokomotiva b'żewġ ċilindri ta 'Salamanca minn Matthew Murray intuża mill-Rack Railed Edge u Pin"&amp;"ion Middleton Railway. Fl-1825 George Stephenson bena l-lokomozzjoni għall-Ferrovija ta ’Stockton u Darlington. Din kienet l-ewwel ferrovija pubblika tal-fwar fid-dinja u mbagħad fl-1829, huwa bena r-rokit li kien daħal fih u rebaħ il-provi Rainhill. Il-F"&amp;"errovija ta ’Liverpool u Manchester infetħu fl-1830 u għamlu użu esklussiv tal-enerġija tal-fwar kemm għall-ferroviji tal-passiġġieri kif ukoll tal-merkanzija.")</f>
        <v>Trevithick kompla l-esperimenti tiegħu stess bl-użu ta 'trio ta' lokomottivi, li kkonkluda mal-Qabda Me li jista 'fl-1808. Erba' snin biss wara, is-suċċess tal-lokomotiva b'żewġ ċilindri ta 'Salamanca minn Matthew Murray intuża mill-Rack Railed Edge u Pinion Middleton Railway. Fl-1825 George Stephenson bena l-lokomozzjoni għall-Ferrovija ta ’Stockton u Darlington. Din kienet l-ewwel ferrovija pubblika tal-fwar fid-dinja u mbagħad fl-1829, huwa bena r-rokit li kien daħal fih u rebaħ il-provi Rainhill. Il-Ferrovija ta ’Liverpool u Manchester infetħu fl-1830 u għamlu użu esklussiv tal-enerġija tal-fwar kemm għall-ferroviji tal-passiġġieri kif ukoll tal-merkanzija.</v>
      </c>
    </row>
    <row r="9722" ht="15.75" customHeight="1">
      <c r="A9722" s="2" t="s">
        <v>9722</v>
      </c>
      <c r="B9722" s="2" t="str">
        <f>IFERROR(__xludf.DUMMYFUNCTION("GOOGLETRANSLATE(A9722, ""en"", ""mt"")"),"X'inhu l-isem tas-satellita li kejjel l-ammont ta 'veġetazzjoni mill-tant diffiċli għall-Amażonja?")</f>
        <v>X'inhu l-isem tas-satellita li kejjel l-ammont ta 'veġetazzjoni mill-tant diffiċli għall-Amażonja?</v>
      </c>
    </row>
    <row r="9723" ht="15.75" customHeight="1">
      <c r="A9723" s="2" t="s">
        <v>9723</v>
      </c>
      <c r="B9723" s="2" t="str">
        <f>IFERROR(__xludf.DUMMYFUNCTION("GOOGLETRANSLATE(A9723, ""en"", ""mt"")"),"mhux ċar")</f>
        <v>mhux ċar</v>
      </c>
    </row>
    <row r="9724" ht="15.75" customHeight="1">
      <c r="A9724" s="2" t="s">
        <v>9724</v>
      </c>
      <c r="B9724" s="2" t="str">
        <f>IFERROR(__xludf.DUMMYFUNCTION("GOOGLETRANSLATE(A9724, ""en"", ""mt"")"),"X'għandu jirrappreżenta li ma jikkawża l-ebda forza netta li tkun il-kawża ta 'mozzjoni ta' veloċità kostanti?")</f>
        <v>X'għandu jirrappreżenta li ma jikkawża l-ebda forza netta li tkun il-kawża ta 'mozzjoni ta' veloċità kostanti?</v>
      </c>
    </row>
    <row r="9725" ht="15.75" customHeight="1">
      <c r="A9725" s="2" t="s">
        <v>9725</v>
      </c>
      <c r="B9725" s="2" t="str">
        <f>IFERROR(__xludf.DUMMYFUNCTION("GOOGLETRANSLATE(A9725, ""en"", ""mt"")"),"Kemm hemm minorenni akkademiċi b'kollox l-università?")</f>
        <v>Kemm hemm minorenni akkademiċi b'kollox l-università?</v>
      </c>
    </row>
    <row r="9726" ht="15.75" customHeight="1">
      <c r="A9726" s="2" t="s">
        <v>9726</v>
      </c>
      <c r="B9726" s="2" t="str">
        <f>IFERROR(__xludf.DUMMYFUNCTION("GOOGLETRANSLATE(A9726, ""en"", ""mt"")")," X'indirizza Iqbal ta 'Allahabad ma Inspire?")</f>
        <v> X'indirizza Iqbal ta 'Allahabad ma Inspire?</v>
      </c>
    </row>
    <row r="9727" ht="15.75" customHeight="1">
      <c r="A9727" s="2" t="s">
        <v>9727</v>
      </c>
      <c r="B9727" s="2" t="str">
        <f>IFERROR(__xludf.DUMMYFUNCTION("GOOGLETRANSLATE(A9727, ""en"", ""mt"")"),"aktar minn 60 fil-mija")</f>
        <v>aktar minn 60 fil-mija</v>
      </c>
    </row>
    <row r="9728" ht="15.75" customHeight="1">
      <c r="A9728" s="2" t="s">
        <v>9728</v>
      </c>
      <c r="B9728" s="2" t="str">
        <f>IFERROR(__xludf.DUMMYFUNCTION("GOOGLETRANSLATE(A9728, ""en"", ""mt"")"),"Iċ-ċili jista 'jkun ukoll x'tip?")</f>
        <v>Iċ-ċili jista 'jkun ukoll x'tip?</v>
      </c>
    </row>
    <row r="9729" ht="15.75" customHeight="1">
      <c r="A9729" s="2" t="s">
        <v>9729</v>
      </c>
      <c r="B9729" s="2" t="str">
        <f>IFERROR(__xludf.DUMMYFUNCTION("GOOGLETRANSLATE(A9729, ""en"", ""mt"")"),"Min għandu potenzjal produttiv limitat meta jiffaċċja inqas aċċess għall-edukazzjoni?")</f>
        <v>Min għandu potenzjal produttiv limitat meta jiffaċċja inqas aċċess għall-edukazzjoni?</v>
      </c>
    </row>
    <row r="9730" ht="15.75" customHeight="1">
      <c r="A9730" s="2" t="s">
        <v>9730</v>
      </c>
      <c r="B9730" s="2" t="str">
        <f>IFERROR(__xludf.DUMMYFUNCTION("GOOGLETRANSLATE(A9730, ""en"", ""mt"")"),"X'kien komuni fl-istati mingħajr żidiet fil-popolazzjoni?")</f>
        <v>X'kien komuni fl-istati mingħajr żidiet fil-popolazzjoni?</v>
      </c>
    </row>
    <row r="9731" ht="15.75" customHeight="1">
      <c r="A9731" s="2" t="s">
        <v>9731</v>
      </c>
      <c r="B9731" s="2" t="str">
        <f>IFERROR(__xludf.DUMMYFUNCTION("GOOGLETRANSLATE(A9731, ""en"", ""mt"")"),"Defensins")</f>
        <v>Defensins</v>
      </c>
    </row>
    <row r="9732" ht="15.75" customHeight="1">
      <c r="A9732" s="2" t="s">
        <v>9732</v>
      </c>
      <c r="B9732" s="2" t="str">
        <f>IFERROR(__xludf.DUMMYFUNCTION("GOOGLETRANSLATE(A9732, ""en"", ""mt"")"),"Il-gvernijiet ingħaqdu biex joħolqu l-belt konsolidata ta 'Jacksonville")</f>
        <v>Il-gvernijiet ingħaqdu biex joħolqu l-belt konsolidata ta 'Jacksonville</v>
      </c>
    </row>
    <row r="9733" ht="15.75" customHeight="1">
      <c r="A9733" s="2" t="s">
        <v>9733</v>
      </c>
      <c r="B9733" s="2" t="str">
        <f>IFERROR(__xludf.DUMMYFUNCTION("GOOGLETRANSLATE(A9733, ""en"", ""mt"")"),"Fatturi kostanti u termini iżgħar")</f>
        <v>Fatturi kostanti u termini iżgħar</v>
      </c>
    </row>
    <row r="9734" ht="15.75" customHeight="1">
      <c r="A9734" s="2" t="s">
        <v>9734</v>
      </c>
      <c r="B9734" s="2" t="str">
        <f>IFERROR(__xludf.DUMMYFUNCTION("GOOGLETRANSLATE(A9734, ""en"", ""mt"")"),"Liema żona Huguenot hija magħżula bħala monument storiku?")</f>
        <v>Liema żona Huguenot hija magħżula bħala monument storiku?</v>
      </c>
    </row>
    <row r="9735" ht="15.75" customHeight="1">
      <c r="A9735" s="2" t="s">
        <v>9735</v>
      </c>
      <c r="B9735" s="2" t="str">
        <f>IFERROR(__xludf.DUMMYFUNCTION("GOOGLETRANSLATE(A9735, ""en"", ""mt"")"),"Għaliex huma attakkati ċelloli normali tal-ġisem miċ-ċelloli NK?")</f>
        <v>Għaliex huma attakkati ċelloli normali tal-ġisem miċ-ċelloli NK?</v>
      </c>
    </row>
    <row r="9736" ht="15.75" customHeight="1">
      <c r="A9736" s="2" t="s">
        <v>9736</v>
      </c>
      <c r="B9736" s="2" t="str">
        <f>IFERROR(__xludf.DUMMYFUNCTION("GOOGLETRANSLATE(A9736, ""en"", ""mt"")"),"Kolonjaliżmu")</f>
        <v>Kolonjaliżmu</v>
      </c>
    </row>
    <row r="9737" ht="15.75" customHeight="1">
      <c r="A9737" s="2" t="s">
        <v>9737</v>
      </c>
      <c r="B9737" s="2" t="str">
        <f>IFERROR(__xludf.DUMMYFUNCTION("GOOGLETRANSLATE(A9737, ""en"", ""mt"")"),"X'inhi l-effiċjenza teoretika ta 'Carnot ta' turbina?")</f>
        <v>X'inhi l-effiċjenza teoretika ta 'Carnot ta' turbina?</v>
      </c>
    </row>
    <row r="9738" ht="15.75" customHeight="1">
      <c r="A9738" s="2" t="s">
        <v>9738</v>
      </c>
      <c r="B9738" s="2" t="str">
        <f>IFERROR(__xludf.DUMMYFUNCTION("GOOGLETRANSLATE(A9738, ""en"", ""mt"")"),"L-ebda wieħed mit-trattati oriġinali li jistabbilixxu l-Unjoni Ewropea ma jissemma l-protezzjoni għad-drittijiet fundamentali. Ma kienx previst għal miżuri tal-Unjoni Ewropea, li huma azzjonijiet leġiżlattivi u amministrattivi mill-istituzzjonijiet tal-Un"&amp;"joni Ewropea, li jkunu soġġetti għad-drittijiet tal-bniedem. Dak iż-żmien l-uniku tħassib kien li l-Istati Membri għandhom jiġu evitati milli jiksru d-drittijiet tal-bniedem, u għalhekk it-twaqqif tal-Konvenzjoni Ewropea dwar id-Drittijiet tal-Bniedem fl-"&amp;"1950 u l-istabbiliment tal-Qorti Ewropea tad-Drittijiet tal-Bniedem. Il-Qorti Ewropea tal-Ġustizzja għarfet id-drittijiet fundamentali bħala prinċipju ġenerali tal-liġi tal-Unjoni Ewropea bħala l-ħtieġa li jiġi żgurat li l-miżuri tal-Unjoni Ewropea jkunu "&amp;"kompatibbli mad-drittijiet tal-bniedem minquxa fil-kostituzzjoni tal-Istati Membri saru dejjem aktar evidenti. Fl-1999 il-Kunsill Ewropew waqqaf korp inkarigat bl-abbozzar ta 'Karta Ewropea tad-Drittijiet tal-Bniedem, li jista' jifforma l-bażi kostituzzjo"&amp;"nali għall-Unjoni Ewropea u bħala tali mfassal speċifikament biex japplika għall-Unjoni Ewropea u l-istituzzjonijiet tagħha. Il-Karta tad-Drittijiet Fundamentali tal-Unjoni Ewropea tiġbed lista ta ’drittijiet fundamentali mill-Konvenzjoni Ewropea dwar id-"&amp;"Drittijiet tal-Bniedem u l-Libertajiet Fundamentali, id-Dikjarazzjoni dwar id-Drittijiet Fundamentali prodotti mill-Parlament Ewropew fl-1989 u t-Trattati tal-Unjoni Ewropea.")</f>
        <v>L-ebda wieħed mit-trattati oriġinali li jistabbilixxu l-Unjoni Ewropea ma jissemma l-protezzjoni għad-drittijiet fundamentali. Ma kienx previst għal miżuri tal-Unjoni Ewropea, li huma azzjonijiet leġiżlattivi u amministrattivi mill-istituzzjonijiet tal-Unjoni Ewropea, li jkunu soġġetti għad-drittijiet tal-bniedem. Dak iż-żmien l-uniku tħassib kien li l-Istati Membri għandhom jiġu evitati milli jiksru d-drittijiet tal-bniedem, u għalhekk it-twaqqif tal-Konvenzjoni Ewropea dwar id-Drittijiet tal-Bniedem fl-1950 u l-istabbiliment tal-Qorti Ewropea tad-Drittijiet tal-Bniedem. Il-Qorti Ewropea tal-Ġustizzja għarfet id-drittijiet fundamentali bħala prinċipju ġenerali tal-liġi tal-Unjoni Ewropea bħala l-ħtieġa li jiġi żgurat li l-miżuri tal-Unjoni Ewropea jkunu kompatibbli mad-drittijiet tal-bniedem minquxa fil-kostituzzjoni tal-Istati Membri saru dejjem aktar evidenti. Fl-1999 il-Kunsill Ewropew waqqaf korp inkarigat bl-abbozzar ta 'Karta Ewropea tad-Drittijiet tal-Bniedem, li jista' jifforma l-bażi kostituzzjonali għall-Unjoni Ewropea u bħala tali mfassal speċifikament biex japplika għall-Unjoni Ewropea u l-istituzzjonijiet tagħha. Il-Karta tad-Drittijiet Fundamentali tal-Unjoni Ewropea tiġbed lista ta ’drittijiet fundamentali mill-Konvenzjoni Ewropea dwar id-Drittijiet tal-Bniedem u l-Libertajiet Fundamentali, id-Dikjarazzjoni dwar id-Drittijiet Fundamentali prodotti mill-Parlament Ewropew fl-1989 u t-Trattati tal-Unjoni Ewropea.</v>
      </c>
    </row>
    <row r="9739" ht="15.75" customHeight="1">
      <c r="A9739" s="2" t="s">
        <v>9739</v>
      </c>
      <c r="B9739" s="2" t="str">
        <f>IFERROR(__xludf.DUMMYFUNCTION("GOOGLETRANSLATE(A9739, ""en"", ""mt"")"),"Ma nemminx fil-leġittimità ta 'xi gvern")</f>
        <v>Ma nemminx fil-leġittimità ta 'xi gvern</v>
      </c>
    </row>
    <row r="9740" ht="15.75" customHeight="1">
      <c r="A9740" s="2" t="s">
        <v>9740</v>
      </c>
      <c r="B9740" s="2" t="str">
        <f>IFERROR(__xludf.DUMMYFUNCTION("GOOGLETRANSLATE(A9740, ""en"", ""mt"")"),"Ġieħ tajjeb għall-waqgħa ta 'Varsavja u l-Istorja tal-Polonja jista' jinstab fil-Mużew tar-Rebbiegħa ta 'Varsavja u fil-Mużew Katyń li jippreserva l-memorja tal-kriminalità. Il-Mużew tar-Reviżjoni ta 'Varsavja jopera wkoll teatru sterjoskopiku storiku ppr"&amp;"eservat u rari, il-Varsavja Fotoplastikon. Il-Mużew tal-Indipendenza jippreserva oġġetti patrijottiċi u politiċi konnessi mal-ġlidiet tal-Polonja għall-indipendenza. Li tmur lura għall-1936 Il-Mużew Storiku ta ’Varsavja fih 60 kmamar li jospitaw wirja per"&amp;"manenti tal-istorja ta’ Varsavja mill-oriġini tagħha sal-lum.")</f>
        <v>Ġieħ tajjeb għall-waqgħa ta 'Varsavja u l-Istorja tal-Polonja jista' jinstab fil-Mużew tar-Rebbiegħa ta 'Varsavja u fil-Mużew Katyń li jippreserva l-memorja tal-kriminalità. Il-Mużew tar-Reviżjoni ta 'Varsavja jopera wkoll teatru sterjoskopiku storiku ppreservat u rari, il-Varsavja Fotoplastikon. Il-Mużew tal-Indipendenza jippreserva oġġetti patrijottiċi u politiċi konnessi mal-ġlidiet tal-Polonja għall-indipendenza. Li tmur lura għall-1936 Il-Mużew Storiku ta ’Varsavja fih 60 kmamar li jospitaw wirja permanenti tal-istorja ta’ Varsavja mill-oriġini tagħha sal-lum.</v>
      </c>
    </row>
    <row r="9741" ht="15.75" customHeight="1">
      <c r="A9741" s="2" t="s">
        <v>9741</v>
      </c>
      <c r="B9741" s="2" t="str">
        <f>IFERROR(__xludf.DUMMYFUNCTION("GOOGLETRANSLATE(A9741, ""en"", ""mt"")"),"Suite proprjetarja ta 'protokolli ta' netwerking")</f>
        <v>Suite proprjetarja ta 'protokolli ta' netwerking</v>
      </c>
    </row>
    <row r="9742" ht="15.75" customHeight="1">
      <c r="A9742" s="2" t="s">
        <v>9742</v>
      </c>
      <c r="B9742" s="2" t="str">
        <f>IFERROR(__xludf.DUMMYFUNCTION("GOOGLETRANSLATE(A9742, ""en"", ""mt"")"),"Minn liema tul huma avvenimenti taċ-ċiklu tal-magna meta jintużaw l-aktar gerijiet tal-valv sempliċi?")</f>
        <v>Minn liema tul huma avvenimenti taċ-ċiklu tal-magna meta jintużaw l-aktar gerijiet tal-valv sempliċi?</v>
      </c>
    </row>
    <row r="9743" ht="15.75" customHeight="1">
      <c r="A9743" s="2" t="s">
        <v>9743</v>
      </c>
      <c r="B9743" s="2" t="str">
        <f>IFERROR(__xludf.DUMMYFUNCTION("GOOGLETRANSLATE(A9743, ""en"", ""mt"")"),"Trotsky ħaseb dak li ma kienx meħtieġ għal rivoluzzjoni Russa vera.")</f>
        <v>Trotsky ħaseb dak li ma kienx meħtieġ għal rivoluzzjoni Russa vera.</v>
      </c>
    </row>
    <row r="9744" ht="15.75" customHeight="1">
      <c r="A9744" s="2" t="s">
        <v>9744</v>
      </c>
      <c r="B9744" s="2" t="str">
        <f>IFERROR(__xludf.DUMMYFUNCTION("GOOGLETRANSLATE(A9744, ""en"", ""mt"")"),"Min hu responsabbli għall-hekk imsejħa, teorema ta 'veloċità n-1974?")</f>
        <v>Min hu responsabbli għall-hekk imsejħa, teorema ta 'veloċità n-1974?</v>
      </c>
    </row>
    <row r="9745" ht="15.75" customHeight="1">
      <c r="A9745" s="2" t="s">
        <v>9745</v>
      </c>
      <c r="B9745" s="2" t="str">
        <f>IFERROR(__xludf.DUMMYFUNCTION("GOOGLETRANSLATE(A9745, ""en"", ""mt"")"),"Min jisfida lil Sofokli?")</f>
        <v>Min jisfida lil Sofokli?</v>
      </c>
    </row>
    <row r="9746" ht="15.75" customHeight="1">
      <c r="A9746" s="2" t="s">
        <v>9746</v>
      </c>
      <c r="B9746" s="2" t="str">
        <f>IFERROR(__xludf.DUMMYFUNCTION("GOOGLETRANSLATE(A9746, ""en"", ""mt"")"),"Kemm Amerikani huma aktar sinjuri minn inqas minn nofs iċ-ċittadini kollha?")</f>
        <v>Kemm Amerikani huma aktar sinjuri minn inqas minn nofs iċ-ċittadini kollha?</v>
      </c>
    </row>
    <row r="9747" ht="15.75" customHeight="1">
      <c r="A9747" s="2" t="s">
        <v>9747</v>
      </c>
      <c r="B9747" s="2" t="str">
        <f>IFERROR(__xludf.DUMMYFUNCTION("GOOGLETRANSLATE(A9747, ""en"", ""mt"")"),"is-sekli 16 u 17")</f>
        <v>is-sekli 16 u 17</v>
      </c>
    </row>
    <row r="9748" ht="15.75" customHeight="1">
      <c r="A9748" s="2" t="s">
        <v>9748</v>
      </c>
      <c r="B9748" s="2" t="str">
        <f>IFERROR(__xludf.DUMMYFUNCTION("GOOGLETRANSLATE(A9748, ""en"", ""mt"")"),"""Ħmar"")")</f>
        <v>"Ħmar")</v>
      </c>
    </row>
    <row r="9749" ht="15.75" customHeight="1">
      <c r="A9749" s="2" t="s">
        <v>9749</v>
      </c>
      <c r="B9749" s="2" t="str">
        <f>IFERROR(__xludf.DUMMYFUNCTION("GOOGLETRANSLATE(A9749, ""en"", ""mt"")"),"Meta nkiteb l-awtorevoli Brockhaus Enzyklopädie?")</f>
        <v>Meta nkiteb l-awtorevoli Brockhaus Enzyklopädie?</v>
      </c>
    </row>
    <row r="9750" ht="15.75" customHeight="1">
      <c r="A9750" s="2" t="s">
        <v>9750</v>
      </c>
      <c r="B9750" s="2" t="str">
        <f>IFERROR(__xludf.DUMMYFUNCTION("GOOGLETRANSLATE(A9750, ""en"", ""mt"")"),"Votazzjoni maġġoranza sempliċi")</f>
        <v>Votazzjoni maġġoranza sempliċi</v>
      </c>
    </row>
    <row r="9751" ht="15.75" customHeight="1">
      <c r="A9751" s="2" t="s">
        <v>9751</v>
      </c>
      <c r="B9751" s="2" t="str">
        <f>IFERROR(__xludf.DUMMYFUNCTION("GOOGLETRANSLATE(A9751, ""en"", ""mt"")"),"Padiljun Lavietes")</f>
        <v>Padiljun Lavietes</v>
      </c>
    </row>
    <row r="9752" ht="15.75" customHeight="1">
      <c r="A9752" s="2" t="s">
        <v>9752</v>
      </c>
      <c r="B9752" s="2" t="str">
        <f>IFERROR(__xludf.DUMMYFUNCTION("GOOGLETRANSLATE(A9752, ""en"", ""mt"")"),"X'tip ta 'gerijiet, flimkien ma' gerijiet tal-valv tal-poppet, użaw dħul separat u cutoffs ta 'tnixxija biex jagħtu avvenimenti ideali?")</f>
        <v>X'tip ta 'gerijiet, flimkien ma' gerijiet tal-valv tal-poppet, użaw dħul separat u cutoffs ta 'tnixxija biex jagħtu avvenimenti ideali?</v>
      </c>
    </row>
    <row r="9753" ht="15.75" customHeight="1">
      <c r="A9753" s="2" t="s">
        <v>9753</v>
      </c>
      <c r="B9753" s="2" t="str">
        <f>IFERROR(__xludf.DUMMYFUNCTION("GOOGLETRANSLATE(A9753, ""en"", ""mt"")"),"Il-problema ta 'fatturizzazzjoni sħiħa hija l-problema tal-komputazzjoni li tiddetermina l-fatturizzazzjoni ewlenija ta' numru sħiħ partikolari. Frased bħala problema ta 'deċiżjoni, hija l-problema li tiddeċiedi jekk l-input għandux fattur inqas minn k. L"&amp;"-ebda algoritmu ta 'fatturizzazzjoni sħiħ effiċjenti mhu magħruf, u dan il-fatt jifforma l-bażi ta' bosta sistemi kriptografiċi moderni, bħall-algoritmu RSA. Il-problema ta 'fatturizzazzjoni sħiħa hija f'NP u f'CO-NP (u anke f'UP u CO-UP). Jekk il-problem"&amp;"a hija kompluta NP, il-ġerarkija tal-ħin polinomjali se tiġġarraf għall-ewwel livell tagħha (i.e., NP se jkun indaqs ko-NP). L-aħjar algoritmu magħruf għall-fatturizzazzjoni sħiħa huwa l-passatur tal-qasam tan-numru ġenerali, li jieħu ż-żmien O (E (64/9) "&amp;"1/3 (n.log 2) 1/3 (log (n.log 2)) 2/3) Biex tiffranka numru sħiħ ta 'n-bit. Madankollu, l-iktar algoritmu kwantistiku magħruf għal din il-problema, l-algoritmu ta 'Shor, jaħdem fi żmien polinomjali. Sfortunatament, dan il-fatt ma jgħidx ħafna dwar fejn ti"&amp;"nsab il-problema fir-rigward ta 'klassijiet ta' kumplessità mhux kwanti.")</f>
        <v>Il-problema ta 'fatturizzazzjoni sħiħa hija l-problema tal-komputazzjoni li tiddetermina l-fatturizzazzjoni ewlenija ta' numru sħiħ partikolari. Frased bħala problema ta 'deċiżjoni, hija l-problema li tiddeċiedi jekk l-input għandux fattur inqas minn k. L-ebda algoritmu ta 'fatturizzazzjoni sħiħ effiċjenti mhu magħruf, u dan il-fatt jifforma l-bażi ta' bosta sistemi kriptografiċi moderni, bħall-algoritmu RSA. Il-problema ta 'fatturizzazzjoni sħiħa hija f'NP u f'CO-NP (u anke f'UP u CO-UP). Jekk il-problema hija kompluta NP, il-ġerarkija tal-ħin polinomjali se tiġġarraf għall-ewwel livell tagħha (i.e., NP se jkun indaqs ko-NP). L-aħjar algoritmu magħruf għall-fatturizzazzjoni sħiħa huwa l-passatur tal-qasam tan-numru ġenerali, li jieħu ż-żmien O (E (64/9) 1/3 (n.log 2) 1/3 (log (n.log 2)) 2/3) Biex tiffranka numru sħiħ ta 'n-bit. Madankollu, l-iktar algoritmu kwantistiku magħruf għal din il-problema, l-algoritmu ta 'Shor, jaħdem fi żmien polinomjali. Sfortunatament, dan il-fatt ma jgħidx ħafna dwar fejn tinsab il-problema fir-rigward ta 'klassijiet ta' kumplessità mhux kwanti.</v>
      </c>
    </row>
    <row r="9754" ht="15.75" customHeight="1">
      <c r="A9754" s="2" t="s">
        <v>9754</v>
      </c>
      <c r="B9754" s="2" t="str">
        <f>IFERROR(__xludf.DUMMYFUNCTION("GOOGLETRANSLATE(A9754, ""en"", ""mt"")"),"Liema kanali kienu dejjem disponibbli fuq in-netwerk?")</f>
        <v>Liema kanali kienu dejjem disponibbli fuq in-netwerk?</v>
      </c>
    </row>
    <row r="9755" ht="15.75" customHeight="1">
      <c r="A9755" s="2" t="s">
        <v>9755</v>
      </c>
      <c r="B9755" s="2" t="str">
        <f>IFERROR(__xludf.DUMMYFUNCTION("GOOGLETRANSLATE(A9755, ""en"", ""mt"")"),"X’teraġixxiet Jerne fuq il-bażi tas-CST?")</f>
        <v>X’teraġixxiet Jerne fuq il-bażi tas-CST?</v>
      </c>
    </row>
    <row r="9756" ht="15.75" customHeight="1">
      <c r="A9756" s="2" t="s">
        <v>9756</v>
      </c>
      <c r="B9756" s="2" t="str">
        <f>IFERROR(__xludf.DUMMYFUNCTION("GOOGLETRANSLATE(A9756, ""en"", ""mt"")"),"Min Robert mexxa mill-ġdid Dyrrachium fl-1107?")</f>
        <v>Min Robert mexxa mill-ġdid Dyrrachium fl-1107?</v>
      </c>
    </row>
    <row r="9757" ht="15.75" customHeight="1">
      <c r="A9757" s="2" t="s">
        <v>9757</v>
      </c>
      <c r="B9757" s="2" t="str">
        <f>IFERROR(__xludf.DUMMYFUNCTION("GOOGLETRANSLATE(A9757, ""en"", ""mt"")"),"Min qabel kienu alloġġjati fis-Sala Sever?")</f>
        <v>Min qabel kienu alloġġjati fis-Sala Sever?</v>
      </c>
    </row>
    <row r="9758" ht="15.75" customHeight="1">
      <c r="A9758" s="2" t="s">
        <v>9758</v>
      </c>
      <c r="B9758" s="2" t="str">
        <f>IFERROR(__xludf.DUMMYFUNCTION("GOOGLETRANSLATE(A9758, ""en"", ""mt"")"),"Perjodu ta 'migrazzjoni")</f>
        <v>Perjodu ta 'migrazzjoni</v>
      </c>
    </row>
    <row r="9759" ht="15.75" customHeight="1">
      <c r="A9759" s="2" t="s">
        <v>9759</v>
      </c>
      <c r="B9759" s="2" t="str">
        <f>IFERROR(__xludf.DUMMYFUNCTION("GOOGLETRANSLATE(A9759, ""en"", ""mt"")"),"paċi")</f>
        <v>paċi</v>
      </c>
    </row>
    <row r="9760" ht="15.75" customHeight="1">
      <c r="A9760" s="2" t="s">
        <v>9760</v>
      </c>
      <c r="B9760" s="2" t="str">
        <f>IFERROR(__xludf.DUMMYFUNCTION("GOOGLETRANSLATE(A9760, ""en"", ""mt"")"),"Harvard kien ikklassifikat ħafna minn bosta klassifiki universitarji. B'mod partikolari, hija kkonkludiet b'mod konsistenti l-klassifika akkademika ta 'universitajiet dinjija (ARWU) mill-2003, u l-klassifiki ta' reputazzjoni dinjija mill-2011, meta ġew ip"&amp;"pubblikati l-ewwel darba tali tabelli tal-kampjonat. Meta l-QS and Times ġew ippubblikati fi sħubija bħala l-klassifika tal-Università Dinjija tal-QS matul l-2004-2009, Harvard kien ukoll meqjus l-ewwel wieħed kull sena. Il-programm undergraduate tal-univ"&amp;"ersità kien kontinwament fost l-aqwa tnejn fir-Rapport tal-Aħbarijiet u Dinjija tal-Istati Uniti. Fl-2014, Harvard qabeż il-klassifika tal-università permezz ta ’prestazzjoni akkademika (URAP). Ġie kklassifikat it-8 fir-Rapport tas-Salarju tal-Kulleġġ Pay"&amp;"scale 2013-2014 u l-14-il sena fuq il-klassifikazzjonijiet tal-valur tal-Edukazzjoni tal-Kulleġġ Payscale 2013. Minn stħarriġ magħmul mir-Reviżjoni ta 'Princeton, Harvard huwa t-tieni l-iktar komunement imsejjaħ ""Dream College"", kemm għall-istudenti kif"&amp;" ukoll għall-ġenituri fl-2013, u kien l-ewwel nominat mill-ġenituri fl-2009. Fl-2011. Fl-2011, il-Minjieri Paristich: Universitajiet tad-Dinja tal-Klassifikazzjoni Professjonali Ikklassifikat l-1 Università ta 'Harvard fid-Dinja f'termini ta' numru ta 'po"&amp;"żizzjoni ta' CEO ta 'Alumni f'Fortune Global 500 Company.")</f>
        <v>Harvard kien ikklassifikat ħafna minn bosta klassifiki universitarji. B'mod partikolari, hija kkonkludiet b'mod konsistenti l-klassifika akkademika ta 'universitajiet dinjija (ARWU) mill-2003, u l-klassifiki ta' reputazzjoni dinjija mill-2011, meta ġew ippubblikati l-ewwel darba tali tabelli tal-kampjonat. Meta l-QS and Times ġew ippubblikati fi sħubija bħala l-klassifika tal-Università Dinjija tal-QS matul l-2004-2009, Harvard kien ukoll meqjus l-ewwel wieħed kull sena. Il-programm undergraduate tal-università kien kontinwament fost l-aqwa tnejn fir-Rapport tal-Aħbarijiet u Dinjija tal-Istati Uniti. Fl-2014, Harvard qabeż il-klassifika tal-università permezz ta ’prestazzjoni akkademika (URAP). Ġie kklassifikat it-8 fir-Rapport tas-Salarju tal-Kulleġġ Payscale 2013-2014 u l-14-il sena fuq il-klassifikazzjonijiet tal-valur tal-Edukazzjoni tal-Kulleġġ Payscale 2013. Minn stħarriġ magħmul mir-Reviżjoni ta 'Princeton, Harvard huwa t-tieni l-iktar komunement imsejjaħ "Dream College", kemm għall-istudenti kif ukoll għall-ġenituri fl-2013, u kien l-ewwel nominat mill-ġenituri fl-2009. Fl-2011. Fl-2011, il-Minjieri Paristich: Universitajiet tad-Dinja tal-Klassifikazzjoni Professjonali Ikklassifikat l-1 Università ta 'Harvard fid-Dinja f'termini ta' numru ta 'pożizzjoni ta' CEO ta 'Alumni f'Fortune Global 500 Company.</v>
      </c>
    </row>
    <row r="9761" ht="15.75" customHeight="1">
      <c r="A9761" s="2" t="s">
        <v>9761</v>
      </c>
      <c r="B9761" s="2" t="str">
        <f>IFERROR(__xludf.DUMMYFUNCTION("GOOGLETRANSLATE(A9761, ""en"", ""mt"")"),"kanal ciliary")</f>
        <v>kanal ciliary</v>
      </c>
    </row>
    <row r="9762" ht="15.75" customHeight="1">
      <c r="A9762" s="2" t="s">
        <v>9762</v>
      </c>
      <c r="B9762" s="2" t="str">
        <f>IFERROR(__xludf.DUMMYFUNCTION("GOOGLETRANSLATE(A9762, ""en"", ""mt"")"),"Kemm dorms residenzjali tad-dar tal-klassi għolja, sophomore, jr, u studenti SR?")</f>
        <v>Kemm dorms residenzjali tad-dar tal-klassi għolja, sophomore, jr, u studenti SR?</v>
      </c>
    </row>
    <row r="9763" ht="15.75" customHeight="1">
      <c r="A9763" s="2" t="s">
        <v>9763</v>
      </c>
      <c r="B9763" s="2" t="str">
        <f>IFERROR(__xludf.DUMMYFUNCTION("GOOGLETRANSLATE(A9763, ""en"", ""mt"")"),"Fejn qatlu Brittaniċi ħafna Akkadjani?")</f>
        <v>Fejn qatlu Brittaniċi ħafna Akkadjani?</v>
      </c>
    </row>
    <row r="9764" ht="15.75" customHeight="1">
      <c r="A9764" s="2" t="s">
        <v>9764</v>
      </c>
      <c r="B9764" s="2" t="str">
        <f>IFERROR(__xludf.DUMMYFUNCTION("GOOGLETRANSLATE(A9764, ""en"", ""mt"")"),"Meta nqabżet il-produzzjoni taż-żejt tal-OPEC?")</f>
        <v>Meta nqabżet il-produzzjoni taż-żejt tal-OPEC?</v>
      </c>
    </row>
    <row r="9765" ht="15.75" customHeight="1">
      <c r="A9765" s="2" t="s">
        <v>9765</v>
      </c>
      <c r="B9765" s="2" t="str">
        <f>IFERROR(__xludf.DUMMYFUNCTION("GOOGLETRANSLATE(A9765, ""en"", ""mt"")"),"Min iddisinja l-korsa tal-golf li tinsab fis-Sunnyside Country Club?")</f>
        <v>Min iddisinja l-korsa tal-golf li tinsab fis-Sunnyside Country Club?</v>
      </c>
    </row>
    <row r="9766" ht="15.75" customHeight="1">
      <c r="A9766" s="2" t="s">
        <v>9766</v>
      </c>
      <c r="B9766" s="2" t="str">
        <f>IFERROR(__xludf.DUMMYFUNCTION("GOOGLETRANSLATE(A9766, ""en"", ""mt"")"),"Sema tilfet kemm pakketti?")</f>
        <v>Sema tilfet kemm pakketti?</v>
      </c>
    </row>
    <row r="9767" ht="15.75" customHeight="1">
      <c r="A9767" s="2" t="s">
        <v>9767</v>
      </c>
      <c r="B9767" s="2" t="str">
        <f>IFERROR(__xludf.DUMMYFUNCTION("GOOGLETRANSLATE(A9767, ""en"", ""mt"")"),"Liema ċertifikati għandhom jaħdmu l-iskejjel privati ​​mad-dinja kollha?")</f>
        <v>Liema ċertifikati għandhom jaħdmu l-iskejjel privati ​​mad-dinja kollha?</v>
      </c>
    </row>
    <row r="9768" ht="15.75" customHeight="1">
      <c r="A9768" s="2" t="s">
        <v>9768</v>
      </c>
      <c r="B9768" s="2" t="str">
        <f>IFERROR(__xludf.DUMMYFUNCTION("GOOGLETRANSLATE(A9768, ""en"", ""mt"")"),"Wara liema sena kienet qed tgħaqqad ta 'spiss fil-magni tal-baħar?")</f>
        <v>Wara liema sena kienet qed tgħaqqad ta 'spiss fil-magni tal-baħar?</v>
      </c>
    </row>
    <row r="9769" ht="15.75" customHeight="1">
      <c r="A9769" s="2" t="s">
        <v>9769</v>
      </c>
      <c r="B9769" s="2" t="str">
        <f>IFERROR(__xludf.DUMMYFUNCTION("GOOGLETRANSLATE(A9769, ""en"", ""mt"")"),"L-Iran għen liema tip ta 'gruppi fl-Iraq?")</f>
        <v>L-Iran għen liema tip ta 'gruppi fl-Iraq?</v>
      </c>
    </row>
    <row r="9770" ht="15.75" customHeight="1">
      <c r="A9770" s="2" t="s">
        <v>9770</v>
      </c>
      <c r="B9770" s="2" t="str">
        <f>IFERROR(__xludf.DUMMYFUNCTION("GOOGLETRANSLATE(A9770, ""en"", ""mt"")"),"Bosta algoritmi ta 'kriptografija ta' ċavetta pubblika, bħal RSA u l-iskambju ewlieni Diffie-Hellman, huma bbażati fuq numri ewlenin kbar (per eżempju, primes ta '512-bit huma ta' spiss użati għal RSA u 1024-bit primes huma tipiċi għal Diffie - Hellman.) "&amp;"Jonqos L-RSA tiddependi fuq is-suppożizzjoni li huwa ħafna iktar faċli (i.e., aktar effiċjenti) li twettaq il-multiplikazzjoni ta 'żewġ numri (kbar) X u Y milli tikkalkula X u Y (koprime assunt) jekk il-prodott XY biss huwa magħruf. L-iskambju ta 'ċavetta"&amp;" Diffie-Hellman jiddependi fuq il-fatt li hemm algoritmi effiċjenti għall-esponenzjazzjoni modulari, filwaqt li l-operazzjoni inversa l-logaritmu diskret huwa maħsub li huwa problema iebsa.")</f>
        <v>Bosta algoritmi ta 'kriptografija ta' ċavetta pubblika, bħal RSA u l-iskambju ewlieni Diffie-Hellman, huma bbażati fuq numri ewlenin kbar (per eżempju, primes ta '512-bit huma ta' spiss użati għal RSA u 1024-bit primes huma tipiċi għal Diffie - Hellman.) Jonqos L-RSA tiddependi fuq is-suppożizzjoni li huwa ħafna iktar faċli (i.e., aktar effiċjenti) li twettaq il-multiplikazzjoni ta 'żewġ numri (kbar) X u Y milli tikkalkula X u Y (koprime assunt) jekk il-prodott XY biss huwa magħruf. L-iskambju ta 'ċavetta Diffie-Hellman jiddependi fuq il-fatt li hemm algoritmi effiċjenti għall-esponenzjazzjoni modulari, filwaqt li l-operazzjoni inversa l-logaritmu diskret huwa maħsub li huwa problema iebsa.</v>
      </c>
    </row>
    <row r="9771" ht="15.75" customHeight="1">
      <c r="A9771" s="2" t="s">
        <v>9771</v>
      </c>
      <c r="B9771" s="2" t="str">
        <f>IFERROR(__xludf.DUMMYFUNCTION("GOOGLETRANSLATE(A9771, ""en"", ""mt"")"),"Meta ħarġet il-karta tal-patoġeni PLOS?")</f>
        <v>Meta ħarġet il-karta tal-patoġeni PLOS?</v>
      </c>
    </row>
    <row r="9772" ht="15.75" customHeight="1">
      <c r="A9772" s="2" t="s">
        <v>9772</v>
      </c>
      <c r="B9772" s="2" t="str">
        <f>IFERROR(__xludf.DUMMYFUNCTION("GOOGLETRANSLATE(A9772, ""en"", ""mt"")"),"Liema forzi jistgħu jiġu mmudellati bl-użu ta 'kordi tal-massa ideali?")</f>
        <v>Liema forzi jistgħu jiġu mmudellati bl-użu ta 'kordi tal-massa ideali?</v>
      </c>
    </row>
    <row r="9773" ht="15.75" customHeight="1">
      <c r="A9773" s="2" t="s">
        <v>9773</v>
      </c>
      <c r="B9773" s="2" t="str">
        <f>IFERROR(__xludf.DUMMYFUNCTION("GOOGLETRANSLATE(A9773, ""en"", ""mt"")"),"Madwar wieħed minn tmienja n-numru")</f>
        <v>Madwar wieħed minn tmienja n-numru</v>
      </c>
    </row>
    <row r="9774" ht="15.75" customHeight="1">
      <c r="A9774" s="2" t="s">
        <v>9774</v>
      </c>
      <c r="B9774" s="2" t="str">
        <f>IFERROR(__xludf.DUMMYFUNCTION("GOOGLETRANSLATE(A9774, ""en"", ""mt"")"),"edukazzjoni għolja")</f>
        <v>edukazzjoni għolja</v>
      </c>
    </row>
    <row r="9775" ht="15.75" customHeight="1">
      <c r="A9775" s="2" t="s">
        <v>9775</v>
      </c>
      <c r="B9775" s="2" t="str">
        <f>IFERROR(__xludf.DUMMYFUNCTION("GOOGLETRANSLATE(A9775, ""en"", ""mt"")"),"pajjiżi")</f>
        <v>pajjiżi</v>
      </c>
    </row>
    <row r="9776" ht="15.75" customHeight="1">
      <c r="A9776" s="2" t="s">
        <v>9776</v>
      </c>
      <c r="B9776" s="2" t="str">
        <f>IFERROR(__xludf.DUMMYFUNCTION("GOOGLETRANSLATE(A9776, ""en"", ""mt"")"),"appoġġja n-neo-konfuċjaniżmu ta 'Zhu XI u ddedika ruħu wkoll fil-Buddiżmu")</f>
        <v>appoġġja n-neo-konfuċjaniżmu ta 'Zhu XI u ddedika ruħu wkoll fil-Buddiżmu</v>
      </c>
    </row>
    <row r="9777" ht="15.75" customHeight="1">
      <c r="A9777" s="2" t="s">
        <v>9777</v>
      </c>
      <c r="B9777" s="2" t="str">
        <f>IFERROR(__xludf.DUMMYFUNCTION("GOOGLETRANSLATE(A9777, ""en"", ""mt"")"),"Teorija tan-numri alġebriċi")</f>
        <v>Teorija tan-numri alġebriċi</v>
      </c>
    </row>
    <row r="9778" ht="15.75" customHeight="1">
      <c r="A9778" s="2" t="s">
        <v>9778</v>
      </c>
      <c r="B9778" s="2" t="str">
        <f>IFERROR(__xludf.DUMMYFUNCTION("GOOGLETRANSLATE(A9778, ""en"", ""mt"")"),"Gwerra ta 'Seba' Snin")</f>
        <v>Gwerra ta 'Seba' Snin</v>
      </c>
    </row>
    <row r="9779" ht="15.75" customHeight="1">
      <c r="A9779" s="2" t="s">
        <v>9779</v>
      </c>
      <c r="B9779" s="2" t="str">
        <f>IFERROR(__xludf.DUMMYFUNCTION("GOOGLETRANSLATE(A9779, ""en"", ""mt"")"),"X'inhuma l-iktar speċi tal-ġeneru Ocryopsis maħsuba li huma?")</f>
        <v>X'inhuma l-iktar speċi tal-ġeneru Ocryopsis maħsuba li huma?</v>
      </c>
    </row>
    <row r="9780" ht="15.75" customHeight="1">
      <c r="A9780" s="2" t="s">
        <v>9780</v>
      </c>
      <c r="B9780" s="2" t="str">
        <f>IFERROR(__xludf.DUMMYFUNCTION("GOOGLETRANSLATE(A9780, ""en"", ""mt"")"),"3,000 mil")</f>
        <v>3,000 mil</v>
      </c>
    </row>
    <row r="9781" ht="15.75" customHeight="1">
      <c r="A9781" s="2" t="s">
        <v>9781</v>
      </c>
      <c r="B9781" s="2" t="str">
        <f>IFERROR(__xludf.DUMMYFUNCTION("GOOGLETRANSLATE(A9781, ""en"", ""mt"")"),"1, 2, u n")</f>
        <v>1, 2, u n</v>
      </c>
    </row>
    <row r="9782" ht="15.75" customHeight="1">
      <c r="A9782" s="2" t="s">
        <v>9782</v>
      </c>
      <c r="B9782" s="2" t="str">
        <f>IFERROR(__xludf.DUMMYFUNCTION("GOOGLETRANSLATE(A9782, ""en"", ""mt"")"),"Inġiniera tal-ispejjeż u estimaturi")</f>
        <v>Inġiniera tal-ispejjeż u estimaturi</v>
      </c>
    </row>
    <row r="9783" ht="15.75" customHeight="1">
      <c r="A9783" s="2" t="s">
        <v>9783</v>
      </c>
      <c r="B9783" s="2" t="str">
        <f>IFERROR(__xludf.DUMMYFUNCTION("GOOGLETRANSLATE(A9783, ""en"", ""mt"")"),"X'inhi l-librerija taċ-ċentru fis-sistema tal-librerija ta 'Harvard?")</f>
        <v>X'inhi l-librerija taċ-ċentru fis-sistema tal-librerija ta 'Harvard?</v>
      </c>
    </row>
    <row r="9784" ht="15.75" customHeight="1">
      <c r="A9784" s="2" t="s">
        <v>9784</v>
      </c>
      <c r="B9784" s="2" t="str">
        <f>IFERROR(__xludf.DUMMYFUNCTION("GOOGLETRANSLATE(A9784, ""en"", ""mt"")"),"16 ta ’Ottubru, 1973")</f>
        <v>16 ta ’Ottubru, 1973</v>
      </c>
    </row>
    <row r="9785" ht="15.75" customHeight="1">
      <c r="A9785" s="2" t="s">
        <v>9785</v>
      </c>
      <c r="B9785" s="2" t="str">
        <f>IFERROR(__xludf.DUMMYFUNCTION("GOOGLETRANSLATE(A9785, ""en"", ""mt"")"),"Disponibbiltà tal-Bibbja f'lingwi vernakulari")</f>
        <v>Disponibbiltà tal-Bibbja f'lingwi vernakulari</v>
      </c>
    </row>
    <row r="9786" ht="15.75" customHeight="1">
      <c r="A9786" s="2" t="s">
        <v>9786</v>
      </c>
      <c r="B9786" s="2" t="str">
        <f>IFERROR(__xludf.DUMMYFUNCTION("GOOGLETRANSLATE(A9786, ""en"", ""mt"")"),"X'kien żviluppat fl-1980?")</f>
        <v>X'kien żviluppat fl-1980?</v>
      </c>
    </row>
    <row r="9787" ht="15.75" customHeight="1">
      <c r="A9787" s="2" t="s">
        <v>9787</v>
      </c>
      <c r="B9787" s="2" t="str">
        <f>IFERROR(__xludf.DUMMYFUNCTION("GOOGLETRANSLATE(A9787, ""en"", ""mt"")"),"Impjant tat-turbina tal-fwar")</f>
        <v>Impjant tat-turbina tal-fwar</v>
      </c>
    </row>
    <row r="9788" ht="15.75" customHeight="1">
      <c r="A9788" s="2" t="s">
        <v>9788</v>
      </c>
      <c r="B9788" s="2" t="str">
        <f>IFERROR(__xludf.DUMMYFUNCTION("GOOGLETRANSLATE(A9788, ""en"", ""mt"")"),"Liema sena l-prezz taż-żejt waqa 'għal $ 10 kull barmil?")</f>
        <v>Liema sena l-prezz taż-żejt waqa 'għal $ 10 kull barmil?</v>
      </c>
    </row>
    <row r="9789" ht="15.75" customHeight="1">
      <c r="A9789" s="2" t="s">
        <v>9789</v>
      </c>
      <c r="B9789" s="2" t="str">
        <f>IFERROR(__xludf.DUMMYFUNCTION("GOOGLETRANSLATE(A9789, ""en"", ""mt"")"),"F'liema parti tal-belt ir-residenti sofrew minn nuqqas ta 'servizzi tal-belt?")</f>
        <v>F'liema parti tal-belt ir-residenti sofrew minn nuqqas ta 'servizzi tal-belt?</v>
      </c>
    </row>
    <row r="9790" ht="15.75" customHeight="1">
      <c r="A9790" s="2" t="s">
        <v>9790</v>
      </c>
      <c r="B9790" s="2" t="str">
        <f>IFERROR(__xludf.DUMMYFUNCTION("GOOGLETRANSLATE(A9790, ""en"", ""mt"")"),"Biex tnaqqas l-ispejjeż u timmassimizza l-profitti")</f>
        <v>Biex tnaqqas l-ispejjeż u timmassimizza l-profitti</v>
      </c>
    </row>
    <row r="9791" ht="15.75" customHeight="1">
      <c r="A9791" s="2" t="s">
        <v>9791</v>
      </c>
      <c r="B9791" s="2" t="str">
        <f>IFERROR(__xludf.DUMMYFUNCTION("GOOGLETRANSLATE(A9791, ""en"", ""mt"")"),"L-isem ta 'Varsavja fil-lingwa Pollakka huwa Warszawa, bejn wieħed u ieħor / vɑːrˈʃɑːvə / (li qabel kien ukoll spelt Warszewa u Warszowa), li jfisser ""li jappartjeni għal Warsz"", Warsz hija forma mqassra ta' l-isem maskili ta 'oriġini Slava ta' oriġini "&amp;"Slavi Warcisław; Ara wkoll Etimoloġija ta ’Wrocław. L-etimoloġija folkloristika tattribwixxi l-isem tal-belt lil sajjied, gwerer, u martu, Sawa. Skond il-leġġenda, Sawa kienet sirena li tgħix fix-xmara Vistula li magħha l-gwerer inħobbu. Fil-verità, Warsz"&amp;" kien nobbli tas-seklu 12/13 li kellu raħal li jinsab fis-sit tal-ġurnata moderna tal-viċinat ta 'Mariensztat. Ara wkoll il-familja Vršovci li kienet ħarbet lejn il-Polonja. L-isem uffiċjali tal-belt kollu huwa Miasto Stołeczne Warszawa (Ingliż: ""Il-Belt"&amp;" Kapitali ta 'Varsavja""). Nattiv jew residenti ta 'Varsavja huwa magħruf bħala Varsovian - fil-Pollakk Warszawiak (raġel), Warszawianka (mara), Warszawiacy (plural).")</f>
        <v>L-isem ta 'Varsavja fil-lingwa Pollakka huwa Warszawa, bejn wieħed u ieħor / vɑːrˈʃɑːvə / (li qabel kien ukoll spelt Warszewa u Warszowa), li jfisser "li jappartjeni għal Warsz", Warsz hija forma mqassra ta' l-isem maskili ta 'oriġini Slava ta' oriġini Slavi Warcisław; Ara wkoll Etimoloġija ta ’Wrocław. L-etimoloġija folkloristika tattribwixxi l-isem tal-belt lil sajjied, gwerer, u martu, Sawa. Skond il-leġġenda, Sawa kienet sirena li tgħix fix-xmara Vistula li magħha l-gwerer inħobbu. Fil-verità, Warsz kien nobbli tas-seklu 12/13 li kellu raħal li jinsab fis-sit tal-ġurnata moderna tal-viċinat ta 'Mariensztat. Ara wkoll il-familja Vršovci li kienet ħarbet lejn il-Polonja. L-isem uffiċjali tal-belt kollu huwa Miasto Stołeczne Warszawa (Ingliż: "Il-Belt Kapitali ta 'Varsavja"). Nattiv jew residenti ta 'Varsavja huwa magħruf bħala Varsovian - fil-Pollakk Warszawiak (raġel), Warszawianka (mara), Warszawiacy (plural).</v>
      </c>
    </row>
    <row r="9792" ht="15.75" customHeight="1">
      <c r="A9792" s="2" t="s">
        <v>9792</v>
      </c>
      <c r="B9792" s="2" t="str">
        <f>IFERROR(__xludf.DUMMYFUNCTION("GOOGLETRANSLATE(A9792, ""en"", ""mt"")"),"X'inhi waħda mill-funzjonijiet minuri tal-IPCC?")</f>
        <v>X'inhi waħda mill-funzjonijiet minuri tal-IPCC?</v>
      </c>
    </row>
    <row r="9793" ht="15.75" customHeight="1">
      <c r="A9793" s="2" t="s">
        <v>9793</v>
      </c>
      <c r="B9793" s="2" t="str">
        <f>IFERROR(__xludf.DUMMYFUNCTION("GOOGLETRANSLATE(A9793, ""en"", ""mt"")"),"Id-diviżjoni tal-prova tinvolvi d-diviżjoni N minn kull numru sħiħ m akbar minn dak?")</f>
        <v>Id-diviżjoni tal-prova tinvolvi d-diviżjoni N minn kull numru sħiħ m akbar minn dak?</v>
      </c>
    </row>
    <row r="9794" ht="15.75" customHeight="1">
      <c r="A9794" s="2" t="s">
        <v>9794</v>
      </c>
      <c r="B9794" s="2" t="str">
        <f>IFERROR(__xludf.DUMMYFUNCTION("GOOGLETRANSLATE(A9794, ""en"", ""mt"")"),"Liema persentaġġ tal-irziezet tal-ħalib tal-Awstralja jinstabu fir-Rabat?")</f>
        <v>Liema persentaġġ tal-irziezet tal-ħalib tal-Awstralja jinstabu fir-Rabat?</v>
      </c>
    </row>
    <row r="9795" ht="15.75" customHeight="1">
      <c r="A9795" s="2" t="s">
        <v>9795</v>
      </c>
      <c r="B9795" s="2" t="str">
        <f>IFERROR(__xludf.DUMMYFUNCTION("GOOGLETRANSLATE(A9795, ""en"", ""mt"")"),"X'għandu jiddefinixxi sett ikbar ta 'problemi?")</f>
        <v>X'għandu jiddefinixxi sett ikbar ta 'problemi?</v>
      </c>
    </row>
    <row r="9796" ht="15.75" customHeight="1">
      <c r="A9796" s="2" t="s">
        <v>9796</v>
      </c>
      <c r="B9796" s="2" t="str">
        <f>IFERROR(__xludf.DUMMYFUNCTION("GOOGLETRANSLATE(A9796, ""en"", ""mt"")"),"Il-Ġnien Sassonu")</f>
        <v>Il-Ġnien Sassonu</v>
      </c>
    </row>
    <row r="9797" ht="15.75" customHeight="1">
      <c r="A9797" s="2" t="s">
        <v>9797</v>
      </c>
      <c r="B9797" s="2" t="str">
        <f>IFERROR(__xludf.DUMMYFUNCTION("GOOGLETRANSLATE(A9797, ""en"", ""mt"")"),"Mpeg-2")</f>
        <v>Mpeg-2</v>
      </c>
    </row>
    <row r="9798" ht="15.75" customHeight="1">
      <c r="A9798" s="2" t="s">
        <v>9798</v>
      </c>
      <c r="B9798" s="2" t="str">
        <f>IFERROR(__xludf.DUMMYFUNCTION("GOOGLETRANSLATE(A9798, ""en"", ""mt"")"),"Min kien influwenza lil Arpanet?")</f>
        <v>Min kien influwenza lil Arpanet?</v>
      </c>
    </row>
    <row r="9799" ht="15.75" customHeight="1">
      <c r="A9799" s="2" t="s">
        <v>9799</v>
      </c>
      <c r="B9799" s="2" t="str">
        <f>IFERROR(__xludf.DUMMYFUNCTION("GOOGLETRANSLATE(A9799, ""en"", ""mt"")"),"Min kienu tnejn mill-konsulenti Ċiniżi ta 'Kublai?")</f>
        <v>Min kienu tnejn mill-konsulenti Ċiniżi ta 'Kublai?</v>
      </c>
    </row>
    <row r="9800" ht="15.75" customHeight="1">
      <c r="A9800" s="2" t="s">
        <v>9800</v>
      </c>
      <c r="B9800" s="2" t="str">
        <f>IFERROR(__xludf.DUMMYFUNCTION("GOOGLETRANSLATE(A9800, ""en"", ""mt"")"),"East End")</f>
        <v>East End</v>
      </c>
    </row>
    <row r="9801" ht="15.75" customHeight="1">
      <c r="A9801" s="2" t="s">
        <v>9801</v>
      </c>
      <c r="B9801" s="2" t="str">
        <f>IFERROR(__xludf.DUMMYFUNCTION("GOOGLETRANSLATE(A9801, ""en"", ""mt"")"),"Prinċipalment fil-Lbiċ ta 'Franza")</f>
        <v>Prinċipalment fil-Lbiċ ta 'Franza</v>
      </c>
    </row>
    <row r="9802" ht="15.75" customHeight="1">
      <c r="A9802" s="2" t="s">
        <v>9802</v>
      </c>
      <c r="B9802" s="2" t="str">
        <f>IFERROR(__xludf.DUMMYFUNCTION("GOOGLETRANSLATE(A9802, ""en"", ""mt"")"),"Dubbidjenza ċivili mhux rivoluzzjonarja")</f>
        <v>Dubbidjenza ċivili mhux rivoluzzjonarja</v>
      </c>
    </row>
    <row r="9803" ht="15.75" customHeight="1">
      <c r="A9803" s="2" t="s">
        <v>9803</v>
      </c>
      <c r="B9803" s="2" t="str">
        <f>IFERROR(__xludf.DUMMYFUNCTION("GOOGLETRANSLATE(A9803, ""en"", ""mt"")"),"Dokumenti Xjentifiċi u Riżultati Dokumentati b'mod Indipendenti")</f>
        <v>Dokumenti Xjentifiċi u Riżultati Dokumentati b'mod Indipendenti</v>
      </c>
    </row>
    <row r="9804" ht="15.75" customHeight="1">
      <c r="A9804" s="2" t="s">
        <v>9804</v>
      </c>
      <c r="B9804" s="2" t="str">
        <f>IFERROR(__xludf.DUMMYFUNCTION("GOOGLETRANSLATE(A9804, ""en"", ""mt"")"),"Liema partijiet ta 'magna tal-fwar reċiprokanti konvenzjonali jistgħu jiġu sostitwiti b'magna li jdur mingħajr piston?")</f>
        <v>Liema partijiet ta 'magna tal-fwar reċiprokanti konvenzjonali jistgħu jiġu sostitwiti b'magna li jdur mingħajr piston?</v>
      </c>
    </row>
    <row r="9805" ht="15.75" customHeight="1">
      <c r="A9805" s="2" t="s">
        <v>9805</v>
      </c>
      <c r="B9805" s="2" t="str">
        <f>IFERROR(__xludf.DUMMYFUNCTION("GOOGLETRANSLATE(A9805, ""en"", ""mt"")"),"Ħin ta 'Cambrian")</f>
        <v>Ħin ta 'Cambrian</v>
      </c>
    </row>
    <row r="9806" ht="15.75" customHeight="1">
      <c r="A9806" s="2" t="s">
        <v>9806</v>
      </c>
      <c r="B9806" s="2" t="str">
        <f>IFERROR(__xludf.DUMMYFUNCTION("GOOGLETRANSLATE(A9806, ""en"", ""mt"")"),"X'tip ta 'sentenzi ngħataw id-dimostranti?")</f>
        <v>X'tip ta 'sentenzi ngħataw id-dimostranti?</v>
      </c>
    </row>
    <row r="9807" ht="15.75" customHeight="1">
      <c r="A9807" s="2" t="s">
        <v>9807</v>
      </c>
      <c r="B9807" s="2" t="str">
        <f>IFERROR(__xludf.DUMMYFUNCTION("GOOGLETRANSLATE(A9807, ""en"", ""mt"")"),"1986")</f>
        <v>1986</v>
      </c>
    </row>
    <row r="9808" ht="15.75" customHeight="1">
      <c r="A9808" s="2" t="s">
        <v>9808</v>
      </c>
      <c r="B9808" s="2" t="str">
        <f>IFERROR(__xludf.DUMMYFUNCTION("GOOGLETRANSLATE(A9808, ""en"", ""mt"")")," X'kien l-għadu Persjan tal-Yuan?")</f>
        <v> X'kien l-għadu Persjan tal-Yuan?</v>
      </c>
    </row>
    <row r="9809" ht="15.75" customHeight="1">
      <c r="A9809" s="2" t="s">
        <v>9809</v>
      </c>
      <c r="B9809" s="2" t="str">
        <f>IFERROR(__xludf.DUMMYFUNCTION("GOOGLETRANSLATE(A9809, ""en"", ""mt"")"),"48.8 ° C (119.8 ° F)")</f>
        <v>48.8 ° C (119.8 ° F)</v>
      </c>
    </row>
    <row r="9810" ht="15.75" customHeight="1">
      <c r="A9810" s="2" t="s">
        <v>9810</v>
      </c>
      <c r="B9810" s="2" t="str">
        <f>IFERROR(__xludf.DUMMYFUNCTION("GOOGLETRANSLATE(A9810, ""en"", ""mt"")"),"Fil-kwart tal-ħarifa tal-2014, kemm studenti ffirmaw għall-iskejjel professjonali tal-università?")</f>
        <v>Fil-kwart tal-ħarifa tal-2014, kemm studenti ffirmaw għall-iskejjel professjonali tal-università?</v>
      </c>
    </row>
    <row r="9811" ht="15.75" customHeight="1">
      <c r="A9811" s="2" t="s">
        <v>9811</v>
      </c>
      <c r="B9811" s="2" t="str">
        <f>IFERROR(__xludf.DUMMYFUNCTION("GOOGLETRANSLATE(A9811, ""en"", ""mt"")"),"2004")</f>
        <v>2004</v>
      </c>
    </row>
    <row r="9812" ht="15.75" customHeight="1">
      <c r="A9812" s="2" t="s">
        <v>9812</v>
      </c>
      <c r="B9812" s="2" t="str">
        <f>IFERROR(__xludf.DUMMYFUNCTION("GOOGLETRANSLATE(A9812, ""en"", ""mt"")"),"Moting Pictures, Petroleum u Aircraft Manufacturing kienu industriji ewlenin minn liema għaxar snin?")</f>
        <v>Moting Pictures, Petroleum u Aircraft Manufacturing kienu industriji ewlenin minn liema għaxar snin?</v>
      </c>
    </row>
    <row r="9813" ht="15.75" customHeight="1">
      <c r="A9813" s="2" t="s">
        <v>9813</v>
      </c>
      <c r="B9813" s="2" t="str">
        <f>IFERROR(__xludf.DUMMYFUNCTION("GOOGLETRANSLATE(A9813, ""en"", ""mt"")"),"TIMUCUA")</f>
        <v>TIMUCUA</v>
      </c>
    </row>
    <row r="9814" ht="15.75" customHeight="1">
      <c r="A9814" s="2" t="s">
        <v>9814</v>
      </c>
      <c r="B9814" s="2" t="str">
        <f>IFERROR(__xludf.DUMMYFUNCTION("GOOGLETRANSLATE(A9814, ""en"", ""mt"")"),"Meta Channing elimina l-Kristjaneżmu mill-pożizzjoni preċedenti tiegħu fil-kurrikulu dak li kien permess minflok?")</f>
        <v>Meta Channing elimina l-Kristjaneżmu mill-pożizzjoni preċedenti tiegħu fil-kurrikulu dak li kien permess minflok?</v>
      </c>
    </row>
    <row r="9815" ht="15.75" customHeight="1">
      <c r="A9815" s="2" t="s">
        <v>9815</v>
      </c>
      <c r="B9815" s="2" t="str">
        <f>IFERROR(__xludf.DUMMYFUNCTION("GOOGLETRANSLATE(A9815, ""en"", ""mt"")"),"Imbotta")</f>
        <v>Imbotta</v>
      </c>
    </row>
    <row r="9816" ht="15.75" customHeight="1">
      <c r="A9816" s="2" t="s">
        <v>9816</v>
      </c>
      <c r="B9816" s="2" t="str">
        <f>IFERROR(__xludf.DUMMYFUNCTION("GOOGLETRANSLATE(A9816, ""en"", ""mt"")"),"Xi klassijiet ta 'kumplessità")</f>
        <v>Xi klassijiet ta 'kumplessità</v>
      </c>
    </row>
    <row r="9817" ht="15.75" customHeight="1">
      <c r="A9817" s="2" t="s">
        <v>9817</v>
      </c>
      <c r="B9817" s="2" t="str">
        <f>IFERROR(__xludf.DUMMYFUNCTION("GOOGLETRANSLATE(A9817, ""en"", ""mt"")"),"Upper Rhine")</f>
        <v>Upper Rhine</v>
      </c>
    </row>
    <row r="9818" ht="15.75" customHeight="1">
      <c r="A9818" s="2" t="s">
        <v>9818</v>
      </c>
      <c r="B9818" s="2" t="str">
        <f>IFERROR(__xludf.DUMMYFUNCTION("GOOGLETRANSLATE(A9818, ""en"", ""mt"")"),"F'liema trattament huma deskritti l-forzi mhux konservattivi u konservattivi?")</f>
        <v>F'liema trattament huma deskritti l-forzi mhux konservattivi u konservattivi?</v>
      </c>
    </row>
    <row r="9819" ht="15.75" customHeight="1">
      <c r="A9819" s="2" t="s">
        <v>9819</v>
      </c>
      <c r="B9819" s="2" t="str">
        <f>IFERROR(__xludf.DUMMYFUNCTION("GOOGLETRANSLATE(A9819, ""en"", ""mt"")"),"kura farmaċewtika jew spiżerija klinika")</f>
        <v>kura farmaċewtika jew spiżerija klinika</v>
      </c>
    </row>
    <row r="9820" ht="15.75" customHeight="1">
      <c r="A9820" s="2" t="s">
        <v>9820</v>
      </c>
      <c r="B9820" s="2" t="str">
        <f>IFERROR(__xludf.DUMMYFUNCTION("GOOGLETRANSLATE(A9820, ""en"", ""mt"")"),"X'kien magħruf Henry IV bħal qabel ma ħa t-tron?")</f>
        <v>X'kien magħruf Henry IV bħal qabel ma ħa t-tron?</v>
      </c>
    </row>
    <row r="9821" ht="15.75" customHeight="1">
      <c r="A9821" s="2" t="s">
        <v>9821</v>
      </c>
      <c r="B9821" s="2" t="str">
        <f>IFERROR(__xludf.DUMMYFUNCTION("GOOGLETRANSLATE(A9821, ""en"", ""mt"")"),"Min qal li t-tibdil fil-klima ġie eċċessiv?")</f>
        <v>Min qal li t-tibdil fil-klima ġie eċċessiv?</v>
      </c>
    </row>
    <row r="9822" ht="15.75" customHeight="1">
      <c r="A9822" s="2" t="s">
        <v>9822</v>
      </c>
      <c r="B9822" s="2" t="str">
        <f>IFERROR(__xludf.DUMMYFUNCTION("GOOGLETRANSLATE(A9822, ""en"", ""mt"")"),"X'veloċità l-Att dwar l-Informazzjoni ta 'l-Awtostrada Nazzjonali ma żammitx milli tmur lil hinn?")</f>
        <v>X'veloċità l-Att dwar l-Informazzjoni ta 'l-Awtostrada Nazzjonali ma żammitx milli tmur lil hinn?</v>
      </c>
    </row>
    <row r="9823" ht="15.75" customHeight="1">
      <c r="A9823" s="2" t="s">
        <v>9823</v>
      </c>
      <c r="B9823" s="2" t="str">
        <f>IFERROR(__xludf.DUMMYFUNCTION("GOOGLETRANSLATE(A9823, ""en"", ""mt"")"),"Peress li l-IPCC ma jwettaqx ir-riċerka tiegħu stess, jopera fuq il-bażi ta 'dokumenti xjentifiċi u r-riżultati dokumentati b'mod indipendenti minn korpi xjentifiċi oħra, u l-iskeda tagħha għall-produzzjoni ta' rapporti teħtieġ skadenza għal sottomissjoni"&amp;"jiet qabel ir-rilaxx finali tar-rapport. Fil-prinċipju, dan ifisser li kwalunkwe evidenza jew avvenimenti ġodda sinifikanti li jibdlu l-għarfien tagħna dwar ix-xjenza dwar il-klima bejn dan l-iskadenza u l-pubblikazzjoni ta 'rapport IPCC ma jistgħux jiġu "&amp;"inklużi. F'żona ta 'xjenza fejn il-fehim xjentifiku tagħna qed jinbidel malajr, dan tqajjem bħala nuqqas serju f'ġisem li huwa meqjus b'mod wiesa' bħala l-awtorità aħħarija fuq ix-xjenza. Madankollu, ġeneralment kien hemm evoluzzjoni kostanti ta 'sejbiet "&amp;"ewlenin u livelli ta' kunfidenza xjentifika minn rapport ta 'valutazzjoni għal dak li jmiss. [Ċitazzjoni meħtieġa]")</f>
        <v>Peress li l-IPCC ma jwettaqx ir-riċerka tiegħu stess, jopera fuq il-bażi ta 'dokumenti xjentifiċi u r-riżultati dokumentati b'mod indipendenti minn korpi xjentifiċi oħra, u l-iskeda tagħha għall-produzzjoni ta' rapporti teħtieġ skadenza għal sottomissjonijiet qabel ir-rilaxx finali tar-rapport. Fil-prinċipju, dan ifisser li kwalunkwe evidenza jew avvenimenti ġodda sinifikanti li jibdlu l-għarfien tagħna dwar ix-xjenza dwar il-klima bejn dan l-iskadenza u l-pubblikazzjoni ta 'rapport IPCC ma jistgħux jiġu inklużi. F'żona ta 'xjenza fejn il-fehim xjentifiku tagħna qed jinbidel malajr, dan tqajjem bħala nuqqas serju f'ġisem li huwa meqjus b'mod wiesa' bħala l-awtorità aħħarija fuq ix-xjenza. Madankollu, ġeneralment kien hemm evoluzzjoni kostanti ta 'sejbiet ewlenin u livelli ta' kunfidenza xjentifika minn rapport ta 'valutazzjoni għal dak li jmiss. [Ċitazzjoni meħtieġa]</v>
      </c>
    </row>
    <row r="9824" ht="15.75" customHeight="1">
      <c r="A9824" s="2" t="s">
        <v>9824</v>
      </c>
      <c r="B9824" s="2" t="str">
        <f>IFERROR(__xludf.DUMMYFUNCTION("GOOGLETRANSLATE(A9824, ""en"", ""mt"")"),"Għal liema daqs in-numru naturali jżomm il-postulat ta 'Bertrand?")</f>
        <v>Għal liema daqs in-numru naturali jżomm il-postulat ta 'Bertrand?</v>
      </c>
    </row>
    <row r="9825" ht="15.75" customHeight="1">
      <c r="A9825" s="2" t="s">
        <v>9825</v>
      </c>
      <c r="B9825" s="2" t="str">
        <f>IFERROR(__xludf.DUMMYFUNCTION("GOOGLETRANSLATE(A9825, ""en"", ""mt"")"),"Liema żona nbniet id-delta bejniethom?")</f>
        <v>Liema żona nbniet id-delta bejniethom?</v>
      </c>
    </row>
    <row r="9826" ht="15.75" customHeight="1">
      <c r="A9826" s="2" t="s">
        <v>9826</v>
      </c>
      <c r="B9826" s="2" t="str">
        <f>IFERROR(__xludf.DUMMYFUNCTION("GOOGLETRANSLATE(A9826, ""en"", ""mt"")"),"L-Afrika tat-Tramuntana u tal-Punent, kif ukoll l-Asja tax-Xlokk,")</f>
        <v>L-Afrika tat-Tramuntana u tal-Punent, kif ukoll l-Asja tax-Xlokk,</v>
      </c>
    </row>
    <row r="9827" ht="15.75" customHeight="1">
      <c r="A9827" s="2" t="s">
        <v>9827</v>
      </c>
      <c r="B9827" s="2" t="str">
        <f>IFERROR(__xludf.DUMMYFUNCTION("GOOGLETRANSLATE(A9827, ""en"", ""mt"")"),"F'liema artikolu jagħti lil Gleichschaltung id-dritt li joħloq skejjel privati?")</f>
        <v>F'liema artikolu jagħti lil Gleichschaltung id-dritt li joħloq skejjel privati?</v>
      </c>
    </row>
    <row r="9828" ht="15.75" customHeight="1">
      <c r="A9828" s="2" t="s">
        <v>9828</v>
      </c>
      <c r="B9828" s="2" t="str">
        <f>IFERROR(__xludf.DUMMYFUNCTION("GOOGLETRANSLATE(A9828, ""en"", ""mt"")"),"Aqta 'b'suċċess il-fortizzi tal-fruntiera Franċiża")</f>
        <v>Aqta 'b'suċċess il-fortizzi tal-fruntiera Franċiża</v>
      </c>
    </row>
    <row r="9829" ht="15.75" customHeight="1">
      <c r="A9829" s="2" t="s">
        <v>9829</v>
      </c>
      <c r="B9829" s="2" t="str">
        <f>IFERROR(__xludf.DUMMYFUNCTION("GOOGLETRANSLATE(A9829, ""en"", ""mt"")"),"X'inhu ligand fuq il-wiċċ taċ-ċellula li huwa rregolat wara l-attivazzjoni taċ-ċellula T helper?")</f>
        <v>X'inhu ligand fuq il-wiċċ taċ-ċellula li huwa rregolat wara l-attivazzjoni taċ-ċellula T helper?</v>
      </c>
    </row>
    <row r="9830" ht="15.75" customHeight="1">
      <c r="A9830" s="2" t="s">
        <v>9830</v>
      </c>
      <c r="B9830" s="2" t="str">
        <f>IFERROR(__xludf.DUMMYFUNCTION("GOOGLETRANSLATE(A9830, ""en"", ""mt"")"),"X'jista 'jkun avvanz kbir fit-teorija tal-kumplessità?")</f>
        <v>X'jista 'jkun avvanz kbir fit-teorija tal-kumplessità?</v>
      </c>
    </row>
    <row r="9831" ht="15.75" customHeight="1">
      <c r="A9831" s="2" t="s">
        <v>9831</v>
      </c>
      <c r="B9831" s="2" t="str">
        <f>IFERROR(__xludf.DUMMYFUNCTION("GOOGLETRANSLATE(A9831, ""en"", ""mt"")"),"Kamra tal-kombustjoni")</f>
        <v>Kamra tal-kombustjoni</v>
      </c>
    </row>
    <row r="9832" ht="15.75" customHeight="1">
      <c r="A9832" s="2" t="s">
        <v>9832</v>
      </c>
      <c r="B9832" s="2" t="str">
        <f>IFERROR(__xludf.DUMMYFUNCTION("GOOGLETRANSLATE(A9832, ""en"", ""mt"")"),"Kwistjonijiet mhux riżervati huma suġġetti min huma fejn?")</f>
        <v>Kwistjonijiet mhux riżervati huma suġġetti min huma fejn?</v>
      </c>
    </row>
    <row r="9833" ht="15.75" customHeight="1">
      <c r="A9833" s="2" t="s">
        <v>9833</v>
      </c>
      <c r="B9833" s="2" t="str">
        <f>IFERROR(__xludf.DUMMYFUNCTION("GOOGLETRANSLATE(A9833, ""en"", ""mt"")"),"ċittadin privat")</f>
        <v>ċittadin privat</v>
      </c>
    </row>
    <row r="9834" ht="15.75" customHeight="1">
      <c r="A9834" s="2" t="s">
        <v>9834</v>
      </c>
      <c r="B9834" s="2" t="str">
        <f>IFERROR(__xludf.DUMMYFUNCTION("GOOGLETRANSLATE(A9834, ""en"", ""mt"")"),"X'inhi l-ogħla temperatura ta 'kull xahar irreġistrata ta' Jacksonville?")</f>
        <v>X'inhi l-ogħla temperatura ta 'kull xahar irreġistrata ta' Jacksonville?</v>
      </c>
    </row>
    <row r="9835" ht="15.75" customHeight="1">
      <c r="A9835" s="2" t="s">
        <v>9835</v>
      </c>
      <c r="B9835" s="2" t="str">
        <f>IFERROR(__xludf.DUMMYFUNCTION("GOOGLETRANSLATE(A9835, ""en"", ""mt"")"),"Tiġdid ta 'ostilitajiet fil-kunflitt Għarbi-Iżraeljan")</f>
        <v>Tiġdid ta 'ostilitajiet fil-kunflitt Għarbi-Iżraeljan</v>
      </c>
    </row>
    <row r="9836" ht="15.75" customHeight="1">
      <c r="A9836" s="2" t="s">
        <v>9836</v>
      </c>
      <c r="B9836" s="2" t="str">
        <f>IFERROR(__xludf.DUMMYFUNCTION("GOOGLETRANSLATE(A9836, ""en"", ""mt"")"),"diżubbidjenza ġenerali")</f>
        <v>diżubbidjenza ġenerali</v>
      </c>
    </row>
    <row r="9837" ht="15.75" customHeight="1">
      <c r="A9837" s="2" t="s">
        <v>9837</v>
      </c>
      <c r="B9837" s="2" t="str">
        <f>IFERROR(__xludf.DUMMYFUNCTION("GOOGLETRANSLATE(A9837, ""en"", ""mt"")"),"Fejn iqattgħu l-predaturi l-maġġoranza ta 'ħajjithom?")</f>
        <v>Fejn iqattgħu l-predaturi l-maġġoranza ta 'ħajjithom?</v>
      </c>
    </row>
    <row r="9838" ht="15.75" customHeight="1">
      <c r="A9838" s="2" t="s">
        <v>9838</v>
      </c>
      <c r="B9838" s="2" t="str">
        <f>IFERROR(__xludf.DUMMYFUNCTION("GOOGLETRANSLATE(A9838, ""en"", ""mt"")"),"Renju tal-Prussja")</f>
        <v>Renju tal-Prussja</v>
      </c>
    </row>
    <row r="9839" ht="15.75" customHeight="1">
      <c r="A9839" s="2" t="s">
        <v>9839</v>
      </c>
      <c r="B9839" s="2" t="str">
        <f>IFERROR(__xludf.DUMMYFUNCTION("GOOGLETRANSLATE(A9839, ""en"", ""mt"")")," Meta l-Ġiħad Iżlamiku Eġizzjan appoġġja lil Anwar Sadat?")</f>
        <v> Meta l-Ġiħad Iżlamiku Eġizzjan appoġġja lil Anwar Sadat?</v>
      </c>
    </row>
    <row r="9840" ht="15.75" customHeight="1">
      <c r="A9840" s="2" t="s">
        <v>9840</v>
      </c>
      <c r="B9840" s="2" t="str">
        <f>IFERROR(__xludf.DUMMYFUNCTION("GOOGLETRANSLATE(A9840, ""en"", ""mt"")"),"Kemm kellu Chopin meta mar jgħix Varsavja mal-familja tiegħu?")</f>
        <v>Kemm kellu Chopin meta mar jgħix Varsavja mal-familja tiegħu?</v>
      </c>
    </row>
    <row r="9841" ht="15.75" customHeight="1">
      <c r="A9841" s="2" t="s">
        <v>9841</v>
      </c>
      <c r="B9841" s="2" t="str">
        <f>IFERROR(__xludf.DUMMYFUNCTION("GOOGLETRANSLATE(A9841, ""en"", ""mt"")"),"L-Iżvezja")</f>
        <v>L-Iżvezja</v>
      </c>
    </row>
    <row r="9842" ht="15.75" customHeight="1">
      <c r="A9842" s="2" t="s">
        <v>9842</v>
      </c>
      <c r="B9842" s="2" t="str">
        <f>IFERROR(__xludf.DUMMYFUNCTION("GOOGLETRANSLATE(A9842, ""en"", ""mt"")"),"Il-kliem għerf, kompassjoni, ġustizzja, u integrazzjoni huma miktuba fuq xiex?")</f>
        <v>Il-kliem għerf, kompassjoni, ġustizzja, u integrazzjoni huma miktuba fuq xiex?</v>
      </c>
    </row>
    <row r="9843" ht="15.75" customHeight="1">
      <c r="A9843" s="2" t="s">
        <v>9843</v>
      </c>
      <c r="B9843" s="2" t="str">
        <f>IFERROR(__xludf.DUMMYFUNCTION("GOOGLETRANSLATE(A9843, ""en"", ""mt"")"),"Liema entità hija sponsorjata minn V / Line fl-Olimpjadi?")</f>
        <v>Liema entità hija sponsorjata minn V / Line fl-Olimpjadi?</v>
      </c>
    </row>
    <row r="9844" ht="15.75" customHeight="1">
      <c r="A9844" s="2" t="s">
        <v>9844</v>
      </c>
      <c r="B9844" s="2" t="str">
        <f>IFERROR(__xludf.DUMMYFUNCTION("GOOGLETRANSLATE(A9844, ""en"", ""mt"")"),"Liema battalji navali tilfet Franza fl-1759?")</f>
        <v>Liema battalji navali tilfet Franza fl-1759?</v>
      </c>
    </row>
    <row r="9845" ht="15.75" customHeight="1">
      <c r="A9845" s="2" t="s">
        <v>9845</v>
      </c>
      <c r="B9845" s="2" t="str">
        <f>IFERROR(__xludf.DUMMYFUNCTION("GOOGLETRANSLATE(A9845, ""en"", ""mt"")"),"is-seklu 20")</f>
        <v>is-seklu 20</v>
      </c>
    </row>
    <row r="9846" ht="15.75" customHeight="1">
      <c r="A9846" s="2" t="s">
        <v>9846</v>
      </c>
      <c r="B9846" s="2" t="str">
        <f>IFERROR(__xludf.DUMMYFUNCTION("GOOGLETRANSLATE(A9846, ""en"", ""mt"")"),"Min hu l-President tal-Eġittu?")</f>
        <v>Min hu l-President tal-Eġittu?</v>
      </c>
    </row>
    <row r="9847" ht="15.75" customHeight="1">
      <c r="A9847" s="2" t="s">
        <v>9847</v>
      </c>
      <c r="B9847" s="2" t="str">
        <f>IFERROR(__xludf.DUMMYFUNCTION("GOOGLETRANSLATE(A9847, ""en"", ""mt"")"),"It-Tabib tal-Ispiżerija (Pharm. D.) Grad")</f>
        <v>It-Tabib tal-Ispiżerija (Pharm. D.) Grad</v>
      </c>
    </row>
    <row r="9848" ht="15.75" customHeight="1">
      <c r="A9848" s="2" t="s">
        <v>9848</v>
      </c>
      <c r="B9848" s="2" t="str">
        <f>IFERROR(__xludf.DUMMYFUNCTION("GOOGLETRANSLATE(A9848, ""en"", ""mt"")"),"ħafna utilità")</f>
        <v>ħafna utilità</v>
      </c>
    </row>
    <row r="9849" ht="15.75" customHeight="1">
      <c r="A9849" s="2" t="s">
        <v>9849</v>
      </c>
      <c r="B9849" s="2" t="str">
        <f>IFERROR(__xludf.DUMMYFUNCTION("GOOGLETRANSLATE(A9849, ""en"", ""mt"")"),"Old Rhine")</f>
        <v>Old Rhine</v>
      </c>
    </row>
    <row r="9850" ht="15.75" customHeight="1">
      <c r="A9850" s="2" t="s">
        <v>9850</v>
      </c>
      <c r="B9850" s="2" t="str">
        <f>IFERROR(__xludf.DUMMYFUNCTION("GOOGLETRANSLATE(A9850, ""en"", ""mt"")"),"Caiman iswed")</f>
        <v>Caiman iswed</v>
      </c>
    </row>
    <row r="9851" ht="15.75" customHeight="1">
      <c r="A9851" s="2" t="s">
        <v>9851</v>
      </c>
      <c r="B9851" s="2" t="str">
        <f>IFERROR(__xludf.DUMMYFUNCTION("GOOGLETRANSLATE(A9851, ""en"", ""mt"")"),"216 + 1")</f>
        <v>216 + 1</v>
      </c>
    </row>
    <row r="9852" ht="15.75" customHeight="1">
      <c r="A9852" s="2" t="s">
        <v>9852</v>
      </c>
      <c r="B9852" s="2" t="str">
        <f>IFERROR(__xludf.DUMMYFUNCTION("GOOGLETRANSLATE(A9852, ""en"", ""mt"")"),"Liema kundizzjoni tas-saħħa tista 'tikkawża l-għadis fil-baħar fond?")</f>
        <v>Liema kundizzjoni tas-saħħa tista 'tikkawża l-għadis fil-baħar fond?</v>
      </c>
    </row>
    <row r="9853" ht="15.75" customHeight="1">
      <c r="A9853" s="2" t="s">
        <v>9853</v>
      </c>
      <c r="B9853" s="2" t="str">
        <f>IFERROR(__xludf.DUMMYFUNCTION("GOOGLETRANSLATE(A9853, ""en"", ""mt"")"),"Kumitati mhux obbligatorji huma kumitati li huma stabbiliti taħt xiex?")</f>
        <v>Kumitati mhux obbligatorji huma kumitati li huma stabbiliti taħt xiex?</v>
      </c>
    </row>
    <row r="9854" ht="15.75" customHeight="1">
      <c r="A9854" s="2" t="s">
        <v>9854</v>
      </c>
      <c r="B9854" s="2" t="str">
        <f>IFERROR(__xludf.DUMMYFUNCTION("GOOGLETRANSLATE(A9854, ""en"", ""mt"")"),"Liema persentaġġ ta 'siġġijiet identifikaw il-partiti politiċi hekk kif irbaħ l-Iżlamisti fl-elezzjoni Parlamentari Eġizzjana tal-2011-2012?")</f>
        <v>Liema persentaġġ ta 'siġġijiet identifikaw il-partiti politiċi hekk kif irbaħ l-Iżlamisti fl-elezzjoni Parlamentari Eġizzjana tal-2011-2012?</v>
      </c>
    </row>
    <row r="9855" ht="15.75" customHeight="1">
      <c r="A9855" s="2" t="s">
        <v>9855</v>
      </c>
      <c r="B9855" s="2" t="str">
        <f>IFERROR(__xludf.DUMMYFUNCTION("GOOGLETRANSLATE(A9855, ""en"", ""mt"")"),"Utilità aggregata ogħla")</f>
        <v>Utilità aggregata ogħla</v>
      </c>
    </row>
    <row r="9856" ht="15.75" customHeight="1">
      <c r="A9856" s="2" t="s">
        <v>9856</v>
      </c>
      <c r="B9856" s="2" t="str">
        <f>IFERROR(__xludf.DUMMYFUNCTION("GOOGLETRANSLATE(A9856, ""en"", ""mt"")"),"Liema parti hija l-iktar b'saħħitha fiż-żoni sinjuri ta 'Melbourne?")</f>
        <v>Liema parti hija l-iktar b'saħħitha fiż-żoni sinjuri ta 'Melbourne?</v>
      </c>
    </row>
    <row r="9857" ht="15.75" customHeight="1">
      <c r="A9857" s="2" t="s">
        <v>9857</v>
      </c>
      <c r="B9857" s="2" t="str">
        <f>IFERROR(__xludf.DUMMYFUNCTION("GOOGLETRANSLATE(A9857, ""en"", ""mt"")"),"Liġi Internazzjonali u Liġi Pubblika")</f>
        <v>Liġi Internazzjonali u Liġi Pubblika</v>
      </c>
    </row>
    <row r="9858" ht="15.75" customHeight="1">
      <c r="A9858" s="2" t="s">
        <v>9858</v>
      </c>
      <c r="B9858" s="2" t="str">
        <f>IFERROR(__xludf.DUMMYFUNCTION("GOOGLETRANSLATE(A9858, ""en"", ""mt"")"),"proporzjonijiet ta 'iżotopi ta' elementi radjuattivi")</f>
        <v>proporzjonijiet ta 'iżotopi ta' elementi radjuattivi</v>
      </c>
    </row>
    <row r="9859" ht="15.75" customHeight="1">
      <c r="A9859" s="2" t="s">
        <v>9859</v>
      </c>
      <c r="B9859" s="2" t="str">
        <f>IFERROR(__xludf.DUMMYFUNCTION("GOOGLETRANSLATE(A9859, ""en"", ""mt"")"),"L-ewwel netwerk ta 'dejta pubblika liċenzjat mill-FCC fl-Istati Uniti")</f>
        <v>L-ewwel netwerk ta 'dejta pubblika liċenzjat mill-FCC fl-Istati Uniti</v>
      </c>
    </row>
    <row r="9860" ht="15.75" customHeight="1">
      <c r="A9860" s="2" t="s">
        <v>9860</v>
      </c>
      <c r="B9860" s="2" t="str">
        <f>IFERROR(__xludf.DUMMYFUNCTION("GOOGLETRANSLATE(A9860, ""en"", ""mt"")"),"L-estensjoni tikkawża li l-unitajiet tal-blat kollha kemm huma jsiru itwal u irqaq. Dan jitwettaq primarjament permezz ta 'difetti normali u permezz tat-tiġbid u t-traqqaq duttili. Ħsarat normali jwaqqgħu unitajiet tal-blat li huma ogħla taħt dawk li huma"&amp;" aktar baxxi. Dan tipikament jirriżulta f'unitajiet iżgħar li jitpoġġew taħt unitajiet anzjani. It-tiġbid ta 'unitajiet jista' jirriżulta fit-tnaqqija tagħhom; Fil-fatt, hemm post fiċ-ċinturin tat-tinja Maria u l-ġibda li fiha s-sekwenza sedimentarja koll"&amp;"ha tal-Grand Canyon tista 'tidher fuq tul ta' inqas minn metru. Il-blat fil-fond li għandhom jiġu mġebbda b'mod duttili ħafna drabi huma wkoll metamorfositi. Dawn il-blat imġebbda jistgħu wkoll joqogħdu fil-lentijiet, magħrufa bħala boudins, wara l-kelma "&amp;"Franċiża għal ""zalzett"", minħabba x-xebh viżwali tagħhom.")</f>
        <v>L-estensjoni tikkawża li l-unitajiet tal-blat kollha kemm huma jsiru itwal u irqaq. Dan jitwettaq primarjament permezz ta 'difetti normali u permezz tat-tiġbid u t-traqqaq duttili. Ħsarat normali jwaqqgħu unitajiet tal-blat li huma ogħla taħt dawk li huma aktar baxxi. Dan tipikament jirriżulta f'unitajiet iżgħar li jitpoġġew taħt unitajiet anzjani. It-tiġbid ta 'unitajiet jista' jirriżulta fit-tnaqqija tagħhom; Fil-fatt, hemm post fiċ-ċinturin tat-tinja Maria u l-ġibda li fiha s-sekwenza sedimentarja kollha tal-Grand Canyon tista 'tidher fuq tul ta' inqas minn metru. Il-blat fil-fond li għandhom jiġu mġebbda b'mod duttili ħafna drabi huma wkoll metamorfositi. Dawn il-blat imġebbda jistgħu wkoll joqogħdu fil-lentijiet, magħrufa bħala boudins, wara l-kelma Franċiża għal "zalzett", minħabba x-xebh viżwali tagħhom.</v>
      </c>
    </row>
    <row r="9861" ht="15.75" customHeight="1">
      <c r="A9861" s="2" t="s">
        <v>9861</v>
      </c>
      <c r="B9861" s="2" t="str">
        <f>IFERROR(__xludf.DUMMYFUNCTION("GOOGLETRANSLATE(A9861, ""en"", ""mt"")"),"għamel grad ta 'A għall-erba' snin kollha, u fuq kwalunkwe gradwat ieħor li ħa tnax-il ġimgħa studju addizzjonali fl-Università ta 'Chicago")</f>
        <v>għamel grad ta 'A għall-erba' snin kollha, u fuq kwalunkwe gradwat ieħor li ħa tnax-il ġimgħa studju addizzjonali fl-Università ta 'Chicago</v>
      </c>
    </row>
    <row r="9862" ht="15.75" customHeight="1">
      <c r="A9862" s="2" t="s">
        <v>9862</v>
      </c>
      <c r="B9862" s="2" t="str">
        <f>IFERROR(__xludf.DUMMYFUNCTION("GOOGLETRANSLATE(A9862, ""en"", ""mt"")"),"Liema ħsara kienet ikkawżata minn nifs pur O f'applikazzjonijiet spazjali?")</f>
        <v>Liema ħsara kienet ikkawżata minn nifs pur O f'applikazzjonijiet spazjali?</v>
      </c>
    </row>
    <row r="9863" ht="15.75" customHeight="1">
      <c r="A9863" s="2" t="s">
        <v>9863</v>
      </c>
      <c r="B9863" s="2" t="str">
        <f>IFERROR(__xludf.DUMMYFUNCTION("GOOGLETRANSLATE(A9863, ""en"", ""mt"")"),"kreditu aktar faċli")</f>
        <v>kreditu aktar faċli</v>
      </c>
    </row>
    <row r="9864" ht="15.75" customHeight="1">
      <c r="A9864" s="2" t="s">
        <v>9864</v>
      </c>
      <c r="B9864" s="2" t="str">
        <f>IFERROR(__xludf.DUMMYFUNCTION("GOOGLETRANSLATE(A9864, ""en"", ""mt"")"),"Ħafna mill-istess deċiżjonijiet u prinċipji li japplikaw f'investigazzjonijiet kriminali oħra")</f>
        <v>Ħafna mill-istess deċiżjonijiet u prinċipji li japplikaw f'investigazzjonijiet kriminali oħra</v>
      </c>
    </row>
    <row r="9865" ht="15.75" customHeight="1">
      <c r="A9865" s="2" t="s">
        <v>9865</v>
      </c>
      <c r="B9865" s="2" t="str">
        <f>IFERROR(__xludf.DUMMYFUNCTION("GOOGLETRANSLATE(A9865, ""en"", ""mt"")")," Liema dinastija għenet Zhang Rhou?")</f>
        <v> Liema dinastija għenet Zhang Rhou?</v>
      </c>
    </row>
    <row r="9866" ht="15.75" customHeight="1">
      <c r="A9866" s="2" t="s">
        <v>9866</v>
      </c>
      <c r="B9866" s="2" t="str">
        <f>IFERROR(__xludf.DUMMYFUNCTION("GOOGLETRANSLATE(A9866, ""en"", ""mt"")"),"Il-pesta kienet preżenti x'imkien fl-Ewropa kull sena bejn l-1346 u l-1671")</f>
        <v>Il-pesta kienet preżenti x'imkien fl-Ewropa kull sena bejn l-1346 u l-1671</v>
      </c>
    </row>
    <row r="9867" ht="15.75" customHeight="1">
      <c r="A9867" s="2" t="s">
        <v>9867</v>
      </c>
      <c r="B9867" s="2" t="str">
        <f>IFERROR(__xludf.DUMMYFUNCTION("GOOGLETRANSLATE(A9867, ""en"", ""mt"")"),"Min ħa post Abercrombie bħala kmandant fil-kap?")</f>
        <v>Min ħa post Abercrombie bħala kmandant fil-kap?</v>
      </c>
    </row>
    <row r="9868" ht="15.75" customHeight="1">
      <c r="A9868" s="2" t="s">
        <v>9868</v>
      </c>
      <c r="B9868" s="2" t="str">
        <f>IFERROR(__xludf.DUMMYFUNCTION("GOOGLETRANSLATE(A9868, ""en"", ""mt"")"),"F'liema pajjiż jinsabu l-kontej kollha?")</f>
        <v>F'liema pajjiż jinsabu l-kontej kollha?</v>
      </c>
    </row>
    <row r="9869" ht="15.75" customHeight="1">
      <c r="A9869" s="2" t="s">
        <v>9869</v>
      </c>
      <c r="B9869" s="2" t="str">
        <f>IFERROR(__xludf.DUMMYFUNCTION("GOOGLETRANSLATE(A9869, ""en"", ""mt"")"),"X'jistudjaw il-bankiera ta 'l-ipoteki rigward il-proġett?")</f>
        <v>X'jistudjaw il-bankiera ta 'l-ipoteki rigward il-proġett?</v>
      </c>
    </row>
    <row r="9870" ht="15.75" customHeight="1">
      <c r="A9870" s="2" t="s">
        <v>9870</v>
      </c>
      <c r="B9870" s="2" t="str">
        <f>IFERROR(__xludf.DUMMYFUNCTION("GOOGLETRANSLATE(A9870, ""en"", ""mt"")"),"L-Iżvezja v. Ir-Russja u l-Alleati")</f>
        <v>L-Iżvezja v. Ir-Russja u l-Alleati</v>
      </c>
    </row>
    <row r="9871" ht="15.75" customHeight="1">
      <c r="A9871" s="2" t="s">
        <v>9871</v>
      </c>
      <c r="B9871" s="2" t="str">
        <f>IFERROR(__xludf.DUMMYFUNCTION("GOOGLETRANSLATE(A9871, ""en"", ""mt"")"),"Kif ivvjaġġat il-mewt l-Iswed fit-triq tal-ħarir?")</f>
        <v>Kif ivvjaġġat il-mewt l-Iswed fit-triq tal-ħarir?</v>
      </c>
    </row>
    <row r="9872" ht="15.75" customHeight="1">
      <c r="A9872" s="2" t="s">
        <v>9872</v>
      </c>
      <c r="B9872" s="2" t="str">
        <f>IFERROR(__xludf.DUMMYFUNCTION("GOOGLETRANSLATE(A9872, ""en"", ""mt"")"),"Minn fejn kien baħħar in-Norman Huguenots sabiex tasal għand Fort Caroline?")</f>
        <v>Minn fejn kien baħħar in-Norman Huguenots sabiex tasal għand Fort Caroline?</v>
      </c>
    </row>
    <row r="9873" ht="15.75" customHeight="1">
      <c r="A9873" s="2" t="s">
        <v>9873</v>
      </c>
      <c r="B9873" s="2" t="str">
        <f>IFERROR(__xludf.DUMMYFUNCTION("GOOGLETRANSLATE(A9873, ""en"", ""mt"")"),"Liema knejjes kienu l-gradwati ta 'Cambridge affiljati wara l-1643?")</f>
        <v>Liema knejjes kienu l-gradwati ta 'Cambridge affiljati wara l-1643?</v>
      </c>
    </row>
    <row r="9874" ht="15.75" customHeight="1">
      <c r="A9874" s="2" t="s">
        <v>9874</v>
      </c>
      <c r="B9874" s="2" t="str">
        <f>IFERROR(__xludf.DUMMYFUNCTION("GOOGLETRANSLATE(A9874, ""en"", ""mt"")"),"X'azzjoni bdew l-Istati Uniti li bdew it-tieni xokk taż-żejt?")</f>
        <v>X'azzjoni bdew l-Istati Uniti li bdew it-tieni xokk taż-żejt?</v>
      </c>
    </row>
    <row r="9875" ht="15.75" customHeight="1">
      <c r="A9875" s="2" t="s">
        <v>9875</v>
      </c>
      <c r="B9875" s="2" t="str">
        <f>IFERROR(__xludf.DUMMYFUNCTION("GOOGLETRANSLATE(A9875, ""en"", ""mt"")"),"Jacksonville hija l-iktar belt popolata fi Florida, u t-tnax-il belt l-iktar popolata fl-Istati Uniti. Mill-2010 [aġġornament], kien hemm 821.784 persuna u 366,273 djar fil-belt. Jacksonville għandu l-għaxar l-akbar popolazzjoni Għarbija tal-pajjiż, b'pop"&amp;"olazzjoni totali ta '5,751 skond iċ-Ċensiment ta' l-Istati Uniti ta 'l-2000. Jacksonville għandu l-akbar komunità Amerikana Filippina ta 'Florida, b'25,033 fiż-żona metropolitana miċ-ċensiment tal-2010. Ħafna mill-komunità Filippina ta 'Jacksonville serva"&amp;" jew għandha rabtiet man-Navy ta' l-Istati Uniti.")</f>
        <v>Jacksonville hija l-iktar belt popolata fi Florida, u t-tnax-il belt l-iktar popolata fl-Istati Uniti. Mill-2010 [aġġornament], kien hemm 821.784 persuna u 366,273 djar fil-belt. Jacksonville għandu l-għaxar l-akbar popolazzjoni Għarbija tal-pajjiż, b'popolazzjoni totali ta '5,751 skond iċ-Ċensiment ta' l-Istati Uniti ta 'l-2000. Jacksonville għandu l-akbar komunità Amerikana Filippina ta 'Florida, b'25,033 fiż-żona metropolitana miċ-ċensiment tal-2010. Ħafna mill-komunità Filippina ta 'Jacksonville serva jew għandha rabtiet man-Navy ta' l-Istati Uniti.</v>
      </c>
    </row>
    <row r="9876" ht="15.75" customHeight="1">
      <c r="A9876" s="2" t="s">
        <v>9876</v>
      </c>
      <c r="B9876" s="2" t="str">
        <f>IFERROR(__xludf.DUMMYFUNCTION("GOOGLETRANSLATE(A9876, ""en"", ""mt"")"),"Liema pilota Ġermaniż Ġermaniż u tal-ġlied kien ta 'antenati Huguenot?")</f>
        <v>Liema pilota Ġermaniż Ġermaniż u tal-ġlied kien ta 'antenati Huguenot?</v>
      </c>
    </row>
    <row r="9877" ht="15.75" customHeight="1">
      <c r="A9877" s="2" t="s">
        <v>9877</v>
      </c>
      <c r="B9877" s="2" t="str">
        <f>IFERROR(__xludf.DUMMYFUNCTION("GOOGLETRANSLATE(A9877, ""en"", ""mt"")"),"Kemm-il proġett jinduna ċ-ċentru attwalment fix-xahar?")</f>
        <v>Kemm-il proġett jinduna ċ-ċentru attwalment fix-xahar?</v>
      </c>
    </row>
    <row r="9878" ht="15.75" customHeight="1">
      <c r="A9878" s="2" t="s">
        <v>9878</v>
      </c>
      <c r="B9878" s="2" t="str">
        <f>IFERROR(__xludf.DUMMYFUNCTION("GOOGLETRANSLATE(A9878, ""en"", ""mt"")"),"id-differenza fl-enerġija potenzjali bejn żewġ postijiet differenti fl-ispazju")</f>
        <v>id-differenza fl-enerġija potenzjali bejn żewġ postijiet differenti fl-ispazju</v>
      </c>
    </row>
    <row r="9879" ht="15.75" customHeight="1">
      <c r="A9879" s="2" t="s">
        <v>9879</v>
      </c>
      <c r="B9879" s="2" t="str">
        <f>IFERROR(__xludf.DUMMYFUNCTION("GOOGLETRANSLATE(A9879, ""en"", ""mt"")"),"Fejn huma permessi xi tobba li jippreskrivu u jagħtu mediċini fil-prattiki tagħhom?")</f>
        <v>Fejn huma permessi xi tobba li jippreskrivu u jagħtu mediċini fil-prattiki tagħhom?</v>
      </c>
    </row>
    <row r="9880" ht="15.75" customHeight="1">
      <c r="A9880" s="2" t="s">
        <v>9880</v>
      </c>
      <c r="B9880" s="2" t="str">
        <f>IFERROR(__xludf.DUMMYFUNCTION("GOOGLETRANSLATE(A9880, ""en"", ""mt"")"),"idub")</f>
        <v>idub</v>
      </c>
    </row>
    <row r="9881" ht="15.75" customHeight="1">
      <c r="A9881" s="2" t="s">
        <v>9881</v>
      </c>
      <c r="B9881" s="2" t="str">
        <f>IFERROR(__xludf.DUMMYFUNCTION("GOOGLETRANSLATE(A9881, ""en"", ""mt"")"),"Kemm hemm kmamar tal-piż fiċ-Ċentru Atletiku tal-Malkin")</f>
        <v>Kemm hemm kmamar tal-piż fiċ-Ċentru Atletiku tal-Malkin</v>
      </c>
    </row>
    <row r="9882" ht="15.75" customHeight="1">
      <c r="A9882" s="2" t="s">
        <v>9882</v>
      </c>
      <c r="B9882" s="2" t="str">
        <f>IFERROR(__xludf.DUMMYFUNCTION("GOOGLETRANSLATE(A9882, ""en"", ""mt"")"),"L-imperjalizmu spiss jaqsam il-pajjiżi billi juża liema teknika?")</f>
        <v>L-imperjalizmu spiss jaqsam il-pajjiżi billi juża liema teknika?</v>
      </c>
    </row>
    <row r="9883" ht="15.75" customHeight="1">
      <c r="A9883" s="2" t="s">
        <v>9883</v>
      </c>
      <c r="B9883" s="2" t="str">
        <f>IFERROR(__xludf.DUMMYFUNCTION("GOOGLETRANSLATE(A9883, ""en"", ""mt"")"),"Liema mġieba tikkawża li l-blat aktar fil-fond fl-art tort minflok ma jintwew?")</f>
        <v>Liema mġieba tikkawża li l-blat aktar fil-fond fl-art tort minflok ma jintwew?</v>
      </c>
    </row>
    <row r="9884" ht="15.75" customHeight="1">
      <c r="A9884" s="2" t="s">
        <v>9884</v>
      </c>
      <c r="B9884" s="2" t="str">
        <f>IFERROR(__xludf.DUMMYFUNCTION("GOOGLETRANSLATE(A9884, ""en"", ""mt"")"),"Is-sommarju eżekuttiv tar-rapport tas-Sommarju WG I għal dawk li jfasslu l-politika jgħid li huma ċerti li l-emissjonijiet li jirriżultaw mill-attivitajiet tal-bniedem qed iżidu sostanzjalment il-konċentrazzjonijiet atmosferiċi tal-gassijiet serra, li jir"&amp;"riżultaw bħala medja fi tisħin addizzjonali tal-wiċċ tad-Dinja. Huma jikkalkulaw b'kunfidenza li s-CO2 kien responsabbli għal aktar minn nofs l-effett ta 'serra msaħħa. Huma jbassru li taħt xenarju ta '""negozju bħas-soltu"" (BAU), it-temperatura medja gl"&amp;"obali tiżdied b'madwar 0.3 ° C kull għaxar snin matul is-seklu [21]. Huma jiġġudikaw li t-temperatura medja globali tal-arja tal-wiċċ żdiedet b'0.3 sa 0.6 ° C matul l-aħħar 100 sena, b'mod wiesa 'konsistenti mal-previżjoni tal-mudelli klimatiċi, iżda wkol"&amp;"l tal-istess kobor bħall-varjabbiltà tal-klima naturali. L-iskoperta mhux ekwivoka tal-effett ta 'serra msaħħa x'aktarx għal għaxar snin jew aktar.")</f>
        <v>Is-sommarju eżekuttiv tar-rapport tas-Sommarju WG I għal dawk li jfasslu l-politika jgħid li huma ċerti li l-emissjonijiet li jirriżultaw mill-attivitajiet tal-bniedem qed iżidu sostanzjalment il-konċentrazzjonijiet atmosferiċi tal-gassijiet serra, li jirriżultaw bħala medja fi tisħin addizzjonali tal-wiċċ tad-Dinja. Huma jikkalkulaw b'kunfidenza li s-CO2 kien responsabbli għal aktar minn nofs l-effett ta 'serra msaħħa. Huma jbassru li taħt xenarju ta '"negozju bħas-soltu" (BAU), it-temperatura medja globali tiżdied b'madwar 0.3 ° C kull għaxar snin matul is-seklu [21]. Huma jiġġudikaw li t-temperatura medja globali tal-arja tal-wiċċ żdiedet b'0.3 sa 0.6 ° C matul l-aħħar 100 sena, b'mod wiesa 'konsistenti mal-previżjoni tal-mudelli klimatiċi, iżda wkoll tal-istess kobor bħall-varjabbiltà tal-klima naturali. L-iskoperta mhux ekwivoka tal-effett ta 'serra msaħħa x'aktarx għal għaxar snin jew aktar.</v>
      </c>
    </row>
    <row r="9885" ht="15.75" customHeight="1">
      <c r="A9885" s="2" t="s">
        <v>9885</v>
      </c>
      <c r="B9885" s="2" t="str">
        <f>IFERROR(__xludf.DUMMYFUNCTION("GOOGLETRANSLATE(A9885, ""en"", ""mt"")"),"X'żieda fil-Los Angeles Times mad-definizzjoni tan-Nofsinhar ta 'California fl-1990?")</f>
        <v>X'żieda fil-Los Angeles Times mad-definizzjoni tan-Nofsinhar ta 'California fl-1990?</v>
      </c>
    </row>
    <row r="9886" ht="15.75" customHeight="1">
      <c r="A9886" s="2" t="s">
        <v>9886</v>
      </c>
      <c r="B9886" s="2" t="str">
        <f>IFERROR(__xludf.DUMMYFUNCTION("GOOGLETRANSLATE(A9886, ""en"", ""mt"")"),"Liema ċelloli li jwaħħlu użati biex jaqbdu l-priża huma nieqsa minn ftit speċi ta 'sponża?")</f>
        <v>Liema ċelloli li jwaħħlu użati biex jaqbdu l-priża huma nieqsa minn ftit speċi ta 'sponża?</v>
      </c>
    </row>
    <row r="9887" ht="15.75" customHeight="1">
      <c r="A9887" s="2" t="s">
        <v>9887</v>
      </c>
      <c r="B9887" s="2" t="str">
        <f>IFERROR(__xludf.DUMMYFUNCTION("GOOGLETRANSLATE(A9887, ""en"", ""mt"")"),"X'kienet il-magna tal-fwar komponent importanti?")</f>
        <v>X'kienet il-magna tal-fwar komponent importanti?</v>
      </c>
    </row>
    <row r="9888" ht="15.75" customHeight="1">
      <c r="A9888" s="2" t="s">
        <v>9888</v>
      </c>
      <c r="B9888" s="2" t="str">
        <f>IFERROR(__xludf.DUMMYFUNCTION("GOOGLETRANSLATE(A9888, ""en"", ""mt"")"),"istanza")</f>
        <v>istanza</v>
      </c>
    </row>
    <row r="9889" ht="15.75" customHeight="1">
      <c r="A9889" s="2" t="s">
        <v>9889</v>
      </c>
      <c r="B9889" s="2" t="str">
        <f>IFERROR(__xludf.DUMMYFUNCTION("GOOGLETRANSLATE(A9889, ""en"", ""mt"")"),"X'inhuma r-rotors?")</f>
        <v>X'inhuma r-rotors?</v>
      </c>
    </row>
    <row r="9890" ht="15.75" customHeight="1">
      <c r="A9890" s="2" t="s">
        <v>9890</v>
      </c>
      <c r="B9890" s="2" t="str">
        <f>IFERROR(__xludf.DUMMYFUNCTION("GOOGLETRANSLATE(A9890, ""en"", ""mt"")"),"Dubbidjenza ċivili vjolenti")</f>
        <v>Dubbidjenza ċivili vjolenti</v>
      </c>
    </row>
    <row r="9891" ht="15.75" customHeight="1">
      <c r="A9891" s="2" t="s">
        <v>9891</v>
      </c>
      <c r="B9891" s="2" t="str">
        <f>IFERROR(__xludf.DUMMYFUNCTION("GOOGLETRANSLATE(A9891, ""en"", ""mt"")"),"Meta spiċċa l-Ġnien tas-Suq tal-Operazzjoni ta 'Settembru?")</f>
        <v>Meta spiċċa l-Ġnien tas-Suq tal-Operazzjoni ta 'Settembru?</v>
      </c>
    </row>
    <row r="9892" ht="15.75" customHeight="1">
      <c r="A9892" s="2" t="s">
        <v>9892</v>
      </c>
      <c r="B9892" s="2" t="str">
        <f>IFERROR(__xludf.DUMMYFUNCTION("GOOGLETRANSLATE(A9892, ""en"", ""mt"")"),"Għaliex l-anarkisti jridu jaċċettaw il-kastig?")</f>
        <v>Għaliex l-anarkisti jridu jaċċettaw il-kastig?</v>
      </c>
    </row>
    <row r="9893" ht="15.75" customHeight="1">
      <c r="A9893" s="2" t="s">
        <v>9893</v>
      </c>
      <c r="B9893" s="2" t="str">
        <f>IFERROR(__xludf.DUMMYFUNCTION("GOOGLETRANSLATE(A9893, ""en"", ""mt"")"),"Kemm-il sena wara ġie ppubblikat il-memorja ta 'MacLure wara l-mappa?")</f>
        <v>Kemm-il sena wara ġie ppubblikat il-memorja ta 'MacLure wara l-mappa?</v>
      </c>
    </row>
    <row r="9894" ht="15.75" customHeight="1">
      <c r="A9894" s="2" t="s">
        <v>9894</v>
      </c>
      <c r="B9894" s="2" t="str">
        <f>IFERROR(__xludf.DUMMYFUNCTION("GOOGLETRANSLATE(A9894, ""en"", ""mt"")"),"Fejn jistgħu jiltaqgħu l-kumitati barra mill-Parlament?")</f>
        <v>Fejn jistgħu jiltaqgħu l-kumitati barra mill-Parlament?</v>
      </c>
    </row>
    <row r="9895" ht="15.75" customHeight="1">
      <c r="A9895" s="2" t="s">
        <v>9895</v>
      </c>
      <c r="B9895" s="2" t="str">
        <f>IFERROR(__xludf.DUMMYFUNCTION("GOOGLETRANSLATE(A9895, ""en"", ""mt"")"),"X'inhuma fost l-aktar esperimenti magħrufa fil-ġeoloġija strutturali?")</f>
        <v>X'inhuma fost l-aktar esperimenti magħrufa fil-ġeoloġija strutturali?</v>
      </c>
    </row>
    <row r="9896" ht="15.75" customHeight="1">
      <c r="A9896" s="2" t="s">
        <v>9896</v>
      </c>
      <c r="B9896" s="2" t="str">
        <f>IFERROR(__xludf.DUMMYFUNCTION("GOOGLETRANSLATE(A9896, ""en"", ""mt"")"),"L-imperjalizmu jestendi l-poter ta 'pajjiż u x'inhu?")</f>
        <v>L-imperjalizmu jestendi l-poter ta 'pajjiż u x'inhu?</v>
      </c>
    </row>
    <row r="9897" ht="15.75" customHeight="1">
      <c r="A9897" s="2" t="s">
        <v>9897</v>
      </c>
      <c r="B9897" s="2" t="str">
        <f>IFERROR(__xludf.DUMMYFUNCTION("GOOGLETRANSLATE(A9897, ""en"", ""mt"")"),"Kings Canyon Avenue u Clovis Avenue")</f>
        <v>Kings Canyon Avenue u Clovis Avenue</v>
      </c>
    </row>
    <row r="9898" ht="15.75" customHeight="1">
      <c r="A9898" s="2" t="s">
        <v>9898</v>
      </c>
      <c r="B9898" s="2" t="str">
        <f>IFERROR(__xludf.DUMMYFUNCTION("GOOGLETRANSLATE(A9898, ""en"", ""mt"")"),"Dawn l-istudji ġew ippreżentati b'mod wiesa 'bħala li juru li l-perjodu ta' tisħin attwali huwa eċċezzjonali meta mqabbel ma 'temperaturi bejn 1000 u 1900, u l-graff ibbażat fuq MBH99 jidher fil-pubbliċità. Anke fl-abbozz tal-palk, din is-sejba ġiet ikkon"&amp;"testata mill-kontrarji: f'Mejju 2000 il-Proġett tal-Politika tax-Xjenza u l-Ambjent ta 'Fred Singer kellu avveniment għall-istampa fuq Capitol Hill, Washington, D.C., li fih kummenti dwar il-graff Wibjörn Karlén u Singer argumentaw kontra l-graff Kumitat "&amp;"tas-Senat tal-Istati Uniti dwar is-Smigħ tal-Kummerċ, ix-Xjenza u t-Trasport fit-18 ta 'Lulju 2000. Il-Kontrarju John Lawrence Daly deher verżjoni modifikata tal-IPCC 1990, li huwa identifika ħażin bħala li jidher fir-rapport tal-IPCC 1995, u argumenta li"&amp;" ""qalbu tiegħu Veduta preċedenti fir-rapport tal-1995, l-IPCC ippreżenta l- ""hockey stick"" bħala l-ortodossija l-ġdida li ma tantx tkun apoloġija jew spjegazzjoni għall-U-turn f'daqqa mir-rapport tal-1995 tiegħu "". Il-kritika tar-rikostruzzjoni MBH99 "&amp;"f'karta ta 'reviżjoni, li ġiet skreditata malajr fil-kontroversja dalwaqt u ta' Baliunas, inqabdet mill-amministrazzjoni ta 'Bush, u diskors tas-Senat mis-Senatur Repubblikan Amerikan James Inhofe allega li ""t-tisħin globali magħmul mill-bniedem huwa l-a"&amp;"kbar ingann li qatt kien hemm imwettqa fuq il-poplu Amerikan "". Id-dejta u l-metodoloġija użata biex tipproduċi l- ""Hockey Stick Graph"" ġiet ikkritikata f'karti minn Stephen McIntyre u Ross McKitrick, u mbagħad il-kritika f'dawn il-karti ġew eżaminati "&amp;"minn studji oħra u rifjutati b'mod komprensiv minn Wahl &amp; Ammann 2007, li wrew żbalji fi Il-metodi użati minn McIntyre u McKitrick.")</f>
        <v>Dawn l-istudji ġew ippreżentati b'mod wiesa 'bħala li juru li l-perjodu ta' tisħin attwali huwa eċċezzjonali meta mqabbel ma 'temperaturi bejn 1000 u 1900, u l-graff ibbażat fuq MBH99 jidher fil-pubbliċità. Anke fl-abbozz tal-palk, din is-sejba ġiet ikkontestata mill-kontrarji: f'Mejju 2000 il-Proġett tal-Politika tax-Xjenza u l-Ambjent ta 'Fred Singer kellu avveniment għall-istampa fuq Capitol Hill, Washington, D.C., li fih kummenti dwar il-graff Wibjörn Karlén u Singer argumentaw kontra l-graff Kumitat tas-Senat tal-Istati Uniti dwar is-Smigħ tal-Kummerċ, ix-Xjenza u t-Trasport fit-18 ta 'Lulju 2000. Il-Kontrarju John Lawrence Daly deher verżjoni modifikata tal-IPCC 1990, li huwa identifika ħażin bħala li jidher fir-rapport tal-IPCC 1995, u argumenta li "qalbu tiegħu Veduta preċedenti fir-rapport tal-1995, l-IPCC ippreżenta l- "hockey stick" bħala l-ortodossija l-ġdida li ma tantx tkun apoloġija jew spjegazzjoni għall-U-turn f'daqqa mir-rapport tal-1995 tiegħu ". Il-kritika tar-rikostruzzjoni MBH99 f'karta ta 'reviżjoni, li ġiet skreditata malajr fil-kontroversja dalwaqt u ta' Baliunas, inqabdet mill-amministrazzjoni ta 'Bush, u diskors tas-Senat mis-Senatur Repubblikan Amerikan James Inhofe allega li "t-tisħin globali magħmul mill-bniedem huwa l-akbar ingann li qatt kien hemm imwettqa fuq il-poplu Amerikan ". Id-dejta u l-metodoloġija użata biex tipproduċi l- "Hockey Stick Graph" ġiet ikkritikata f'karti minn Stephen McIntyre u Ross McKitrick, u mbagħad il-kritika f'dawn il-karti ġew eżaminati minn studji oħra u rifjutati b'mod komprensiv minn Wahl &amp; Ammann 2007, li wrew żbalji fi Il-metodi użati minn McIntyre u McKitrick.</v>
      </c>
    </row>
    <row r="9899" ht="15.75" customHeight="1">
      <c r="A9899" s="2" t="s">
        <v>9899</v>
      </c>
      <c r="B9899" s="2" t="str">
        <f>IFERROR(__xludf.DUMMYFUNCTION("GOOGLETRANSLATE(A9899, ""en"", ""mt"")"),"F'liema stil ġew iddisinjati l-blokki tal-palazz tal-massa mibnija?")</f>
        <v>F'liema stil ġew iddisinjati l-blokki tal-palazz tal-massa mibnija?</v>
      </c>
    </row>
    <row r="9900" ht="15.75" customHeight="1">
      <c r="A9900" s="2" t="s">
        <v>9900</v>
      </c>
      <c r="B9900" s="2" t="str">
        <f>IFERROR(__xludf.DUMMYFUNCTION("GOOGLETRANSLATE(A9900, ""en"", ""mt"")"),"jippreserva l-interessi tal-Mongolja fiċ-Ċina u jissodisfa t-talbiet tas-suġġetti Ċiniżi tiegħu")</f>
        <v>jippreserva l-interessi tal-Mongolja fiċ-Ċina u jissodisfa t-talbiet tas-suġġetti Ċiniżi tiegħu</v>
      </c>
    </row>
    <row r="9901" ht="15.75" customHeight="1">
      <c r="A9901" s="2" t="s">
        <v>9901</v>
      </c>
      <c r="B9901" s="2" t="str">
        <f>IFERROR(__xludf.DUMMYFUNCTION("GOOGLETRANSLATE(A9901, ""en"", ""mt"")"),"Sir Isaac Newton")</f>
        <v>Sir Isaac Newton</v>
      </c>
    </row>
    <row r="9902" ht="15.75" customHeight="1">
      <c r="A9902" s="2" t="s">
        <v>9902</v>
      </c>
      <c r="B9902" s="2" t="str">
        <f>IFERROR(__xludf.DUMMYFUNCTION("GOOGLETRANSLATE(A9902, ""en"", ""mt"")"),"48 miljun tunnellata ta 'trab huma minfuħa fuq dak li C kull sena?")</f>
        <v>48 miljun tunnellata ta 'trab huma minfuħa fuq dak li C kull sena?</v>
      </c>
    </row>
    <row r="9903" ht="15.75" customHeight="1">
      <c r="A9903" s="2" t="s">
        <v>9903</v>
      </c>
      <c r="B9903" s="2" t="str">
        <f>IFERROR(__xludf.DUMMYFUNCTION("GOOGLETRANSLATE(A9903, ""en"", ""mt"")"),"Il-bram u l-anemoni tal-baħar jappartjenu għal liema grupp /")</f>
        <v>Il-bram u l-anemoni tal-baħar jappartjenu għal liema grupp /</v>
      </c>
    </row>
    <row r="9904" ht="15.75" customHeight="1">
      <c r="A9904" s="2" t="s">
        <v>9904</v>
      </c>
      <c r="B9904" s="2" t="str">
        <f>IFERROR(__xludf.DUMMYFUNCTION("GOOGLETRANSLATE(A9904, ""en"", ""mt"")"),"Liema komposti organiċi fihom l-akbar ammont ta 'ossiġenu bil-massa?")</f>
        <v>Liema komposti organiċi fihom l-akbar ammont ta 'ossiġenu bil-massa?</v>
      </c>
    </row>
    <row r="9905" ht="15.75" customHeight="1">
      <c r="A9905" s="2" t="s">
        <v>9905</v>
      </c>
      <c r="B9905" s="2" t="str">
        <f>IFERROR(__xludf.DUMMYFUNCTION("GOOGLETRANSLATE(A9905, ""en"", ""mt"")"),"Naqbad il-Qawwa")</f>
        <v>Naqbad il-Qawwa</v>
      </c>
    </row>
    <row r="9906" ht="15.75" customHeight="1">
      <c r="A9906" s="2" t="s">
        <v>9906</v>
      </c>
      <c r="B9906" s="2" t="str">
        <f>IFERROR(__xludf.DUMMYFUNCTION("GOOGLETRANSLATE(A9906, ""en"", ""mt"")"),"L-istat huwa l-aktar komuni u promoss mill-gruppi tat-turiżmu reġjonali tiegħu bħala li jikkonsisti f'reġjuni ta 'Tramuntana, Ċentrali u tan-Nofsinhar ta' California. Iż-żewġ klabbs tal-karozzi AAA tal-istat, l-Assoċjazzjoni tal-Karozzi tal-Istat ta 'Cali"&amp;"fornia u l-Klabb tal-Karozzi tan-Nofsinhar ta' California, jagħżlu li jissimplifikaw il-kwistjonijiet billi jaqsmu l-istat skond il-linji fejn japplikaw il-ġurisdizzjonijiet tagħhom għas-sħubija, bħalma huma jew it-Tramuntana jew in-Nofsinhar ta 'Californ"&amp;"ia, b'kuntrast ma' Il-perspettiva bi tliet reġjuni. Influwenza oħra hija l-frażi ġeografika fin-Nofsinhar tat-Tehachapis, li taqsam ir-reġjun tan-Nofsinhar barra mill-krest ta 'dik il-firxa trasversa Ir-reġjun tan-Nofsinhar tal-Kalifornja minħabba l-bogħo"&amp;"d mill-wied ċentrali u l-pajsaġġ tad-deżert intern.")</f>
        <v>L-istat huwa l-aktar komuni u promoss mill-gruppi tat-turiżmu reġjonali tiegħu bħala li jikkonsisti f'reġjuni ta 'Tramuntana, Ċentrali u tan-Nofsinhar ta' California. Iż-żewġ klabbs tal-karozzi AAA tal-istat, l-Assoċjazzjoni tal-Karozzi tal-Istat ta 'California u l-Klabb tal-Karozzi tan-Nofsinhar ta' California, jagħżlu li jissimplifikaw il-kwistjonijiet billi jaqsmu l-istat skond il-linji fejn japplikaw il-ġurisdizzjonijiet tagħhom għas-sħubija, bħalma huma jew it-Tramuntana jew in-Nofsinhar ta 'California, b'kuntrast ma' Il-perspettiva bi tliet reġjuni. Influwenza oħra hija l-frażi ġeografika fin-Nofsinhar tat-Tehachapis, li taqsam ir-reġjun tan-Nofsinhar barra mill-krest ta 'dik il-firxa trasversa Ir-reġjun tan-Nofsinhar tal-Kalifornja minħabba l-bogħod mill-wied ċentrali u l-pajsaġġ tad-deżert intern.</v>
      </c>
    </row>
    <row r="9907" ht="15.75" customHeight="1">
      <c r="A9907" s="2" t="s">
        <v>9907</v>
      </c>
      <c r="B9907" s="2" t="str">
        <f>IFERROR(__xludf.DUMMYFUNCTION("GOOGLETRANSLATE(A9907, ""en"", ""mt"")"),"Wara l-ftuħ mill-ġdid, fejn se jkunu jinsabu l-biċċiet tal-arti wara r-restawr?")</f>
        <v>Wara l-ftuħ mill-ġdid, fejn se jkunu jinsabu l-biċċiet tal-arti wara r-restawr?</v>
      </c>
    </row>
    <row r="9908" ht="15.75" customHeight="1">
      <c r="A9908" s="2" t="s">
        <v>9908</v>
      </c>
      <c r="B9908" s="2" t="str">
        <f>IFERROR(__xludf.DUMMYFUNCTION("GOOGLETRANSLATE(A9908, ""en"", ""mt"")"),"ftit")</f>
        <v>ftit</v>
      </c>
    </row>
    <row r="9909" ht="15.75" customHeight="1">
      <c r="A9909" s="2" t="s">
        <v>9909</v>
      </c>
      <c r="B9909" s="2" t="str">
        <f>IFERROR(__xludf.DUMMYFUNCTION("GOOGLETRANSLATE(A9909, ""en"", ""mt"")"),"Ix-xejra tal-gwerra, segwita minn perjodi qosra ta ’paċi, kompliet għal kważi kwart ieħor ta’ seklu. Il-gwerra ġiet definittivament imqabbda fl-1598, meta Henry ta 'Navarra, wara li rnexxielu t-tron Franċiż bħala Henry IV, u wara li reġa' ħa l-Protestanti"&amp;"żmu favur il-Kattoliċiżmu Ruman, ħareġ l-editt ta 'Nantes. L-editt afferma mill-ġdid il-Kattoliċiżmu bħala r-reliġjon tal-istat ta ’Franza, iżda ta lill-Protestanti ugwaljanza mal-Kattoliċi taħt it-tron u grad ta’ libertà reliġjuża u politika fl-oqsma tag"&amp;"ħhom. L-editt protett fl-istess ħin l-interessi Kattoliċi billi jiskoraġġixxi l-fondazzjoni ta 'knejjes Protestanti ġodda f'reġjuni kkontrollati mill-Kattoliċi. [Ċitazzjoni meħtieġa]")</f>
        <v>Ix-xejra tal-gwerra, segwita minn perjodi qosra ta ’paċi, kompliet għal kważi kwart ieħor ta’ seklu. Il-gwerra ġiet definittivament imqabbda fl-1598, meta Henry ta 'Navarra, wara li rnexxielu t-tron Franċiż bħala Henry IV, u wara li reġa' ħa l-Protestantiżmu favur il-Kattoliċiżmu Ruman, ħareġ l-editt ta 'Nantes. L-editt afferma mill-ġdid il-Kattoliċiżmu bħala r-reliġjon tal-istat ta ’Franza, iżda ta lill-Protestanti ugwaljanza mal-Kattoliċi taħt it-tron u grad ta’ libertà reliġjuża u politika fl-oqsma tagħhom. L-editt protett fl-istess ħin l-interessi Kattoliċi billi jiskoraġġixxi l-fondazzjoni ta 'knejjes Protestanti ġodda f'reġjuni kkontrollati mill-Kattoliċi. [Ċitazzjoni meħtieġa]</v>
      </c>
    </row>
    <row r="9910" ht="15.75" customHeight="1">
      <c r="A9910" s="2" t="s">
        <v>9910</v>
      </c>
      <c r="B9910" s="2" t="str">
        <f>IFERROR(__xludf.DUMMYFUNCTION("GOOGLETRANSLATE(A9910, ""en"", ""mt"")"),"F'liema sena l-esperjenza tal-Baċin tal-Amażonja hija l-agħar nixfa f'1000 sena?")</f>
        <v>F'liema sena l-esperjenza tal-Baċin tal-Amażonja hija l-agħar nixfa f'1000 sena?</v>
      </c>
    </row>
    <row r="9911" ht="15.75" customHeight="1">
      <c r="A9911" s="2" t="s">
        <v>9911</v>
      </c>
      <c r="B9911" s="2" t="str">
        <f>IFERROR(__xludf.DUMMYFUNCTION("GOOGLETRANSLATE(A9911, ""en"", ""mt"")"),"X'inhuma l-mogħdijiet bijokokimiċi użati biex jiddeċifraw?")</f>
        <v>X'inhuma l-mogħdijiet bijokokimiċi użati biex jiddeċifraw?</v>
      </c>
    </row>
    <row r="9912" ht="15.75" customHeight="1">
      <c r="A9912" s="2" t="s">
        <v>9912</v>
      </c>
      <c r="B9912" s="2" t="str">
        <f>IFERROR(__xludf.DUMMYFUNCTION("GOOGLETRANSLATE(A9912, ""en"", ""mt"")"),"riċettur alternattiv taċ-ċelloli T (TCR)")</f>
        <v>riċettur alternattiv taċ-ċelloli T (TCR)</v>
      </c>
    </row>
    <row r="9913" ht="15.75" customHeight="1">
      <c r="A9913" s="2" t="s">
        <v>9913</v>
      </c>
      <c r="B9913" s="2" t="str">
        <f>IFERROR(__xludf.DUMMYFUNCTION("GOOGLETRANSLATE(A9913, ""en"", ""mt"")"),"Ikkastiga lin-nies ta 'Miami ta' Pickawillany talli ma segwewx l-ordnijiet ta 'Céloron")</f>
        <v>Ikkastiga lin-nies ta 'Miami ta' Pickawillany talli ma segwewx l-ordnijiet ta 'Céloron</v>
      </c>
    </row>
    <row r="9914" ht="15.75" customHeight="1">
      <c r="A9914" s="2" t="s">
        <v>9914</v>
      </c>
      <c r="B9914" s="2" t="str">
        <f>IFERROR(__xludf.DUMMYFUNCTION("GOOGLETRANSLATE(A9914, ""en"", ""mt"")"),"Kwistjonijiet taħt il-ġurisdizzjoni tagħhom")</f>
        <v>Kwistjonijiet taħt il-ġurisdizzjoni tagħhom</v>
      </c>
    </row>
    <row r="9915" ht="15.75" customHeight="1">
      <c r="A9915" s="2" t="s">
        <v>9915</v>
      </c>
      <c r="B9915" s="2" t="str">
        <f>IFERROR(__xludf.DUMMYFUNCTION("GOOGLETRANSLATE(A9915, ""en"", ""mt"")"),"Battalja ta 'Olustee")</f>
        <v>Battalja ta 'Olustee</v>
      </c>
    </row>
    <row r="9916" ht="15.75" customHeight="1">
      <c r="A9916" s="2" t="s">
        <v>9916</v>
      </c>
      <c r="B9916" s="2" t="str">
        <f>IFERROR(__xludf.DUMMYFUNCTION("GOOGLETRANSLATE(A9916, ""en"", ""mt"")"),"F'dan id-dijossiġnu, iż-żewġ atomi ta 'ossiġnu huma marbuta kimikament ma' xulxin. Il-bond jista 'jiġi deskritt b'mod varju abbażi ta' livell ta 'teorija, iżda huwa raġonevolment u sempliċement deskritt bħala rabta doppja kovalenti li tirriżulta mill-mili"&amp;" ta' orbitali molekulari ffurmati mill-orbitali atomiċi ta 'l-atomi ta' ossiġenu individwali, li l-mili tagħhom jirriżulta f'rabta Ordni ta 'tnejn. B'mod iktar speċifiku, il-bond doppju huwa r-riżultat ta 'enerġija sekwenzjali, baxxa għal għolja, jew Aufb"&amp;"au, mili ta' orbitali, u l-kanċellazzjoni li tirriżulta ta 'kontribuzzjonijiet mill-elettroni 2S, wara mili sekwenzjali tal-orbital σ u σ *; σ sovrappożizzjoni taż-żewġ orbitali atomiċi 2p li jinsabu tul l-assi molekulari O-O u l-koinċidenza π ta 'żewġ pa"&amp;"ri ta' orbitali 2P atomiċi perpendikulari mal-assi molekulari O-O, u mbagħad il-kanċellazzjoni tal-kontribuzzjonijiet mis-sitt tnejn mill-elettroni parzjali wara l-mili parzjali tagħhom wara l-mili parzjali tagħhom wara l-mili parzjali tagħhom ta 'l-inqas"&amp;" π u π * orbitali.")</f>
        <v>F'dan id-dijossiġnu, iż-żewġ atomi ta 'ossiġnu huma marbuta kimikament ma' xulxin. Il-bond jista 'jiġi deskritt b'mod varju abbażi ta' livell ta 'teorija, iżda huwa raġonevolment u sempliċement deskritt bħala rabta doppja kovalenti li tirriżulta mill-mili ta' orbitali molekulari ffurmati mill-orbitali atomiċi ta 'l-atomi ta' ossiġenu individwali, li l-mili tagħhom jirriżulta f'rabta Ordni ta 'tnejn. B'mod iktar speċifiku, il-bond doppju huwa r-riżultat ta 'enerġija sekwenzjali, baxxa għal għolja, jew Aufbau, mili ta' orbitali, u l-kanċellazzjoni li tirriżulta ta 'kontribuzzjonijiet mill-elettroni 2S, wara mili sekwenzjali tal-orbital σ u σ *; σ sovrappożizzjoni taż-żewġ orbitali atomiċi 2p li jinsabu tul l-assi molekulari O-O u l-koinċidenza π ta 'żewġ pari ta' orbitali 2P atomiċi perpendikulari mal-assi molekulari O-O, u mbagħad il-kanċellazzjoni tal-kontribuzzjonijiet mis-sitt tnejn mill-elettroni parzjali wara l-mili parzjali tagħhom wara l-mili parzjali tagħhom wara l-mili parzjali tagħhom ta 'l-inqas π u π * orbitali.</v>
      </c>
    </row>
    <row r="9917" ht="15.75" customHeight="1">
      <c r="A9917" s="2" t="s">
        <v>9917</v>
      </c>
      <c r="B9917" s="2" t="str">
        <f>IFERROR(__xludf.DUMMYFUNCTION("GOOGLETRANSLATE(A9917, ""en"", ""mt"")"),"Minn ~ 3000 yr bp (= snin qabel il-preżent), l-impatt tal-bniedem jidher fid-delta. Bħala riżultat taż-żieda fit-tneħħija tal-art (l-agrikoltura tal-Età tal-Bronż), fiż-żoni tal-art (il-Ġermanja Ċentrali), it-tagħbija tas-sediment tar-Renu żdiedet bil-qaw"&amp;"wa u t-tkabbir tad-delta ħaffef. Dan ikkawża żieda fl-għargħar u s-sedimentazzjoni, li tispiċċa l-formazzjoni tal-pit fid-delta. Iċ-ċaqliq tal-kanali tax-xmajjar għal postijiet ġodda, fuq il-pjan ta 'l-għargħar (imsejjaħ avulżjoni), kien il-proċess ewlien"&amp;"i li jqassam is-sediment madwar id-delta subrekenti. Matul l-aħħar 6000 sena, seħħew madwar 80 avulsjoni. L-impatt dirett tal-bniedem fid-delta beda bil-minjieri tal-pit, għall-melħ u l-fjuwil, minn żminijiet Rumani 'l quddiem. Dan kien segwit minn moll, "&amp;"tad-distributuri ewlenin u d-damming ta 'distributarji minuri, li seħħew fis-seklu 11-13 WK. Wara dan, il-kanali ġew imħaffra, il-liwjiet kienu maqtugħin qosra u nbnew groynes, biex ma jħallux il-kanali tax-xmara milli jemigraw jew jitilqu.")</f>
        <v>Minn ~ 3000 yr bp (= snin qabel il-preżent), l-impatt tal-bniedem jidher fid-delta. Bħala riżultat taż-żieda fit-tneħħija tal-art (l-agrikoltura tal-Età tal-Bronż), fiż-żoni tal-art (il-Ġermanja Ċentrali), it-tagħbija tas-sediment tar-Renu żdiedet bil-qawwa u t-tkabbir tad-delta ħaffef. Dan ikkawża żieda fl-għargħar u s-sedimentazzjoni, li tispiċċa l-formazzjoni tal-pit fid-delta. Iċ-ċaqliq tal-kanali tax-xmajjar għal postijiet ġodda, fuq il-pjan ta 'l-għargħar (imsejjaħ avulżjoni), kien il-proċess ewlieni li jqassam is-sediment madwar id-delta subrekenti. Matul l-aħħar 6000 sena, seħħew madwar 80 avulsjoni. L-impatt dirett tal-bniedem fid-delta beda bil-minjieri tal-pit, għall-melħ u l-fjuwil, minn żminijiet Rumani 'l quddiem. Dan kien segwit minn moll, tad-distributuri ewlenin u d-damming ta 'distributarji minuri, li seħħew fis-seklu 11-13 WK. Wara dan, il-kanali ġew imħaffra, il-liwjiet kienu maqtugħin qosra u nbnew groynes, biex ma jħallux il-kanali tax-xmara milli jemigraw jew jitilqu.</v>
      </c>
    </row>
    <row r="9918" ht="15.75" customHeight="1">
      <c r="A9918" s="2" t="s">
        <v>9918</v>
      </c>
      <c r="B9918" s="2" t="str">
        <f>IFERROR(__xludf.DUMMYFUNCTION("GOOGLETRANSLATE(A9918, ""en"", ""mt"")"),"Ossachite")</f>
        <v>Ossachite</v>
      </c>
    </row>
    <row r="9919" ht="15.75" customHeight="1">
      <c r="A9919" s="2" t="s">
        <v>9919</v>
      </c>
      <c r="B9919" s="2" t="str">
        <f>IFERROR(__xludf.DUMMYFUNCTION("GOOGLETRANSLATE(A9919, ""en"", ""mt"")"),"Meta Holden ħabbar li se jagħlaq l-impjant tar-Rabat tagħha?")</f>
        <v>Meta Holden ħabbar li se jagħlaq l-impjant tar-Rabat tagħha?</v>
      </c>
    </row>
    <row r="9920" ht="15.75" customHeight="1">
      <c r="A9920" s="2" t="s">
        <v>9920</v>
      </c>
      <c r="B9920" s="2" t="str">
        <f>IFERROR(__xludf.DUMMYFUNCTION("GOOGLETRANSLATE(A9920, ""en"", ""mt"")"),"Is-sistema tal-burokrazija maħluqa minn Kublai Khan kienet tirrifletti diversi kulturi fl-imperu, inkluż dik taċ-Ċiniżi Han, Khitans, Jurchens, Mongols, u Buddisti Tibetani. Filwaqt li t-terminoloġija uffiċjali tal-istituzzjonijiet tista 'tindika li l-ist"&amp;"ruttura tal-gvern kienet kważi purament dik tad-dinastiji Ċiniżi indiġeni, il-burokrazija tal-wan fil-fatt kienet tikkonsisti f'taħlita ta' elementi minn kulturi differenti. L-elementi ta 'l-istil Ċiniż tal-burokrazija ġew prinċipalment mill-kanzunetta in"&amp;"diġena, kif ukoll mid-dinastiji ta' Khitan Liao u Jurchen Jin. Konsulenti Ċiniżi bħal Liu Bingzhong u Yao Shu taw influwenza qawwija lill-qorti bikrija ta 'Kublai, u l-amministrazzjoni tal-gvern ċentrali ġiet stabbilita fl-ewwel għaxar snin tar-renju ta' "&amp;"Kublai. Dan il-gvern adotta d-diviżjoni tradizzjonali tat-tripartita Ċiniża tal-awtorità fost uffiċċji ċivili, militari u ċensuri, inkluż is-Segretarjat Ċentrali (Zhongshu Sheng) biex jimmaniġġja l-affarijiet ċivili, il-Kunsill Privat (Ċiniż: 樞密院) biex ji"&amp;"mmaniġġja l-affarijiet militari, u ċ-ċensura biex twettaq sorveljanza interna u spezzjoni. Il-funzjonijiet attwali tal-istituzzjonijiet tal-gvern ċentrali u lokali, madankollu, urew koinċidenza kbira bejn il-ġurisdizzjonijiet ċivili u militari, minħabba d"&amp;"-dipendenza tradizzjonali Mongoljana fuq istituzzjonijiet u uffiċċji militari bħala l-qalba tal-governanza. Madankollu, burokrazija ċivili bħal din, bis-Segretarjat Ċentrali bħala l-aqwa istituzzjoni li kienet (direttament jew indirettament) responsabbli "&amp;"għall-biċċa l-kbira tal-aġenziji governattivi l-oħra (bħalma kienet maħluqa s-sitt ministeri tradizzjonali tal-istil Ċiniż), inħolqot fiċ-Ċina. F’diversi żminijiet ta ’istituzzjoni oħra tal-gvern ċentrali msejħa d-Dipartiment tal-Affarijiet tal-Istat (Sha"&amp;"ngshu Sheng) li ttrattat prinċipalment il-finanzi ġie stabbilit (bħal matul ir-renju ta’ Külüg Khan jew l-Imperatur Wuzong), iżda ġeneralment kien abbandunat ftit wara.")</f>
        <v>Is-sistema tal-burokrazija maħluqa minn Kublai Khan kienet tirrifletti diversi kulturi fl-imperu, inkluż dik taċ-Ċiniżi Han, Khitans, Jurchens, Mongols, u Buddisti Tibetani. Filwaqt li t-terminoloġija uffiċjali tal-istituzzjonijiet tista 'tindika li l-istruttura tal-gvern kienet kważi purament dik tad-dinastiji Ċiniżi indiġeni, il-burokrazija tal-wan fil-fatt kienet tikkonsisti f'taħlita ta' elementi minn kulturi differenti. L-elementi ta 'l-istil Ċiniż tal-burokrazija ġew prinċipalment mill-kanzunetta indiġena, kif ukoll mid-dinastiji ta' Khitan Liao u Jurchen Jin. Konsulenti Ċiniżi bħal Liu Bingzhong u Yao Shu taw influwenza qawwija lill-qorti bikrija ta 'Kublai, u l-amministrazzjoni tal-gvern ċentrali ġiet stabbilita fl-ewwel għaxar snin tar-renju ta' Kublai. Dan il-gvern adotta d-diviżjoni tradizzjonali tat-tripartita Ċiniża tal-awtorità fost uffiċċji ċivili, militari u ċensuri, inkluż is-Segretarjat Ċentrali (Zhongshu Sheng) biex jimmaniġġja l-affarijiet ċivili, il-Kunsill Privat (Ċiniż: 樞密院) biex jimmaniġġja l-affarijiet militari, u ċ-ċensura biex twettaq sorveljanza interna u spezzjoni. Il-funzjonijiet attwali tal-istituzzjonijiet tal-gvern ċentrali u lokali, madankollu, urew koinċidenza kbira bejn il-ġurisdizzjonijiet ċivili u militari, minħabba d-dipendenza tradizzjonali Mongoljana fuq istituzzjonijiet u uffiċċji militari bħala l-qalba tal-governanza. Madankollu, burokrazija ċivili bħal din, bis-Segretarjat Ċentrali bħala l-aqwa istituzzjoni li kienet (direttament jew indirettament) responsabbli għall-biċċa l-kbira tal-aġenziji governattivi l-oħra (bħalma kienet maħluqa s-sitt ministeri tradizzjonali tal-istil Ċiniż), inħolqot fiċ-Ċina. F’diversi żminijiet ta ’istituzzjoni oħra tal-gvern ċentrali msejħa d-Dipartiment tal-Affarijiet tal-Istat (Shangshu Sheng) li ttrattat prinċipalment il-finanzi ġie stabbilit (bħal matul ir-renju ta’ Külüg Khan jew l-Imperatur Wuzong), iżda ġeneralment kien abbandunat ftit wara.</v>
      </c>
    </row>
    <row r="9921" ht="15.75" customHeight="1">
      <c r="A9921" s="2" t="s">
        <v>9921</v>
      </c>
      <c r="B9921" s="2" t="str">
        <f>IFERROR(__xludf.DUMMYFUNCTION("GOOGLETRANSLATE(A9921, ""en"", ""mt"")"),"L-Hochrhein aktar milli jirdoppja l-iskarikar tal-ilma tar-Rhine għal liema ammont?")</f>
        <v>L-Hochrhein aktar milli jirdoppja l-iskarikar tal-ilma tar-Rhine għal liema ammont?</v>
      </c>
    </row>
    <row r="9922" ht="15.75" customHeight="1">
      <c r="A9922" s="2" t="s">
        <v>9922</v>
      </c>
      <c r="B9922" s="2" t="str">
        <f>IFERROR(__xludf.DUMMYFUNCTION("GOOGLETRANSLATE(A9922, ""en"", ""mt"")"),"Fejn hu l-aħjar Taljan fir-Rabat?")</f>
        <v>Fejn hu l-aħjar Taljan fir-Rabat?</v>
      </c>
    </row>
    <row r="9923" ht="15.75" customHeight="1">
      <c r="A9923" s="2" t="s">
        <v>9923</v>
      </c>
      <c r="B9923" s="2" t="str">
        <f>IFERROR(__xludf.DUMMYFUNCTION("GOOGLETRANSLATE(A9923, ""en"", ""mt"")"),"Li tieħu xhieda minn xhieda hija waħda mill-kumitati?")</f>
        <v>Li tieħu xhieda minn xhieda hija waħda mill-kumitati?</v>
      </c>
    </row>
    <row r="9924" ht="15.75" customHeight="1">
      <c r="A9924" s="2" t="s">
        <v>9924</v>
      </c>
      <c r="B9924" s="2" t="str">
        <f>IFERROR(__xludf.DUMMYFUNCTION("GOOGLETRANSLATE(A9924, ""en"", ""mt"")"),"L-ekonomija tan-Nofsinhar ta 'California tista' tiġi deskritta bħala waħda mill-ikbar fl-Istati Uniti u liema karatteristika oħra?")</f>
        <v>L-ekonomija tan-Nofsinhar ta 'California tista' tiġi deskritta bħala waħda mill-ikbar fl-Istati Uniti u liema karatteristika oħra?</v>
      </c>
    </row>
    <row r="9925" ht="15.75" customHeight="1">
      <c r="A9925" s="2" t="s">
        <v>9925</v>
      </c>
      <c r="B9925" s="2" t="str">
        <f>IFERROR(__xludf.DUMMYFUNCTION("GOOGLETRANSLATE(A9925, ""en"", ""mt"")"),"Kemm huguenots inqatlu f'Orleans?")</f>
        <v>Kemm huguenots inqatlu f'Orleans?</v>
      </c>
    </row>
    <row r="9926" ht="15.75" customHeight="1">
      <c r="A9926" s="2" t="s">
        <v>9926</v>
      </c>
      <c r="B9926" s="2" t="str">
        <f>IFERROR(__xludf.DUMMYFUNCTION("GOOGLETRANSLATE(A9926, ""en"", ""mt"")"),"Flimkien ma 'muturi elettriċi, liema sorsi ta' enerġija qabżu l-magni tal-fwar fis-seklu 20?")</f>
        <v>Flimkien ma 'muturi elettriċi, liema sorsi ta' enerġija qabżu l-magni tal-fwar fis-seklu 20?</v>
      </c>
    </row>
    <row r="9927" ht="15.75" customHeight="1">
      <c r="A9927" s="2" t="s">
        <v>9927</v>
      </c>
      <c r="B9927" s="2" t="str">
        <f>IFERROR(__xludf.DUMMYFUNCTION("GOOGLETRANSLATE(A9927, ""en"", ""mt"")"),"Qatt")</f>
        <v>Qatt</v>
      </c>
    </row>
    <row r="9928" ht="15.75" customHeight="1">
      <c r="A9928" s="2" t="s">
        <v>9928</v>
      </c>
      <c r="B9928" s="2" t="str">
        <f>IFERROR(__xludf.DUMMYFUNCTION("GOOGLETRANSLATE(A9928, ""en"", ""mt"")"),"Xi tfisser l-ossiġnu l-bażi għal fil-kombustjoni?")</f>
        <v>Xi tfisser l-ossiġnu l-bażi għal fil-kombustjoni?</v>
      </c>
    </row>
    <row r="9929" ht="15.75" customHeight="1">
      <c r="A9929" s="2" t="s">
        <v>9929</v>
      </c>
      <c r="B9929" s="2" t="str">
        <f>IFERROR(__xludf.DUMMYFUNCTION("GOOGLETRANSLATE(A9929, ""en"", ""mt"")")," Meta mietu l-ħames kalifi ggwidati bir-raġun?")</f>
        <v> Meta mietu l-ħames kalifi ggwidati bir-raġun?</v>
      </c>
    </row>
    <row r="9930" ht="15.75" customHeight="1">
      <c r="A9930" s="2" t="s">
        <v>9930</v>
      </c>
      <c r="B9930" s="2" t="str">
        <f>IFERROR(__xludf.DUMMYFUNCTION("GOOGLETRANSLATE(A9930, ""en"", ""mt"")"),"Sistemi immuni innati")</f>
        <v>Sistemi immuni innati</v>
      </c>
    </row>
    <row r="9931" ht="15.75" customHeight="1">
      <c r="A9931" s="2" t="s">
        <v>9931</v>
      </c>
      <c r="B9931" s="2" t="str">
        <f>IFERROR(__xludf.DUMMYFUNCTION("GOOGLETRANSLATE(A9931, ""en"", ""mt"")"),"X'tip ta 'vot għandu jgħaddi l-Kunsill sabiex japprova xi tibdil irrakkomandat mill-Parlament?")</f>
        <v>X'tip ta 'vot għandu jgħaddi l-Kunsill sabiex japprova xi tibdil irrakkomandat mill-Parlament?</v>
      </c>
    </row>
    <row r="9932" ht="15.75" customHeight="1">
      <c r="A9932" s="2" t="s">
        <v>9932</v>
      </c>
      <c r="B9932" s="2" t="str">
        <f>IFERROR(__xludf.DUMMYFUNCTION("GOOGLETRANSLATE(A9932, ""en"", ""mt"")"),"F'liema sena Pierre de Fermat iddikjara t-teorema żgħira ta 'Fermat?")</f>
        <v>F'liema sena Pierre de Fermat iddikjara t-teorema żgħira ta 'Fermat?</v>
      </c>
    </row>
    <row r="9933" ht="15.75" customHeight="1">
      <c r="A9933" s="2" t="s">
        <v>9933</v>
      </c>
      <c r="B9933" s="2" t="str">
        <f>IFERROR(__xludf.DUMMYFUNCTION("GOOGLETRANSLATE(A9933, ""en"", ""mt"")"),"Kif is-supplimentazzjoni dwar it-tariffa tat-tagħlim tgħin lill-istudenti tal-iskola sekondarja?")</f>
        <v>Kif is-supplimentazzjoni dwar it-tariffa tat-tagħlim tgħin lill-istudenti tal-iskola sekondarja?</v>
      </c>
    </row>
    <row r="9934" ht="15.75" customHeight="1">
      <c r="A9934" s="2" t="s">
        <v>9934</v>
      </c>
      <c r="B9934" s="2" t="str">
        <f>IFERROR(__xludf.DUMMYFUNCTION("GOOGLETRANSLATE(A9934, ""en"", ""mt"")"),"X'jihom iħossu riċerkaturi konservattivi m'għandhomx ikunu miżura ta 'inugwaljanza?")</f>
        <v>X'jihom iħossu riċerkaturi konservattivi m'għandhomx ikunu miżura ta 'inugwaljanza?</v>
      </c>
    </row>
    <row r="9935" ht="15.75" customHeight="1">
      <c r="A9935" s="2" t="s">
        <v>9935</v>
      </c>
      <c r="B9935" s="2" t="str">
        <f>IFERROR(__xludf.DUMMYFUNCTION("GOOGLETRANSLATE(A9935, ""en"", ""mt"")"),"X'inhu terminu ieħor użat għal Science Lab?")</f>
        <v>X'inhu terminu ieħor użat għal Science Lab?</v>
      </c>
    </row>
    <row r="9936" ht="15.75" customHeight="1">
      <c r="A9936" s="2" t="s">
        <v>9936</v>
      </c>
      <c r="B9936" s="2" t="str">
        <f>IFERROR(__xludf.DUMMYFUNCTION("GOOGLETRANSLATE(A9936, ""en"", ""mt"")"),"Festival tal-Arti")</f>
        <v>Festival tal-Arti</v>
      </c>
    </row>
    <row r="9937" ht="15.75" customHeight="1">
      <c r="A9937" s="2" t="s">
        <v>9937</v>
      </c>
      <c r="B9937" s="2" t="str">
        <f>IFERROR(__xludf.DUMMYFUNCTION("GOOGLETRANSLATE(A9937, ""en"", ""mt"")"),"Infjammazzjoni")</f>
        <v>Infjammazzjoni</v>
      </c>
    </row>
    <row r="9938" ht="15.75" customHeight="1">
      <c r="A9938" s="2" t="s">
        <v>9938</v>
      </c>
      <c r="B9938" s="2" t="str">
        <f>IFERROR(__xludf.DUMMYFUNCTION("GOOGLETRANSLATE(A9938, ""en"", ""mt"")"),"x'imkien bejn")</f>
        <v>x'imkien bejn</v>
      </c>
    </row>
    <row r="9939" ht="15.75" customHeight="1">
      <c r="A9939" s="2" t="s">
        <v>9939</v>
      </c>
      <c r="B9939" s="2" t="str">
        <f>IFERROR(__xludf.DUMMYFUNCTION("GOOGLETRANSLATE(A9939, ""en"", ""mt"")"),"bl-għajnuna tal-militar")</f>
        <v>bl-għajnuna tal-militar</v>
      </c>
    </row>
    <row r="9940" ht="15.75" customHeight="1">
      <c r="A9940" s="2" t="s">
        <v>9940</v>
      </c>
      <c r="B9940" s="2" t="str">
        <f>IFERROR(__xludf.DUMMYFUNCTION("GOOGLETRANSLATE(A9940, ""en"", ""mt"")"),"Bert Bolin")</f>
        <v>Bert Bolin</v>
      </c>
    </row>
    <row r="9941" ht="15.75" customHeight="1">
      <c r="A9941" s="2" t="s">
        <v>9941</v>
      </c>
      <c r="B9941" s="2" t="str">
        <f>IFERROR(__xludf.DUMMYFUNCTION("GOOGLETRANSLATE(A9941, ""en"", ""mt"")"),"Fil-5 ta 'filgħodu, kull jum ta' seduta, l-MSPs jiddeċiedu dwar xiex?")</f>
        <v>Fil-5 ta 'filgħodu, kull jum ta' seduta, l-MSPs jiddeċiedu dwar xiex?</v>
      </c>
    </row>
    <row r="9942" ht="15.75" customHeight="1">
      <c r="A9942" s="2" t="s">
        <v>9942</v>
      </c>
      <c r="B9942" s="2" t="str">
        <f>IFERROR(__xludf.DUMMYFUNCTION("GOOGLETRANSLATE(A9942, ""en"", ""mt"")"),"1050s")</f>
        <v>1050s</v>
      </c>
    </row>
    <row r="9943" ht="15.75" customHeight="1">
      <c r="A9943" s="2" t="s">
        <v>9943</v>
      </c>
      <c r="B9943" s="2" t="str">
        <f>IFERROR(__xludf.DUMMYFUNCTION("GOOGLETRANSLATE(A9943, ""en"", ""mt"")"),"Il-fagoċiti jistgħu jissejħu għal post speċifiku minn xiex?")</f>
        <v>Il-fagoċiti jistgħu jissejħu għal post speċifiku minn xiex?</v>
      </c>
    </row>
    <row r="9944" ht="15.75" customHeight="1">
      <c r="A9944" s="2" t="s">
        <v>9944</v>
      </c>
      <c r="B9944" s="2" t="str">
        <f>IFERROR(__xludf.DUMMYFUNCTION("GOOGLETRANSLATE(A9944, ""en"", ""mt"")"),"organiku")</f>
        <v>organiku</v>
      </c>
    </row>
    <row r="9945" ht="15.75" customHeight="1">
      <c r="A9945" s="2" t="s">
        <v>9945</v>
      </c>
      <c r="B9945" s="2" t="str">
        <f>IFERROR(__xludf.DUMMYFUNCTION("GOOGLETRANSLATE(A9945, ""en"", ""mt"")"),"Varsavja Università tal-Bini tat-Teknoloġija")</f>
        <v>Varsavja Università tal-Bini tat-Teknoloġija</v>
      </c>
    </row>
    <row r="9946" ht="15.75" customHeight="1">
      <c r="A9946" s="2" t="s">
        <v>9946</v>
      </c>
      <c r="B9946" s="2" t="str">
        <f>IFERROR(__xludf.DUMMYFUNCTION("GOOGLETRANSLATE(A9946, ""en"", ""mt"")"),"ħin u spazju")</f>
        <v>ħin u spazju</v>
      </c>
    </row>
    <row r="9947" ht="15.75" customHeight="1">
      <c r="A9947" s="2" t="s">
        <v>9947</v>
      </c>
      <c r="B9947" s="2" t="str">
        <f>IFERROR(__xludf.DUMMYFUNCTION("GOOGLETRANSLATE(A9947, ""en"", ""mt"")"),"Teorema ta 'Vinogradov")</f>
        <v>Teorema ta 'Vinogradov</v>
      </c>
    </row>
    <row r="9948" ht="15.75" customHeight="1">
      <c r="A9948" s="2" t="s">
        <v>9948</v>
      </c>
      <c r="B9948" s="2" t="str">
        <f>IFERROR(__xludf.DUMMYFUNCTION("GOOGLETRANSLATE(A9948, ""en"", ""mt"")"),"Ir-reġjun huwa dar għal 25 miljun xiex?")</f>
        <v>Ir-reġjun huwa dar għal 25 miljun xiex?</v>
      </c>
    </row>
    <row r="9949" ht="15.75" customHeight="1">
      <c r="A9949" s="2" t="s">
        <v>9949</v>
      </c>
      <c r="B9949" s="2" t="str">
        <f>IFERROR(__xludf.DUMMYFUNCTION("GOOGLETRANSLATE(A9949, ""en"", ""mt"")"),"Liema bini ġie mwaqqa 'fl-2014?")</f>
        <v>Liema bini ġie mwaqqa 'fl-2014?</v>
      </c>
    </row>
    <row r="9950" ht="15.75" customHeight="1">
      <c r="A9950" s="2" t="s">
        <v>9950</v>
      </c>
      <c r="B9950" s="2" t="str">
        <f>IFERROR(__xludf.DUMMYFUNCTION("GOOGLETRANSLATE(A9950, ""en"", ""mt"")"),"Meta l-Huguenots żgura d-dritt li jkollu art fil-baronji?")</f>
        <v>Meta l-Huguenots żgura d-dritt li jkollu art fil-baronji?</v>
      </c>
    </row>
    <row r="9951" ht="15.75" customHeight="1">
      <c r="A9951" s="2" t="s">
        <v>9951</v>
      </c>
      <c r="B9951" s="2" t="str">
        <f>IFERROR(__xludf.DUMMYFUNCTION("GOOGLETRANSLATE(A9951, ""en"", ""mt"")"),"Neħħi s-sorveljanza tal-gvern")</f>
        <v>Neħħi s-sorveljanza tal-gvern</v>
      </c>
    </row>
    <row r="9952" ht="15.75" customHeight="1">
      <c r="A9952" s="2" t="s">
        <v>9952</v>
      </c>
      <c r="B9952" s="2" t="str">
        <f>IFERROR(__xludf.DUMMYFUNCTION("GOOGLETRANSLATE(A9952, ""en"", ""mt"")"),"Vicodin")</f>
        <v>Vicodin</v>
      </c>
    </row>
    <row r="9953" ht="15.75" customHeight="1">
      <c r="A9953" s="2" t="s">
        <v>9953</v>
      </c>
      <c r="B9953" s="2" t="str">
        <f>IFERROR(__xludf.DUMMYFUNCTION("GOOGLETRANSLATE(A9953, ""en"", ""mt"")"),"X'jiera l-atturi tal-pranzu u l-plejers tal-kumpanija tajba ta 'Roger Rocka?")</f>
        <v>X'jiera l-atturi tal-pranzu u l-plejers tal-kumpanija tajba ta 'Roger Rocka?</v>
      </c>
    </row>
    <row r="9954" ht="15.75" customHeight="1">
      <c r="A9954" s="2" t="s">
        <v>9954</v>
      </c>
      <c r="B9954" s="2" t="str">
        <f>IFERROR(__xludf.DUMMYFUNCTION("GOOGLETRANSLATE(A9954, ""en"", ""mt"")"),"X'inhi biċċa oħra maħluqa minn Olivier Messiaen?")</f>
        <v>X'inhi biċċa oħra maħluqa minn Olivier Messiaen?</v>
      </c>
    </row>
    <row r="9955" ht="15.75" customHeight="1">
      <c r="A9955" s="2" t="s">
        <v>9955</v>
      </c>
      <c r="B9955" s="2" t="str">
        <f>IFERROR(__xludf.DUMMYFUNCTION("GOOGLETRANSLATE(A9955, ""en"", ""mt"")"),"Cholecalciferol")</f>
        <v>Cholecalciferol</v>
      </c>
    </row>
    <row r="9956" ht="15.75" customHeight="1">
      <c r="A9956" s="2" t="s">
        <v>9956</v>
      </c>
      <c r="B9956" s="2" t="str">
        <f>IFERROR(__xludf.DUMMYFUNCTION("GOOGLETRANSLATE(A9956, ""en"", ""mt"")"),"X'jiġri minn saffi tas-sedimenti li huma wkoll irqaq?")</f>
        <v>X'jiġri minn saffi tas-sedimenti li huma wkoll irqaq?</v>
      </c>
    </row>
    <row r="9957" ht="15.75" customHeight="1">
      <c r="A9957" s="2" t="s">
        <v>9957</v>
      </c>
      <c r="B9957" s="2" t="str">
        <f>IFERROR(__xludf.DUMMYFUNCTION("GOOGLETRANSLATE(A9957, ""en"", ""mt"")"),"Liema apparat jintuża biex jittestja l-attrazzjonijiet manjetiċi involuti fl-ossiġnu likwidu?")</f>
        <v>Liema apparat jintuża biex jittestja l-attrazzjonijiet manjetiċi involuti fl-ossiġnu likwidu?</v>
      </c>
    </row>
    <row r="9958" ht="15.75" customHeight="1">
      <c r="A9958" s="2" t="s">
        <v>9958</v>
      </c>
      <c r="B9958" s="2" t="str">
        <f>IFERROR(__xludf.DUMMYFUNCTION("GOOGLETRANSLATE(A9958, ""en"", ""mt"")"),"X'inhu l-isem tar-router dial-up ta 'Sky Q?")</f>
        <v>X'inhu l-isem tar-router dial-up ta 'Sky Q?</v>
      </c>
    </row>
    <row r="9959" ht="15.75" customHeight="1">
      <c r="A9959" s="2" t="s">
        <v>9959</v>
      </c>
      <c r="B9959" s="2" t="str">
        <f>IFERROR(__xludf.DUMMYFUNCTION("GOOGLETRANSLATE(A9959, ""en"", ""mt"")"),"dejta dwar it-trasport, id-drenaġġ, l-iskart perikoluż u l-ilma")</f>
        <v>dejta dwar it-trasport, id-drenaġġ, l-iskart perikoluż u l-ilma</v>
      </c>
    </row>
    <row r="9960" ht="15.75" customHeight="1">
      <c r="A9960" s="2" t="s">
        <v>9960</v>
      </c>
      <c r="B9960" s="2" t="str">
        <f>IFERROR(__xludf.DUMMYFUNCTION("GOOGLETRANSLATE(A9960, ""en"", ""mt"")"),"F'liema pajjiż ir-Riforma Protestanta bdiet?")</f>
        <v>F'liema pajjiż ir-Riforma Protestanta bdiet?</v>
      </c>
    </row>
    <row r="9961" ht="15.75" customHeight="1">
      <c r="A9961" s="2" t="s">
        <v>9961</v>
      </c>
      <c r="B9961" s="2" t="str">
        <f>IFERROR(__xludf.DUMMYFUNCTION("GOOGLETRANSLATE(A9961, ""en"", ""mt"")"),"Komponenti oħra huma spiss preżenti; Pompi (bħal injettur) biex ifornu l-ilma lill-bojler waqt l-operazzjoni, kondensaturi biex jirriċirkulaw l-ilma u jirkupraw is-sħana moħbija tal-vaporizzazzjoni, u s-superheaters biex jgħollu t-temperatura tal-fwar 'il"&amp;" fuq mill-punt tal-fwar saturat tiegħu, u diversi mekkaniżmi biex iżidu l- Abbozz għall-FireBoxes. Meta jintuża l-faħam, mekkaniżmu ta 'stoking tal-katina jew kamin u l-magna tas-sewqan jew mutur tiegħu jistgħu jiġu inklużi biex iċċaqlaq il-fjuwil minn bi"&amp;"nja tal-provvista (bunker) lejn il-firebox. Ara: Stoker Mekkaniku")</f>
        <v>Komponenti oħra huma spiss preżenti; Pompi (bħal injettur) biex ifornu l-ilma lill-bojler waqt l-operazzjoni, kondensaturi biex jirriċirkulaw l-ilma u jirkupraw is-sħana moħbija tal-vaporizzazzjoni, u s-superheaters biex jgħollu t-temperatura tal-fwar 'il fuq mill-punt tal-fwar saturat tiegħu, u diversi mekkaniżmi biex iżidu l- Abbozz għall-FireBoxes. Meta jintuża l-faħam, mekkaniżmu ta 'stoking tal-katina jew kamin u l-magna tas-sewqan jew mutur tiegħu jistgħu jiġu inklużi biex iċċaqlaq il-fjuwil minn binja tal-provvista (bunker) lejn il-firebox. Ara: Stoker Mekkaniku</v>
      </c>
    </row>
    <row r="9962" ht="15.75" customHeight="1">
      <c r="A9962" s="2" t="s">
        <v>9962</v>
      </c>
      <c r="B9962" s="2" t="str">
        <f>IFERROR(__xludf.DUMMYFUNCTION("GOOGLETRANSLATE(A9962, ""en"", ""mt"")"),"konvetti")</f>
        <v>konvetti</v>
      </c>
    </row>
    <row r="9963" ht="15.75" customHeight="1">
      <c r="A9963" s="2" t="s">
        <v>9963</v>
      </c>
      <c r="B9963" s="2" t="str">
        <f>IFERROR(__xludf.DUMMYFUNCTION("GOOGLETRANSLATE(A9963, ""en"", ""mt"")"),"Fejn kien joqgħod l-ispiżjar fir-rigward tat-tobba personali tal-Imperatur?")</f>
        <v>Fejn kien joqgħod l-ispiżjar fir-rigward tat-tobba personali tal-Imperatur?</v>
      </c>
    </row>
    <row r="9964" ht="15.75" customHeight="1">
      <c r="A9964" s="2" t="s">
        <v>9964</v>
      </c>
      <c r="B9964" s="2" t="str">
        <f>IFERROR(__xludf.DUMMYFUNCTION("GOOGLETRANSLATE(A9964, ""en"", ""mt"")"),"Minbarra l-kriptografija taċ-ċavetta pubblika, x'inhi applikazzjoni oħra għan-numri ewlenin?")</f>
        <v>Minbarra l-kriptografija taċ-ċavetta pubblika, x'inhi applikazzjoni oħra għan-numri ewlenin?</v>
      </c>
    </row>
    <row r="9965" ht="15.75" customHeight="1">
      <c r="A9965" s="2" t="s">
        <v>9965</v>
      </c>
      <c r="B9965" s="2" t="str">
        <f>IFERROR(__xludf.DUMMYFUNCTION("GOOGLETRANSLATE(A9965, ""en"", ""mt"")"),"L-Awstrija lejn il-Lvant.")</f>
        <v>L-Awstrija lejn il-Lvant.</v>
      </c>
    </row>
    <row r="9966" ht="15.75" customHeight="1">
      <c r="A9966" s="2" t="s">
        <v>9966</v>
      </c>
      <c r="B9966" s="2" t="str">
        <f>IFERROR(__xludf.DUMMYFUNCTION("GOOGLETRANSLATE(A9966, ""en"", ""mt"")"),"Fir-Renju Unit u diversi pajjiżi oħra tal-Commonwealth inkluż l-Awstralja u l-Kanada, l-użu tat-terminu huwa ġeneralment ristrett għal-livelli edukattivi primarji u sekondarji; Huwa kważi qatt ma jintuża minn universitajiet u istituzzjonijiet terzjarji oħ"&amp;"ra. L-edukazzjoni privata fl-Amerika ta ’Fuq tkopri l-firxa sħiħa ta’ attività edukattiva, li tvarja minn istituzzjonijiet ta ’qabel l-iskola għal istituzzjonijiet ta’ livell terzjarju. It-tariffi annwali tat-tagħlim fl-iskejjel K-12 ivarjaw minn xejn fl-"&amp;"iskejjel 'mingħajr tagħlim' għal aktar minn $ 45,000 f'diversi skejjel preparatorji ta 'New England.")</f>
        <v>Fir-Renju Unit u diversi pajjiżi oħra tal-Commonwealth inkluż l-Awstralja u l-Kanada, l-użu tat-terminu huwa ġeneralment ristrett għal-livelli edukattivi primarji u sekondarji; Huwa kważi qatt ma jintuża minn universitajiet u istituzzjonijiet terzjarji oħra. L-edukazzjoni privata fl-Amerika ta ’Fuq tkopri l-firxa sħiħa ta’ attività edukattiva, li tvarja minn istituzzjonijiet ta ’qabel l-iskola għal istituzzjonijiet ta’ livell terzjarju. It-tariffi annwali tat-tagħlim fl-iskejjel K-12 ivarjaw minn xejn fl-iskejjel 'mingħajr tagħlim' għal aktar minn $ 45,000 f'diversi skejjel preparatorji ta 'New England.</v>
      </c>
    </row>
    <row r="9967" ht="15.75" customHeight="1">
      <c r="A9967" s="2" t="s">
        <v>9967</v>
      </c>
      <c r="B9967" s="2" t="str">
        <f>IFERROR(__xludf.DUMMYFUNCTION("GOOGLETRANSLATE(A9967, ""en"", ""mt"")"),"Flimkien man-nixfa, x'inhu fattur ieħor li qed jimbotta l-foresta tropikali tal-Amażonja lejn punt li jdur?")</f>
        <v>Flimkien man-nixfa, x'inhu fattur ieħor li qed jimbotta l-foresta tropikali tal-Amażonja lejn punt li jdur?</v>
      </c>
    </row>
    <row r="9968" ht="15.75" customHeight="1">
      <c r="A9968" s="2" t="s">
        <v>9968</v>
      </c>
      <c r="B9968" s="2" t="str">
        <f>IFERROR(__xludf.DUMMYFUNCTION("GOOGLETRANSLATE(A9968, ""en"", ""mt"")"),"Forzi Torok")</f>
        <v>Forzi Torok</v>
      </c>
    </row>
    <row r="9969" ht="15.75" customHeight="1">
      <c r="A9969" s="2" t="s">
        <v>9969</v>
      </c>
      <c r="B9969" s="2" t="str">
        <f>IFERROR(__xludf.DUMMYFUNCTION("GOOGLETRANSLATE(A9969, ""en"", ""mt"")"),"Fejn kien irtirar bil-Franċiż?")</f>
        <v>Fejn kien irtirar bil-Franċiż?</v>
      </c>
    </row>
    <row r="9970" ht="15.75" customHeight="1">
      <c r="A9970" s="2" t="s">
        <v>9970</v>
      </c>
      <c r="B9970" s="2" t="str">
        <f>IFERROR(__xludf.DUMMYFUNCTION("GOOGLETRANSLATE(A9970, ""en"", ""mt"")"),"X'inhu l-korp leġiżlattiv mhux magħmul?")</f>
        <v>X'inhu l-korp leġiżlattiv mhux magħmul?</v>
      </c>
    </row>
    <row r="9971" ht="15.75" customHeight="1">
      <c r="A9971" s="2" t="s">
        <v>9971</v>
      </c>
      <c r="B9971" s="2" t="str">
        <f>IFERROR(__xludf.DUMMYFUNCTION("GOOGLETRANSLATE(A9971, ""en"", ""mt"")"),"Xi jħoss Piketty kien l-akbar fatturi fit-tnaqqis tal-inugwaljanza bejn l-1914 sal-1945?")</f>
        <v>Xi jħoss Piketty kien l-akbar fatturi fit-tnaqqis tal-inugwaljanza bejn l-1914 sal-1945?</v>
      </c>
    </row>
    <row r="9972" ht="15.75" customHeight="1">
      <c r="A9972" s="2" t="s">
        <v>9972</v>
      </c>
      <c r="B9972" s="2" t="str">
        <f>IFERROR(__xludf.DUMMYFUNCTION("GOOGLETRANSLATE(A9972, ""en"", ""mt"")"),"It-tentakli twal fuq il-Pleurbrachia huma protetti minn xiex?")</f>
        <v>It-tentakli twal fuq il-Pleurbrachia huma protetti minn xiex?</v>
      </c>
    </row>
    <row r="9973" ht="15.75" customHeight="1">
      <c r="A9973" s="2" t="s">
        <v>9973</v>
      </c>
      <c r="B9973" s="2" t="str">
        <f>IFERROR(__xludf.DUMMYFUNCTION("GOOGLETRANSLATE(A9973, ""en"", ""mt"")"),"bejn 150,000 u 200,000")</f>
        <v>bejn 150,000 u 200,000</v>
      </c>
    </row>
    <row r="9974" ht="15.75" customHeight="1">
      <c r="A9974" s="2" t="s">
        <v>9974</v>
      </c>
      <c r="B9974" s="2" t="str">
        <f>IFERROR(__xludf.DUMMYFUNCTION("GOOGLETRANSLATE(A9974, ""en"", ""mt"")"),"Unità politika taċ-Ċina u ħafna mill-Asja Ċentrali")</f>
        <v>Unità politika taċ-Ċina u ħafna mill-Asja Ċentrali</v>
      </c>
    </row>
    <row r="9975" ht="15.75" customHeight="1">
      <c r="A9975" s="2" t="s">
        <v>9975</v>
      </c>
      <c r="B9975" s="2" t="str">
        <f>IFERROR(__xludf.DUMMYFUNCTION("GOOGLETRANSLATE(A9975, ""en"", ""mt"")"),"X’għamel il-pajjiż ta ’Ohio sigur?")</f>
        <v>X’għamel il-pajjiż ta ’Ohio sigur?</v>
      </c>
    </row>
    <row r="9976" ht="15.75" customHeight="1">
      <c r="A9976" s="2" t="s">
        <v>9976</v>
      </c>
      <c r="B9976" s="2" t="str">
        <f>IFERROR(__xludf.DUMMYFUNCTION("GOOGLETRANSLATE(A9976, ""en"", ""mt"")"),"l-ewwel tiżdied")</f>
        <v>l-ewwel tiżdied</v>
      </c>
    </row>
    <row r="9977" ht="15.75" customHeight="1">
      <c r="A9977" s="2" t="s">
        <v>9977</v>
      </c>
      <c r="B9977" s="2" t="str">
        <f>IFERROR(__xludf.DUMMYFUNCTION("GOOGLETRANSLATE(A9977, ""en"", ""mt"")"),"sogħla u għatis")</f>
        <v>sogħla u għatis</v>
      </c>
    </row>
    <row r="9978" ht="15.75" customHeight="1">
      <c r="A9978" s="2" t="s">
        <v>9978</v>
      </c>
      <c r="B9978" s="2" t="str">
        <f>IFERROR(__xludf.DUMMYFUNCTION("GOOGLETRANSLATE(A9978, ""en"", ""mt"")"),"tista 'tipproduċi kemm bajd kif ukoll sperma fl-istess ħin.")</f>
        <v>tista 'tipproduċi kemm bajd kif ukoll sperma fl-istess ħin.</v>
      </c>
    </row>
    <row r="9979" ht="15.75" customHeight="1">
      <c r="A9979" s="2" t="s">
        <v>9979</v>
      </c>
      <c r="B9979" s="2" t="str">
        <f>IFERROR(__xludf.DUMMYFUNCTION("GOOGLETRANSLATE(A9979, ""en"", ""mt"")"),"Liema forma għandhom in-numri interi Gaussjani kumplessi?")</f>
        <v>Liema forma għandhom in-numri interi Gaussjani kumplessi?</v>
      </c>
    </row>
    <row r="9980" ht="15.75" customHeight="1">
      <c r="A9980" s="2" t="s">
        <v>9980</v>
      </c>
      <c r="B9980" s="2" t="str">
        <f>IFERROR(__xludf.DUMMYFUNCTION("GOOGLETRANSLATE(A9980, ""en"", ""mt"")"),"L-attività politika kkawżat sfruttament")</f>
        <v>L-attività politika kkawżat sfruttament</v>
      </c>
    </row>
    <row r="9981" ht="15.75" customHeight="1">
      <c r="A9981" s="2" t="s">
        <v>9981</v>
      </c>
      <c r="B9981" s="2" t="str">
        <f>IFERROR(__xludf.DUMMYFUNCTION("GOOGLETRANSLATE(A9981, ""en"", ""mt"")"),"X'jiġri sakemm il-bini jkun stabbilit sew u rikonoxxut?")</f>
        <v>X'jiġri sakemm il-bini jkun stabbilit sew u rikonoxxut?</v>
      </c>
    </row>
    <row r="9982" ht="15.75" customHeight="1">
      <c r="A9982" s="2" t="s">
        <v>9982</v>
      </c>
      <c r="B9982" s="2" t="str">
        <f>IFERROR(__xludf.DUMMYFUNCTION("GOOGLETRANSLATE(A9982, ""en"", ""mt"")"),"Kemm atomi jikkombinaw biex jiffurmaw dioxygen?")</f>
        <v>Kemm atomi jikkombinaw biex jiffurmaw dioxygen?</v>
      </c>
    </row>
    <row r="9983" ht="15.75" customHeight="1">
      <c r="A9983" s="2" t="s">
        <v>9983</v>
      </c>
      <c r="B9983" s="2" t="str">
        <f>IFERROR(__xludf.DUMMYFUNCTION("GOOGLETRANSLATE(A9983, ""en"", ""mt"")"),"Min ħaseb li d-dinja tista 'tinqasam f'żoni klimatiċi?")</f>
        <v>Min ħaseb li d-dinja tista 'tinqasam f'żoni klimatiċi?</v>
      </c>
    </row>
    <row r="9984" ht="15.75" customHeight="1">
      <c r="A9984" s="2" t="s">
        <v>9984</v>
      </c>
      <c r="B9984" s="2" t="str">
        <f>IFERROR(__xludf.DUMMYFUNCTION("GOOGLETRANSLATE(A9984, ""en"", ""mt"")"),"Ir-revoka pprojbixxa s-Servizzi Protestanti, kien jeħtieġ edukazzjoni tat-tfal bħala Kattoliċi, u emigrat ipprojbit. Irriżulta diżastruż għall-Huguenots u jiswa ħafna flus għal Franza. Huwa ppreċipita t-tixrid tad-demm ċivili, il-kummerċ imħassar, u rriżu"&amp;"lta fit-titjira illegali mill-pajjiż ta 'mijiet ta' eluf ta 'protestanti, li ħafna minnhom saru intellettwali, tobba u mexxejja tan-negozju fil-Gran Brittanja kif ukoll l-Olanda, il-Prussja, u l-Afrika t'Isfel. Erbgħa elf emigraw lejn il-kolonji ta 'l-Ame"&amp;"rika ta' Fuq, fejn stabbilixxew fi New York u Virginia, speċjalment. L-Ingliżi laqgħu r-refuġjati Franċiżi, u pprovdew flus kemm mill-gvern kif ukoll mill-aġenziji privati ​​biex jgħinu r-rilokazzjoni tagħhom. Dawk il-Huguenots li qagħdu fi Franza saru Ka"&amp;"ttoliċi u kienu jissejħu ""konvertiti ġodda"".")</f>
        <v>Ir-revoka pprojbixxa s-Servizzi Protestanti, kien jeħtieġ edukazzjoni tat-tfal bħala Kattoliċi, u emigrat ipprojbit. Irriżulta diżastruż għall-Huguenots u jiswa ħafna flus għal Franza. Huwa ppreċipita t-tixrid tad-demm ċivili, il-kummerċ imħassar, u rriżulta fit-titjira illegali mill-pajjiż ta 'mijiet ta' eluf ta 'protestanti, li ħafna minnhom saru intellettwali, tobba u mexxejja tan-negozju fil-Gran Brittanja kif ukoll l-Olanda, il-Prussja, u l-Afrika t'Isfel. Erbgħa elf emigraw lejn il-kolonji ta 'l-Amerika ta' Fuq, fejn stabbilixxew fi New York u Virginia, speċjalment. L-Ingliżi laqgħu r-refuġjati Franċiżi, u pprovdew flus kemm mill-gvern kif ukoll mill-aġenziji privati ​​biex jgħinu r-rilokazzjoni tagħhom. Dawk il-Huguenots li qagħdu fi Franza saru Kattoliċi u kienu jissejħu "konvertiti ġodda".</v>
      </c>
    </row>
    <row r="9985" ht="15.75" customHeight="1">
      <c r="A9985" s="2" t="s">
        <v>9985</v>
      </c>
      <c r="B9985" s="2" t="str">
        <f>IFERROR(__xludf.DUMMYFUNCTION("GOOGLETRANSLATE(A9985, ""en"", ""mt"")"),"Iċ-ċelloli T Delta Gamma jaqsmu l-karatteristiċi ta 'liema tipi oħra ta' ċelloli T?")</f>
        <v>Iċ-ċelloli T Delta Gamma jaqsmu l-karatteristiċi ta 'liema tipi oħra ta' ċelloli T?</v>
      </c>
    </row>
    <row r="9986" ht="15.75" customHeight="1">
      <c r="A9986" s="2" t="s">
        <v>9986</v>
      </c>
      <c r="B9986" s="2" t="str">
        <f>IFERROR(__xludf.DUMMYFUNCTION("GOOGLETRANSLATE(A9986, ""en"", ""mt"")"),"Daidu fit-tramuntana")</f>
        <v>Daidu fit-tramuntana</v>
      </c>
    </row>
    <row r="9987" ht="15.75" customHeight="1">
      <c r="A9987" s="2" t="s">
        <v>9987</v>
      </c>
      <c r="B9987" s="2" t="str">
        <f>IFERROR(__xludf.DUMMYFUNCTION("GOOGLETRANSLATE(A9987, ""en"", ""mt"")"),"X'inhi l-karriera ta 'Samuel K. Cohn Jr?")</f>
        <v>X'inhi l-karriera ta 'Samuel K. Cohn Jr?</v>
      </c>
    </row>
    <row r="9988" ht="15.75" customHeight="1">
      <c r="A9988" s="2" t="s">
        <v>9988</v>
      </c>
      <c r="B9988" s="2" t="str">
        <f>IFERROR(__xludf.DUMMYFUNCTION("GOOGLETRANSLATE(A9988, ""en"", ""mt"")"),"għal partijiet oħra tal-imperu")</f>
        <v>għal partijiet oħra tal-imperu</v>
      </c>
    </row>
    <row r="9989" ht="15.75" customHeight="1">
      <c r="A9989" s="2" t="s">
        <v>9989</v>
      </c>
      <c r="B9989" s="2" t="str">
        <f>IFERROR(__xludf.DUMMYFUNCTION("GOOGLETRANSLATE(A9989, ""en"", ""mt"")"),"L-oriġini tal-kampi elettriċi u manjetiċi ma tkunx spjegata għal kollox sal-1864 meta James Clerk Maxwell unifika numru ta 'teoriji preċedenti f'sett ta '20 ekwazzjonijiet skalari, li aktar tard ġew riformulati f'4 ekwazzjonijiet ta' vettur minn Oliver He"&amp;"aviside u Josiah Willard Gibbs. Dawn l- ""ekwazzjonijiet ta 'Maxwell"" iddeskrivew bis-sħiħ is-sorsi ta' l-oqsma bħala ħlasijiet wieqfa u li jiċċaqalqu, u l-interazzjonijiet ta 'l-oqsma nfushom. Dan wassal lil Maxwell biex jiskopri li l-kampijiet elettriċ"&amp;"i u manjetiċi jistgħu jkunu ""jiġġeneraw lilhom infushom"" permezz ta 'mewġa li vvjaġġat b'veloċità li huwa kkalkulat bħala l-veloċità tad-dawl. Din il-ħarsa għaqdet l-oqsma li għadhom jitwieldu tat-teorija elettromanjetika bl-ottika u wasslu direttament "&amp;"għal deskrizzjoni sħiħa tal-ispettru elettromanjetiku.")</f>
        <v>L-oriġini tal-kampi elettriċi u manjetiċi ma tkunx spjegata għal kollox sal-1864 meta James Clerk Maxwell unifika numru ta 'teoriji preċedenti f'sett ta '20 ekwazzjonijiet skalari, li aktar tard ġew riformulati f'4 ekwazzjonijiet ta' vettur minn Oliver Heaviside u Josiah Willard Gibbs. Dawn l- "ekwazzjonijiet ta 'Maxwell" iddeskrivew bis-sħiħ is-sorsi ta' l-oqsma bħala ħlasijiet wieqfa u li jiċċaqalqu, u l-interazzjonijiet ta 'l-oqsma nfushom. Dan wassal lil Maxwell biex jiskopri li l-kampijiet elettriċi u manjetiċi jistgħu jkunu "jiġġeneraw lilhom infushom" permezz ta 'mewġa li vvjaġġat b'veloċità li huwa kkalkulat bħala l-veloċità tad-dawl. Din il-ħarsa għaqdet l-oqsma li għadhom jitwieldu tat-teorija elettromanjetika bl-ottika u wasslu direttament għal deskrizzjoni sħiħa tal-ispettru elettromanjetiku.</v>
      </c>
    </row>
    <row r="9990" ht="15.75" customHeight="1">
      <c r="A9990" s="2" t="s">
        <v>9990</v>
      </c>
      <c r="B9990" s="2" t="str">
        <f>IFERROR(__xludf.DUMMYFUNCTION("GOOGLETRANSLATE(A9990, ""en"", ""mt"")"),"fil-mistrieħ")</f>
        <v>fil-mistrieħ</v>
      </c>
    </row>
    <row r="9991" ht="15.75" customHeight="1">
      <c r="A9991" s="2" t="s">
        <v>9991</v>
      </c>
      <c r="B9991" s="2" t="str">
        <f>IFERROR(__xludf.DUMMYFUNCTION("GOOGLETRANSLATE(A9991, ""en"", ""mt"")"),"L-era storika")</f>
        <v>L-era storika</v>
      </c>
    </row>
    <row r="9992" ht="15.75" customHeight="1">
      <c r="A9992" s="2" t="s">
        <v>9992</v>
      </c>
      <c r="B9992" s="2" t="str">
        <f>IFERROR(__xludf.DUMMYFUNCTION("GOOGLETRANSLATE(A9992, ""en"", ""mt"")"),"Meta żiedu l-prezz taż-żejt għal $ 5.11?")</f>
        <v>Meta żiedu l-prezz taż-żejt għal $ 5.11?</v>
      </c>
    </row>
    <row r="9993" ht="15.75" customHeight="1">
      <c r="A9993" s="2" t="s">
        <v>9993</v>
      </c>
      <c r="B9993" s="2" t="str">
        <f>IFERROR(__xludf.DUMMYFUNCTION("GOOGLETRANSLATE(A9993, ""en"", ""mt"")"),"""L-applikazzjoni ħażina ta 'proċeduri IPCC stabbiliti sew f'dan il-każ""")</f>
        <v>"L-applikazzjoni ħażina ta 'proċeduri IPCC stabbiliti sew f'dan il-każ"</v>
      </c>
    </row>
    <row r="9994" ht="15.75" customHeight="1">
      <c r="A9994" s="2" t="s">
        <v>9994</v>
      </c>
      <c r="B9994" s="2" t="str">
        <f>IFERROR(__xludf.DUMMYFUNCTION("GOOGLETRANSLATE(A9994, ""en"", ""mt"")"),"L-Ispirtu Brittaniku tal-Imperjalizmu")</f>
        <v>L-Ispirtu Brittaniku tal-Imperjalizmu</v>
      </c>
    </row>
    <row r="9995" ht="15.75" customHeight="1">
      <c r="A9995" s="2" t="s">
        <v>9995</v>
      </c>
      <c r="B9995" s="2" t="str">
        <f>IFERROR(__xludf.DUMMYFUNCTION("GOOGLETRANSLATE(A9995, ""en"", ""mt"")"),"X'inhu l-isem tat-truppa tat-teatru improvisazzjonali tal-istudenti?")</f>
        <v>X'inhu l-isem tat-truppa tat-teatru improvisazzjonali tal-istudenti?</v>
      </c>
    </row>
    <row r="9996" ht="15.75" customHeight="1">
      <c r="A9996" s="2" t="s">
        <v>9996</v>
      </c>
      <c r="B9996" s="2" t="str">
        <f>IFERROR(__xludf.DUMMYFUNCTION("GOOGLETRANSLATE(A9996, ""en"", ""mt"")"),"L-ewwel")</f>
        <v>L-ewwel</v>
      </c>
    </row>
    <row r="9997" ht="15.75" customHeight="1">
      <c r="A9997" s="2" t="s">
        <v>9997</v>
      </c>
      <c r="B9997" s="2" t="str">
        <f>IFERROR(__xludf.DUMMYFUNCTION("GOOGLETRANSLATE(A9997, ""en"", ""mt"")"),"Vertebrati primittivi ta 'xedaq għandhom firxa ta' riċetturi msemmija bħala xiex?")</f>
        <v>Vertebrati primittivi ta 'xedaq għandhom firxa ta' riċetturi msemmija bħala xiex?</v>
      </c>
    </row>
    <row r="9998" ht="15.75" customHeight="1">
      <c r="A9998" s="2" t="s">
        <v>9998</v>
      </c>
      <c r="B9998" s="2" t="str">
        <f>IFERROR(__xludf.DUMMYFUNCTION("GOOGLETRANSLATE(A9998, ""en"", ""mt"")"),"400 m")</f>
        <v>400 m</v>
      </c>
    </row>
    <row r="9999" ht="15.75" customHeight="1">
      <c r="A9999" s="2" t="s">
        <v>9999</v>
      </c>
      <c r="B9999" s="2" t="str">
        <f>IFERROR(__xludf.DUMMYFUNCTION("GOOGLETRANSLATE(A9999, ""en"", ""mt"")"),"Kemm kien militari Brittaniku fl-Amerika ta ’Fuq fi tmiem il-gwerra?")</f>
        <v>Kemm kien militari Brittaniku fl-Amerika ta ’Fuq fi tmiem il-gwerra?</v>
      </c>
    </row>
    <row r="10000" ht="15.75" customHeight="1">
      <c r="A10000" s="2" t="s">
        <v>10000</v>
      </c>
      <c r="B10000" s="2" t="str">
        <f>IFERROR(__xludf.DUMMYFUNCTION("GOOGLETRANSLATE(A10000, ""en"", ""mt"")"),"X'inhu l-fehim tat-tipi ta 'ċelluli newrali u tal-muskoli importanti għall-fehim tagħna?")</f>
        <v>X'inhu l-fehim tat-tipi ta 'ċelluli newrali u tal-muskoli importanti għall-fehim tagħna?</v>
      </c>
    </row>
    <row r="10001" ht="15.75" customHeight="1">
      <c r="A10001" s="2" t="s">
        <v>10001</v>
      </c>
      <c r="B10001" s="2" t="str">
        <f>IFERROR(__xludf.DUMMYFUNCTION("GOOGLETRANSLATE(A10001, ""en"", ""mt"")"),"NASA")</f>
        <v>NASA</v>
      </c>
    </row>
    <row r="10002" ht="15.75" customHeight="1">
      <c r="A10002" s="2" t="s">
        <v>10002</v>
      </c>
      <c r="B10002" s="2" t="str">
        <f>IFERROR(__xludf.DUMMYFUNCTION("GOOGLETRANSLATE(A10002, ""en"", ""mt"")"),"Dak li kien Isiah Bowman Nick Isem, kif magħruf mill-pubbliku.")</f>
        <v>Dak li kien Isiah Bowman Nick Isem, kif magħruf mill-pubbliku.</v>
      </c>
    </row>
    <row r="10003" ht="15.75" customHeight="1">
      <c r="A10003" s="2" t="s">
        <v>10003</v>
      </c>
      <c r="B10003" s="2" t="str">
        <f>IFERROR(__xludf.DUMMYFUNCTION("GOOGLETRANSLATE(A10003, ""en"", ""mt"")"),"F'liema kontea huma Los Angeles, Orange, San Diego, San Bernardino, u Riverside li jinsabu?")</f>
        <v>F'liema kontea huma Los Angeles, Orange, San Diego, San Bernardino, u Riverside li jinsabu?</v>
      </c>
    </row>
    <row r="10004" ht="15.75" customHeight="1">
      <c r="A10004" s="2" t="s">
        <v>10004</v>
      </c>
      <c r="B10004" s="2" t="str">
        <f>IFERROR(__xludf.DUMMYFUNCTION("GOOGLETRANSLATE(A10004, ""en"", ""mt"")"),"Tliet azzjonijiet offensivi ewlenin li jinvolvu numru kbir ta 'truppi regolari")</f>
        <v>Tliet azzjonijiet offensivi ewlenin li jinvolvu numru kbir ta 'truppi regolari</v>
      </c>
    </row>
    <row r="10005" ht="15.75" customHeight="1">
      <c r="A10005" s="2" t="s">
        <v>10005</v>
      </c>
      <c r="B10005" s="2" t="str">
        <f>IFERROR(__xludf.DUMMYFUNCTION("GOOGLETRANSLATE(A10005, ""en"", ""mt"")"),"Bejn l-1978 D2008 studenti li għadhom ma ggradwawx full time D2008 kienu meħtieġa jlestu kemm klassijiet barra mill-konċentrazzjoni tagħhom?")</f>
        <v>Bejn l-1978 D2008 studenti li għadhom ma ggradwawx full time D2008 kienu meħtieġa jlestu kemm klassijiet barra mill-konċentrazzjoni tagħhom?</v>
      </c>
    </row>
    <row r="10006" ht="15.75" customHeight="1">
      <c r="A10006" s="2" t="s">
        <v>10006</v>
      </c>
      <c r="B10006" s="2" t="str">
        <f>IFERROR(__xludf.DUMMYFUNCTION("GOOGLETRANSLATE(A10006, ""en"", ""mt"")"),"Il-forza qawwija taġixxi biss direttament fuq partiċelli elementari. Madankollu, residwu tal-forza huwa osservat bejn hadrons (l-iktar eżempju magħruf huwa l-forza li taġixxi bejn in-nukleoni fin-nuklei atomiċi) bħala l-forza nukleari. Hawnhekk il-forza q"&amp;"awwija taġixxi indirettament, trasmessa bħala gluons, li jiffurmaw parti mill-Mesons Virtwali PI u Rho, li klassikament jittrasmettu l-forza nukleari (ara dan is-suġġett għal aktar). Il-falliment ta 'ħafna tfittxijiet għal quarks ħielsa wera li l-partiċel"&amp;"li elementari affettwati mhumiex osservabbli direttament. Dan il-fenomenu jissejjaħ il-magħluq tal-kulur.")</f>
        <v>Il-forza qawwija taġixxi biss direttament fuq partiċelli elementari. Madankollu, residwu tal-forza huwa osservat bejn hadrons (l-iktar eżempju magħruf huwa l-forza li taġixxi bejn in-nukleoni fin-nuklei atomiċi) bħala l-forza nukleari. Hawnhekk il-forza qawwija taġixxi indirettament, trasmessa bħala gluons, li jiffurmaw parti mill-Mesons Virtwali PI u Rho, li klassikament jittrasmettu l-forza nukleari (ara dan is-suġġett għal aktar). Il-falliment ta 'ħafna tfittxijiet għal quarks ħielsa wera li l-partiċelli elementari affettwati mhumiex osservabbli direttament. Dan il-fenomenu jissejjaħ il-magħluq tal-kulur.</v>
      </c>
    </row>
    <row r="10007" ht="15.75" customHeight="1">
      <c r="A10007" s="2" t="s">
        <v>10007</v>
      </c>
      <c r="B10007" s="2" t="str">
        <f>IFERROR(__xludf.DUMMYFUNCTION("GOOGLETRANSLATE(A10007, ""en"", ""mt"")"),"X'Inhu evolvew fil-vertebrati moderni tax-xedaq?")</f>
        <v>X'Inhu evolvew fil-vertebrati moderni tax-xedaq?</v>
      </c>
    </row>
    <row r="10008" ht="15.75" customHeight="1">
      <c r="A10008" s="2" t="s">
        <v>10008</v>
      </c>
      <c r="B10008" s="2" t="str">
        <f>IFERROR(__xludf.DUMMYFUNCTION("GOOGLETRANSLATE(A10008, ""en"", ""mt"")"),"tmienja")</f>
        <v>tmienja</v>
      </c>
    </row>
    <row r="10009" ht="15.75" customHeight="1">
      <c r="A10009" s="2" t="s">
        <v>10009</v>
      </c>
      <c r="B10009" s="2" t="str">
        <f>IFERROR(__xludf.DUMMYFUNCTION("GOOGLETRANSLATE(A10009, ""en"", ""mt"")"),"Matul liema perjodu ġew ipprojbiti n-nisa milli jiġu ammessi f'Radcliffe?")</f>
        <v>Matul liema perjodu ġew ipprojbiti n-nisa milli jiġu ammessi f'Radcliffe?</v>
      </c>
    </row>
    <row r="10010" ht="15.75" customHeight="1">
      <c r="A10010" s="2" t="s">
        <v>10010</v>
      </c>
      <c r="B10010" s="2" t="str">
        <f>IFERROR(__xludf.DUMMYFUNCTION("GOOGLETRANSLATE(A10010, ""en"", ""mt"")"),"Liema bliet Irlandiżi kellhom enklavi kbar ta 'Huguenot?")</f>
        <v>Liema bliet Irlandiżi kellhom enklavi kbar ta 'Huguenot?</v>
      </c>
    </row>
    <row r="10011" ht="15.75" customHeight="1">
      <c r="A10011" s="2" t="s">
        <v>10011</v>
      </c>
      <c r="B10011" s="2" t="str">
        <f>IFERROR(__xludf.DUMMYFUNCTION("GOOGLETRANSLATE(A10011, ""en"", ""mt"")"),"Studjużi u osservaturi")</f>
        <v>Studjużi u osservaturi</v>
      </c>
    </row>
    <row r="10012" ht="15.75" customHeight="1">
      <c r="A10012" s="2" t="s">
        <v>10012</v>
      </c>
      <c r="B10012" s="2" t="str">
        <f>IFERROR(__xludf.DUMMYFUNCTION("GOOGLETRANSLATE(A10012, ""en"", ""mt"")"),"inane")</f>
        <v>inane</v>
      </c>
    </row>
    <row r="10013" ht="15.75" customHeight="1">
      <c r="A10013" s="2" t="s">
        <v>10013</v>
      </c>
      <c r="B10013" s="2" t="str">
        <f>IFERROR(__xludf.DUMMYFUNCTION("GOOGLETRANSLATE(A10013, ""en"", ""mt"")"),"X'effett jiġri jekk P huwa fl-aħħar mill-aħħar ippruvat li mhux ugwali NP?")</f>
        <v>X'effett jiġri jekk P huwa fl-aħħar mill-aħħar ippruvat li mhux ugwali NP?</v>
      </c>
    </row>
    <row r="10014" ht="15.75" customHeight="1">
      <c r="A10014" s="2" t="s">
        <v>10014</v>
      </c>
      <c r="B10014" s="2" t="str">
        <f>IFERROR(__xludf.DUMMYFUNCTION("GOOGLETRANSLATE(A10014, ""en"", ""mt"")"),"Fl-2005 il-forza assorbit kemm dijossidu tal-karbonju?")</f>
        <v>Fl-2005 il-forza assorbit kemm dijossidu tal-karbonju?</v>
      </c>
    </row>
    <row r="10015" ht="15.75" customHeight="1">
      <c r="A10015" s="2" t="s">
        <v>10015</v>
      </c>
      <c r="B10015" s="2" t="str">
        <f>IFERROR(__xludf.DUMMYFUNCTION("GOOGLETRANSLATE(A10015, ""en"", ""mt"")"),"Kemm hemm skejjel professjonali l-Università ta 'Chicago?")</f>
        <v>Kemm hemm skejjel professjonali l-Università ta 'Chicago?</v>
      </c>
    </row>
    <row r="10016" ht="15.75" customHeight="1">
      <c r="A10016" s="2" t="s">
        <v>10016</v>
      </c>
      <c r="B10016" s="2" t="str">
        <f>IFERROR(__xludf.DUMMYFUNCTION("GOOGLETRANSLATE(A10016, ""en"", ""mt"")"),"L-Università ta ’Aberdeen")</f>
        <v>L-Università ta ’Aberdeen</v>
      </c>
    </row>
    <row r="10017" ht="15.75" customHeight="1">
      <c r="A10017" s="2" t="s">
        <v>10017</v>
      </c>
      <c r="B10017" s="2" t="str">
        <f>IFERROR(__xludf.DUMMYFUNCTION("GOOGLETRANSLATE(A10017, ""en"", ""mt"")"),"temperaturi")</f>
        <v>temperaturi</v>
      </c>
    </row>
    <row r="10018" ht="15.75" customHeight="1">
      <c r="A10018" s="2" t="s">
        <v>10018</v>
      </c>
      <c r="B10018" s="2" t="str">
        <f>IFERROR(__xludf.DUMMYFUNCTION("GOOGLETRANSLATE(A10018, ""en"", ""mt"")"),"minuri")</f>
        <v>minuri</v>
      </c>
    </row>
    <row r="10019" ht="15.75" customHeight="1">
      <c r="A10019" s="2" t="s">
        <v>10019</v>
      </c>
      <c r="B10019" s="2" t="str">
        <f>IFERROR(__xludf.DUMMYFUNCTION("GOOGLETRANSLATE(A10019, ""en"", ""mt"")"),"Min ma kellu l-ebda poter militari reali matul il-wan?")</f>
        <v>Min ma kellu l-ebda poter militari reali matul il-wan?</v>
      </c>
    </row>
    <row r="10020" ht="15.75" customHeight="1">
      <c r="A10020" s="2" t="s">
        <v>10020</v>
      </c>
      <c r="B10020" s="2" t="str">
        <f>IFERROR(__xludf.DUMMYFUNCTION("GOOGLETRANSLATE(A10020, ""en"", ""mt"")"),"karbonju li jinsab fil-veġetazzjoni")</f>
        <v>karbonju li jinsab fil-veġetazzjoni</v>
      </c>
    </row>
    <row r="10021" ht="15.75" customHeight="1">
      <c r="A10021" s="2" t="s">
        <v>10021</v>
      </c>
      <c r="B10021" s="2" t="str">
        <f>IFERROR(__xludf.DUMMYFUNCTION("GOOGLETRANSLATE(A10021, ""en"", ""mt"")"),"ċelloli T γδ")</f>
        <v>ċelloli T γδ</v>
      </c>
    </row>
    <row r="10022" ht="15.75" customHeight="1">
      <c r="A10022" s="2" t="s">
        <v>10022</v>
      </c>
      <c r="B10022" s="2" t="str">
        <f>IFERROR(__xludf.DUMMYFUNCTION("GOOGLETRANSLATE(A10022, ""en"", ""mt"")"),"Biex tnaqqas l-ispejjeż tal-konsumatur")</f>
        <v>Biex tnaqqas l-ispejjeż tal-konsumatur</v>
      </c>
    </row>
    <row r="10023" ht="15.75" customHeight="1">
      <c r="A10023" s="2" t="s">
        <v>10023</v>
      </c>
      <c r="B10023" s="2" t="str">
        <f>IFERROR(__xludf.DUMMYFUNCTION("GOOGLETRANSLATE(A10023, ""en"", ""mt"")"),"Pesta ordinarja tal-Lvant jew Bubonika ordinarja")</f>
        <v>Pesta ordinarja tal-Lvant jew Bubonika ordinarja</v>
      </c>
    </row>
    <row r="10024" ht="15.75" customHeight="1">
      <c r="A10024" s="2" t="s">
        <v>10024</v>
      </c>
      <c r="B10024" s="2" t="str">
        <f>IFERROR(__xludf.DUMMYFUNCTION("GOOGLETRANSLATE(A10024, ""en"", ""mt"")"),"Baċin tal-Amazon")</f>
        <v>Baċin tal-Amazon</v>
      </c>
    </row>
    <row r="10025" ht="15.75" customHeight="1">
      <c r="A10025" s="2" t="s">
        <v>10025</v>
      </c>
      <c r="B10025" s="2" t="str">
        <f>IFERROR(__xludf.DUMMYFUNCTION("GOOGLETRANSLATE(A10025, ""en"", ""mt"")"),"inqas lest li jivvjaġġa jew jirriloka")</f>
        <v>inqas lest li jivvjaġġa jew jirriloka</v>
      </c>
    </row>
    <row r="10026" ht="15.75" customHeight="1">
      <c r="A10026" s="2" t="s">
        <v>10026</v>
      </c>
      <c r="B10026" s="2" t="str">
        <f>IFERROR(__xludf.DUMMYFUNCTION("GOOGLETRANSLATE(A10026, ""en"", ""mt"")"),"X'jiekol il-Beroe?")</f>
        <v>X'jiekol il-Beroe?</v>
      </c>
    </row>
    <row r="10027" ht="15.75" customHeight="1">
      <c r="A10027" s="2" t="s">
        <v>10027</v>
      </c>
      <c r="B10027" s="2" t="str">
        <f>IFERROR(__xludf.DUMMYFUNCTION("GOOGLETRANSLATE(A10027, ""en"", ""mt"")"),"Kif jgħaddu l-pakketti")</f>
        <v>Kif jgħaddu l-pakketti</v>
      </c>
    </row>
    <row r="10028" ht="15.75" customHeight="1">
      <c r="A10028" s="2" t="s">
        <v>10028</v>
      </c>
      <c r="B10028" s="2" t="str">
        <f>IFERROR(__xludf.DUMMYFUNCTION("GOOGLETRANSLATE(A10028, ""en"", ""mt"")"),"Liema twemmin liturġiku tal-Knisja Kattolika Lortie kkritikat bil-miftuħ?")</f>
        <v>Liema twemmin liturġiku tal-Knisja Kattolika Lortie kkritikat bil-miftuħ?</v>
      </c>
    </row>
    <row r="10029" ht="15.75" customHeight="1">
      <c r="A10029" s="2" t="s">
        <v>10029</v>
      </c>
      <c r="B10029" s="2" t="str">
        <f>IFERROR(__xludf.DUMMYFUNCTION("GOOGLETRANSLATE(A10029, ""en"", ""mt"")"),"Dak li jaqbad il-kunċett formali ta 'problema li qed tikri diffiċli daqs problema oħra?")</f>
        <v>Dak li jaqbad il-kunċett formali ta 'problema li qed tikri diffiċli daqs problema oħra?</v>
      </c>
    </row>
    <row r="10030" ht="15.75" customHeight="1">
      <c r="A10030" s="2" t="s">
        <v>10030</v>
      </c>
      <c r="B10030" s="2" t="str">
        <f>IFERROR(__xludf.DUMMYFUNCTION("GOOGLETRANSLATE(A10030, ""en"", ""mt"")"),"15,000")</f>
        <v>15,000</v>
      </c>
    </row>
    <row r="10031" ht="15.75" customHeight="1">
      <c r="A10031" s="2" t="s">
        <v>10031</v>
      </c>
      <c r="B10031" s="2" t="str">
        <f>IFERROR(__xludf.DUMMYFUNCTION("GOOGLETRANSLATE(A10031, ""en"", ""mt"")"),"persuna jew grupp ta 'nies")</f>
        <v>persuna jew grupp ta 'nies</v>
      </c>
    </row>
    <row r="10032" ht="15.75" customHeight="1">
      <c r="A10032" s="2" t="s">
        <v>10032</v>
      </c>
      <c r="B10032" s="2" t="str">
        <f>IFERROR(__xludf.DUMMYFUNCTION("GOOGLETRANSLATE(A10032, ""en"", ""mt"")"),"Calcitriol")</f>
        <v>Calcitriol</v>
      </c>
    </row>
    <row r="10033" ht="15.75" customHeight="1">
      <c r="A10033" s="2" t="s">
        <v>10033</v>
      </c>
      <c r="B10033" s="2" t="str">
        <f>IFERROR(__xludf.DUMMYFUNCTION("GOOGLETRANSLATE(A10033, ""en"", ""mt"")"),"F'liema stat kienet il-Cuckoo Tavern?")</f>
        <v>F'liema stat kienet il-Cuckoo Tavern?</v>
      </c>
    </row>
    <row r="10034" ht="15.75" customHeight="1">
      <c r="A10034" s="2" t="s">
        <v>10034</v>
      </c>
      <c r="B10034" s="2" t="str">
        <f>IFERROR(__xludf.DUMMYFUNCTION("GOOGLETRANSLATE(A10034, ""en"", ""mt"")"),"Immunoinformatika")</f>
        <v>Immunoinformatika</v>
      </c>
    </row>
    <row r="10035" ht="15.75" customHeight="1">
      <c r="A10035" s="2" t="s">
        <v>10035</v>
      </c>
      <c r="B10035" s="2" t="str">
        <f>IFERROR(__xludf.DUMMYFUNCTION("GOOGLETRANSLATE(A10035, ""en"", ""mt"")"),"X'kien in-numru ta 'klijenti li rrappurtat il-BBC kien għad irid jirċievi s-servizz minħabba kunsinni falluti?")</f>
        <v>X'kien in-numru ta 'klijenti li rrappurtat il-BBC kien għad irid jirċievi s-servizz minħabba kunsinni falluti?</v>
      </c>
    </row>
    <row r="10036" ht="15.75" customHeight="1">
      <c r="A10036" s="2" t="s">
        <v>10036</v>
      </c>
      <c r="B10036" s="2" t="str">
        <f>IFERROR(__xludf.DUMMYFUNCTION("GOOGLETRANSLATE(A10036, ""en"", ""mt"")"),"Ħafna problemi importanti jistgħu jintwerew li għandhom soluzzjonijiet aktar effiċjenti")</f>
        <v>Ħafna problemi importanti jistgħu jintwerew li għandhom soluzzjonijiet aktar effiċjenti</v>
      </c>
    </row>
    <row r="10037" ht="15.75" customHeight="1">
      <c r="A10037" s="2" t="s">
        <v>10037</v>
      </c>
      <c r="B10037" s="2" t="str">
        <f>IFERROR(__xludf.DUMMYFUNCTION("GOOGLETRANSLATE(A10037, ""en"", ""mt"")"),"tevita l-attribuzzjoni")</f>
        <v>tevita l-attribuzzjoni</v>
      </c>
    </row>
    <row r="10038" ht="15.75" customHeight="1">
      <c r="A10038" s="2" t="s">
        <v>10038</v>
      </c>
      <c r="B10038" s="2" t="str">
        <f>IFERROR(__xludf.DUMMYFUNCTION("GOOGLETRANSLATE(A10038, ""en"", ""mt"")"),"Librerija tal-Kungress tal-Istati Uniti")</f>
        <v>Librerija tal-Kungress tal-Istati Uniti</v>
      </c>
    </row>
    <row r="10039" ht="15.75" customHeight="1">
      <c r="A10039" s="2" t="s">
        <v>10039</v>
      </c>
      <c r="B10039" s="2" t="str">
        <f>IFERROR(__xludf.DUMMYFUNCTION("GOOGLETRANSLATE(A10039, ""en"", ""mt"")"),"Jin Dynasty")</f>
        <v>Jin Dynasty</v>
      </c>
    </row>
    <row r="10040" ht="15.75" customHeight="1">
      <c r="A10040" s="2" t="s">
        <v>10040</v>
      </c>
      <c r="B10040" s="2" t="str">
        <f>IFERROR(__xludf.DUMMYFUNCTION("GOOGLETRANSLATE(A10040, ""en"", ""mt"")"),"Stokk firxa akbar ta 'mediċini, inklużi mediċini aktar speċjalizzati")</f>
        <v>Stokk firxa akbar ta 'mediċini, inklużi mediċini aktar speċjalizzati</v>
      </c>
    </row>
    <row r="10041" ht="15.75" customHeight="1">
      <c r="A10041" s="2" t="s">
        <v>10041</v>
      </c>
      <c r="B10041" s="2" t="str">
        <f>IFERROR(__xludf.DUMMYFUNCTION("GOOGLETRANSLATE(A10041, ""en"", ""mt"")"),"Dirett Diżobbidjenza Ċivili")</f>
        <v>Dirett Diżobbidjenza Ċivili</v>
      </c>
    </row>
    <row r="10042" ht="15.75" customHeight="1">
      <c r="A10042" s="2" t="s">
        <v>10042</v>
      </c>
      <c r="B10042" s="2" t="str">
        <f>IFERROR(__xludf.DUMMYFUNCTION("GOOGLETRANSLATE(A10042, ""en"", ""mt"")"),"F'liema sena ġie introdott programm ta 'ammissjoni bikrija?")</f>
        <v>F'liema sena ġie introdott programm ta 'ammissjoni bikrija?</v>
      </c>
    </row>
    <row r="10043" ht="15.75" customHeight="1">
      <c r="A10043" s="2" t="s">
        <v>10043</v>
      </c>
      <c r="B10043" s="2" t="str">
        <f>IFERROR(__xludf.DUMMYFUNCTION("GOOGLETRANSLATE(A10043, ""en"", ""mt"")"),"Midalja Rumford")</f>
        <v>Midalja Rumford</v>
      </c>
    </row>
    <row r="10044" ht="15.75" customHeight="1">
      <c r="A10044" s="2" t="s">
        <v>10044</v>
      </c>
      <c r="B10044" s="2" t="str">
        <f>IFERROR(__xludf.DUMMYFUNCTION("GOOGLETRANSLATE(A10044, ""en"", ""mt"")"),"Ir-rivalità atletika ta 'Harvard ma' Yale hija intensa f'kull sport li fih jiltaqgħu magħhom, li jaslu għal qofol kull waqgħa fil-laqgħa annwali tal-futbol, ​​li tmur lura għall-1875 u ġeneralment tissejjaħ sempliċement ""il-logħba"". Filwaqt li t-tim tal"&amp;"-futbol ta 'Harvard m'għadux wieħed mill-aqwa tal-pajjiż peress li ta' spiss kien seklu ilu matul il-jiem bikrin tal-futbol (rebaħ il-Rose Bowl fl-1920), kemm dan kif ukoll Yale influwenzaw il-mod kif tintlagħab il-logħba. Fl-1903, il-Harvard Stadium intr"&amp;"oduċa era ġdida fil-futbol bl-ewwel grawnd tal-konkrit rinforzat permanenti tat-tip tiegħu fil-pajjiż. L-istruttura tal-istadium fil-fatt kellha rwol fl-evoluzzjoni tal-logħba tal-kulleġġ. Fittex li tnaqqas in-numru allarmanti ta 'mwiet u korrimenti serji"&amp;" fl-isport, Walter Camp (ex kaptan tat-tim tal-futbol Yale), issuġġerixxa li titwessa' l-grawnd biex tiftaħ il-logħba. Iżda l-istadium kien dejjaq wisq biex jakkomoda wiċċ ta 'logħob usa'. Allura, kellhom jittieħdu passi oħra. Camp minflok jappoġġja regol"&amp;"i rivoluzzjonarji ġodda għall-istaġun tal-1906. Dawn kienu jinkludu l-legalizzazzjoni tal-pass 'il quddiem, forsi l-iktar bidla sinifikanti fir-regola fl-istorja tal-isport.")</f>
        <v>Ir-rivalità atletika ta 'Harvard ma' Yale hija intensa f'kull sport li fih jiltaqgħu magħhom, li jaslu għal qofol kull waqgħa fil-laqgħa annwali tal-futbol, ​​li tmur lura għall-1875 u ġeneralment tissejjaħ sempliċement "il-logħba". Filwaqt li t-tim tal-futbol ta 'Harvard m'għadux wieħed mill-aqwa tal-pajjiż peress li ta' spiss kien seklu ilu matul il-jiem bikrin tal-futbol (rebaħ il-Rose Bowl fl-1920), kemm dan kif ukoll Yale influwenzaw il-mod kif tintlagħab il-logħba. Fl-1903, il-Harvard Stadium introduċa era ġdida fil-futbol bl-ewwel grawnd tal-konkrit rinforzat permanenti tat-tip tiegħu fil-pajjiż. L-istruttura tal-istadium fil-fatt kellha rwol fl-evoluzzjoni tal-logħba tal-kulleġġ. Fittex li tnaqqas in-numru allarmanti ta 'mwiet u korrimenti serji fl-isport, Walter Camp (ex kaptan tat-tim tal-futbol Yale), issuġġerixxa li titwessa' l-grawnd biex tiftaħ il-logħba. Iżda l-istadium kien dejjaq wisq biex jakkomoda wiċċ ta 'logħob usa'. Allura, kellhom jittieħdu passi oħra. Camp minflok jappoġġja regoli rivoluzzjonarji ġodda għall-istaġun tal-1906. Dawn kienu jinkludu l-legalizzazzjoni tal-pass 'il quddiem, forsi l-iktar bidla sinifikanti fir-regola fl-istorja tal-isport.</v>
      </c>
    </row>
    <row r="10045" ht="15.75" customHeight="1">
      <c r="A10045" s="2" t="s">
        <v>10045</v>
      </c>
      <c r="B10045" s="2" t="str">
        <f>IFERROR(__xludf.DUMMYFUNCTION("GOOGLETRANSLATE(A10045, ""en"", ""mt"")"),"Liema leġjun daħlu r-Rumani min-naħa l-oħra tal-imperu?")</f>
        <v>Liema leġjun daħlu r-Rumani min-naħa l-oħra tal-imperu?</v>
      </c>
    </row>
    <row r="10046" ht="15.75" customHeight="1">
      <c r="A10046" s="2" t="s">
        <v>10046</v>
      </c>
      <c r="B10046" s="2" t="str">
        <f>IFERROR(__xludf.DUMMYFUNCTION("GOOGLETRANSLATE(A10046, ""en"", ""mt"")"),"F'liema nazzjon il-Gallicans bdew il-bidu tagħhom?")</f>
        <v>F'liema nazzjon il-Gallicans bdew il-bidu tagħhom?</v>
      </c>
    </row>
    <row r="10047" ht="15.75" customHeight="1">
      <c r="A10047" s="2" t="s">
        <v>10047</v>
      </c>
      <c r="B10047" s="2" t="str">
        <f>IFERROR(__xludf.DUMMYFUNCTION("GOOGLETRANSLATE(A10047, ""en"", ""mt"")"),"Politiki bħad-Duttrina Monroe")</f>
        <v>Politiki bħad-Duttrina Monroe</v>
      </c>
    </row>
    <row r="10048" ht="15.75" customHeight="1">
      <c r="A10048" s="2" t="s">
        <v>10048</v>
      </c>
      <c r="B10048" s="2" t="str">
        <f>IFERROR(__xludf.DUMMYFUNCTION("GOOGLETRANSLATE(A10048, ""en"", ""mt"")"),"Materjali tal-alimentazzjoni")</f>
        <v>Materjali tal-alimentazzjoni</v>
      </c>
    </row>
    <row r="10049" ht="15.75" customHeight="1">
      <c r="A10049" s="2" t="s">
        <v>10049</v>
      </c>
      <c r="B10049" s="2" t="str">
        <f>IFERROR(__xludf.DUMMYFUNCTION("GOOGLETRANSLATE(A10049, ""en"", ""mt"")"),"Stabbilizza l-konċentrazzjonijiet tal-gass serra fl-atmosfera")</f>
        <v>Stabbilizza l-konċentrazzjonijiet tal-gass serra fl-atmosfera</v>
      </c>
    </row>
    <row r="10050" ht="15.75" customHeight="1">
      <c r="A10050" s="2" t="s">
        <v>10050</v>
      </c>
      <c r="B10050" s="2" t="str">
        <f>IFERROR(__xludf.DUMMYFUNCTION("GOOGLETRANSLATE(A10050, ""en"", ""mt"")"),"X’ma kienx il-proporzjon ta ’kolonizzaturi Ingliżi mal-Franċiżi?")</f>
        <v>X’ma kienx il-proporzjon ta ’kolonizzaturi Ingliżi mal-Franċiżi?</v>
      </c>
    </row>
    <row r="10051" ht="15.75" customHeight="1">
      <c r="A10051" s="2" t="s">
        <v>10051</v>
      </c>
      <c r="B10051" s="2" t="str">
        <f>IFERROR(__xludf.DUMMYFUNCTION("GOOGLETRANSLATE(A10051, ""en"", ""mt"")"),"Shi Tianze, Liu Heima")</f>
        <v>Shi Tianze, Liu Heima</v>
      </c>
    </row>
    <row r="10052" ht="15.75" customHeight="1">
      <c r="A10052" s="2" t="s">
        <v>10052</v>
      </c>
      <c r="B10052" s="2" t="str">
        <f>IFERROR(__xludf.DUMMYFUNCTION("GOOGLETRANSLATE(A10052, ""en"", ""mt"")"),"Min kien fuq l-ispedizzjoni ta 'Celeron?")</f>
        <v>Min kien fuq l-ispedizzjoni ta 'Celeron?</v>
      </c>
    </row>
    <row r="10053" ht="15.75" customHeight="1">
      <c r="A10053" s="2" t="s">
        <v>10053</v>
      </c>
      <c r="B10053" s="2" t="str">
        <f>IFERROR(__xludf.DUMMYFUNCTION("GOOGLETRANSLATE(A10053, ""en"", ""mt"")"),"Movimenti ta 'reżistenza mhux vjolenti")</f>
        <v>Movimenti ta 'reżistenza mhux vjolenti</v>
      </c>
    </row>
    <row r="10054" ht="15.75" customHeight="1">
      <c r="A10054" s="2" t="s">
        <v>10054</v>
      </c>
      <c r="B10054" s="2" t="str">
        <f>IFERROR(__xludf.DUMMYFUNCTION("GOOGLETRANSLATE(A10054, ""en"", ""mt"")"),"Nuqqas ta 'statistika affidabbli")</f>
        <v>Nuqqas ta 'statistika affidabbli</v>
      </c>
    </row>
    <row r="10055" ht="15.75" customHeight="1">
      <c r="A10055" s="2" t="s">
        <v>10055</v>
      </c>
      <c r="B10055" s="2" t="str">
        <f>IFERROR(__xludf.DUMMYFUNCTION("GOOGLETRANSLATE(A10055, ""en"", ""mt"")"),"enżimi")</f>
        <v>enżimi</v>
      </c>
    </row>
    <row r="10056" ht="15.75" customHeight="1">
      <c r="A10056" s="2" t="s">
        <v>10056</v>
      </c>
      <c r="B10056" s="2" t="str">
        <f>IFERROR(__xludf.DUMMYFUNCTION("GOOGLETRANSLATE(A10056, ""en"", ""mt"")"),"Ir-Rwol tal-Mapep tas-Seklu Dsatax")</f>
        <v>Ir-Rwol tal-Mapep tas-Seklu Dsatax</v>
      </c>
    </row>
    <row r="10057" ht="15.75" customHeight="1">
      <c r="A10057" s="2" t="s">
        <v>10057</v>
      </c>
      <c r="B10057" s="2" t="str">
        <f>IFERROR(__xludf.DUMMYFUNCTION("GOOGLETRANSLATE(A10057, ""en"", ""mt"")"),"Inħoss li għamilt l-aħjar ħaġa billi kiser din il-liġi partikolari")</f>
        <v>Inħoss li għamilt l-aħjar ħaġa billi kiser din il-liġi partikolari</v>
      </c>
    </row>
    <row r="10058" ht="15.75" customHeight="1">
      <c r="A10058" s="2" t="s">
        <v>10058</v>
      </c>
      <c r="B10058" s="2" t="str">
        <f>IFERROR(__xludf.DUMMYFUNCTION("GOOGLETRANSLATE(A10058, ""en"", ""mt"")"),"128,843")</f>
        <v>128,843</v>
      </c>
    </row>
    <row r="10059" ht="15.75" customHeight="1">
      <c r="A10059" s="2" t="s">
        <v>10059</v>
      </c>
      <c r="B10059" s="2" t="str">
        <f>IFERROR(__xludf.DUMMYFUNCTION("GOOGLETRANSLATE(A10059, ""en"", ""mt"")"),"Min ħoloq indiċi ta 'problemi tas-saħħa u soċjali?")</f>
        <v>Min ħoloq indiċi ta 'problemi tas-saħħa u soċjali?</v>
      </c>
    </row>
    <row r="10060" ht="15.75" customHeight="1">
      <c r="A10060" s="2" t="s">
        <v>10060</v>
      </c>
      <c r="B10060" s="2" t="str">
        <f>IFERROR(__xludf.DUMMYFUNCTION("GOOGLETRANSLATE(A10060, ""en"", ""mt"")"),"Meta ġew żviluppati t-teoriji li jissuġġerixxu inugwaljanza jista 'jkollu xi effett negattiv fuq l-iżvilupp ekonomiku?")</f>
        <v>Meta ġew żviluppati t-teoriji li jissuġġerixxu inugwaljanza jista 'jkollu xi effett negattiv fuq l-iżvilupp ekonomiku?</v>
      </c>
    </row>
    <row r="10061" ht="15.75" customHeight="1">
      <c r="A10061" s="2" t="s">
        <v>10061</v>
      </c>
      <c r="B10061" s="2" t="str">
        <f>IFERROR(__xludf.DUMMYFUNCTION("GOOGLETRANSLATE(A10061, ""en"", ""mt"")"),"molekuli awto")</f>
        <v>molekuli awto</v>
      </c>
    </row>
    <row r="10062" ht="15.75" customHeight="1">
      <c r="A10062" s="2" t="s">
        <v>10062</v>
      </c>
      <c r="B10062" s="2" t="str">
        <f>IFERROR(__xludf.DUMMYFUNCTION("GOOGLETRANSLATE(A10062, ""en"", ""mt"")"),"Id-dinastija Yuan hija meqjusa kemm suċċessur għall-imperu Mongoljan kif ukoll għal dinastija Ċiniża Imperjali. Kien il-Khanate maħkum mis-suċċessuri ta 'Möngke Khan wara d-diviżjoni tal-imperu Mongoljan. Fl-istoriji uffiċjali Ċiniżi, id-dinastija Yuan ġa"&amp;"rrbet il-mandat tas-sema, wara d-dinastija tal-kanzunetta u qabel id-dinastija Ming. Id-dinastija ġiet stabbilita minn Kublai Khan, iżda poġġa lin-nannu tiegħu Genghis Khan fuq ir-Rekords Imperjali bħala l-fundatur uffiċjali tad-dinastija bħala Taizu. [B]"&amp;" Fil-proklamazzjoni tal-isem dinastiku (《建國 建國 號詔 號詔 號詔 號詔 號詔 號詔 號詔 號詔 號詔 號詔 號詔 號詔 號詔 號詔Isem id-dinastija l-ġdida bħala wan kbir u sostna s-suċċessjoni ta 'ex-dinastiji Ċiniżi mit-tliet sovrani u ħames imperaturi għad-dinastija Tang.")</f>
        <v>Id-dinastija Yuan hija meqjusa kemm suċċessur għall-imperu Mongoljan kif ukoll għal dinastija Ċiniża Imperjali. Kien il-Khanate maħkum mis-suċċessuri ta 'Möngke Khan wara d-diviżjoni tal-imperu Mongoljan. Fl-istoriji uffiċjali Ċiniżi, id-dinastija Yuan ġarrbet il-mandat tas-sema, wara d-dinastija tal-kanzunetta u qabel id-dinastija Ming. Id-dinastija ġiet stabbilita minn Kublai Khan, iżda poġġa lin-nannu tiegħu Genghis Khan fuq ir-Rekords Imperjali bħala l-fundatur uffiċjali tad-dinastija bħala Taizu. [B] Fil-proklamazzjoni tal-isem dinastiku (《建國 建國 號詔 號詔 號詔 號詔 號詔 號詔 號詔 號詔 號詔 號詔 號詔 號詔 號詔 號詔Isem id-dinastija l-ġdida bħala wan kbir u sostna s-suċċessjoni ta 'ex-dinastiji Ċiniżi mit-tliet sovrani u ħames imperaturi għad-dinastija Tang.</v>
      </c>
    </row>
    <row r="10063" ht="15.75" customHeight="1">
      <c r="A10063" s="2" t="s">
        <v>10063</v>
      </c>
      <c r="B10063" s="2" t="str">
        <f>IFERROR(__xludf.DUMMYFUNCTION("GOOGLETRANSLATE(A10063, ""en"", ""mt"")"),"Ħalib tas-sider jew kolostru")</f>
        <v>Ħalib tas-sider jew kolostru</v>
      </c>
    </row>
    <row r="10064" ht="15.75" customHeight="1">
      <c r="A10064" s="2" t="s">
        <v>10064</v>
      </c>
      <c r="B10064" s="2" t="str">
        <f>IFERROR(__xludf.DUMMYFUNCTION("GOOGLETRANSLATE(A10064, ""en"", ""mt"")"),"Arkitettura ġenerali għal netwerk ta 'komunikazzjonijiet fuq skala kbira, imqassma u li jista' jibqa 'ħaj")</f>
        <v>Arkitettura ġenerali għal netwerk ta 'komunikazzjonijiet fuq skala kbira, imqassma u li jista' jibqa 'ħaj</v>
      </c>
    </row>
    <row r="10065" ht="15.75" customHeight="1">
      <c r="A10065" s="2" t="s">
        <v>10065</v>
      </c>
      <c r="B10065" s="2" t="str">
        <f>IFERROR(__xludf.DUMMYFUNCTION("GOOGLETRANSLATE(A10065, ""en"", ""mt"")"),"Fis-seklu 19, l-iżvilupp tal-mekkanika kwantistika wassal għal xiex?")</f>
        <v>Fis-seklu 19, l-iżvilupp tal-mekkanika kwantistika wassal għal xiex?</v>
      </c>
    </row>
    <row r="10066" ht="15.75" customHeight="1">
      <c r="A10066" s="2" t="s">
        <v>10066</v>
      </c>
      <c r="B10066" s="2" t="str">
        <f>IFERROR(__xludf.DUMMYFUNCTION("GOOGLETRANSLATE(A10066, ""en"", ""mt"")"),"X'inhi l-akbar karatteristika fil-ħalq?")</f>
        <v>X'inhi l-akbar karatteristika fil-ħalq?</v>
      </c>
    </row>
    <row r="10067" ht="15.75" customHeight="1">
      <c r="A10067" s="2" t="s">
        <v>10067</v>
      </c>
      <c r="B10067" s="2" t="str">
        <f>IFERROR(__xludf.DUMMYFUNCTION("GOOGLETRANSLATE(A10067, ""en"", ""mt"")"),"Parti vitali mill-ktajjen tal-ikel tal-baħar")</f>
        <v>Parti vitali mill-ktajjen tal-ikel tal-baħar</v>
      </c>
    </row>
    <row r="10068" ht="15.75" customHeight="1">
      <c r="A10068" s="2" t="s">
        <v>10068</v>
      </c>
      <c r="B10068" s="2" t="str">
        <f>IFERROR(__xludf.DUMMYFUNCTION("GOOGLETRANSLATE(A10068, ""en"", ""mt"")"),"Strings ideali jittrasmettu liema forzi mdewwma?")</f>
        <v>Strings ideali jittrasmettu liema forzi mdewwma?</v>
      </c>
    </row>
    <row r="10069" ht="15.75" customHeight="1">
      <c r="A10069" s="2" t="s">
        <v>10069</v>
      </c>
      <c r="B10069" s="2" t="str">
        <f>IFERROR(__xludf.DUMMYFUNCTION("GOOGLETRANSLATE(A10069, ""en"", ""mt"")"),"6 seklu")</f>
        <v>6 seklu</v>
      </c>
    </row>
    <row r="10070" ht="15.75" customHeight="1">
      <c r="A10070" s="2" t="s">
        <v>10070</v>
      </c>
      <c r="B10070" s="2" t="str">
        <f>IFERROR(__xludf.DUMMYFUNCTION("GOOGLETRANSLATE(A10070, ""en"", ""mt"")"),"każ tal-ġurisprudenza mill-Qorti tal-Ġustizzja, il-Liġi Internazzjonali u l-Prinċipji Ġenerali tal-Liġi tal-Unjoni Ewropea")</f>
        <v>każ tal-ġurisprudenza mill-Qorti tal-Ġustizzja, il-Liġi Internazzjonali u l-Prinċipji Ġenerali tal-Liġi tal-Unjoni Ewropea</v>
      </c>
    </row>
    <row r="10071" ht="15.75" customHeight="1">
      <c r="A10071" s="2" t="s">
        <v>10071</v>
      </c>
      <c r="B10071" s="2" t="str">
        <f>IFERROR(__xludf.DUMMYFUNCTION("GOOGLETRANSLATE(A10071, ""en"", ""mt"")"),"żoni iżolati")</f>
        <v>żoni iżolati</v>
      </c>
    </row>
    <row r="10072" ht="15.75" customHeight="1">
      <c r="A10072" s="2" t="s">
        <v>10072</v>
      </c>
      <c r="B10072" s="2" t="str">
        <f>IFERROR(__xludf.DUMMYFUNCTION("GOOGLETRANSLATE(A10072, ""en"", ""mt"")"),"iżotopi")</f>
        <v>iżotopi</v>
      </c>
    </row>
    <row r="10073" ht="15.75" customHeight="1">
      <c r="A10073" s="2" t="s">
        <v>10073</v>
      </c>
      <c r="B10073" s="2" t="str">
        <f>IFERROR(__xludf.DUMMYFUNCTION("GOOGLETRANSLATE(A10073, ""en"", ""mt"")"),"Ekwilibriju statiku bejn żewġ forzi huwa l-iktar mod tas-soltu ta 'kejl tal-forzi, bl-użu ta' apparati sempliċi bħal skali ta 'użin u bilanċi tar-rebbiegħa. Pereżempju, oġġett sospiż fuq skala tar-rebbiegħa vertikali jesperjenza l-forza tal-gravità li taġ"&amp;"ixxi fuq l-oġġett ibbilanċjat minn forza applikata mill- ""forza ta 'reazzjoni tar-rebbiegħa"", li hija daqs il-piż tal-oġġett. Bl-użu ta 'għodod bħal dawn, ġew skoperti xi liġijiet tal-forza kwantitattiva: li l-forza tal-gravità hija proporzjonali għall-"&amp;"volum għal oġġetti ta' densità kostanti (sfruttati b'mod wiesa 'għal millenji biex jiddefinixxu piżijiet standard); Prinċipju ta 'Archimedes għal galleġġjatura; L-analiżi ta 'Archimedes tal-lieva; Liġi ta 'Boyle għall-pressjoni tal-gass; u l-liġi ta 'Hook"&amp;"e għall-molol. Dawn kienu kollha fformulati u vverifikati b'mod sperimentali qabel Isaac Newton esponew it-tliet liġijiet tal-mozzjoni tiegħu.")</f>
        <v>Ekwilibriju statiku bejn żewġ forzi huwa l-iktar mod tas-soltu ta 'kejl tal-forzi, bl-użu ta' apparati sempliċi bħal skali ta 'użin u bilanċi tar-rebbiegħa. Pereżempju, oġġett sospiż fuq skala tar-rebbiegħa vertikali jesperjenza l-forza tal-gravità li taġixxi fuq l-oġġett ibbilanċjat minn forza applikata mill- "forza ta 'reazzjoni tar-rebbiegħa", li hija daqs il-piż tal-oġġett. Bl-użu ta 'għodod bħal dawn, ġew skoperti xi liġijiet tal-forza kwantitattiva: li l-forza tal-gravità hija proporzjonali għall-volum għal oġġetti ta' densità kostanti (sfruttati b'mod wiesa 'għal millenji biex jiddefinixxu piżijiet standard); Prinċipju ta 'Archimedes għal galleġġjatura; L-analiżi ta 'Archimedes tal-lieva; Liġi ta 'Boyle għall-pressjoni tal-gass; u l-liġi ta 'Hooke għall-molol. Dawn kienu kollha fformulati u vverifikati b'mod sperimentali qabel Isaac Newton esponew it-tliet liġijiet tal-mozzjoni tiegħu.</v>
      </c>
    </row>
    <row r="10074" ht="15.75" customHeight="1">
      <c r="A10074" s="2" t="s">
        <v>10074</v>
      </c>
      <c r="B10074" s="2" t="str">
        <f>IFERROR(__xludf.DUMMYFUNCTION("GOOGLETRANSLATE(A10074, ""en"", ""mt"")"),"Singapor, Londra, u l-viċinat taċ-ċentru ta ’Streeterville f’Chicago")</f>
        <v>Singapor, Londra, u l-viċinat taċ-ċentru ta ’Streeterville f’Chicago</v>
      </c>
    </row>
    <row r="10075" ht="15.75" customHeight="1">
      <c r="A10075" s="2" t="s">
        <v>10075</v>
      </c>
      <c r="B10075" s="2" t="str">
        <f>IFERROR(__xludf.DUMMYFUNCTION("GOOGLETRANSLATE(A10075, ""en"", ""mt"")"),"Liema stadju ġeneralment iseħħ fil-kumitati irrilevanti?")</f>
        <v>Liema stadju ġeneralment iseħħ fil-kumitati irrilevanti?</v>
      </c>
    </row>
    <row r="10076" ht="15.75" customHeight="1">
      <c r="A10076" s="2" t="s">
        <v>10076</v>
      </c>
      <c r="B10076" s="2" t="str">
        <f>IFERROR(__xludf.DUMMYFUNCTION("GOOGLETRANSLATE(A10076, ""en"", ""mt"")"),"leptin")</f>
        <v>leptin</v>
      </c>
    </row>
    <row r="10077" ht="15.75" customHeight="1">
      <c r="A10077" s="2" t="s">
        <v>10077</v>
      </c>
      <c r="B10077" s="2" t="str">
        <f>IFERROR(__xludf.DUMMYFUNCTION("GOOGLETRANSLATE(A10077, ""en"", ""mt"")"),"L-OPEC għolla l-prezz stazzjonat taż-żejt")</f>
        <v>L-OPEC għolla l-prezz stazzjonat taż-żejt</v>
      </c>
    </row>
    <row r="10078" ht="15.75" customHeight="1">
      <c r="A10078" s="2" t="s">
        <v>10078</v>
      </c>
      <c r="B10078" s="2" t="str">
        <f>IFERROR(__xludf.DUMMYFUNCTION("GOOGLETRANSLATE(A10078, ""en"", ""mt"")"),"Molekuli tal-Klassi I MHC")</f>
        <v>Molekuli tal-Klassi I MHC</v>
      </c>
    </row>
    <row r="10079" ht="15.75" customHeight="1">
      <c r="A10079" s="2" t="s">
        <v>10079</v>
      </c>
      <c r="B10079" s="2" t="str">
        <f>IFERROR(__xludf.DUMMYFUNCTION("GOOGLETRANSLATE(A10079, ""en"", ""mt"")"),"Kemm ġew Musulmani minn madwar id-dinja biex jiġġieldu fl-Afganistan?")</f>
        <v>Kemm ġew Musulmani minn madwar id-dinja biex jiġġieldu fl-Afganistan?</v>
      </c>
    </row>
    <row r="10080" ht="15.75" customHeight="1">
      <c r="A10080" s="2" t="s">
        <v>10080</v>
      </c>
      <c r="B10080" s="2" t="str">
        <f>IFERROR(__xludf.DUMMYFUNCTION("GOOGLETRANSLATE(A10080, ""en"", ""mt"")"),"Kombustjoni rapida")</f>
        <v>Kombustjoni rapida</v>
      </c>
    </row>
    <row r="10081" ht="15.75" customHeight="1">
      <c r="A10081" s="2" t="s">
        <v>10081</v>
      </c>
      <c r="B10081" s="2" t="str">
        <f>IFERROR(__xludf.DUMMYFUNCTION("GOOGLETRANSLATE(A10081, ""en"", ""mt"")"),"Il-politika Ingliża perċepita li tkun f'idejha mill-popolazzjoni Musulmana tagħha rriżultat f'liema terminu derogatorju għal Londra?")</f>
        <v>Il-politika Ingliża perċepita li tkun f'idejha mill-popolazzjoni Musulmana tagħha rriżultat f'liema terminu derogatorju għal Londra?</v>
      </c>
    </row>
    <row r="10082" ht="15.75" customHeight="1">
      <c r="A10082" s="2" t="s">
        <v>10082</v>
      </c>
      <c r="B10082" s="2" t="str">
        <f>IFERROR(__xludf.DUMMYFUNCTION("GOOGLETRANSLATE(A10082, ""en"", ""mt"")"),"Borża ta 'Varsavja")</f>
        <v>Borża ta 'Varsavja</v>
      </c>
    </row>
    <row r="10083" ht="15.75" customHeight="1">
      <c r="A10083" s="2" t="s">
        <v>10083</v>
      </c>
      <c r="B10083" s="2" t="str">
        <f>IFERROR(__xludf.DUMMYFUNCTION("GOOGLETRANSLATE(A10083, ""en"", ""mt"")"),"individwu")</f>
        <v>individwu</v>
      </c>
    </row>
    <row r="10084" ht="15.75" customHeight="1">
      <c r="A10084" s="2" t="s">
        <v>10084</v>
      </c>
      <c r="B10084" s="2" t="str">
        <f>IFERROR(__xludf.DUMMYFUNCTION("GOOGLETRANSLATE(A10084, ""en"", ""mt"")"),"MHC i")</f>
        <v>MHC i</v>
      </c>
    </row>
    <row r="10085" ht="15.75" customHeight="1">
      <c r="A10085" s="2" t="s">
        <v>10085</v>
      </c>
      <c r="B10085" s="2" t="str">
        <f>IFERROR(__xludf.DUMMYFUNCTION("GOOGLETRANSLATE(A10085, ""en"", ""mt"")"),"X'inhu mifhum li huwa kompitu li fil-prinċipju ma jistax jiġi solvut minn kompjuter?")</f>
        <v>X'inhu mifhum li huwa kompitu li fil-prinċipju ma jistax jiġi solvut minn kompjuter?</v>
      </c>
    </row>
    <row r="10086" ht="15.75" customHeight="1">
      <c r="A10086" s="2" t="s">
        <v>10086</v>
      </c>
      <c r="B10086" s="2" t="str">
        <f>IFERROR(__xludf.DUMMYFUNCTION("GOOGLETRANSLATE(A10086, ""en"", ""mt"")"),"Għarab")</f>
        <v>Għarab</v>
      </c>
    </row>
    <row r="10087" ht="15.75" customHeight="1">
      <c r="A10087" s="2" t="s">
        <v>10087</v>
      </c>
      <c r="B10087" s="2" t="str">
        <f>IFERROR(__xludf.DUMMYFUNCTION("GOOGLETRANSLATE(A10087, ""en"", ""mt"")"),"Kemm sabet din l-ispedizzjoni ma 'Braddock?")</f>
        <v>Kemm sabet din l-ispedizzjoni ma 'Braddock?</v>
      </c>
    </row>
    <row r="10088" ht="15.75" customHeight="1">
      <c r="A10088" s="2" t="s">
        <v>10088</v>
      </c>
      <c r="B10088" s="2" t="str">
        <f>IFERROR(__xludf.DUMMYFUNCTION("GOOGLETRANSLATE(A10088, ""en"", ""mt"")"),"Dak li ġie ssuġġerit fis-simpożju fl-1967")</f>
        <v>Dak li ġie ssuġġerit fis-simpożju fl-1967</v>
      </c>
    </row>
    <row r="10089" ht="15.75" customHeight="1">
      <c r="A10089" s="2" t="s">
        <v>10089</v>
      </c>
      <c r="B10089" s="2" t="str">
        <f>IFERROR(__xludf.DUMMYFUNCTION("GOOGLETRANSLATE(A10089, ""en"", ""mt"")"),"Kemm nazzjonijiet jikkontrollaw dan ir-reġjun b'kollox?")</f>
        <v>Kemm nazzjonijiet jikkontrollaw dan ir-reġjun b'kollox?</v>
      </c>
    </row>
    <row r="10090" ht="15.75" customHeight="1">
      <c r="A10090" s="2" t="s">
        <v>10090</v>
      </c>
      <c r="B10090" s="2" t="str">
        <f>IFERROR(__xludf.DUMMYFUNCTION("GOOGLETRANSLATE(A10090, ""en"", ""mt"")"),"ilma")</f>
        <v>ilma</v>
      </c>
    </row>
    <row r="10091" ht="15.75" customHeight="1">
      <c r="A10091" s="2" t="s">
        <v>10091</v>
      </c>
      <c r="B10091" s="2" t="str">
        <f>IFERROR(__xludf.DUMMYFUNCTION("GOOGLETRANSLATE(A10091, ""en"", ""mt"")"),"Aħbarijiet taż-żewġ battalji waslu l-Ingilterra f’Awwissu. Wara diversi xhur ta ’negozjati, il-gvern tad-Duka ta’ Newcastle iddeċieda li jibgħat spedizzjoni tal-Armata s-sena ta ’wara biex jiżvela lill-Franċiżi. Huma għażlu l-Ġeneral Maġġur Edward Braddoc"&amp;"k biex imexxi l-ispedizzjoni. Kelma tal-pjanijiet militari Ingliżi nixxew lejn Franza sew qabel it-tluq ta 'Braddock għall-Amerika ta' Fuq. Bi tweġiba, ir-Re Louis XV bagħat sitt reġimenti lejn Franza Ġdida taħt il-kmand tal-Baruni Dieskau fl-1755. Il-Bri"&amp;"ttaniċi, li biħsiebhom jimblokkaw il-portijiet Franċiżi, bagħtu l-flotta tagħhom fi Frar 1755, iżda l-flotta Franċiża kienet diġà baħħret. L-Ammirall Edward Hawke qala ’skwadra mgħaġġla lejn l-Amerika ta’ Fuq f’tentattiv biex jinterċetta lill-Franċiżi.")</f>
        <v>Aħbarijiet taż-żewġ battalji waslu l-Ingilterra f’Awwissu. Wara diversi xhur ta ’negozjati, il-gvern tad-Duka ta’ Newcastle iddeċieda li jibgħat spedizzjoni tal-Armata s-sena ta ’wara biex jiżvela lill-Franċiżi. Huma għażlu l-Ġeneral Maġġur Edward Braddock biex imexxi l-ispedizzjoni. Kelma tal-pjanijiet militari Ingliżi nixxew lejn Franza sew qabel it-tluq ta 'Braddock għall-Amerika ta' Fuq. Bi tweġiba, ir-Re Louis XV bagħat sitt reġimenti lejn Franza Ġdida taħt il-kmand tal-Baruni Dieskau fl-1755. Il-Brittaniċi, li biħsiebhom jimblokkaw il-portijiet Franċiżi, bagħtu l-flotta tagħhom fi Frar 1755, iżda l-flotta Franċiża kienet diġà baħħret. L-Ammirall Edward Hawke qala ’skwadra mgħaġġla lejn l-Amerika ta’ Fuq f’tentattiv biex jinterċetta lill-Franċiżi.</v>
      </c>
    </row>
    <row r="10092" ht="15.75" customHeight="1">
      <c r="A10092" s="2" t="s">
        <v>10092</v>
      </c>
      <c r="B10092" s="2" t="str">
        <f>IFERROR(__xludf.DUMMYFUNCTION("GOOGLETRANSLATE(A10092, ""en"", ""mt"")"),"X'tagħmel l-ebda spiżeriji tal-komunità?")</f>
        <v>X'tagħmel l-ebda spiżeriji tal-komunità?</v>
      </c>
    </row>
    <row r="10093" ht="15.75" customHeight="1">
      <c r="A10093" s="2" t="s">
        <v>10093</v>
      </c>
      <c r="B10093" s="2" t="str">
        <f>IFERROR(__xludf.DUMMYFUNCTION("GOOGLETRANSLATE(A10093, ""en"", ""mt"")"),"X'tip ta 'popolazzjonijiet jistgħu jintmesaħ temporanjament mill-gambli?")</f>
        <v>X'tip ta 'popolazzjonijiet jistgħu jintmesaħ temporanjament mill-gambli?</v>
      </c>
    </row>
    <row r="10094" ht="15.75" customHeight="1">
      <c r="A10094" s="2" t="s">
        <v>10094</v>
      </c>
      <c r="B10094" s="2" t="str">
        <f>IFERROR(__xludf.DUMMYFUNCTION("GOOGLETRANSLATE(A10094, ""en"", ""mt"")"),"Id-drittijiet fundamentali, bħal fid-drittijiet tal-bniedem, ġew rikonoxxuti l-ewwel mill-Qorti Ewropea tal-Ġustizzja fl-aħħar tas-snin 60 u d-drittijiet fundamentali issa huma meqjusa bħala parti integrali tal-prinċipji ġenerali tal-liġi tal-Unjoni Ewrop"&amp;"ea. Bħala tali il-Qorti Ewropea tal-Ġustizzja hija marbuta li tiġbed l-ispirazzjoni mit-tradizzjonijiet kostituzzjonali komuni għall-Istati Membri. Għalhekk, il-Qorti Ewropea tal-Ġustizzja ma tistax iżżomm miżuri li huma inkompatibbli mad-drittijiet funda"&amp;"mentali rikonoxxuti u protetti fil-Kostituzzjonijiet ta 'l-Istati Membri. Il-Qorti Ewropea tal-Ġustizzja sabet ukoll li ""trattati internazzjonali għall-protezzjoni tad-drittijiet tal-bniedem li fuqhom ikkollaboraw l-Istati Membri jew li huma firmatarji, "&amp;"jistgħu jipprovdu linji gwida li għandhom jiġu segwiti fil-qafas tal-liġi tal-komunità.""")</f>
        <v>Id-drittijiet fundamentali, bħal fid-drittijiet tal-bniedem, ġew rikonoxxuti l-ewwel mill-Qorti Ewropea tal-Ġustizzja fl-aħħar tas-snin 60 u d-drittijiet fundamentali issa huma meqjusa bħala parti integrali tal-prinċipji ġenerali tal-liġi tal-Unjoni Ewropea. Bħala tali il-Qorti Ewropea tal-Ġustizzja hija marbuta li tiġbed l-ispirazzjoni mit-tradizzjonijiet kostituzzjonali komuni għall-Istati Membri. Għalhekk, il-Qorti Ewropea tal-Ġustizzja ma tistax iżżomm miżuri li huma inkompatibbli mad-drittijiet fundamentali rikonoxxuti u protetti fil-Kostituzzjonijiet ta 'l-Istati Membri. Il-Qorti Ewropea tal-Ġustizzja sabet ukoll li "trattati internazzjonali għall-protezzjoni tad-drittijiet tal-bniedem li fuqhom ikkollaboraw l-Istati Membri jew li huma firmatarji, jistgħu jipprovdu linji gwida li għandhom jiġu segwiti fil-qafas tal-liġi tal-komunità."</v>
      </c>
    </row>
    <row r="10095" ht="15.75" customHeight="1">
      <c r="A10095" s="2" t="s">
        <v>10095</v>
      </c>
      <c r="B10095" s="2" t="str">
        <f>IFERROR(__xludf.DUMMYFUNCTION("GOOGLETRANSLATE(A10095, ""en"", ""mt"")"),"Kolonjaliżmu intern")</f>
        <v>Kolonjaliżmu intern</v>
      </c>
    </row>
    <row r="10096" ht="15.75" customHeight="1">
      <c r="A10096" s="2" t="s">
        <v>10096</v>
      </c>
      <c r="B10096" s="2" t="str">
        <f>IFERROR(__xludf.DUMMYFUNCTION("GOOGLETRANSLATE(A10096, ""en"", ""mt"")"),"Minn fejn x'aktarx il-Qorti Ewropea tal-Ġustizzja tikseb ispirazzjoni?")</f>
        <v>Minn fejn x'aktarx il-Qorti Ewropea tal-Ġustizzja tikseb ispirazzjoni?</v>
      </c>
    </row>
    <row r="10097" ht="15.75" customHeight="1">
      <c r="A10097" s="2" t="s">
        <v>10097</v>
      </c>
      <c r="B10097" s="2" t="str">
        <f>IFERROR(__xludf.DUMMYFUNCTION("GOOGLETRANSLATE(A10097, ""en"", ""mt"")"),"Meta sar referendum ta 'konsolidazzjoni fl-1967, il-votanti approvaw il-pjan. Fl-1 ta 'Ottubru, 1968, il-gvernijiet ingħaqdu biex joħolqu l-belt konsolidata ta' Jacksonville. In-nar, il-pulizija, is-saħħa u l-benesseri, ir-rikreazzjoni, ix-xogħlijiet pubb"&amp;"liċi, u l-iżvilupp tad-djar u urbani kienu kollha kkombinati taħt il-gvern il-ġdid. Fl-unur tal-okkażjoni, dak iż-żmien Hans Tanzler poġġa mal-attriċi Lee Meredith wara sinjal li jimmarka l-fruntiera l-ġdida tal- ""Belt il-Ġdida Bold tan-Nofsinhar"" fi Fl"&amp;"orida 13 u Julington Creek. Il-pjan aħjar ta ’Jacksonville, promoss bħala blueprint għall-futur ta’ Jacksonville u approvat mill-votanti ta ’Jacksonville fl-2000, awtorizza taxxa fuq il-bejgħ nofs penny. Dan jiġġenera ħafna mid-dħul meħtieġ għall-pakkett "&amp;"ta '$ 2.25 biljun ta' proġetti ewlenin li kienu jinkludu titjib fit-toroq u l-infrastruttura, preservazzjoni ambjentali, żvilupp ekonomiku mmirat u faċilitajiet pubbliċi ġodda jew imtejba.")</f>
        <v>Meta sar referendum ta 'konsolidazzjoni fl-1967, il-votanti approvaw il-pjan. Fl-1 ta 'Ottubru, 1968, il-gvernijiet ingħaqdu biex joħolqu l-belt konsolidata ta' Jacksonville. In-nar, il-pulizija, is-saħħa u l-benesseri, ir-rikreazzjoni, ix-xogħlijiet pubbliċi, u l-iżvilupp tad-djar u urbani kienu kollha kkombinati taħt il-gvern il-ġdid. Fl-unur tal-okkażjoni, dak iż-żmien Hans Tanzler poġġa mal-attriċi Lee Meredith wara sinjal li jimmarka l-fruntiera l-ġdida tal- "Belt il-Ġdida Bold tan-Nofsinhar" fi Florida 13 u Julington Creek. Il-pjan aħjar ta ’Jacksonville, promoss bħala blueprint għall-futur ta’ Jacksonville u approvat mill-votanti ta ’Jacksonville fl-2000, awtorizza taxxa fuq il-bejgħ nofs penny. Dan jiġġenera ħafna mid-dħul meħtieġ għall-pakkett ta '$ 2.25 biljun ta' proġetti ewlenin li kienu jinkludu titjib fit-toroq u l-infrastruttura, preservazzjoni ambjentali, żvilupp ekonomiku mmirat u faċilitajiet pubbliċi ġodda jew imtejba.</v>
      </c>
    </row>
    <row r="10098" ht="15.75" customHeight="1">
      <c r="A10098" s="2" t="s">
        <v>10098</v>
      </c>
      <c r="B10098" s="2" t="str">
        <f>IFERROR(__xludf.DUMMYFUNCTION("GOOGLETRANSLATE(A10098, ""en"", ""mt"")"),"Skema ta 'aċċess multipli")</f>
        <v>Skema ta 'aċċess multipli</v>
      </c>
    </row>
    <row r="10099" ht="15.75" customHeight="1">
      <c r="A10099" s="2" t="s">
        <v>10099</v>
      </c>
      <c r="B10099" s="2" t="str">
        <f>IFERROR(__xludf.DUMMYFUNCTION("GOOGLETRANSLATE(A10099, ""en"", ""mt"")"),"Aġenziji mhux governattivi")</f>
        <v>Aġenziji mhux governattivi</v>
      </c>
    </row>
    <row r="10100" ht="15.75" customHeight="1">
      <c r="A10100" s="2" t="s">
        <v>10100</v>
      </c>
      <c r="B10100" s="2" t="str">
        <f>IFERROR(__xludf.DUMMYFUNCTION("GOOGLETRANSLATE(A10100, ""en"", ""mt"")"),"Carl Sagan")</f>
        <v>Carl Sagan</v>
      </c>
    </row>
    <row r="10101" ht="15.75" customHeight="1">
      <c r="A10101" s="2" t="s">
        <v>10101</v>
      </c>
      <c r="B10101" s="2" t="str">
        <f>IFERROR(__xludf.DUMMYFUNCTION("GOOGLETRANSLATE(A10101, ""en"", ""mt"")"),"'art vojta'")</f>
        <v>'art vojta'</v>
      </c>
    </row>
    <row r="10102" ht="15.75" customHeight="1">
      <c r="A10102" s="2" t="s">
        <v>10102</v>
      </c>
      <c r="B10102" s="2" t="str">
        <f>IFERROR(__xludf.DUMMYFUNCTION("GOOGLETRANSLATE(A10102, ""en"", ""mt"")"),"X'iġġustifika l-Qorti tal-Ġustizzja dwar kontenut baxx ta 'xaħam tal-ħaxix?")</f>
        <v>X'iġġustifika l-Qorti tal-Ġustizzja dwar kontenut baxx ta 'xaħam tal-ħaxix?</v>
      </c>
    </row>
    <row r="10103" ht="15.75" customHeight="1">
      <c r="A10103" s="2" t="s">
        <v>10103</v>
      </c>
      <c r="B10103" s="2" t="str">
        <f>IFERROR(__xludf.DUMMYFUNCTION("GOOGLETRANSLATE(A10103, ""en"", ""mt"")"),"L-għan tal-liġi tal-kompetizzjoni Franċiża kien li tagħmel xiex?")</f>
        <v>L-għan tal-liġi tal-kompetizzjoni Franċiża kien li tagħmel xiex?</v>
      </c>
    </row>
    <row r="10104" ht="15.75" customHeight="1">
      <c r="A10104" s="2" t="s">
        <v>10104</v>
      </c>
      <c r="B10104" s="2" t="str">
        <f>IFERROR(__xludf.DUMMYFUNCTION("GOOGLETRANSLATE(A10104, ""en"", ""mt"")")," Min kellu kontroll militari waqt il-wan?")</f>
        <v> Min kellu kontroll militari waqt il-wan?</v>
      </c>
    </row>
    <row r="10105" ht="15.75" customHeight="1">
      <c r="A10105" s="2" t="s">
        <v>10105</v>
      </c>
      <c r="B10105" s="2" t="str">
        <f>IFERROR(__xludf.DUMMYFUNCTION("GOOGLETRANSLATE(A10105, ""en"", ""mt"")"),"biddel b'mod sinifikanti t-trattati eżistenti")</f>
        <v>biddel b'mod sinifikanti t-trattati eżistenti</v>
      </c>
    </row>
    <row r="10106" ht="15.75" customHeight="1">
      <c r="A10106" s="2" t="s">
        <v>10106</v>
      </c>
      <c r="B10106" s="2" t="str">
        <f>IFERROR(__xludf.DUMMYFUNCTION("GOOGLETRANSLATE(A10106, ""en"", ""mt"")"),"X'inhi l-inugwaljanza tad-dħul bejn is-sessi fil-Baħrejn?")</f>
        <v>X'inhi l-inugwaljanza tad-dħul bejn is-sessi fil-Baħrejn?</v>
      </c>
    </row>
    <row r="10107" ht="15.75" customHeight="1">
      <c r="A10107" s="2" t="s">
        <v>10107</v>
      </c>
      <c r="B10107" s="2" t="str">
        <f>IFERROR(__xludf.DUMMYFUNCTION("GOOGLETRANSLATE(A10107, ""en"", ""mt"")"),"X'inhu t-tieni ajruport l-iktar traffikuż fl-Istati Uniti?")</f>
        <v>X'inhu t-tieni ajruport l-iktar traffikuż fl-Istati Uniti?</v>
      </c>
    </row>
    <row r="10108" ht="15.75" customHeight="1">
      <c r="A10108" s="2" t="s">
        <v>10108</v>
      </c>
      <c r="B10108" s="2" t="str">
        <f>IFERROR(__xludf.DUMMYFUNCTION("GOOGLETRANSLATE(A10108, ""en"", ""mt"")"),"Liema rapport eskluda graff li juri r-rikostruzzjoni tat-temperatura?")</f>
        <v>Liema rapport eskluda graff li juri r-rikostruzzjoni tat-temperatura?</v>
      </c>
    </row>
    <row r="10109" ht="15.75" customHeight="1">
      <c r="A10109" s="2" t="s">
        <v>10109</v>
      </c>
      <c r="B10109" s="2" t="str">
        <f>IFERROR(__xludf.DUMMYFUNCTION("GOOGLETRANSLATE(A10109, ""en"", ""mt"")"),"battalji f'Lagos u Quiberon Bay")</f>
        <v>battalji f'Lagos u Quiberon Bay</v>
      </c>
    </row>
    <row r="10110" ht="15.75" customHeight="1">
      <c r="A10110" s="2" t="s">
        <v>10110</v>
      </c>
      <c r="B10110" s="2" t="str">
        <f>IFERROR(__xludf.DUMMYFUNCTION("GOOGLETRANSLATE(A10110, ""en"", ""mt"")"),"1066")</f>
        <v>1066</v>
      </c>
    </row>
    <row r="10111" ht="15.75" customHeight="1">
      <c r="A10111" s="2" t="s">
        <v>10111</v>
      </c>
      <c r="B10111" s="2" t="str">
        <f>IFERROR(__xludf.DUMMYFUNCTION("GOOGLETRANSLATE(A10111, ""en"", ""mt"")"),"Liema pajjiż huwa l-iktar involut fil-politika mhux vjolenti?")</f>
        <v>Liema pajjiż huwa l-iktar involut fil-politika mhux vjolenti?</v>
      </c>
    </row>
    <row r="10112" ht="15.75" customHeight="1">
      <c r="A10112" s="2" t="s">
        <v>10112</v>
      </c>
      <c r="B10112" s="2" t="str">
        <f>IFERROR(__xludf.DUMMYFUNCTION("GOOGLETRANSLATE(A10112, ""en"", ""mt"")"),"Meta l-Fondazzjoni Carnegie bdiet timmaniġġja statistika għall-ammissjonijiet universitarji?")</f>
        <v>Meta l-Fondazzjoni Carnegie bdiet timmaniġġja statistika għall-ammissjonijiet universitarji?</v>
      </c>
    </row>
    <row r="10113" ht="15.75" customHeight="1">
      <c r="A10113" s="2" t="s">
        <v>10113</v>
      </c>
      <c r="B10113" s="2" t="str">
        <f>IFERROR(__xludf.DUMMYFUNCTION("GOOGLETRANSLATE(A10113, ""en"", ""mt"")"),"Fuq liema kienet iffokata mill-Komunità Ewropea fis-snin 1980?")</f>
        <v>Fuq liema kienet iffokata mill-Komunità Ewropea fis-snin 1980?</v>
      </c>
    </row>
    <row r="10114" ht="15.75" customHeight="1">
      <c r="A10114" s="2" t="s">
        <v>10114</v>
      </c>
      <c r="B10114" s="2" t="str">
        <f>IFERROR(__xludf.DUMMYFUNCTION("GOOGLETRANSLATE(A10114, ""en"", ""mt"")"),"X'tip ta 'protokolli ġew żviluppati?")</f>
        <v>X'tip ta 'protokolli ġew żviluppati?</v>
      </c>
    </row>
    <row r="10115" ht="15.75" customHeight="1">
      <c r="A10115" s="2" t="s">
        <v>10115</v>
      </c>
      <c r="B10115" s="2" t="str">
        <f>IFERROR(__xludf.DUMMYFUNCTION("GOOGLETRANSLATE(A10115, ""en"", ""mt"")"),"Atti tal-Parlament Spanjol jibdew b'liema frażi?")</f>
        <v>Atti tal-Parlament Spanjol jibdew b'liema frażi?</v>
      </c>
    </row>
    <row r="10116" ht="15.75" customHeight="1">
      <c r="A10116" s="2" t="s">
        <v>10116</v>
      </c>
      <c r="B10116" s="2" t="str">
        <f>IFERROR(__xludf.DUMMYFUNCTION("GOOGLETRANSLATE(A10116, ""en"", ""mt"")"),"X’jagħmlu l-ġeoloġi biex jinvestigaw il-wiċċ?")</f>
        <v>X’jagħmlu l-ġeoloġi biex jinvestigaw il-wiċċ?</v>
      </c>
    </row>
    <row r="10117" ht="15.75" customHeight="1">
      <c r="A10117" s="2" t="s">
        <v>10117</v>
      </c>
      <c r="B10117" s="2" t="str">
        <f>IFERROR(__xludf.DUMMYFUNCTION("GOOGLETRANSLATE(A10117, ""en"", ""mt"")"),"Liema titlu ħa Henry II fil-Gżira Kanarji?")</f>
        <v>Liema titlu ħa Henry II fil-Gżira Kanarji?</v>
      </c>
    </row>
    <row r="10118" ht="15.75" customHeight="1">
      <c r="A10118" s="2" t="s">
        <v>10118</v>
      </c>
      <c r="B10118" s="2" t="str">
        <f>IFERROR(__xludf.DUMMYFUNCTION("GOOGLETRANSLATE(A10118, ""en"", ""mt"")"),"Liema belt għandha popolazzjoni ta '1,307,204?")</f>
        <v>Liema belt għandha popolazzjoni ta '1,307,204?</v>
      </c>
    </row>
    <row r="10119" ht="15.75" customHeight="1">
      <c r="A10119" s="2" t="s">
        <v>10119</v>
      </c>
      <c r="B10119" s="2" t="str">
        <f>IFERROR(__xludf.DUMMYFUNCTION("GOOGLETRANSLATE(A10119, ""en"", ""mt"")"),"Fl-analiżi Marxjana, id-ditti kapitalisti dejjem aktar jissostitwixxu tagħmir kapitali għall-inputs tax-xogħol (ħaddiema) taħt pressjoni kompetittiva biex inaqqsu l-ispejjeż u jimmassimizzaw il-profitti. Fuq medda twila ta 'żmien, din ix-xejra żżid il-kom"&amp;"pożizzjoni organika tal-kapital, u dan ifisser li inqas ħaddiema huma meħtieġa fi proporzjon għall-inputs tal-kapital, u jżidu l-qgħad (l- ""armata ta' riżerva ta 'xogħol""). Dan il-proċess jeżerċita pressjoni 'l isfel fuq il-pagi. Is-sostituzzjoni ta 'ta"&amp;"għmir kapitali għal xogħol (mekkanizzazzjoni u awtomazzjoni) tqajjem il-produttività ta' kull ħaddiem, li tirriżulta f'sitwazzjoni ta 'pagi relattivament staġnati għall-klassi tal-ħaddiema f'nofs livelli dejjem jiżdiedu ta' dħul mill-proprjetà għall-klass"&amp;"i kapitalista.")</f>
        <v>Fl-analiżi Marxjana, id-ditti kapitalisti dejjem aktar jissostitwixxu tagħmir kapitali għall-inputs tax-xogħol (ħaddiema) taħt pressjoni kompetittiva biex inaqqsu l-ispejjeż u jimmassimizzaw il-profitti. Fuq medda twila ta 'żmien, din ix-xejra żżid il-kompożizzjoni organika tal-kapital, u dan ifisser li inqas ħaddiema huma meħtieġa fi proporzjon għall-inputs tal-kapital, u jżidu l-qgħad (l- "armata ta' riżerva ta 'xogħol"). Dan il-proċess jeżerċita pressjoni 'l isfel fuq il-pagi. Is-sostituzzjoni ta 'tagħmir kapitali għal xogħol (mekkanizzazzjoni u awtomazzjoni) tqajjem il-produttività ta' kull ħaddiem, li tirriżulta f'sitwazzjoni ta 'pagi relattivament staġnati għall-klassi tal-ħaddiema f'nofs livelli dejjem jiżdiedu ta' dħul mill-proprjetà għall-klassi kapitalista.</v>
      </c>
    </row>
    <row r="10120" ht="15.75" customHeight="1">
      <c r="A10120" s="2" t="s">
        <v>10120</v>
      </c>
      <c r="B10120" s="2" t="str">
        <f>IFERROR(__xludf.DUMMYFUNCTION("GOOGLETRANSLATE(A10120, ""en"", ""mt"")"),"Riċerkaturi konservattivi argumentaw li l-inugwaljanza fid-dħul mhix sinifikanti minħabba li l-konsum, aktar milli d-dħul għandu jkun il-miżura ta 'l-inugwaljanza, u l-inugwaljanza tal-konsum hija inqas estrema mill-inugwaljanza tad-dħul fl-Istati Uniti. "&amp;"Wilkinson mill-Istitut Libertarian Cato se jiddikjara li ""l-piż tal-evidenza juri li t-tmexxija fl-inugwaljanza fil-konsum kienet konsiderevolment inqas drammatika miż-żieda fl-inugwaljanza tad-dħul,"" u l-konsum huwa iktar importanti mid-dħul. Skond Joh"&amp;"nson, Smeeding, u Tory, l-inugwaljanza fil-konsum kienet attwalment aktar baxxa fl-2001 milli kienet fl-1986. Id-dibattitu huwa mqassar f '""Il-Prosperità Moħbija tal-Fqar"" mill-ġurnalist Thomas B. Edsall. Studji oħra ma sabux inugwaljanza fil-konsum inq"&amp;"as drammatika mill-inugwaljanza fid-dħul tad-djar, u l-istudju tas-CBO sab dejta dwar il-konsum mhux ""b'mod adegwat"" li taqbad ""konsum minn djar bi dħul għoli"" bħalma jagħmel id-dħul tagħhom, għalkemm huwa jaqbel li n-numri tal-konsum tad-djar juru ak"&amp;"tar Distribuzzjoni ugwali mid-dħul tad-dar.")</f>
        <v>Riċerkaturi konservattivi argumentaw li l-inugwaljanza fid-dħul mhix sinifikanti minħabba li l-konsum, aktar milli d-dħul għandu jkun il-miżura ta 'l-inugwaljanza, u l-inugwaljanza tal-konsum hija inqas estrema mill-inugwaljanza tad-dħul fl-Istati Uniti. Wilkinson mill-Istitut Libertarian Cato se jiddikjara li "l-piż tal-evidenza juri li t-tmexxija fl-inugwaljanza fil-konsum kienet konsiderevolment inqas drammatika miż-żieda fl-inugwaljanza tad-dħul," u l-konsum huwa iktar importanti mid-dħul. Skond Johnson, Smeeding, u Tory, l-inugwaljanza fil-konsum kienet attwalment aktar baxxa fl-2001 milli kienet fl-1986. Id-dibattitu huwa mqassar f '"Il-Prosperità Moħbija tal-Fqar" mill-ġurnalist Thomas B. Edsall. Studji oħra ma sabux inugwaljanza fil-konsum inqas drammatika mill-inugwaljanza fid-dħul tad-djar, u l-istudju tas-CBO sab dejta dwar il-konsum mhux "b'mod adegwat" li taqbad "konsum minn djar bi dħul għoli" bħalma jagħmel id-dħul tagħhom, għalkemm huwa jaqbel li n-numri tal-konsum tad-djar juru aktar Distribuzzjoni ugwali mid-dħul tad-dar.</v>
      </c>
    </row>
    <row r="10121" ht="15.75" customHeight="1">
      <c r="A10121" s="2" t="s">
        <v>10121</v>
      </c>
      <c r="B10121" s="2" t="str">
        <f>IFERROR(__xludf.DUMMYFUNCTION("GOOGLETRANSLATE(A10121, ""en"", ""mt"")"),"Dak li ta lil Priestley it-talba li kienet l-ewwel skoperta ta 'ossiġnu?")</f>
        <v>Dak li ta lil Priestley it-talba li kienet l-ewwel skoperta ta 'ossiġnu?</v>
      </c>
    </row>
    <row r="10122" ht="15.75" customHeight="1">
      <c r="A10122" s="2" t="s">
        <v>10122</v>
      </c>
      <c r="B10122" s="2" t="str">
        <f>IFERROR(__xludf.DUMMYFUNCTION("GOOGLETRANSLATE(A10122, ""en"", ""mt"")"),"Typhus, ġidri u infezzjonijiet respiratorji")</f>
        <v>Typhus, ġidri u infezzjonijiet respiratorji</v>
      </c>
    </row>
    <row r="10123" ht="15.75" customHeight="1">
      <c r="A10123" s="2" t="s">
        <v>10123</v>
      </c>
      <c r="B10123" s="2" t="str">
        <f>IFERROR(__xludf.DUMMYFUNCTION("GOOGLETRANSLATE(A10123, ""en"", ""mt"")"),"Kemm kolonisti Franċiżi ntilfu mill-Ingliżi?")</f>
        <v>Kemm kolonisti Franċiżi ntilfu mill-Ingliżi?</v>
      </c>
    </row>
    <row r="10124" ht="15.75" customHeight="1">
      <c r="A10124" s="2" t="s">
        <v>10124</v>
      </c>
      <c r="B10124" s="2" t="str">
        <f>IFERROR(__xludf.DUMMYFUNCTION("GOOGLETRANSLATE(A10124, ""en"", ""mt"")"),"Politikament, ir-Rabat għandha 37 siġġu fil-Kamra tar-Rappreżentanti Awstraljana u 12-il siġġu fis-Senat Awstraljan. Fil-livell tal-istat, il-Parlament tar-Rabat jikkonsisti fl-Assemblea Leġiżlattiva (il-Kamra l-Baxxa) u l-Kunsill Leġiżlattiv (il-Kamra ta"&amp;" ’Fuq). Victoria bħalissa hija rregolata mill-Partit Laburista, ma 'Daniel Andrews il-premier attwali. Ir-rappreżentant personali tar-Reġina tal-Awstralja fl-istat huwa l-Gvernatur tar-Rabat, bħalissa Linda Dessau. Il-gvern lokali huwa kkonċentrat f'79 di"&amp;"strett muniċipali, inklużi 33 belt, għalkemm numru ta 'żoni mhux inkorporati għadhom jeżistu, li huma amministrati direttament mill-istat.")</f>
        <v>Politikament, ir-Rabat għandha 37 siġġu fil-Kamra tar-Rappreżentanti Awstraljana u 12-il siġġu fis-Senat Awstraljan. Fil-livell tal-istat, il-Parlament tar-Rabat jikkonsisti fl-Assemblea Leġiżlattiva (il-Kamra l-Baxxa) u l-Kunsill Leġiżlattiv (il-Kamra ta ’Fuq). Victoria bħalissa hija rregolata mill-Partit Laburista, ma 'Daniel Andrews il-premier attwali. Ir-rappreżentant personali tar-Reġina tal-Awstralja fl-istat huwa l-Gvernatur tar-Rabat, bħalissa Linda Dessau. Il-gvern lokali huwa kkonċentrat f'79 distrett muniċipali, inklużi 33 belt, għalkemm numru ta 'żoni mhux inkorporati għadhom jeżistu, li huma amministrati direttament mill-istat.</v>
      </c>
    </row>
    <row r="10125" ht="15.75" customHeight="1">
      <c r="A10125" s="2" t="s">
        <v>10125</v>
      </c>
      <c r="B10125" s="2" t="str">
        <f>IFERROR(__xludf.DUMMYFUNCTION("GOOGLETRANSLATE(A10125, ""en"", ""mt"")"),"X'inhuma t-tumuri tal-kanċer tal-ġilda magħrufa bħala?")</f>
        <v>X'inhuma t-tumuri tal-kanċer tal-ġilda magħrufa bħala?</v>
      </c>
    </row>
    <row r="10126" ht="15.75" customHeight="1">
      <c r="A10126" s="2" t="s">
        <v>10126</v>
      </c>
      <c r="B10126" s="2" t="str">
        <f>IFERROR(__xludf.DUMMYFUNCTION("GOOGLETRANSLATE(A10126, ""en"", ""mt"")"),"X'inhu użat minn ċerti gruppi mhux imsaħħaħ biex jiksbu politiki ta 'benefiċċju finanzjarju għalihom?")</f>
        <v>X'inhu użat minn ċerti gruppi mhux imsaħħaħ biex jiksbu politiki ta 'benefiċċju finanzjarju għalihom?</v>
      </c>
    </row>
    <row r="10127" ht="15.75" customHeight="1">
      <c r="A10127" s="2" t="s">
        <v>10127</v>
      </c>
      <c r="B10127" s="2" t="str">
        <f>IFERROR(__xludf.DUMMYFUNCTION("GOOGLETRANSLATE(A10127, ""en"", ""mt"")"),"X'qis il-Mongoli?")</f>
        <v>X'qis il-Mongoli?</v>
      </c>
    </row>
    <row r="10128" ht="15.75" customHeight="1">
      <c r="A10128" s="2" t="s">
        <v>10128</v>
      </c>
      <c r="B10128" s="2" t="str">
        <f>IFERROR(__xludf.DUMMYFUNCTION("GOOGLETRANSLATE(A10128, ""en"", ""mt"")"),"X'inhu tewmin pożittiv?")</f>
        <v>X'inhu tewmin pożittiv?</v>
      </c>
    </row>
    <row r="10129" ht="15.75" customHeight="1">
      <c r="A10129" s="2" t="s">
        <v>10129</v>
      </c>
      <c r="B10129" s="2" t="str">
        <f>IFERROR(__xludf.DUMMYFUNCTION("GOOGLETRANSLATE(A10129, ""en"", ""mt"")"),"X'inhu mistenni fejn problemi tal-komputazzjoni joffri riżultati multipli huma mistennija għal kull input?")</f>
        <v>X'inhu mistenni fejn problemi tal-komputazzjoni joffri riżultati multipli huma mistennija għal kull input?</v>
      </c>
    </row>
    <row r="10130" ht="15.75" customHeight="1">
      <c r="A10130" s="2" t="s">
        <v>10130</v>
      </c>
      <c r="B10130" s="2" t="str">
        <f>IFERROR(__xludf.DUMMYFUNCTION("GOOGLETRANSLATE(A10130, ""en"", ""mt"")"),"X’għamlu l-kimiċi Ewropej li jistgħu jintużaw fil-gwerra?")</f>
        <v>X’għamlu l-kimiċi Ewropej li jistgħu jintużaw fil-gwerra?</v>
      </c>
    </row>
    <row r="10131" ht="15.75" customHeight="1">
      <c r="A10131" s="2" t="s">
        <v>10131</v>
      </c>
      <c r="B10131" s="2" t="str">
        <f>IFERROR(__xludf.DUMMYFUNCTION("GOOGLETRANSLATE(A10131, ""en"", ""mt"")"),"Ożonu")</f>
        <v>Ożonu</v>
      </c>
    </row>
    <row r="10132" ht="15.75" customHeight="1">
      <c r="A10132" s="2" t="s">
        <v>10132</v>
      </c>
      <c r="B10132" s="2" t="str">
        <f>IFERROR(__xludf.DUMMYFUNCTION("GOOGLETRANSLATE(A10132, ""en"", ""mt"")"),"seba 'xhur")</f>
        <v>seba 'xhur</v>
      </c>
    </row>
    <row r="10133" ht="15.75" customHeight="1">
      <c r="A10133" s="2" t="s">
        <v>10133</v>
      </c>
      <c r="B10133" s="2" t="str">
        <f>IFERROR(__xludf.DUMMYFUNCTION("GOOGLETRANSLATE(A10133, ""en"", ""mt"")"),"X'inhu kwart tal-UNESCO mimli?")</f>
        <v>X'inhu kwart tal-UNESCO mimli?</v>
      </c>
    </row>
    <row r="10134" ht="15.75" customHeight="1">
      <c r="A10134" s="2" t="s">
        <v>10134</v>
      </c>
      <c r="B10134" s="2" t="str">
        <f>IFERROR(__xludf.DUMMYFUNCTION("GOOGLETRANSLATE(A10134, ""en"", ""mt"")"),"X'inhu l-pedament għar-riżultati ta 'separazzjoni fi ħdan klassijiet ta' kumplessità?")</f>
        <v>X'inhu l-pedament għar-riżultati ta 'separazzjoni fi ħdan klassijiet ta' kumplessità?</v>
      </c>
    </row>
    <row r="10135" ht="15.75" customHeight="1">
      <c r="A10135" s="2" t="s">
        <v>10135</v>
      </c>
      <c r="B10135" s="2" t="str">
        <f>IFERROR(__xludf.DUMMYFUNCTION("GOOGLETRANSLATE(A10135, ""en"", ""mt"")"),"X'kienet in-nazzjonalità ta 'Thomas Newcomen?")</f>
        <v>X'kienet in-nazzjonalità ta 'Thomas Newcomen?</v>
      </c>
    </row>
    <row r="10136" ht="15.75" customHeight="1">
      <c r="A10136" s="2" t="s">
        <v>10136</v>
      </c>
      <c r="B10136" s="2" t="str">
        <f>IFERROR(__xludf.DUMMYFUNCTION("GOOGLETRANSLATE(A10136, ""en"", ""mt"")"),"Għal xiex wassal l-użu tal-magni tal-fwar fil-biedja?")</f>
        <v>Għal xiex wassal l-użu tal-magni tal-fwar fil-biedja?</v>
      </c>
    </row>
    <row r="10137" ht="15.75" customHeight="1">
      <c r="A10137" s="2" t="s">
        <v>10137</v>
      </c>
      <c r="B10137" s="2" t="str">
        <f>IFERROR(__xludf.DUMMYFUNCTION("GOOGLETRANSLATE(A10137, ""en"", ""mt"")"),"Liema negozjati bdew l-amministrazzjonijiet ta 'Nixon?")</f>
        <v>Liema negozjati bdew l-amministrazzjonijiet ta 'Nixon?</v>
      </c>
    </row>
    <row r="10138" ht="15.75" customHeight="1">
      <c r="A10138" s="2" t="s">
        <v>10138</v>
      </c>
      <c r="B10138" s="2" t="str">
        <f>IFERROR(__xludf.DUMMYFUNCTION("GOOGLETRANSLATE(A10138, ""en"", ""mt"")"),"Kemm huwa New Paltz minn New York?")</f>
        <v>Kemm huwa New Paltz minn New York?</v>
      </c>
    </row>
    <row r="10139" ht="15.75" customHeight="1">
      <c r="A10139" s="2" t="s">
        <v>10139</v>
      </c>
      <c r="B10139" s="2" t="str">
        <f>IFERROR(__xludf.DUMMYFUNCTION("GOOGLETRANSLATE(A10139, ""en"", ""mt"")"),"~ 11,700 sena ilu")</f>
        <v>~ 11,700 sena ilu</v>
      </c>
    </row>
    <row r="10140" ht="15.75" customHeight="1">
      <c r="A10140" s="2" t="s">
        <v>10140</v>
      </c>
      <c r="B10140" s="2" t="str">
        <f>IFERROR(__xludf.DUMMYFUNCTION("GOOGLETRANSLATE(A10140, ""en"", ""mt"")"),"Bejn wieħed u ieħor kemm huwa l-baġit tal-gvern tal-istudenti?")</f>
        <v>Bejn wieħed u ieħor kemm huwa l-baġit tal-gvern tal-istudenti?</v>
      </c>
    </row>
    <row r="10141" ht="15.75" customHeight="1">
      <c r="A10141" s="2" t="s">
        <v>10141</v>
      </c>
      <c r="B10141" s="2" t="str">
        <f>IFERROR(__xludf.DUMMYFUNCTION("GOOGLETRANSLATE(A10141, ""en"", ""mt"")"),"F’liema sena twieldet il-politikant Svizzeru Besancon Hugues?")</f>
        <v>F’liema sena twieldet il-politikant Svizzeru Besancon Hugues?</v>
      </c>
    </row>
    <row r="10142" ht="15.75" customHeight="1">
      <c r="A10142" s="2" t="s">
        <v>10142</v>
      </c>
      <c r="B10142" s="2" t="str">
        <f>IFERROR(__xludf.DUMMYFUNCTION("GOOGLETRANSLATE(A10142, ""en"", ""mt"")"),"Y. Pestis kien l-aġent kawżattiv tal-pesta epidemika li qered l-Ewropa matul il-Medju Evu")</f>
        <v>Y. Pestis kien l-aġent kawżattiv tal-pesta epidemika li qered l-Ewropa matul il-Medju Evu</v>
      </c>
    </row>
    <row r="10143" ht="15.75" customHeight="1">
      <c r="A10143" s="2" t="s">
        <v>10143</v>
      </c>
      <c r="B10143" s="2" t="str">
        <f>IFERROR(__xludf.DUMMYFUNCTION("GOOGLETRANSLATE(A10143, ""en"", ""mt"")"),"Diversi kuntratturi D&amp;B")</f>
        <v>Diversi kuntratturi D&amp;B</v>
      </c>
    </row>
    <row r="10144" ht="15.75" customHeight="1">
      <c r="A10144" s="2" t="s">
        <v>10144</v>
      </c>
      <c r="B10144" s="2" t="str">
        <f>IFERROR(__xludf.DUMMYFUNCTION("GOOGLETRANSLATE(A10144, ""en"", ""mt"")"),"Istitut Milton Friedman")</f>
        <v>Istitut Milton Friedman</v>
      </c>
    </row>
    <row r="10145" ht="15.75" customHeight="1">
      <c r="A10145" s="2" t="s">
        <v>10145</v>
      </c>
      <c r="B10145" s="2" t="str">
        <f>IFERROR(__xludf.DUMMYFUNCTION("GOOGLETRANSLATE(A10145, ""en"", ""mt"")"),"Skond l-AAA, x'inhu l-persentaġġ tal-pompi tal-gass li spiċċaw mill-petrol?")</f>
        <v>Skond l-AAA, x'inhu l-persentaġġ tal-pompi tal-gass li spiċċaw mill-petrol?</v>
      </c>
    </row>
    <row r="10146" ht="15.75" customHeight="1">
      <c r="A10146" s="2" t="s">
        <v>10146</v>
      </c>
      <c r="B10146" s="2" t="str">
        <f>IFERROR(__xludf.DUMMYFUNCTION("GOOGLETRANSLATE(A10146, ""en"", ""mt"")"),"Fuq xiex m'għadx hemm limitazzjonijiet mill-1945?")</f>
        <v>Fuq xiex m'għadx hemm limitazzjonijiet mill-1945?</v>
      </c>
    </row>
    <row r="10147" ht="15.75" customHeight="1">
      <c r="A10147" s="2" t="s">
        <v>10147</v>
      </c>
      <c r="B10147" s="2" t="str">
        <f>IFERROR(__xludf.DUMMYFUNCTION("GOOGLETRANSLATE(A10147, ""en"", ""mt"")"),"Permezz tar-Renju tal-Qocho u l-Intermedjarji Tibetani")</f>
        <v>Permezz tar-Renju tal-Qocho u l-Intermedjarji Tibetani</v>
      </c>
    </row>
    <row r="10148" ht="15.75" customHeight="1">
      <c r="A10148" s="2" t="s">
        <v>10148</v>
      </c>
      <c r="B10148" s="2" t="str">
        <f>IFERROR(__xludf.DUMMYFUNCTION("GOOGLETRANSLATE(A10148, ""en"", ""mt"")"),"(tip ta '""avvelenament mid-demm""")</f>
        <v>(tip ta '"avvelenament mid-demm"</v>
      </c>
    </row>
    <row r="10149" ht="15.75" customHeight="1">
      <c r="A10149" s="2" t="s">
        <v>10149</v>
      </c>
      <c r="B10149" s="2" t="str">
        <f>IFERROR(__xludf.DUMMYFUNCTION("GOOGLETRANSLATE(A10149, ""en"", ""mt"")"),"Ċittadinanza")</f>
        <v>Ċittadinanza</v>
      </c>
    </row>
    <row r="10150" ht="15.75" customHeight="1">
      <c r="A10150" s="2" t="s">
        <v>10150</v>
      </c>
      <c r="B10150" s="2" t="str">
        <f>IFERROR(__xludf.DUMMYFUNCTION("GOOGLETRANSLATE(A10150, ""en"", ""mt"")"),"Liema kwistjonijiet ma jistgħux jipprevjenu lin-nisa milli jaħdmu barra d-dar jew jirċievu edukazzjoni?")</f>
        <v>Liema kwistjonijiet ma jistgħux jipprevjenu lin-nisa milli jaħdmu barra d-dar jew jirċievu edukazzjoni?</v>
      </c>
    </row>
    <row r="10151" ht="15.75" customHeight="1">
      <c r="A10151" s="2" t="s">
        <v>10151</v>
      </c>
      <c r="B10151" s="2" t="str">
        <f>IFERROR(__xludf.DUMMYFUNCTION("GOOGLETRANSLATE(A10151, ""en"", ""mt"")"),"Glacier")</f>
        <v>Glacier</v>
      </c>
    </row>
    <row r="10152" ht="15.75" customHeight="1">
      <c r="A10152" s="2" t="s">
        <v>10152</v>
      </c>
      <c r="B10152" s="2" t="str">
        <f>IFERROR(__xludf.DUMMYFUNCTION("GOOGLETRANSLATE(A10152, ""en"", ""mt"")"),"Il-kuntrattur medju mikri kemm impjegati?")</f>
        <v>Il-kuntrattur medju mikri kemm impjegati?</v>
      </c>
    </row>
    <row r="10153" ht="15.75" customHeight="1">
      <c r="A10153" s="2" t="s">
        <v>10153</v>
      </c>
      <c r="B10153" s="2" t="str">
        <f>IFERROR(__xludf.DUMMYFUNCTION("GOOGLETRANSLATE(A10153, ""en"", ""mt"")"),"Kif tista 'tissolva l-problema B ta' deċiżjoni fil-ħin x (f)?")</f>
        <v>Kif tista 'tissolva l-problema B ta' deċiżjoni fil-ħin x (f)?</v>
      </c>
    </row>
    <row r="10154" ht="15.75" customHeight="1">
      <c r="A10154" s="2" t="s">
        <v>10154</v>
      </c>
      <c r="B10154" s="2" t="str">
        <f>IFERROR(__xludf.DUMMYFUNCTION("GOOGLETRANSLATE(A10154, ""en"", ""mt"")"),"X'inhu l-punent tan-naħa tal-punent?")</f>
        <v>X'inhu l-punent tan-naħa tal-punent?</v>
      </c>
    </row>
    <row r="10155" ht="15.75" customHeight="1">
      <c r="A10155" s="2" t="s">
        <v>10155</v>
      </c>
      <c r="B10155" s="2" t="str">
        <f>IFERROR(__xludf.DUMMYFUNCTION("GOOGLETRANSLATE(A10155, ""en"", ""mt"")"),"X'inhi deskrizzjoni ta 'kuntratt ta' kumpanija assoċjata?")</f>
        <v>X'inhi deskrizzjoni ta 'kuntratt ta' kumpanija assoċjata?</v>
      </c>
    </row>
    <row r="10156" ht="15.75" customHeight="1">
      <c r="A10156" s="2" t="s">
        <v>10156</v>
      </c>
      <c r="B10156" s="2" t="str">
        <f>IFERROR(__xludf.DUMMYFUNCTION("GOOGLETRANSLATE(A10156, ""en"", ""mt"")"),"Għal xiex janalizzaw il-ġeokronoloġisti mill-qlub tat-tħaffir?")</f>
        <v>Għal xiex janalizzaw il-ġeokronoloġisti mill-qlub tat-tħaffir?</v>
      </c>
    </row>
    <row r="10157" ht="15.75" customHeight="1">
      <c r="A10157" s="2" t="s">
        <v>10157</v>
      </c>
      <c r="B10157" s="2" t="str">
        <f>IFERROR(__xludf.DUMMYFUNCTION("GOOGLETRANSLATE(A10157, ""en"", ""mt"")"),"X’")</f>
        <v>X’</v>
      </c>
    </row>
    <row r="10158" ht="15.75" customHeight="1">
      <c r="A10158" s="2" t="s">
        <v>10158</v>
      </c>
      <c r="B10158" s="2" t="str">
        <f>IFERROR(__xludf.DUMMYFUNCTION("GOOGLETRANSLATE(A10158, ""en"", ""mt"")"),"430 QK.")</f>
        <v>430 QK.</v>
      </c>
    </row>
    <row r="10159" ht="15.75" customHeight="1">
      <c r="A10159" s="2" t="s">
        <v>10159</v>
      </c>
      <c r="B10159" s="2" t="str">
        <f>IFERROR(__xludf.DUMMYFUNCTION("GOOGLETRANSLATE(A10159, ""en"", ""mt"")"),"Meta kienet il-politika Russa ""indiġenizzazzjoni""?")</f>
        <v>Meta kienet il-politika Russa "indiġenizzazzjoni"?</v>
      </c>
    </row>
    <row r="10160" ht="15.75" customHeight="1">
      <c r="A10160" s="2" t="s">
        <v>10160</v>
      </c>
      <c r="B10160" s="2" t="str">
        <f>IFERROR(__xludf.DUMMYFUNCTION("GOOGLETRANSLATE(A10160, ""en"", ""mt"")"),"X'jaħsbu numru ta 'riċerkaturi li nuqqas ta' mhux ikkawżat parzjalment mill-inugwaljanza tad-dħul?")</f>
        <v>X'jaħsbu numru ta 'riċerkaturi li nuqqas ta' mhux ikkawżat parzjalment mill-inugwaljanza tad-dħul?</v>
      </c>
    </row>
    <row r="10161" ht="15.75" customHeight="1">
      <c r="A10161" s="2" t="s">
        <v>10161</v>
      </c>
      <c r="B10161" s="2" t="str">
        <f>IFERROR(__xludf.DUMMYFUNCTION("GOOGLETRANSLATE(A10161, ""en"", ""mt"")"),"Meta l-membri jivvutaw tal-forma tal-bidu tal-abbozz?")</f>
        <v>Meta l-membri jivvutaw tal-forma tal-bidu tal-abbozz?</v>
      </c>
    </row>
    <row r="10162" ht="15.75" customHeight="1">
      <c r="A10162" s="2" t="s">
        <v>10162</v>
      </c>
      <c r="B10162" s="2" t="str">
        <f>IFERROR(__xludf.DUMMYFUNCTION("GOOGLETRANSLATE(A10162, ""en"", ""mt"")"),"Y. Pestis")</f>
        <v>Y. Pestis</v>
      </c>
    </row>
    <row r="10163" ht="15.75" customHeight="1">
      <c r="A10163" s="2" t="s">
        <v>10163</v>
      </c>
      <c r="B10163" s="2" t="str">
        <f>IFERROR(__xludf.DUMMYFUNCTION("GOOGLETRANSLATE(A10163, ""en"", ""mt"")"),"Liema sustanza tintuża biex tagħmel O2 likwidu ta 'kwalità għolja?")</f>
        <v>Liema sustanza tintuża biex tagħmel O2 likwidu ta 'kwalità għolja?</v>
      </c>
    </row>
    <row r="10164" ht="15.75" customHeight="1">
      <c r="A10164" s="2" t="s">
        <v>10164</v>
      </c>
      <c r="B10164" s="2" t="str">
        <f>IFERROR(__xludf.DUMMYFUNCTION("GOOGLETRANSLATE(A10164, ""en"", ""mt"")"),"Liema sena ġie ffirmat it-Trattat Maastricht?")</f>
        <v>Liema sena ġie ffirmat it-Trattat Maastricht?</v>
      </c>
    </row>
    <row r="10165" ht="15.75" customHeight="1">
      <c r="A10165" s="2" t="s">
        <v>10165</v>
      </c>
      <c r="B10165" s="2" t="str">
        <f>IFERROR(__xludf.DUMMYFUNCTION("GOOGLETRANSLATE(A10165, ""en"", ""mt"")"),"F'liema grupp ta 'komposti huwa l-ossiġnu parti meħtieġa?")</f>
        <v>F'liema grupp ta 'komposti huwa l-ossiġnu parti meħtieġa?</v>
      </c>
    </row>
    <row r="10166" ht="15.75" customHeight="1">
      <c r="A10166" s="2" t="s">
        <v>10166</v>
      </c>
      <c r="B10166" s="2" t="str">
        <f>IFERROR(__xludf.DUMMYFUNCTION("GOOGLETRANSLATE(A10166, ""en"", ""mt"")"),"matriċi")</f>
        <v>matriċi</v>
      </c>
    </row>
    <row r="10167" ht="15.75" customHeight="1">
      <c r="A10167" s="2" t="s">
        <v>10167</v>
      </c>
      <c r="B10167" s="2" t="str">
        <f>IFERROR(__xludf.DUMMYFUNCTION("GOOGLETRANSLATE(A10167, ""en"", ""mt"")"),"Trattat ta 'Logstown")</f>
        <v>Trattat ta 'Logstown</v>
      </c>
    </row>
    <row r="10168" ht="15.75" customHeight="1">
      <c r="A10168" s="2" t="s">
        <v>10168</v>
      </c>
      <c r="B10168" s="2" t="str">
        <f>IFERROR(__xludf.DUMMYFUNCTION("GOOGLETRANSLATE(A10168, ""en"", ""mt"")"),"Kieku 1 kellu jiġi kkunsidrat bħala Prime x'jista 'jrendi l-passatur ta' Eratosthenes għan-numri l-oħra kollha?")</f>
        <v>Kieku 1 kellu jiġi kkunsidrat bħala Prime x'jista 'jrendi l-passatur ta' Eratosthenes għan-numri l-oħra kollha?</v>
      </c>
    </row>
    <row r="10169" ht="15.75" customHeight="1">
      <c r="A10169" s="2" t="s">
        <v>10169</v>
      </c>
      <c r="B10169" s="2" t="str">
        <f>IFERROR(__xludf.DUMMYFUNCTION("GOOGLETRANSLATE(A10169, ""en"", ""mt"")"),"Meta ġie introdott il-kejl tar-Rhine?")</f>
        <v>Meta ġie introdott il-kejl tar-Rhine?</v>
      </c>
    </row>
    <row r="10170" ht="15.75" customHeight="1">
      <c r="A10170" s="2" t="s">
        <v>10170</v>
      </c>
      <c r="B10170" s="2" t="str">
        <f>IFERROR(__xludf.DUMMYFUNCTION("GOOGLETRANSLATE(A10170, ""en"", ""mt"")"),"Laszlo Babai u Eugene Luks")</f>
        <v>Laszlo Babai u Eugene Luks</v>
      </c>
    </row>
    <row r="10171" ht="15.75" customHeight="1">
      <c r="A10171" s="2" t="s">
        <v>10171</v>
      </c>
      <c r="B10171" s="2" t="str">
        <f>IFERROR(__xludf.DUMMYFUNCTION("GOOGLETRANSLATE(A10171, ""en"", ""mt"")"),"tista 'tipproduċi kemm bajd kif ukoll sperma, fis-sens li tista' fertilize l-bajda tagħha stess")</f>
        <v>tista 'tipproduċi kemm bajd kif ukoll sperma, fis-sens li tista' fertilize l-bajda tagħha stess</v>
      </c>
    </row>
    <row r="10172" ht="15.75" customHeight="1">
      <c r="A10172" s="2" t="s">
        <v>10172</v>
      </c>
      <c r="B10172" s="2" t="str">
        <f>IFERROR(__xludf.DUMMYFUNCTION("GOOGLETRANSLATE(A10172, ""en"", ""mt"")"),"sjieda ta 'industriji privati")</f>
        <v>sjieda ta 'industriji privati</v>
      </c>
    </row>
    <row r="10173" ht="15.75" customHeight="1">
      <c r="A10173" s="2" t="s">
        <v>10173</v>
      </c>
      <c r="B10173" s="2" t="str">
        <f>IFERROR(__xludf.DUMMYFUNCTION("GOOGLETRANSLATE(A10173, ""en"", ""mt"")"),"F'liema sena r-residenti ta 'Bagdad l-ewwel ġew affettwati mill-pesta?")</f>
        <v>F'liema sena r-residenti ta 'Bagdad l-ewwel ġew affettwati mill-pesta?</v>
      </c>
    </row>
    <row r="10174" ht="15.75" customHeight="1">
      <c r="A10174" s="2" t="s">
        <v>10174</v>
      </c>
      <c r="B10174" s="2" t="str">
        <f>IFERROR(__xludf.DUMMYFUNCTION("GOOGLETRANSLATE(A10174, ""en"", ""mt"")"),"X’kienet il-ferrovija l-ġdida fir-Rabat grillu?")</f>
        <v>X’kienet il-ferrovija l-ġdida fir-Rabat grillu?</v>
      </c>
    </row>
    <row r="10175" ht="15.75" customHeight="1">
      <c r="A10175" s="2" t="s">
        <v>10175</v>
      </c>
      <c r="B10175" s="2" t="str">
        <f>IFERROR(__xludf.DUMMYFUNCTION("GOOGLETRANSLATE(A10175, ""en"", ""mt"")"),"Supplimentazzjoni ta 'ossiġnu")</f>
        <v>Supplimentazzjoni ta 'ossiġnu</v>
      </c>
    </row>
    <row r="10176" ht="15.75" customHeight="1">
      <c r="A10176" s="2" t="s">
        <v>10176</v>
      </c>
      <c r="B10176" s="2" t="str">
        <f>IFERROR(__xludf.DUMMYFUNCTION("GOOGLETRANSLATE(A10176, ""en"", ""mt"")"),"X'tipi ta 'aċċess ipprovdiet Telstra?")</f>
        <v>X'tipi ta 'aċċess ipprovdiet Telstra?</v>
      </c>
    </row>
    <row r="10177" ht="15.75" customHeight="1">
      <c r="A10177" s="2" t="s">
        <v>10177</v>
      </c>
      <c r="B10177" s="2" t="str">
        <f>IFERROR(__xludf.DUMMYFUNCTION("GOOGLETRANSLATE(A10177, ""en"", ""mt"")"),"P mhuwiex fattur ewlieni ta 'q.")</f>
        <v>P mhuwiex fattur ewlieni ta 'q.</v>
      </c>
    </row>
    <row r="10178" ht="15.75" customHeight="1">
      <c r="A10178" s="2" t="s">
        <v>10178</v>
      </c>
      <c r="B10178" s="2" t="str">
        <f>IFERROR(__xludf.DUMMYFUNCTION("GOOGLETRANSLATE(A10178, ""en"", ""mt"")"),"Kemm hi farmaċija waħda fil-Kroazja?")</f>
        <v>Kemm hi farmaċija waħda fil-Kroazja?</v>
      </c>
    </row>
    <row r="10179" ht="15.75" customHeight="1">
      <c r="A10179" s="2" t="s">
        <v>10179</v>
      </c>
      <c r="B10179" s="2" t="str">
        <f>IFERROR(__xludf.DUMMYFUNCTION("GOOGLETRANSLATE(A10179, ""en"", ""mt"")"),"Il-fertilizzazzjoni hija interna jew eżeterna fil-biċċa l-kbira tal-ispeċi?")</f>
        <v>Il-fertilizzazzjoni hija interna jew eżeterna fil-biċċa l-kbira tal-ispeċi?</v>
      </c>
    </row>
    <row r="10180" ht="15.75" customHeight="1">
      <c r="A10180" s="2" t="s">
        <v>10180</v>
      </c>
      <c r="B10180" s="2" t="str">
        <f>IFERROR(__xludf.DUMMYFUNCTION("GOOGLETRANSLATE(A10180, ""en"", ""mt"")"),"Galileo")</f>
        <v>Galileo</v>
      </c>
    </row>
    <row r="10181" ht="15.75" customHeight="1">
      <c r="A10181" s="2" t="s">
        <v>10181</v>
      </c>
      <c r="B10181" s="2" t="str">
        <f>IFERROR(__xludf.DUMMYFUNCTION("GOOGLETRANSLATE(A10181, ""en"", ""mt"")"),"Renu Nofsani")</f>
        <v>Renu Nofsani</v>
      </c>
    </row>
    <row r="10182" ht="15.75" customHeight="1">
      <c r="A10182" s="2" t="s">
        <v>10182</v>
      </c>
      <c r="B10182" s="2" t="str">
        <f>IFERROR(__xludf.DUMMYFUNCTION("GOOGLETRANSLATE(A10182, ""en"", ""mt"")"),"F'liema sena Edmund Bohun tal-linja ta 'royalties Franċiżi Humphrey de Bohun imxi lejn l-Amerika ta' Fuq?")</f>
        <v>F'liema sena Edmund Bohun tal-linja ta 'royalties Franċiżi Humphrey de Bohun imxi lejn l-Amerika ta' Fuq?</v>
      </c>
    </row>
    <row r="10183" ht="15.75" customHeight="1">
      <c r="A10183" s="2" t="s">
        <v>10183</v>
      </c>
      <c r="B10183" s="2" t="str">
        <f>IFERROR(__xludf.DUMMYFUNCTION("GOOGLETRANSLATE(A10183, ""en"", ""mt"")"),"Temperaturi globali aktar baxxi")</f>
        <v>Temperaturi globali aktar baxxi</v>
      </c>
    </row>
    <row r="10184" ht="15.75" customHeight="1">
      <c r="A10184" s="2" t="s">
        <v>10184</v>
      </c>
      <c r="B10184" s="2" t="str">
        <f>IFERROR(__xludf.DUMMYFUNCTION("GOOGLETRANSLATE(A10184, ""en"", ""mt"")"),"Min qal li l-investigazzjoni ta 'Barton kienet ""żbaljata u illeġittima""?")</f>
        <v>Min qal li l-investigazzjoni ta 'Barton kienet "żbaljata u illeġittima"?</v>
      </c>
    </row>
    <row r="10185" ht="15.75" customHeight="1">
      <c r="A10185" s="2" t="s">
        <v>10185</v>
      </c>
      <c r="B10185" s="2" t="str">
        <f>IFERROR(__xludf.DUMMYFUNCTION("GOOGLETRANSLATE(A10185, ""en"", ""mt"")"),"Nitkellmu ma 'investigaturi kriminali")</f>
        <v>Nitkellmu ma 'investigaturi kriminali</v>
      </c>
    </row>
    <row r="10186" ht="15.75" customHeight="1">
      <c r="A10186" s="2" t="s">
        <v>10186</v>
      </c>
      <c r="B10186" s="2" t="str">
        <f>IFERROR(__xludf.DUMMYFUNCTION("GOOGLETRANSLATE(A10186, ""en"", ""mt"")"),"X'inhu l-iktar algoritmu magħruf assoċjat mal-problema ta 'fatturizzazzjoni sħiħa?")</f>
        <v>X'inhu l-iktar algoritmu magħruf assoċjat mal-problema ta 'fatturizzazzjoni sħiħa?</v>
      </c>
    </row>
    <row r="10187" ht="15.75" customHeight="1">
      <c r="A10187" s="2" t="s">
        <v>10187</v>
      </c>
      <c r="B10187" s="2" t="str">
        <f>IFERROR(__xludf.DUMMYFUNCTION("GOOGLETRANSLATE(A10187, ""en"", ""mt"")"),"X'inhi d-definizzjoni ta 'aġenzija kif għandha x'taqsam mal-kapaċitajiet?")</f>
        <v>X'inhi d-definizzjoni ta 'aġenzija kif għandha x'taqsam mal-kapaċitajiet?</v>
      </c>
    </row>
    <row r="10188" ht="15.75" customHeight="1">
      <c r="A10188" s="2" t="s">
        <v>10188</v>
      </c>
      <c r="B10188" s="2" t="str">
        <f>IFERROR(__xludf.DUMMYFUNCTION("GOOGLETRANSLATE(A10188, ""en"", ""mt"")"),"Min alleat fil-Gwerra Franċiża u Indjana?")</f>
        <v>Min alleat fil-Gwerra Franċiża u Indjana?</v>
      </c>
    </row>
    <row r="10189" ht="15.75" customHeight="1">
      <c r="A10189" s="2" t="s">
        <v>10189</v>
      </c>
      <c r="B10189" s="2" t="str">
        <f>IFERROR(__xludf.DUMMYFUNCTION("GOOGLETRANSLATE(A10189, ""en"", ""mt"")"),"Nuda")</f>
        <v>Nuda</v>
      </c>
    </row>
    <row r="10190" ht="15.75" customHeight="1">
      <c r="A10190" s="2" t="s">
        <v>10190</v>
      </c>
      <c r="B10190" s="2" t="str">
        <f>IFERROR(__xludf.DUMMYFUNCTION("GOOGLETRANSLATE(A10190, ""en"", ""mt"")"),"ħruq ta 'materjali kombustibbli")</f>
        <v>ħruq ta 'materjali kombustibbli</v>
      </c>
    </row>
    <row r="10191" ht="15.75" customHeight="1">
      <c r="A10191" s="2" t="s">
        <v>10191</v>
      </c>
      <c r="B10191" s="2" t="str">
        <f>IFERROR(__xludf.DUMMYFUNCTION("GOOGLETRANSLATE(A10191, ""en"", ""mt"")"),"injam")</f>
        <v>injam</v>
      </c>
    </row>
    <row r="10192" ht="15.75" customHeight="1">
      <c r="A10192" s="2" t="s">
        <v>10192</v>
      </c>
      <c r="B10192" s="2" t="str">
        <f>IFERROR(__xludf.DUMMYFUNCTION("GOOGLETRANSLATE(A10192, ""en"", ""mt"")")," Min ma kienx charter il-Kumpanija Ingliża tal-Indja tal-Lvant?")</f>
        <v> Min ma kienx charter il-Kumpanija Ingliża tal-Indja tal-Lvant?</v>
      </c>
    </row>
    <row r="10193" ht="15.75" customHeight="1">
      <c r="A10193" s="2" t="s">
        <v>10193</v>
      </c>
      <c r="B10193" s="2" t="str">
        <f>IFERROR(__xludf.DUMMYFUNCTION("GOOGLETRANSLATE(A10193, ""en"", ""mt"")"),"Il-lingwa formali assoċjata ma 'din il-problema ta' deċiżjoni")</f>
        <v>Il-lingwa formali assoċjata ma 'din il-problema ta' deċiżjoni</v>
      </c>
    </row>
    <row r="10194" ht="15.75" customHeight="1">
      <c r="A10194" s="2" t="s">
        <v>10194</v>
      </c>
      <c r="B10194" s="2" t="str">
        <f>IFERROR(__xludf.DUMMYFUNCTION("GOOGLETRANSLATE(A10194, ""en"", ""mt"")"),"Fejn huwa improbabbli li l-ewwel sistema immunitarja ta 'l-ewwel komponent, inħolqot?")</f>
        <v>Fejn huwa improbabbli li l-ewwel sistema immunitarja ta 'l-ewwel komponent, inħolqot?</v>
      </c>
    </row>
    <row r="10195" ht="15.75" customHeight="1">
      <c r="A10195" s="2" t="s">
        <v>10195</v>
      </c>
      <c r="B10195" s="2" t="str">
        <f>IFERROR(__xludf.DUMMYFUNCTION("GOOGLETRANSLATE(A10195, ""en"", ""mt"")"),"X'tip ta 'forzi jaġixxu fuq distanzi twal ħafna?")</f>
        <v>X'tip ta 'forzi jaġixxu fuq distanzi twal ħafna?</v>
      </c>
    </row>
    <row r="10196" ht="15.75" customHeight="1">
      <c r="A10196" s="2" t="s">
        <v>10196</v>
      </c>
      <c r="B10196" s="2" t="str">
        <f>IFERROR(__xludf.DUMMYFUNCTION("GOOGLETRANSLATE(A10196, ""en"", ""mt"")"),"X'inhu l-iżgħar nazzjon li jgħaddi r-Renu?")</f>
        <v>X'inhu l-iżgħar nazzjon li jgħaddi r-Renu?</v>
      </c>
    </row>
    <row r="10197" ht="15.75" customHeight="1">
      <c r="A10197" s="2" t="s">
        <v>10197</v>
      </c>
      <c r="B10197" s="2" t="str">
        <f>IFERROR(__xludf.DUMMYFUNCTION("GOOGLETRANSLATE(A10197, ""en"", ""mt"")"),"Liema strument jintuża biex jeżamina l-prestazzjoni tal-magna tal-fwar?")</f>
        <v>Liema strument jintuża biex jeżamina l-prestazzjoni tal-magna tal-fwar?</v>
      </c>
    </row>
    <row r="10198" ht="15.75" customHeight="1">
      <c r="A10198" s="2" t="s">
        <v>10198</v>
      </c>
      <c r="B10198" s="2" t="str">
        <f>IFERROR(__xludf.DUMMYFUNCTION("GOOGLETRANSLATE(A10198, ""en"", ""mt"")"),"Meta twaqqfet l-FIS?")</f>
        <v>Meta twaqqfet l-FIS?</v>
      </c>
    </row>
    <row r="10199" ht="15.75" customHeight="1">
      <c r="A10199" s="2" t="s">
        <v>10199</v>
      </c>
      <c r="B10199" s="2" t="str">
        <f>IFERROR(__xludf.DUMMYFUNCTION("GOOGLETRANSLATE(A10199, ""en"", ""mt"")"),"Koordinazzjoni ta 'awturi ewlenin")</f>
        <v>Koordinazzjoni ta 'awturi ewlenin</v>
      </c>
    </row>
    <row r="10200" ht="15.75" customHeight="1">
      <c r="A10200" s="2" t="s">
        <v>10200</v>
      </c>
      <c r="B10200" s="2" t="str">
        <f>IFERROR(__xludf.DUMMYFUNCTION("GOOGLETRANSLATE(A10200, ""en"", ""mt"")"),"Kemm-il darba l-California tan-Nofsinhar ippruvat tikseb stat separat?")</f>
        <v>Kemm-il darba l-California tan-Nofsinhar ippruvat tikseb stat separat?</v>
      </c>
    </row>
    <row r="10201" ht="15.75" customHeight="1">
      <c r="A10201" s="2" t="s">
        <v>10201</v>
      </c>
      <c r="B10201" s="2" t="str">
        <f>IFERROR(__xludf.DUMMYFUNCTION("GOOGLETRANSLATE(A10201, ""en"", ""mt"")"),"In-Nofsinhar ta ’California fiha klima Mediterranja, b’xi xita mhux frekwenti u ħafna ġranet xemxija. Is-Sjuf huma sħan u niexfa, filwaqt li x-xtiewi huma daqsxejn sħan jew ħfief u mxarrbin. Xita serja tista 'sseħħ mhux tas-soltu. Fis-sjuf, il-firxiet tat"&amp;"-temperatura huma 90-60's waqt li x-xtiewi huma 70-50's, ġeneralment in-Nofsinhar ta 'California għandhom klima Mediterranja. Iżda s-silġ huwa rari ħafna fil-Lbiċ ta 'l-Istat, dan iseħħ fix-Xlokk ta' l-Istat.")</f>
        <v>In-Nofsinhar ta ’California fiha klima Mediterranja, b’xi xita mhux frekwenti u ħafna ġranet xemxija. Is-Sjuf huma sħan u niexfa, filwaqt li x-xtiewi huma daqsxejn sħan jew ħfief u mxarrbin. Xita serja tista 'sseħħ mhux tas-soltu. Fis-sjuf, il-firxiet tat-temperatura huma 90-60's waqt li x-xtiewi huma 70-50's, ġeneralment in-Nofsinhar ta 'California għandhom klima Mediterranja. Iżda s-silġ huwa rari ħafna fil-Lbiċ ta 'l-Istat, dan iseħħ fix-Xlokk ta' l-Istat.</v>
      </c>
    </row>
    <row r="10202" ht="15.75" customHeight="1">
      <c r="A10202" s="2" t="s">
        <v>10202</v>
      </c>
      <c r="B10202" s="2" t="str">
        <f>IFERROR(__xludf.DUMMYFUNCTION("GOOGLETRANSLATE(A10202, ""en"", ""mt"")"),"X'jiġri f'unitajiet tal-blat taħt pressjoni vertikali?")</f>
        <v>X'jiġri f'unitajiet tal-blat taħt pressjoni vertikali?</v>
      </c>
    </row>
    <row r="10203" ht="15.75" customHeight="1">
      <c r="A10203" s="2" t="s">
        <v>10203</v>
      </c>
      <c r="B10203" s="2" t="str">
        <f>IFERROR(__xludf.DUMMYFUNCTION("GOOGLETRANSLATE(A10203, ""en"", ""mt"")"),"ħażin")</f>
        <v>ħażin</v>
      </c>
    </row>
    <row r="10204" ht="15.75" customHeight="1">
      <c r="A10204" s="2" t="s">
        <v>10204</v>
      </c>
      <c r="B10204" s="2" t="str">
        <f>IFERROR(__xludf.DUMMYFUNCTION("GOOGLETRANSLATE(A10204, ""en"", ""mt"")"),"""Jacksonvillians"" jew ""Jaxsons""")</f>
        <v>"Jacksonvillians" jew "Jaxsons"</v>
      </c>
    </row>
    <row r="10205" ht="15.75" customHeight="1">
      <c r="A10205" s="2" t="s">
        <v>10205</v>
      </c>
      <c r="B10205" s="2" t="str">
        <f>IFERROR(__xludf.DUMMYFUNCTION("GOOGLETRANSLATE(A10205, ""en"", ""mt"")"),"X'tip ta 'partiċelli tas-sediment hemm?")</f>
        <v>X'tip ta 'partiċelli tas-sediment hemm?</v>
      </c>
    </row>
    <row r="10206" ht="15.75" customHeight="1">
      <c r="A10206" s="2" t="s">
        <v>10206</v>
      </c>
      <c r="B10206" s="2" t="str">
        <f>IFERROR(__xludf.DUMMYFUNCTION("GOOGLETRANSLATE(A10206, ""en"", ""mt"")"),"Fejn kien jinsab l-ewwel korsa taż-żwiemel?")</f>
        <v>Fejn kien jinsab l-ewwel korsa taż-żwiemel?</v>
      </c>
    </row>
    <row r="10207" ht="15.75" customHeight="1">
      <c r="A10207" s="2" t="s">
        <v>10207</v>
      </c>
      <c r="B10207" s="2" t="str">
        <f>IFERROR(__xludf.DUMMYFUNCTION("GOOGLETRANSLATE(A10207, ""en"", ""mt"")"),"Meta kien hemm tentattiv biex tirriforma l-liġi tal-UE?")</f>
        <v>Meta kien hemm tentattiv biex tirriforma l-liġi tal-UE?</v>
      </c>
    </row>
    <row r="10208" ht="15.75" customHeight="1">
      <c r="A10208" s="2" t="s">
        <v>10208</v>
      </c>
      <c r="B10208" s="2" t="str">
        <f>IFERROR(__xludf.DUMMYFUNCTION("GOOGLETRANSLATE(A10208, ""en"", ""mt"")"),"X'inhu l-iktar qasam li qed jikber malajr fl-industrija farmaċewtika?")</f>
        <v>X'inhu l-iktar qasam li qed jikber malajr fl-industrija farmaċewtika?</v>
      </c>
    </row>
    <row r="10209" ht="15.75" customHeight="1">
      <c r="A10209" s="2" t="s">
        <v>10209</v>
      </c>
      <c r="B10209" s="2" t="str">
        <f>IFERROR(__xludf.DUMMYFUNCTION("GOOGLETRANSLATE(A10209, ""en"", ""mt"")"),"kollha fi ftit mijiet ta 'piedi minn xulxin")</f>
        <v>kollha fi ftit mijiet ta 'piedi minn xulxin</v>
      </c>
    </row>
    <row r="10210" ht="15.75" customHeight="1">
      <c r="A10210" s="2" t="s">
        <v>10210</v>
      </c>
      <c r="B10210" s="2" t="str">
        <f>IFERROR(__xludf.DUMMYFUNCTION("GOOGLETRANSLATE(A10210, ""en"", ""mt"")"),"Bħala somma konnessa ta 'għoqiedi ewlenin")</f>
        <v>Bħala somma konnessa ta 'għoqiedi ewlenin</v>
      </c>
    </row>
    <row r="10211" ht="15.75" customHeight="1">
      <c r="A10211" s="2" t="s">
        <v>10211</v>
      </c>
      <c r="B10211" s="2" t="str">
        <f>IFERROR(__xludf.DUMMYFUNCTION("GOOGLETRANSLATE(A10211, ""en"", ""mt"")"),"Liema terminu ma jaħsbux l-Iżlamisti għandhom jiġu applikati għalihom?")</f>
        <v>Liema terminu ma jaħsbux l-Iżlamisti għandhom jiġu applikati għalihom?</v>
      </c>
    </row>
    <row r="10212" ht="15.75" customHeight="1">
      <c r="A10212" s="2" t="s">
        <v>10212</v>
      </c>
      <c r="B10212" s="2" t="str">
        <f>IFERROR(__xludf.DUMMYFUNCTION("GOOGLETRANSLATE(A10212, ""en"", ""mt"")"),"kompetenzi devoluti")</f>
        <v>kompetenzi devoluti</v>
      </c>
    </row>
    <row r="10213" ht="15.75" customHeight="1">
      <c r="A10213" s="2" t="s">
        <v>10213</v>
      </c>
      <c r="B10213" s="2" t="str">
        <f>IFERROR(__xludf.DUMMYFUNCTION("GOOGLETRANSLATE(A10213, ""en"", ""mt"")"),"X'kien ivvintat f'ġibura ta 'ħażna?")</f>
        <v>X'kien ivvintat f'ġibura ta 'ħażna?</v>
      </c>
    </row>
    <row r="10214" ht="15.75" customHeight="1">
      <c r="A10214" s="2" t="s">
        <v>10214</v>
      </c>
      <c r="B10214" s="2" t="str">
        <f>IFERROR(__xludf.DUMMYFUNCTION("GOOGLETRANSLATE(A10214, ""en"", ""mt"")"),"1957")</f>
        <v>1957</v>
      </c>
    </row>
    <row r="10215" ht="15.75" customHeight="1">
      <c r="A10215" s="2" t="s">
        <v>10215</v>
      </c>
      <c r="B10215" s="2" t="str">
        <f>IFERROR(__xludf.DUMMYFUNCTION("GOOGLETRANSLATE(A10215, ""en"", ""mt"")"),"L-OPEC malajr tilfet il-pożizzjoni preeminenti tagħha, u fl-1981, il-produzzjoni tagħha nqabżet minn dik ta 'pajjiżi oħra. Barra minn hekk, in-nazzjonijiet membri tagħha stess ġew maqsuma. L-Arabja Sawdita, tipprova tirkupra s-sehem tas-suq, żieda fil-pro"&amp;"duzzjoni, timbotta l-prezzijiet 'l isfel, tonqos jew telimina l-profitti għal produtturi bi prezz għoli. Il-prezz dinji, li kien laħaq il-quċċata matul il-kriżi tal-enerġija tal-1979 għal kważi $ 40 kull barmil, naqas matul is-snin 1980 għal inqas minn $ "&amp;"10 kull barmil. Aġġustat għall-inflazzjoni, iż-żejt waqa 'fil-qosor lura għal-livelli ta' qabel l-1973. Dan il-prezz ta '""bejgħ"" kien windfall għan-nazzjonijiet li jimportaw iż-żejt, kemm żviluppati kif ukoll żviluppati.")</f>
        <v>L-OPEC malajr tilfet il-pożizzjoni preeminenti tagħha, u fl-1981, il-produzzjoni tagħha nqabżet minn dik ta 'pajjiżi oħra. Barra minn hekk, in-nazzjonijiet membri tagħha stess ġew maqsuma. L-Arabja Sawdita, tipprova tirkupra s-sehem tas-suq, żieda fil-produzzjoni, timbotta l-prezzijiet 'l isfel, tonqos jew telimina l-profitti għal produtturi bi prezz għoli. Il-prezz dinji, li kien laħaq il-quċċata matul il-kriżi tal-enerġija tal-1979 għal kważi $ 40 kull barmil, naqas matul is-snin 1980 għal inqas minn $ 10 kull barmil. Aġġustat għall-inflazzjoni, iż-żejt waqa 'fil-qosor lura għal-livelli ta' qabel l-1973. Dan il-prezz ta '"bejgħ" kien windfall għan-nazzjonijiet li jimportaw iż-żejt, kemm żviluppati kif ukoll żviluppati.</v>
      </c>
    </row>
    <row r="10216" ht="15.75" customHeight="1">
      <c r="A10216" s="2" t="s">
        <v>10216</v>
      </c>
      <c r="B10216" s="2" t="str">
        <f>IFERROR(__xludf.DUMMYFUNCTION("GOOGLETRANSLATE(A10216, ""en"", ""mt"")"),"Meuse Estware")</f>
        <v>Meuse Estware</v>
      </c>
    </row>
    <row r="10217" ht="15.75" customHeight="1">
      <c r="A10217" s="2" t="s">
        <v>10217</v>
      </c>
      <c r="B10217" s="2" t="str">
        <f>IFERROR(__xludf.DUMMYFUNCTION("GOOGLETRANSLATE(A10217, ""en"", ""mt"")"),"1 / (1-P) n")</f>
        <v>1 / (1-P) n</v>
      </c>
    </row>
    <row r="10218" ht="15.75" customHeight="1">
      <c r="A10218" s="2" t="s">
        <v>10218</v>
      </c>
      <c r="B10218" s="2" t="str">
        <f>IFERROR(__xludf.DUMMYFUNCTION("GOOGLETRANSLATE(A10218, ""en"", ""mt"")"),"awto u mhux innifsu")</f>
        <v>awto u mhux innifsu</v>
      </c>
    </row>
    <row r="10219" ht="15.75" customHeight="1">
      <c r="A10219" s="2" t="s">
        <v>10219</v>
      </c>
      <c r="B10219" s="2" t="str">
        <f>IFERROR(__xludf.DUMMYFUNCTION("GOOGLETRANSLATE(A10219, ""en"", ""mt"")"),"Liema nazzjonalità kien Paul-Louis Simond?")</f>
        <v>Liema nazzjonalità kien Paul-Louis Simond?</v>
      </c>
    </row>
    <row r="10220" ht="15.75" customHeight="1">
      <c r="A10220" s="2" t="s">
        <v>10220</v>
      </c>
      <c r="B10220" s="2" t="str">
        <f>IFERROR(__xludf.DUMMYFUNCTION("GOOGLETRANSLATE(A10220, ""en"", ""mt"")"),"Liema status kiseb il-fratellanza fid-dinja Iżlamika?")</f>
        <v>Liema status kiseb il-fratellanza fid-dinja Iżlamika?</v>
      </c>
    </row>
    <row r="10221" ht="15.75" customHeight="1">
      <c r="A10221" s="2" t="s">
        <v>10221</v>
      </c>
      <c r="B10221" s="2" t="str">
        <f>IFERROR(__xludf.DUMMYFUNCTION("GOOGLETRANSLATE(A10221, ""en"", ""mt"")"),"X'kien il-premju biex tinstab soluzzjoni għal P = NP fil-problemi tal-Premju Alpha?")</f>
        <v>X'kien il-premju biex tinstab soluzzjoni għal P = NP fil-problemi tal-Premju Alpha?</v>
      </c>
    </row>
    <row r="10222" ht="15.75" customHeight="1">
      <c r="A10222" s="2" t="s">
        <v>10222</v>
      </c>
      <c r="B10222" s="2" t="str">
        <f>IFERROR(__xludf.DUMMYFUNCTION("GOOGLETRANSLATE(A10222, ""en"", ""mt"")")," Min għamel ir-reġim NIF mhux port qabel id-9/11?")</f>
        <v> Min għamel ir-reġim NIF mhux port qabel id-9/11?</v>
      </c>
    </row>
    <row r="10223" ht="15.75" customHeight="1">
      <c r="A10223" s="2" t="s">
        <v>10223</v>
      </c>
      <c r="B10223" s="2" t="str">
        <f>IFERROR(__xludf.DUMMYFUNCTION("GOOGLETRANSLATE(A10223, ""en"", ""mt"")"),"Meta Virgin Media ġiet mibdula mill-ġdid mill-NTL Telewest?")</f>
        <v>Meta Virgin Media ġiet mibdula mill-ġdid mill-NTL Telewest?</v>
      </c>
    </row>
    <row r="10224" ht="15.75" customHeight="1">
      <c r="A10224" s="2" t="s">
        <v>10224</v>
      </c>
      <c r="B10224" s="2" t="str">
        <f>IFERROR(__xludf.DUMMYFUNCTION("GOOGLETRANSLATE(A10224, ""en"", ""mt"")"),"Dak li jipprovdi protezzjoni kimika lill-patoġeni?")</f>
        <v>Dak li jipprovdi protezzjoni kimika lill-patoġeni?</v>
      </c>
    </row>
    <row r="10225" ht="15.75" customHeight="1">
      <c r="A10225" s="2" t="s">
        <v>10225</v>
      </c>
      <c r="B10225" s="2" t="str">
        <f>IFERROR(__xludf.DUMMYFUNCTION("GOOGLETRANSLATE(A10225, ""en"", ""mt"")"),"il-qrati tal-istati membri u l-Qorti tal-Ġustizzja tal-Unjoni Ewropea")</f>
        <v>il-qrati tal-istati membri u l-Qorti tal-Ġustizzja tal-Unjoni Ewropea</v>
      </c>
    </row>
    <row r="10226" ht="15.75" customHeight="1">
      <c r="A10226" s="2" t="s">
        <v>10226</v>
      </c>
      <c r="B10226" s="2" t="str">
        <f>IFERROR(__xludf.DUMMYFUNCTION("GOOGLETRANSLATE(A10226, ""en"", ""mt"")"),"L-Istat Membru ma jistax jinforza liġijiet konfliġġenti")</f>
        <v>L-Istat Membru ma jistax jinforza liġijiet konfliġġenti</v>
      </c>
    </row>
    <row r="10227" ht="15.75" customHeight="1">
      <c r="A10227" s="2" t="s">
        <v>10227</v>
      </c>
      <c r="B10227" s="2" t="str">
        <f>IFERROR(__xludf.DUMMYFUNCTION("GOOGLETRANSLATE(A10227, ""en"", ""mt"")"),"Arkitettura Neoklassika")</f>
        <v>Arkitettura Neoklassika</v>
      </c>
    </row>
    <row r="10228" ht="15.75" customHeight="1">
      <c r="A10228" s="2" t="s">
        <v>10228</v>
      </c>
      <c r="B10228" s="2" t="str">
        <f>IFERROR(__xludf.DUMMYFUNCTION("GOOGLETRANSLATE(A10228, ""en"", ""mt"")"),"Il-Karta Soċjali ġiet sussegwentement adottata fl-1989 minn 11 mit-12-il stat membru ta 'dak iż-żmien. Ir-Renju Unit irrifjuta li jiffirma l-Karta Soċjali u kien eżentat mil-leġiżlazzjoni li tkopri kwistjonijiet ta 'charter soċjali sakemm ma jkunx marbut "&amp;"bil-leġiżlazzjoni. Ir-Renju Unit sussegwentement kien l-uniku stat membru li jivverifika l-karta soċjali li kien inkluż bħala l- ""kapitolu soċjali"" tat-Trattat Maastricht tal-1992 - minflok, ftehim dwar il-politika soċjali ġie miżjud bħala protokoll. Għ"&amp;"al darb'oħra, ir-Renju Unit kien eżentat mil-leġislazzjoni li tirriżulta mill-protokoll, sakemm ma jkunx aċċetta li jkun marbut minnu. Il-protokoll kellu jsir magħruf bħala ""Kapitolu Soċjali"", minkejja li fil-fatt ma kienx kapitolu tat-Trattat Maastrich"&amp;"t. Sabiex jinkisbu għanijiet tal-ftehim dwar il-politika soċjali l-Unjoni Ewropea kienet li ""tappoġġja u tikkumplimenta"" l-politiki ta 'l-istati membri. L-għanijiet tal-ftehim dwar il-politika soċjali huma:")</f>
        <v>Il-Karta Soċjali ġiet sussegwentement adottata fl-1989 minn 11 mit-12-il stat membru ta 'dak iż-żmien. Ir-Renju Unit irrifjuta li jiffirma l-Karta Soċjali u kien eżentat mil-leġiżlazzjoni li tkopri kwistjonijiet ta 'charter soċjali sakemm ma jkunx marbut bil-leġiżlazzjoni. Ir-Renju Unit sussegwentement kien l-uniku stat membru li jivverifika l-karta soċjali li kien inkluż bħala l- "kapitolu soċjali" tat-Trattat Maastricht tal-1992 - minflok, ftehim dwar il-politika soċjali ġie miżjud bħala protokoll. Għal darb'oħra, ir-Renju Unit kien eżentat mil-leġislazzjoni li tirriżulta mill-protokoll, sakemm ma jkunx aċċetta li jkun marbut minnu. Il-protokoll kellu jsir magħruf bħala "Kapitolu Soċjali", minkejja li fil-fatt ma kienx kapitolu tat-Trattat Maastricht. Sabiex jinkisbu għanijiet tal-ftehim dwar il-politika soċjali l-Unjoni Ewropea kienet li "tappoġġja u tikkumplimenta" l-politiki ta 'l-istati membri. L-għanijiet tal-ftehim dwar il-politika soċjali huma:</v>
      </c>
    </row>
    <row r="10229" ht="15.75" customHeight="1">
      <c r="A10229" s="2" t="s">
        <v>10229</v>
      </c>
      <c r="B10229" s="2" t="str">
        <f>IFERROR(__xludf.DUMMYFUNCTION("GOOGLETRANSLATE(A10229, ""en"", ""mt"")"),"X'inhi l-ispiża tipika annwali għal skola privata Irlandiża?")</f>
        <v>X'inhi l-ispiża tipika annwali għal skola privata Irlandiża?</v>
      </c>
    </row>
    <row r="10230" ht="15.75" customHeight="1">
      <c r="A10230" s="2" t="s">
        <v>10230</v>
      </c>
      <c r="B10230" s="2" t="str">
        <f>IFERROR(__xludf.DUMMYFUNCTION("GOOGLETRANSLATE(A10230, ""en"", ""mt"")"),"Liema rebħa fl-isforzi mfixkla tal-vapuri tas-serħan Franċiżi.")</f>
        <v>Liema rebħa fl-isforzi mfixkla tal-vapuri tas-serħan Franċiżi.</v>
      </c>
    </row>
    <row r="10231" ht="15.75" customHeight="1">
      <c r="A10231" s="2" t="s">
        <v>10231</v>
      </c>
      <c r="B10231" s="2" t="str">
        <f>IFERROR(__xludf.DUMMYFUNCTION("GOOGLETRANSLATE(A10231, ""en"", ""mt"")"),"X'inhu l-effett osservabbli tal-iskambju tal-boson w u z?")</f>
        <v>X'inhu l-effett osservabbli tal-iskambju tal-boson w u z?</v>
      </c>
    </row>
    <row r="10232" ht="15.75" customHeight="1">
      <c r="A10232" s="2" t="s">
        <v>10232</v>
      </c>
      <c r="B10232" s="2" t="str">
        <f>IFERROR(__xludf.DUMMYFUNCTION("GOOGLETRANSLATE(A10232, ""en"", ""mt"")"),"Kemm għandha siġġu Victoria fid-Dar tar-Rappreżentanti Awstraljana?")</f>
        <v>Kemm għandha siġġu Victoria fid-Dar tar-Rappreżentanti Awstraljana?</v>
      </c>
    </row>
    <row r="10233" ht="15.75" customHeight="1">
      <c r="A10233" s="2" t="s">
        <v>10233</v>
      </c>
      <c r="B10233" s="2" t="str">
        <f>IFERROR(__xludf.DUMMYFUNCTION("GOOGLETRANSLATE(A10233, ""en"", ""mt"")"),"X’ma kienx l-għan tal-Liġi tal-Artikolu 34 tat-TFEU?")</f>
        <v>X’ma kienx l-għan tal-Liġi tal-Artikolu 34 tat-TFEU?</v>
      </c>
    </row>
    <row r="10234" ht="15.75" customHeight="1">
      <c r="A10234" s="2" t="s">
        <v>10234</v>
      </c>
      <c r="B10234" s="2" t="str">
        <f>IFERROR(__xludf.DUMMYFUNCTION("GOOGLETRANSLATE(A10234, ""en"", ""mt"")"),"Kif tissejjaħ il-liwja fejn id-direzzjoni ġenerali tar-Renu tinbidel mil-lvant għal tramuntana?")</f>
        <v>Kif tissejjaħ il-liwja fejn id-direzzjoni ġenerali tar-Renu tinbidel mil-lvant għal tramuntana?</v>
      </c>
    </row>
    <row r="10235" ht="15.75" customHeight="1">
      <c r="A10235" s="2" t="s">
        <v>10235</v>
      </c>
      <c r="B10235" s="2" t="str">
        <f>IFERROR(__xludf.DUMMYFUNCTION("GOOGLETRANSLATE(A10235, ""en"", ""mt"")"),"X'inhi l-wisa 'medja tar-Renu?")</f>
        <v>X'inhi l-wisa 'medja tar-Renu?</v>
      </c>
    </row>
    <row r="10236" ht="15.75" customHeight="1">
      <c r="A10236" s="2" t="s">
        <v>10236</v>
      </c>
      <c r="B10236" s="2" t="str">
        <f>IFERROR(__xludf.DUMMYFUNCTION("GOOGLETRANSLATE(A10236, ""en"", ""mt"")"),"X’għadda fl-1805?")</f>
        <v>X’għadda fl-1805?</v>
      </c>
    </row>
    <row r="10237" ht="15.75" customHeight="1">
      <c r="A10237" s="2" t="s">
        <v>10237</v>
      </c>
      <c r="B10237" s="2" t="str">
        <f>IFERROR(__xludf.DUMMYFUNCTION("GOOGLETRANSLATE(A10237, ""en"", ""mt"")"),"effett")</f>
        <v>effett</v>
      </c>
    </row>
    <row r="10238" ht="15.75" customHeight="1">
      <c r="A10238" s="2" t="s">
        <v>10238</v>
      </c>
      <c r="B10238" s="2" t="str">
        <f>IFERROR(__xludf.DUMMYFUNCTION("GOOGLETRANSLATE(A10238, ""en"", ""mt"")"),"Tim tal-Bowl tal-Kulleġġ tal-Università ta 'Chicago")</f>
        <v>Tim tal-Bowl tal-Kulleġġ tal-Università ta 'Chicago</v>
      </c>
    </row>
    <row r="10239" ht="15.75" customHeight="1">
      <c r="A10239" s="2" t="s">
        <v>10239</v>
      </c>
      <c r="B10239" s="2" t="str">
        <f>IFERROR(__xludf.DUMMYFUNCTION("GOOGLETRANSLATE(A10239, ""en"", ""mt"")"),"Kif jissejjaħ il-Karnival u l-Kunċert tax-Xitwa tal-Università?")</f>
        <v>Kif jissejjaħ il-Karnival u l-Kunċert tax-Xitwa tal-Università?</v>
      </c>
    </row>
    <row r="10240" ht="15.75" customHeight="1">
      <c r="A10240" s="2" t="s">
        <v>10240</v>
      </c>
      <c r="B10240" s="2" t="str">
        <f>IFERROR(__xludf.DUMMYFUNCTION("GOOGLETRANSLATE(A10240, ""en"", ""mt"")"),"Mard mill-Ewropa")</f>
        <v>Mard mill-Ewropa</v>
      </c>
    </row>
    <row r="10241" ht="15.75" customHeight="1">
      <c r="A10241" s="2" t="s">
        <v>10241</v>
      </c>
      <c r="B10241" s="2" t="str">
        <f>IFERROR(__xludf.DUMMYFUNCTION("GOOGLETRANSLATE(A10241, ""en"", ""mt"")"),"jinsabu f'P jew daqs P.")</f>
        <v>jinsabu f'P jew daqs P.</v>
      </c>
    </row>
    <row r="10242" ht="15.75" customHeight="1">
      <c r="A10242" s="2" t="s">
        <v>10242</v>
      </c>
      <c r="B10242" s="2" t="str">
        <f>IFERROR(__xludf.DUMMYFUNCTION("GOOGLETRANSLATE(A10242, ""en"", ""mt"")"),"Bl-introduzzjoni aċċidentali tal-Mnemiopsis li tiekol l-Amerika ta ’Fuq Ctenophore Beroe Ovata,")</f>
        <v>Bl-introduzzjoni aċċidentali tal-Mnemiopsis li tiekol l-Amerika ta ’Fuq Ctenophore Beroe Ovata,</v>
      </c>
    </row>
    <row r="10243" ht="15.75" customHeight="1">
      <c r="A10243" s="2" t="s">
        <v>10243</v>
      </c>
      <c r="B10243" s="2" t="str">
        <f>IFERROR(__xludf.DUMMYFUNCTION("GOOGLETRANSLATE(A10243, ""en"", ""mt"")"),"L-unitajiet tal-blat isiru eħxen u jitqassru meta jitpoġġew taħt dan it-tip ta 'kompressjoni.")</f>
        <v>L-unitajiet tal-blat isiru eħxen u jitqassru meta jitpoġġew taħt dan it-tip ta 'kompressjoni.</v>
      </c>
    </row>
    <row r="10244" ht="15.75" customHeight="1">
      <c r="A10244" s="2" t="s">
        <v>10244</v>
      </c>
      <c r="B10244" s="2" t="str">
        <f>IFERROR(__xludf.DUMMYFUNCTION("GOOGLETRANSLATE(A10244, ""en"", ""mt"")"),"L-omm li fiha kienet concubine?")</f>
        <v>L-omm li fiha kienet concubine?</v>
      </c>
    </row>
    <row r="10245" ht="15.75" customHeight="1">
      <c r="A10245" s="2" t="s">
        <v>10245</v>
      </c>
      <c r="B10245" s="2" t="str">
        <f>IFERROR(__xludf.DUMMYFUNCTION("GOOGLETRANSLATE(A10245, ""en"", ""mt"")")," Min kien ir-4 tifel ta 'Genghis?")</f>
        <v> Min kien ir-4 tifel ta 'Genghis?</v>
      </c>
    </row>
    <row r="10246" ht="15.75" customHeight="1">
      <c r="A10246" s="2" t="s">
        <v>10246</v>
      </c>
      <c r="B10246" s="2" t="str">
        <f>IFERROR(__xludf.DUMMYFUNCTION("GOOGLETRANSLATE(A10246, ""en"", ""mt"")"),"It-tilqim jisfrutta liema karatteristika tas-sistema immunitarja tal-bniedem sabiex tkun suċċess?")</f>
        <v>It-tilqim jisfrutta liema karatteristika tas-sistema immunitarja tal-bniedem sabiex tkun suċċess?</v>
      </c>
    </row>
    <row r="10247" ht="15.75" customHeight="1">
      <c r="A10247" s="2" t="s">
        <v>10247</v>
      </c>
      <c r="B10247" s="2" t="str">
        <f>IFERROR(__xludf.DUMMYFUNCTION("GOOGLETRANSLATE(A10247, ""en"", ""mt"")"),"L-SNP ta kemm siġġijiet għax-xogħol?")</f>
        <v>L-SNP ta kemm siġġijiet għax-xogħol?</v>
      </c>
    </row>
    <row r="10248" ht="15.75" customHeight="1">
      <c r="A10248" s="2" t="s">
        <v>10248</v>
      </c>
      <c r="B10248" s="2" t="str">
        <f>IFERROR(__xludf.DUMMYFUNCTION("GOOGLETRANSLATE(A10248, ""en"", ""mt"")"),"Sky Digital")</f>
        <v>Sky Digital</v>
      </c>
    </row>
    <row r="10249" ht="15.75" customHeight="1">
      <c r="A10249" s="2" t="s">
        <v>10249</v>
      </c>
      <c r="B10249" s="2" t="str">
        <f>IFERROR(__xludf.DUMMYFUNCTION("GOOGLETRANSLATE(A10249, ""en"", ""mt"")"),"540,800")</f>
        <v>540,800</v>
      </c>
    </row>
    <row r="10250" ht="15.75" customHeight="1">
      <c r="A10250" s="2" t="s">
        <v>10250</v>
      </c>
      <c r="B10250" s="2" t="str">
        <f>IFERROR(__xludf.DUMMYFUNCTION("GOOGLETRANSLATE(A10250, ""en"", ""mt"")"),"L-ilma ogħla fl-ossiġenu-16 esperjenza ogħla x'inhu?")</f>
        <v>L-ilma ogħla fl-ossiġenu-16 esperjenza ogħla x'inhu?</v>
      </c>
    </row>
    <row r="10251" ht="15.75" customHeight="1">
      <c r="A10251" s="2" t="s">
        <v>10251</v>
      </c>
      <c r="B10251" s="2" t="str">
        <f>IFERROR(__xludf.DUMMYFUNCTION("GOOGLETRANSLATE(A10251, ""en"", ""mt"")"),"Lvant-Punent")</f>
        <v>Lvant-Punent</v>
      </c>
    </row>
    <row r="10252" ht="15.75" customHeight="1">
      <c r="A10252" s="2" t="s">
        <v>10252</v>
      </c>
      <c r="B10252" s="2" t="str">
        <f>IFERROR(__xludf.DUMMYFUNCTION("GOOGLETRANSLATE(A10252, ""en"", ""mt"")"),"X'inhu vantaġġ ewlieni taċ-ċiklu ta 'Rankine?")</f>
        <v>X'inhu vantaġġ ewlieni taċ-ċiklu ta 'Rankine?</v>
      </c>
    </row>
    <row r="10253" ht="15.75" customHeight="1">
      <c r="A10253" s="2" t="s">
        <v>10253</v>
      </c>
      <c r="B10253" s="2" t="str">
        <f>IFERROR(__xludf.DUMMYFUNCTION("GOOGLETRANSLATE(A10253, ""en"", ""mt"")"),"X'inhu l-proċess tal-kostruzzjoni ta 'bini jew infrastruttura?")</f>
        <v>X'inhu l-proċess tal-kostruzzjoni ta 'bini jew infrastruttura?</v>
      </c>
    </row>
    <row r="10254" ht="15.75" customHeight="1">
      <c r="A10254" s="2" t="s">
        <v>10254</v>
      </c>
      <c r="B10254" s="2" t="str">
        <f>IFERROR(__xludf.DUMMYFUNCTION("GOOGLETRANSLATE(A10254, ""en"", ""mt"")"),"pagi")</f>
        <v>pagi</v>
      </c>
    </row>
    <row r="10255" ht="15.75" customHeight="1">
      <c r="A10255" s="2" t="s">
        <v>10255</v>
      </c>
      <c r="B10255" s="2" t="str">
        <f>IFERROR(__xludf.DUMMYFUNCTION("GOOGLETRANSLATE(A10255, ""en"", ""mt"")"),"Wara referendum fl-1997, li fih l-elettorat Skoċċiż ivvota għad-devoluzzjoni, il-Parlament attwali ġie mlaqqa 'bl-Att tal-1998 tal-Iskozja, li jistabbilixxi s-setgħat tiegħu bħala leġiżlatura devolta. L-Att jiddelinja l-kompetenza leġiżlattiva tal-Parlame"&amp;"nt - l-oqsma li fihom jista 'jagħmel liġijiet - billi jispeċifika b'mod espliċitu setgħat li huma ""riservati"" lill-Parlament tar-Renju Unit. Il-Parlament Skoċċiż għandu s-setgħa li jilleġiżla fl-oqsma kollha li mhumiex espliċitament riservati għal Westm"&amp;"inster. Il-Parlament Brittaniku jżomm il-kapaċità li jemenda t-Termini ta 'Referenza tal-Parlament Skoċċiż, u jista' jestendi jew inaqqas l-oqsma li fihom jista 'jagħmel liġijiet. L-ewwel laqgħa tal-Parlament il-ġdid saret fit-12 ta 'Mejju 1999.")</f>
        <v>Wara referendum fl-1997, li fih l-elettorat Skoċċiż ivvota għad-devoluzzjoni, il-Parlament attwali ġie mlaqqa 'bl-Att tal-1998 tal-Iskozja, li jistabbilixxi s-setgħat tiegħu bħala leġiżlatura devolta. L-Att jiddelinja l-kompetenza leġiżlattiva tal-Parlament - l-oqsma li fihom jista 'jagħmel liġijiet - billi jispeċifika b'mod espliċitu setgħat li huma "riservati" lill-Parlament tar-Renju Unit. Il-Parlament Skoċċiż għandu s-setgħa li jilleġiżla fl-oqsma kollha li mhumiex espliċitament riservati għal Westminster. Il-Parlament Brittaniku jżomm il-kapaċità li jemenda t-Termini ta 'Referenza tal-Parlament Skoċċiż, u jista' jestendi jew inaqqas l-oqsma li fihom jista 'jagħmel liġijiet. L-ewwel laqgħa tal-Parlament il-ġdid saret fit-12 ta 'Mejju 1999.</v>
      </c>
    </row>
    <row r="10256" ht="15.75" customHeight="1">
      <c r="A10256" s="2" t="s">
        <v>10256</v>
      </c>
      <c r="B10256" s="2" t="str">
        <f>IFERROR(__xludf.DUMMYFUNCTION("GOOGLETRANSLATE(A10256, ""en"", ""mt"")"),"Fejn miet Harold II?")</f>
        <v>Fejn miet Harold II?</v>
      </c>
    </row>
    <row r="10257" ht="15.75" customHeight="1">
      <c r="A10257" s="2" t="s">
        <v>10257</v>
      </c>
      <c r="B10257" s="2" t="str">
        <f>IFERROR(__xludf.DUMMYFUNCTION("GOOGLETRANSLATE(A10257, ""en"", ""mt"")"),"maltempati")</f>
        <v>maltempati</v>
      </c>
    </row>
    <row r="10258" ht="15.75" customHeight="1">
      <c r="A10258" s="2" t="s">
        <v>10258</v>
      </c>
      <c r="B10258" s="2" t="str">
        <f>IFERROR(__xludf.DUMMYFUNCTION("GOOGLETRANSLATE(A10258, ""en"", ""mt"")"),"16,000 sa 35,000")</f>
        <v>16,000 sa 35,000</v>
      </c>
    </row>
    <row r="10259" ht="15.75" customHeight="1">
      <c r="A10259" s="2" t="s">
        <v>10259</v>
      </c>
      <c r="B10259" s="2" t="str">
        <f>IFERROR(__xludf.DUMMYFUNCTION("GOOGLETRANSLATE(A10259, ""en"", ""mt"")"),"F'Lulju 2013")</f>
        <v>F'Lulju 2013</v>
      </c>
    </row>
    <row r="10260" ht="15.75" customHeight="1">
      <c r="A10260" s="2" t="s">
        <v>10260</v>
      </c>
      <c r="B10260" s="2" t="str">
        <f>IFERROR(__xludf.DUMMYFUNCTION("GOOGLETRANSLATE(A10260, ""en"", ""mt"")"),"Min waqqaf Woodward Park?")</f>
        <v>Min waqqaf Woodward Park?</v>
      </c>
    </row>
    <row r="10261" ht="15.75" customHeight="1">
      <c r="A10261" s="2" t="s">
        <v>10261</v>
      </c>
      <c r="B10261" s="2" t="str">
        <f>IFERROR(__xludf.DUMMYFUNCTION("GOOGLETRANSLATE(A10261, ""en"", ""mt"")"),"Liema artikoli jiddikjaraw li d-drittijiet tal-istati membri biex iwasslu s-servizzi pubbliċi jistgħu ma jiġux imxekkla?")</f>
        <v>Liema artikoli jiddikjaraw li d-drittijiet tal-istati membri biex iwasslu s-servizzi pubbliċi jistgħu ma jiġux imxekkla?</v>
      </c>
    </row>
    <row r="10262" ht="15.75" customHeight="1">
      <c r="A10262" s="2" t="s">
        <v>10262</v>
      </c>
      <c r="B10262" s="2" t="str">
        <f>IFERROR(__xludf.DUMMYFUNCTION("GOOGLETRANSLATE(A10262, ""en"", ""mt"")"),"Little Hugos")</f>
        <v>Little Hugos</v>
      </c>
    </row>
    <row r="10263" ht="15.75" customHeight="1">
      <c r="A10263" s="2" t="s">
        <v>10263</v>
      </c>
      <c r="B10263" s="2" t="str">
        <f>IFERROR(__xludf.DUMMYFUNCTION("GOOGLETRANSLATE(A10263, ""en"", ""mt"")"),"MERWEDE-OUDE MAAS")</f>
        <v>MERWEDE-OUDE MAAS</v>
      </c>
    </row>
    <row r="10264" ht="15.75" customHeight="1">
      <c r="A10264" s="2" t="s">
        <v>10264</v>
      </c>
      <c r="B10264" s="2" t="str">
        <f>IFERROR(__xludf.DUMMYFUNCTION("GOOGLETRANSLATE(A10264, ""en"", ""mt"")"),"Fejn imexxi l-heaquarter tiegħu Montcalm biex juri avvanz strateġiku?")</f>
        <v>Fejn imexxi l-heaquarter tiegħu Montcalm biex juri avvanz strateġiku?</v>
      </c>
    </row>
    <row r="10265" ht="15.75" customHeight="1">
      <c r="A10265" s="2" t="s">
        <v>10265</v>
      </c>
      <c r="B10265" s="2" t="str">
        <f>IFERROR(__xludf.DUMMYFUNCTION("GOOGLETRANSLATE(A10265, ""en"", ""mt"")"),"in-nies ta 'Timucua")</f>
        <v>in-nies ta 'Timucua</v>
      </c>
    </row>
    <row r="10266" ht="15.75" customHeight="1">
      <c r="A10266" s="2" t="s">
        <v>10266</v>
      </c>
      <c r="B10266" s="2" t="str">
        <f>IFERROR(__xludf.DUMMYFUNCTION("GOOGLETRANSLATE(A10266, ""en"", ""mt"")"),"riċetturi ta 'rikonoxximent tal-mudelli")</f>
        <v>riċetturi ta 'rikonoxximent tal-mudelli</v>
      </c>
    </row>
    <row r="10267" ht="15.75" customHeight="1">
      <c r="A10267" s="2" t="s">
        <v>10267</v>
      </c>
      <c r="B10267" s="2" t="str">
        <f>IFERROR(__xludf.DUMMYFUNCTION("GOOGLETRANSLATE(A10267, ""en"", ""mt"")"),"Meta jkunu miżżewġin")</f>
        <v>Meta jkunu miżżewġin</v>
      </c>
    </row>
    <row r="10268" ht="15.75" customHeight="1">
      <c r="A10268" s="2" t="s">
        <v>10268</v>
      </c>
      <c r="B10268" s="2" t="str">
        <f>IFERROR(__xludf.DUMMYFUNCTION("GOOGLETRANSLATE(A10268, ""en"", ""mt"")"),"separatament mit-tobba")</f>
        <v>separatament mit-tobba</v>
      </c>
    </row>
    <row r="10269" ht="15.75" customHeight="1">
      <c r="A10269" s="2" t="s">
        <v>10269</v>
      </c>
      <c r="B10269" s="2" t="str">
        <f>IFERROR(__xludf.DUMMYFUNCTION("GOOGLETRANSLATE(A10269, ""en"", ""mt"")"),"L-iktar strument utli għall-analiżi tal-prestazzjoni tal-magni tal-fwar huwa l-indikatur tal-magna tal-fwar. Verżjonijiet bikrija kienu qed jintużaw sal-1851, iżda l-aktar indikatur ta 'suċċess ġie żviluppat għall-inventur tal-magna b'veloċità għolja u l-"&amp;"manifattur Charles Porter minn Charles Richard u esibiti fil-wirja ta' Londra fl-1862. L-indikatur tal-magna tal-fwar jintraċċa fuq il-karta tal-pressjoni fil-karta fiċ-ċilindru matul il-madwar ċiklu, li jista 'jintuża biex jidentifika diversi problemi u "&amp;"jikkalkula l-horsepower żviluppata. Kien użat regolarment minn inġiniera, mekkaniċi u spetturi tal-assigurazzjoni. L-indikatur tal-magna jista 'jintuża wkoll fuq magni ta' kombustjoni interna. Ara l-immaġni tad-dijagramma tal-indikatur hawn taħt (fit-taqs"&amp;"ima tat-tipi ta ’unitajiet tal-mutur).")</f>
        <v>L-iktar strument utli għall-analiżi tal-prestazzjoni tal-magni tal-fwar huwa l-indikatur tal-magna tal-fwar. Verżjonijiet bikrija kienu qed jintużaw sal-1851, iżda l-aktar indikatur ta 'suċċess ġie żviluppat għall-inventur tal-magna b'veloċità għolja u l-manifattur Charles Porter minn Charles Richard u esibiti fil-wirja ta' Londra fl-1862. L-indikatur tal-magna tal-fwar jintraċċa fuq il-karta tal-pressjoni fil-karta fiċ-ċilindru matul il-madwar ċiklu, li jista 'jintuża biex jidentifika diversi problemi u jikkalkula l-horsepower żviluppata. Kien użat regolarment minn inġiniera, mekkaniċi u spetturi tal-assigurazzjoni. L-indikatur tal-magna jista 'jintuża wkoll fuq magni ta' kombustjoni interna. Ara l-immaġni tad-dijagramma tal-indikatur hawn taħt (fit-taqsima tat-tipi ta ’unitajiet tal-mutur).</v>
      </c>
    </row>
    <row r="10270" ht="15.75" customHeight="1">
      <c r="A10270" s="2" t="s">
        <v>10270</v>
      </c>
      <c r="B10270" s="2" t="str">
        <f>IFERROR(__xludf.DUMMYFUNCTION("GOOGLETRANSLATE(A10270, ""en"", ""mt"")"),"Kemm vapuri ma 'enorgunot abbord kienu baħħru lejn Cape of Good Hope fl-1671?")</f>
        <v>Kemm vapuri ma 'enorgunot abbord kienu baħħru lejn Cape of Good Hope fl-1671?</v>
      </c>
    </row>
    <row r="10271" ht="15.75" customHeight="1">
      <c r="A10271" s="2" t="s">
        <v>10271</v>
      </c>
      <c r="B10271" s="2" t="str">
        <f>IFERROR(__xludf.DUMMYFUNCTION("GOOGLETRANSLATE(A10271, ""en"", ""mt"")"),"X'inhu stabbilit biex jifli l-kontijiet privati ​​sottomessi minn barranin tal-partit?")</f>
        <v>X'inhu stabbilit biex jifli l-kontijiet privati ​​sottomessi minn barranin tal-partit?</v>
      </c>
    </row>
    <row r="10272" ht="15.75" customHeight="1">
      <c r="A10272" s="2" t="s">
        <v>10272</v>
      </c>
      <c r="B10272" s="2" t="str">
        <f>IFERROR(__xludf.DUMMYFUNCTION("GOOGLETRANSLATE(A10272, ""en"", ""mt"")"),"Irqajja tal-ġilda vjola")</f>
        <v>Irqajja tal-ġilda vjola</v>
      </c>
    </row>
    <row r="10273" ht="15.75" customHeight="1">
      <c r="A10273" s="2" t="s">
        <v>10273</v>
      </c>
      <c r="B10273" s="2" t="str">
        <f>IFERROR(__xludf.DUMMYFUNCTION("GOOGLETRANSLATE(A10273, ""en"", ""mt"")"),"Plugs fużibbli taċ-ċomb jistgħu jkunu preżenti fil-kuruna tal-firebox tal-bojler. Jekk il-livell tal-ilma jonqos, b’tali mod li t-temperatura tal-kuruna tal-firebox tiżdied b’mod sinifikanti, iċ-ċomb idub u l-fwar jaħrab, iwissi lill-operaturi, li mbagħad"&amp;" jistgħu jrażżnu manwalment in-nar. Ħlief fl-iżgħar bojlers, il-ħarba tal-fwar għandha ftit effett fuq it-tneħħija tan-nar. Il-plugs huma wkoll żgħar wisq f'żona biex ibaxxu l-pressjoni tal-fwar b'mod sinifikanti, billi depressurizzaw il-bojler. Kieku kie"&amp;"nu akbar, il-volum ta 'l-istim li jaħrab innifsu jipperikola l-ekwipaġġ. [Ċitazzjoni meħtieġa]")</f>
        <v>Plugs fużibbli taċ-ċomb jistgħu jkunu preżenti fil-kuruna tal-firebox tal-bojler. Jekk il-livell tal-ilma jonqos, b’tali mod li t-temperatura tal-kuruna tal-firebox tiżdied b’mod sinifikanti, iċ-ċomb idub u l-fwar jaħrab, iwissi lill-operaturi, li mbagħad jistgħu jrażżnu manwalment in-nar. Ħlief fl-iżgħar bojlers, il-ħarba tal-fwar għandha ftit effett fuq it-tneħħija tan-nar. Il-plugs huma wkoll żgħar wisq f'żona biex ibaxxu l-pressjoni tal-fwar b'mod sinifikanti, billi depressurizzaw il-bojler. Kieku kienu akbar, il-volum ta 'l-istim li jaħrab innifsu jipperikola l-ekwipaġġ. [Ċitazzjoni meħtieġa]</v>
      </c>
    </row>
    <row r="10274" ht="15.75" customHeight="1">
      <c r="A10274" s="2" t="s">
        <v>10274</v>
      </c>
      <c r="B10274" s="2" t="str">
        <f>IFERROR(__xludf.DUMMYFUNCTION("GOOGLETRANSLATE(A10274, ""en"", ""mt"")"),"primes li huma uniċi sa l-ordni")</f>
        <v>primes li huma uniċi sa l-ordni</v>
      </c>
    </row>
    <row r="10275" ht="15.75" customHeight="1">
      <c r="A10275" s="2" t="s">
        <v>10275</v>
      </c>
      <c r="B10275" s="2" t="str">
        <f>IFERROR(__xludf.DUMMYFUNCTION("GOOGLETRANSLATE(A10275, ""en"", ""mt"")"),"Ir-ramel Bernardino - iż-żona ta 'Riverside żżomm x'tip ta' distrett?")</f>
        <v>Ir-ramel Bernardino - iż-żona ta 'Riverside żżomm x'tip ta' distrett?</v>
      </c>
    </row>
    <row r="10276" ht="15.75" customHeight="1">
      <c r="A10276" s="2" t="s">
        <v>10276</v>
      </c>
      <c r="B10276" s="2" t="str">
        <f>IFERROR(__xludf.DUMMYFUNCTION("GOOGLETRANSLATE(A10276, ""en"", ""mt"")"),"Fuq xiex tistrieħ il-leġittimità tal-UE?")</f>
        <v>Fuq xiex tistrieħ il-leġittimità tal-UE?</v>
      </c>
    </row>
    <row r="10277" ht="15.75" customHeight="1">
      <c r="A10277" s="2" t="s">
        <v>10277</v>
      </c>
      <c r="B10277" s="2" t="str">
        <f>IFERROR(__xludf.DUMMYFUNCTION("GOOGLETRANSLATE(A10277, ""en"", ""mt"")"),"Liema kontej għal ħafna nies jibdlu?")</f>
        <v>Liema kontej għal ħafna nies jibdlu?</v>
      </c>
    </row>
    <row r="10278" ht="15.75" customHeight="1">
      <c r="A10278" s="2" t="s">
        <v>10278</v>
      </c>
      <c r="B10278" s="2" t="str">
        <f>IFERROR(__xludf.DUMMYFUNCTION("GOOGLETRANSLATE(A10278, ""en"", ""mt"")"),"it-tixrid tal-mard mill-Ewropa")</f>
        <v>it-tixrid tal-mard mill-Ewropa</v>
      </c>
    </row>
    <row r="10279" ht="15.75" customHeight="1">
      <c r="A10279" s="2" t="s">
        <v>10279</v>
      </c>
      <c r="B10279" s="2" t="str">
        <f>IFERROR(__xludf.DUMMYFUNCTION("GOOGLETRANSLATE(A10279, ""en"", ""mt"")"),"Min immappjat il-passaġġ Alta Vista?")</f>
        <v>Min immappjat il-passaġġ Alta Vista?</v>
      </c>
    </row>
    <row r="10280" ht="15.75" customHeight="1">
      <c r="A10280" s="2" t="s">
        <v>10280</v>
      </c>
      <c r="B10280" s="2" t="str">
        <f>IFERROR(__xludf.DUMMYFUNCTION("GOOGLETRANSLATE(A10280, ""en"", ""mt"")"),"sezzjoni moderna kanalizzata")</f>
        <v>sezzjoni moderna kanalizzata</v>
      </c>
    </row>
    <row r="10281" ht="15.75" customHeight="1">
      <c r="A10281" s="2" t="s">
        <v>10281</v>
      </c>
      <c r="B10281" s="2" t="str">
        <f>IFERROR(__xludf.DUMMYFUNCTION("GOOGLETRANSLATE(A10281, ""en"", ""mt"")"),"Liema Khanates ma kinux ikkonvertew għall-Iżlam?")</f>
        <v>Liema Khanates ma kinux ikkonvertew għall-Iżlam?</v>
      </c>
    </row>
    <row r="10282" ht="15.75" customHeight="1">
      <c r="A10282" s="2" t="s">
        <v>10282</v>
      </c>
      <c r="B10282" s="2" t="str">
        <f>IFERROR(__xludf.DUMMYFUNCTION("GOOGLETRANSLATE(A10282, ""en"", ""mt"")"),"Il-kelma imperjalizmu għandha l-oriġini tagħha li fiha lingwa moderna?")</f>
        <v>Il-kelma imperjalizmu għandha l-oriġini tagħha li fiha lingwa moderna?</v>
      </c>
    </row>
    <row r="10283" ht="15.75" customHeight="1">
      <c r="A10283" s="2" t="s">
        <v>10283</v>
      </c>
      <c r="B10283" s="2" t="str">
        <f>IFERROR(__xludf.DUMMYFUNCTION("GOOGLETRANSLATE(A10283, ""en"", ""mt"")"),"X'għandha assoċjazzjoni aktar b'saħħitha mal-MHC: kumpless antiġen minn ċelloli T qattiel?")</f>
        <v>X'għandha assoċjazzjoni aktar b'saħħitha mal-MHC: kumpless antiġen minn ċelloli T qattiel?</v>
      </c>
    </row>
    <row r="10284" ht="15.75" customHeight="1">
      <c r="A10284" s="2" t="s">
        <v>10284</v>
      </c>
      <c r="B10284" s="2" t="str">
        <f>IFERROR(__xludf.DUMMYFUNCTION("GOOGLETRANSLATE(A10284, ""en"", ""mt"")"),"Għaliex iż-żejt beda jiġi pprezzat f'termini ta 'deheb?")</f>
        <v>Għaliex iż-żejt beda jiġi pprezzat f'termini ta 'deheb?</v>
      </c>
    </row>
    <row r="10285" ht="15.75" customHeight="1">
      <c r="A10285" s="2" t="s">
        <v>10285</v>
      </c>
      <c r="B10285" s="2" t="str">
        <f>IFERROR(__xludf.DUMMYFUNCTION("GOOGLETRANSLATE(A10285, ""en"", ""mt"")"),"X'inhuma żewġ raġunijiet li l-konservattivi marru l-ħabs?")</f>
        <v>X'inhuma żewġ raġunijiet li l-konservattivi marru l-ħabs?</v>
      </c>
    </row>
    <row r="10286" ht="15.75" customHeight="1">
      <c r="A10286" s="2" t="s">
        <v>10286</v>
      </c>
      <c r="B10286" s="2" t="str">
        <f>IFERROR(__xludf.DUMMYFUNCTION("GOOGLETRANSLATE(A10286, ""en"", ""mt"")"),"Jekk żewġ numri interi jiġu mmultiplikati u joħorġu valur, kif tissejjaħ din l-espressjoni?")</f>
        <v>Jekk żewġ numri interi jiġu mmultiplikati u joħorġu valur, kif tissejjaħ din l-espressjoni?</v>
      </c>
    </row>
    <row r="10287" ht="15.75" customHeight="1">
      <c r="A10287" s="2" t="s">
        <v>10287</v>
      </c>
      <c r="B10287" s="2" t="str">
        <f>IFERROR(__xludf.DUMMYFUNCTION("GOOGLETRANSLATE(A10287, ""en"", ""mt"")"),"X'jiġri meta s-sistema immunitarja titlef it-tolleranza għall-antiġeni tat-tumur?")</f>
        <v>X'jiġri meta s-sistema immunitarja titlef it-tolleranza għall-antiġeni tat-tumur?</v>
      </c>
    </row>
    <row r="10288" ht="15.75" customHeight="1">
      <c r="A10288" s="2" t="s">
        <v>10288</v>
      </c>
      <c r="B10288" s="2" t="str">
        <f>IFERROR(__xludf.DUMMYFUNCTION("GOOGLETRANSLATE(A10288, ""en"", ""mt"")"),"Min introduċa l-pesta lejn l-Ewropa?")</f>
        <v>Min introduċa l-pesta lejn l-Ewropa?</v>
      </c>
    </row>
    <row r="10289" ht="15.75" customHeight="1">
      <c r="A10289" s="2" t="s">
        <v>10289</v>
      </c>
      <c r="B10289" s="2" t="str">
        <f>IFERROR(__xludf.DUMMYFUNCTION("GOOGLETRANSLATE(A10289, ""en"", ""mt"")"),"Min jista 'jibdel id-data sa xahar, fuq il-proposta tal-PO?")</f>
        <v>Min jista 'jibdel id-data sa xahar, fuq il-proposta tal-PO?</v>
      </c>
    </row>
    <row r="10290" ht="15.75" customHeight="1">
      <c r="A10290" s="2" t="s">
        <v>10290</v>
      </c>
      <c r="B10290" s="2" t="str">
        <f>IFERROR(__xludf.DUMMYFUNCTION("GOOGLETRANSLATE(A10290, ""en"", ""mt"")"),"Kemm djar kellhom xi ħadd waħdu taħt it-18-il sena?")</f>
        <v>Kemm djar kellhom xi ħadd waħdu taħt it-18-il sena?</v>
      </c>
    </row>
    <row r="10291" ht="15.75" customHeight="1">
      <c r="A10291" s="2" t="s">
        <v>10291</v>
      </c>
      <c r="B10291" s="2" t="str">
        <f>IFERROR(__xludf.DUMMYFUNCTION("GOOGLETRANSLATE(A10291, ""en"", ""mt"")"),"Kif irriżulta l-kampanja tal-grupp Iżlamiku biex tappoġġja l-gvern?")</f>
        <v>Kif irriżulta l-kampanja tal-grupp Iżlamiku biex tappoġġja l-gvern?</v>
      </c>
    </row>
    <row r="10292" ht="15.75" customHeight="1">
      <c r="A10292" s="2" t="s">
        <v>10292</v>
      </c>
      <c r="B10292" s="2" t="str">
        <f>IFERROR(__xludf.DUMMYFUNCTION("GOOGLETRANSLATE(A10292, ""en"", ""mt"")"),"Xi wħud mill-gruppi Iżlamisti appoġġjati mill-Lvant aktar tard saru biex jitqiesu?")</f>
        <v>Xi wħud mill-gruppi Iżlamisti appoġġjati mill-Lvant aktar tard saru biex jitqiesu?</v>
      </c>
    </row>
    <row r="10293" ht="15.75" customHeight="1">
      <c r="A10293" s="2" t="s">
        <v>10293</v>
      </c>
      <c r="B10293" s="2" t="str">
        <f>IFERROR(__xludf.DUMMYFUNCTION("GOOGLETRANSLATE(A10293, ""en"", ""mt"")"),"X'tip ta 'element ta' tisħin spiss jintuża fil-magni tal-fwar tal-ġugarell?")</f>
        <v>X'tip ta 'element ta' tisħin spiss jintuża fil-magni tal-fwar tal-ġugarell?</v>
      </c>
    </row>
    <row r="10294" ht="15.75" customHeight="1">
      <c r="A10294" s="2" t="s">
        <v>10294</v>
      </c>
      <c r="B10294" s="2" t="str">
        <f>IFERROR(__xludf.DUMMYFUNCTION("GOOGLETRANSLATE(A10294, ""en"", ""mt"")"),"ġlieda kontra l-kavallieri")</f>
        <v>ġlieda kontra l-kavallieri</v>
      </c>
    </row>
    <row r="10295" ht="15.75" customHeight="1">
      <c r="A10295" s="2" t="s">
        <v>10295</v>
      </c>
      <c r="B10295" s="2" t="str">
        <f>IFERROR(__xludf.DUMMYFUNCTION("GOOGLETRANSLATE(A10295, ""en"", ""mt"")"),"Mill-fondazzjoni tagħha")</f>
        <v>Mill-fondazzjoni tagħha</v>
      </c>
    </row>
    <row r="10296" ht="15.75" customHeight="1">
      <c r="A10296" s="2" t="s">
        <v>10296</v>
      </c>
      <c r="B10296" s="2" t="str">
        <f>IFERROR(__xludf.DUMMYFUNCTION("GOOGLETRANSLATE(A10296, ""en"", ""mt"")"),"Fejn kien se jkun Shirey meta l-Fort Oswego kellu jiġi attakkat?")</f>
        <v>Fejn kien se jkun Shirey meta l-Fort Oswego kellu jiġi attakkat?</v>
      </c>
    </row>
    <row r="10297" ht="15.75" customHeight="1">
      <c r="A10297" s="2" t="s">
        <v>10297</v>
      </c>
      <c r="B10297" s="2" t="str">
        <f>IFERROR(__xludf.DUMMYFUNCTION("GOOGLETRANSLATE(A10297, ""en"", ""mt"")"),"Meta l-wan beda juża pjanċi tal-istampar tad-deheb għal flusha?")</f>
        <v>Meta l-wan beda juża pjanċi tal-istampar tad-deheb għal flusha?</v>
      </c>
    </row>
    <row r="10298" ht="15.75" customHeight="1">
      <c r="A10298" s="2" t="s">
        <v>10298</v>
      </c>
      <c r="B10298" s="2" t="str">
        <f>IFERROR(__xludf.DUMMYFUNCTION("GOOGLETRANSLATE(A10298, ""en"", ""mt"")"),"Ir-rebħiet Ingliżi komplew fit-teatri kollha fl-Annus Mirabilis tal-1759, meta finalment qabdu Ticonderoga, James Wolfe għeleb lil Montcalm fil-Quebec (f’battalja li ddikjarat il-ħajja taż-żewġ kmandanti), u r-rebħa fil-Fort Niagara qatgħet b’suċċess il-F"&amp;"rontier Forder Franċiż aktar lejn il-punent u n-nofsinhar. Ir-rebħa saret kompluta fl-1760 meta, minkejja li tilfet barra l-Belt ta ’Quebec fil-battalja ta’ Sainte-Foy, l-Ingliżi setgħu jipprevjenu l-wasla ta ’vapuri ta’ għajnuna Franċiżi fil-battalja nav"&amp;"ali tar-Restigouche waqt li l-armati marru fuq Montreal minn tliet naħat.")</f>
        <v>Ir-rebħiet Ingliżi komplew fit-teatri kollha fl-Annus Mirabilis tal-1759, meta finalment qabdu Ticonderoga, James Wolfe għeleb lil Montcalm fil-Quebec (f’battalja li ddikjarat il-ħajja taż-żewġ kmandanti), u r-rebħa fil-Fort Niagara qatgħet b’suċċess il-Frontier Forder Franċiż aktar lejn il-punent u n-nofsinhar. Ir-rebħa saret kompluta fl-1760 meta, minkejja li tilfet barra l-Belt ta ’Quebec fil-battalja ta’ Sainte-Foy, l-Ingliżi setgħu jipprevjenu l-wasla ta ’vapuri ta’ għajnuna Franċiżi fil-battalja navali tar-Restigouche waqt li l-armati marru fuq Montreal minn tliet naħat.</v>
      </c>
    </row>
    <row r="10299" ht="15.75" customHeight="1">
      <c r="A10299" s="2" t="s">
        <v>10299</v>
      </c>
      <c r="B10299" s="2" t="str">
        <f>IFERROR(__xludf.DUMMYFUNCTION("GOOGLETRANSLATE(A10299, ""en"", ""mt"")"),"Ix-xejra moderna fid-disinn hija lejn l-integrazzjoni ta 'speċjalitajiet separati qabel, speċjalment fost ditti kbar. Fil-passat, periti, disinjaturi interni, inġiniera, żviluppaturi, maniġers tal-kostruzzjoni, u kuntratturi ġenerali kienu aktar probabbli"&amp;" li jkunu kumpaniji kompletament separati, anke fid-ditti akbar. Bħalissa, ditta li hija ""arkitettura"" jew ditta ta '""ġestjoni tal-kostruzzjoni"" jista' jkollha esperti mill-oqsma relatati kollha bħala impjegati, jew li jkollha kumpanija assoċjata li t"&amp;"ipprovdi kull ħila meħtieġa. Għalhekk, kull ditta bħal din tista 'toffri lilha nnifisha bħala ""shopping one-stop"" għal proġett ta' kostruzzjoni, mill-bidu sal-aħħar. Dan huwa nominat bħala kuntratt ta '""bini tad-disinn"" fejn il-kuntrattur jingħata spe"&amp;"ċifikazzjoni ta' prestazzjoni u għandu jwettaq il-proġett mid-disinn għall-kostruzzjoni, filwaqt li jeħel mal-ispeċifikazzjonijiet tal-prestazzjoni.")</f>
        <v>Ix-xejra moderna fid-disinn hija lejn l-integrazzjoni ta 'speċjalitajiet separati qabel, speċjalment fost ditti kbar. Fil-passat, periti, disinjaturi interni, inġiniera, żviluppaturi, maniġers tal-kostruzzjoni, u kuntratturi ġenerali kienu aktar probabbli li jkunu kumpaniji kompletament separati, anke fid-ditti akbar. Bħalissa, ditta li hija "arkitettura" jew ditta ta '"ġestjoni tal-kostruzzjoni" jista' jkollha esperti mill-oqsma relatati kollha bħala impjegati, jew li jkollha kumpanija assoċjata li tipprovdi kull ħila meħtieġa. Għalhekk, kull ditta bħal din tista 'toffri lilha nnifisha bħala "shopping one-stop" għal proġett ta' kostruzzjoni, mill-bidu sal-aħħar. Dan huwa nominat bħala kuntratt ta '"bini tad-disinn" fejn il-kuntrattur jingħata speċifikazzjoni ta' prestazzjoni u għandu jwettaq il-proġett mid-disinn għall-kostruzzjoni, filwaqt li jeħel mal-ispeċifikazzjonijiet tal-prestazzjoni.</v>
      </c>
    </row>
    <row r="10300" ht="15.75" customHeight="1">
      <c r="A10300" s="2" t="s">
        <v>10300</v>
      </c>
      <c r="B10300" s="2" t="str">
        <f>IFERROR(__xludf.DUMMYFUNCTION("GOOGLETRANSLATE(A10300, ""en"", ""mt"")"),"Limiti ta 'fuq u t'isfel")</f>
        <v>Limiti ta 'fuq u t'isfel</v>
      </c>
    </row>
    <row r="10301" ht="15.75" customHeight="1">
      <c r="A10301" s="2" t="s">
        <v>10301</v>
      </c>
      <c r="B10301" s="2" t="str">
        <f>IFERROR(__xludf.DUMMYFUNCTION("GOOGLETRANSLATE(A10301, ""en"", ""mt"")"),"Liema persentaġġ ta 'studenti tal-iskejjel privati ​​jmorru l-iskejjel tal-Luterana?")</f>
        <v>Liema persentaġġ ta 'studenti tal-iskejjel privati ​​jmorru l-iskejjel tal-Luterana?</v>
      </c>
    </row>
    <row r="10302" ht="15.75" customHeight="1">
      <c r="A10302" s="2" t="s">
        <v>10302</v>
      </c>
      <c r="B10302" s="2" t="str">
        <f>IFERROR(__xludf.DUMMYFUNCTION("GOOGLETRANSLATE(A10302, ""en"", ""mt"")"),"Xi jfisser ir-rilaxx ta 'Helper T Cell meta jeħel mal-kumpless MHC: antiġen taċ-ċellula B?")</f>
        <v>Xi jfisser ir-rilaxx ta 'Helper T Cell meta jeħel mal-kumpless MHC: antiġen taċ-ċellula B?</v>
      </c>
    </row>
    <row r="10303" ht="15.75" customHeight="1">
      <c r="A10303" s="2" t="s">
        <v>10303</v>
      </c>
      <c r="B10303" s="2" t="str">
        <f>IFERROR(__xludf.DUMMYFUNCTION("GOOGLETRANSLATE(A10303, ""en"", ""mt"")"),"tagħti lil ħuha Polynices dfin xieraq.")</f>
        <v>tagħti lil ħuha Polynices dfin xieraq.</v>
      </c>
    </row>
    <row r="10304" ht="15.75" customHeight="1">
      <c r="A10304" s="2" t="s">
        <v>10304</v>
      </c>
      <c r="B10304" s="2" t="str">
        <f>IFERROR(__xludf.DUMMYFUNCTION("GOOGLETRANSLATE(A10304, ""en"", ""mt"")"),"diversi snin")</f>
        <v>diversi snin</v>
      </c>
    </row>
    <row r="10305" ht="15.75" customHeight="1">
      <c r="A10305" s="2" t="s">
        <v>10305</v>
      </c>
      <c r="B10305" s="2" t="str">
        <f>IFERROR(__xludf.DUMMYFUNCTION("GOOGLETRANSLATE(A10305, ""en"", ""mt"")"),"Liema varjabbli hija assoċjata mal-problemi kollha solvuti fl-ispazju logaritmiku?")</f>
        <v>Liema varjabbli hija assoċjata mal-problemi kollha solvuti fl-ispazju logaritmiku?</v>
      </c>
    </row>
    <row r="10306" ht="15.75" customHeight="1">
      <c r="A10306" s="2" t="s">
        <v>10306</v>
      </c>
      <c r="B10306" s="2" t="str">
        <f>IFERROR(__xludf.DUMMYFUNCTION("GOOGLETRANSLATE(A10306, ""en"", ""mt"")"),"aċċess għall-edukazzjoni")</f>
        <v>aċċess għall-edukazzjoni</v>
      </c>
    </row>
    <row r="10307" ht="15.75" customHeight="1">
      <c r="A10307" s="2" t="s">
        <v>10307</v>
      </c>
      <c r="B10307" s="2" t="str">
        <f>IFERROR(__xludf.DUMMYFUNCTION("GOOGLETRANSLATE(A10307, ""en"", ""mt"")"),"Ir-Renu huwa l-itwal xmara f'liema pajjiż?")</f>
        <v>Ir-Renu huwa l-itwal xmara f'liema pajjiż?</v>
      </c>
    </row>
    <row r="10308" ht="15.75" customHeight="1">
      <c r="A10308" s="2" t="s">
        <v>10308</v>
      </c>
      <c r="B10308" s="2" t="str">
        <f>IFERROR(__xludf.DUMMYFUNCTION("GOOGLETRANSLATE(A10308, ""en"", ""mt"")"),"738 jum")</f>
        <v>738 jum</v>
      </c>
    </row>
    <row r="10309" ht="15.75" customHeight="1">
      <c r="A10309" s="2" t="s">
        <v>10309</v>
      </c>
      <c r="B10309" s="2" t="str">
        <f>IFERROR(__xludf.DUMMYFUNCTION("GOOGLETRANSLATE(A10309, ""en"", ""mt"")"),"Adrijatiku")</f>
        <v>Adrijatiku</v>
      </c>
    </row>
    <row r="10310" ht="15.75" customHeight="1">
      <c r="A10310" s="2" t="s">
        <v>10310</v>
      </c>
      <c r="B10310" s="2" t="str">
        <f>IFERROR(__xludf.DUMMYFUNCTION("GOOGLETRANSLATE(A10310, ""en"", ""mt"")"),"Liema pajjiż kien qed jaħseb biex imur il-gwerra biex jieħu bil-forza l-għelieqi taż-żejt tal-Lvant Nofsani?")</f>
        <v>Liema pajjiż kien qed jaħseb biex imur il-gwerra biex jieħu bil-forza l-għelieqi taż-żejt tal-Lvant Nofsani?</v>
      </c>
    </row>
    <row r="10311" ht="15.75" customHeight="1">
      <c r="A10311" s="2" t="s">
        <v>10311</v>
      </c>
      <c r="B10311" s="2" t="str">
        <f>IFERROR(__xludf.DUMMYFUNCTION("GOOGLETRANSLATE(A10311, ""en"", ""mt"")"),"X'inhu l-isem ta 'struttura alġebrika li fiha huma definiti żieda, tnaqqis u multiplikazzjoni?")</f>
        <v>X'inhu l-isem ta 'struttura alġebrika li fiha huma definiti żieda, tnaqqis u multiplikazzjoni?</v>
      </c>
    </row>
    <row r="10312" ht="15.75" customHeight="1">
      <c r="A10312" s="2" t="s">
        <v>10312</v>
      </c>
      <c r="B10312" s="2" t="str">
        <f>IFERROR(__xludf.DUMMYFUNCTION("GOOGLETRANSLATE(A10312, ""en"", ""mt"")"),"tjieb sew")</f>
        <v>tjieb sew</v>
      </c>
    </row>
    <row r="10313" ht="15.75" customHeight="1">
      <c r="A10313" s="2" t="s">
        <v>10313</v>
      </c>
      <c r="B10313" s="2" t="str">
        <f>IFERROR(__xludf.DUMMYFUNCTION("GOOGLETRANSLATE(A10313, ""en"", ""mt"")"),"tipproduċi riżultati akkademiċi aħjar")</f>
        <v>tipproduċi riżultati akkademiċi aħjar</v>
      </c>
    </row>
    <row r="10314" ht="15.75" customHeight="1">
      <c r="A10314" s="2" t="s">
        <v>10314</v>
      </c>
      <c r="B10314" s="2" t="str">
        <f>IFERROR(__xludf.DUMMYFUNCTION("GOOGLETRANSLATE(A10314, ""en"", ""mt"")"),"tliet snin")</f>
        <v>tliet snin</v>
      </c>
    </row>
    <row r="10315" ht="15.75" customHeight="1">
      <c r="A10315" s="2" t="s">
        <v>10315</v>
      </c>
      <c r="B10315" s="2" t="str">
        <f>IFERROR(__xludf.DUMMYFUNCTION("GOOGLETRANSLATE(A10315, ""en"", ""mt"")"),"Fejn Montcalm mexa l-heaquarter tiegħu biex juri rtir strateġiku?")</f>
        <v>Fejn Montcalm mexa l-heaquarter tiegħu biex juri rtir strateġiku?</v>
      </c>
    </row>
    <row r="10316" ht="15.75" customHeight="1">
      <c r="A10316" s="2" t="s">
        <v>10316</v>
      </c>
      <c r="B10316" s="2" t="str">
        <f>IFERROR(__xludf.DUMMYFUNCTION("GOOGLETRANSLATE(A10316, ""en"", ""mt"")"),"Kemm tipi ta 'cnidarians ġew skoperti mad-dinja kollha?")</f>
        <v>Kemm tipi ta 'cnidarians ġew skoperti mad-dinja kollha?</v>
      </c>
    </row>
    <row r="10317" ht="15.75" customHeight="1">
      <c r="A10317" s="2" t="s">
        <v>10317</v>
      </c>
      <c r="B10317" s="2" t="str">
        <f>IFERROR(__xludf.DUMMYFUNCTION("GOOGLETRANSLATE(A10317, ""en"", ""mt"")"),"X'inhu l-isem assoċjat mat-tmien oqsma li jiffurmaw parti min-Nofsinhar ta 'California?")</f>
        <v>X'inhu l-isem assoċjat mat-tmien oqsma li jiffurmaw parti min-Nofsinhar ta 'California?</v>
      </c>
    </row>
    <row r="10318" ht="15.75" customHeight="1">
      <c r="A10318" s="2" t="s">
        <v>10318</v>
      </c>
      <c r="B10318" s="2" t="str">
        <f>IFERROR(__xludf.DUMMYFUNCTION("GOOGLETRANSLATE(A10318, ""en"", ""mt"")"),"Min appella biex tiġi maħluqa aġenzija biex tkun iffokata biss biex timmina l-ideoloġija tal-Iżlamiżmu?")</f>
        <v>Min appella biex tiġi maħluqa aġenzija biex tkun iffokata biss biex timmina l-ideoloġija tal-Iżlamiżmu?</v>
      </c>
    </row>
    <row r="10319" ht="15.75" customHeight="1">
      <c r="A10319" s="2" t="s">
        <v>10319</v>
      </c>
      <c r="B10319" s="2" t="str">
        <f>IFERROR(__xludf.DUMMYFUNCTION("GOOGLETRANSLATE(A10319, ""en"", ""mt"")"),"tradizzjonijiet kulturali, drawwiet soċjali, twemmin reliġjuż")</f>
        <v>tradizzjonijiet kulturali, drawwiet soċjali, twemmin reliġjuż</v>
      </c>
    </row>
    <row r="10320" ht="15.75" customHeight="1">
      <c r="A10320" s="2" t="s">
        <v>10320</v>
      </c>
      <c r="B10320" s="2" t="str">
        <f>IFERROR(__xludf.DUMMYFUNCTION("GOOGLETRANSLATE(A10320, ""en"", ""mt"")"),"Liema viċinat jinsab fil-punent tal-41 Freeway?")</f>
        <v>Liema viċinat jinsab fil-punent tal-41 Freeway?</v>
      </c>
    </row>
    <row r="10321" ht="15.75" customHeight="1">
      <c r="A10321" s="2" t="s">
        <v>10321</v>
      </c>
      <c r="B10321" s="2" t="str">
        <f>IFERROR(__xludf.DUMMYFUNCTION("GOOGLETRANSLATE(A10321, ""en"", ""mt"")"),"Meta Carl Saċerdot skopra l-ossiġnu?")</f>
        <v>Meta Carl Saċerdot skopra l-ossiġnu?</v>
      </c>
    </row>
    <row r="10322" ht="15.75" customHeight="1">
      <c r="A10322" s="2" t="s">
        <v>10322</v>
      </c>
      <c r="B10322" s="2" t="str">
        <f>IFERROR(__xludf.DUMMYFUNCTION("GOOGLETRANSLATE(A10322, ""en"", ""mt"")"),"Meta kienet il-Gwerra tar-Re Ġorġ?")</f>
        <v>Meta kienet il-Gwerra tar-Re Ġorġ?</v>
      </c>
    </row>
    <row r="10323" ht="15.75" customHeight="1">
      <c r="A10323" s="2" t="s">
        <v>10323</v>
      </c>
      <c r="B10323" s="2" t="str">
        <f>IFERROR(__xludf.DUMMYFUNCTION("GOOGLETRANSLATE(A10323, ""en"", ""mt"")"),"Bilanċ tal-popolazzjonijiet mikrobjali")</f>
        <v>Bilanċ tal-popolazzjonijiet mikrobjali</v>
      </c>
    </row>
    <row r="10324" ht="15.75" customHeight="1">
      <c r="A10324" s="2" t="s">
        <v>10324</v>
      </c>
      <c r="B10324" s="2" t="str">
        <f>IFERROR(__xludf.DUMMYFUNCTION("GOOGLETRANSLATE(A10324, ""en"", ""mt"")"),"X'inhu l-isem ta 'tip ieħor ta' test tal-algoritmu modern?")</f>
        <v>X'inhu l-isem ta 'tip ieħor ta' test tal-algoritmu modern?</v>
      </c>
    </row>
    <row r="10325" ht="15.75" customHeight="1">
      <c r="A10325" s="2" t="s">
        <v>10325</v>
      </c>
      <c r="B10325" s="2" t="str">
        <f>IFERROR(__xludf.DUMMYFUNCTION("GOOGLETRANSLATE(A10325, ""en"", ""mt"")"),"bini tal-isptar")</f>
        <v>bini tal-isptar</v>
      </c>
    </row>
    <row r="10326" ht="15.75" customHeight="1">
      <c r="A10326" s="2" t="s">
        <v>10326</v>
      </c>
      <c r="B10326" s="2" t="str">
        <f>IFERROR(__xludf.DUMMYFUNCTION("GOOGLETRANSLATE(A10326, ""en"", ""mt"")"),"F’liema seklu bdiet l-istorja tad-diġestur tal-fwar?")</f>
        <v>F’liema seklu bdiet l-istorja tad-diġestur tal-fwar?</v>
      </c>
    </row>
    <row r="10327" ht="15.75" customHeight="1">
      <c r="A10327" s="2" t="s">
        <v>10327</v>
      </c>
      <c r="B10327" s="2" t="str">
        <f>IFERROR(__xludf.DUMMYFUNCTION("GOOGLETRANSLATE(A10327, ""en"", ""mt"")"),"X'jista 'jiddependi fuq l-elastiċità tat-tkabbir tal-faqar?")</f>
        <v>X'jista 'jiddependi fuq l-elastiċità tat-tkabbir tal-faqar?</v>
      </c>
    </row>
    <row r="10328" ht="15.75" customHeight="1">
      <c r="A10328" s="2" t="s">
        <v>10328</v>
      </c>
      <c r="B10328" s="2" t="str">
        <f>IFERROR(__xludf.DUMMYFUNCTION("GOOGLETRANSLATE(A10328, ""en"", ""mt"")"),"Il-Gvernatur Robert Dinwiddie ta ’Virginia kien investitur fil-Kumpanija Ohio, li kienet titlef il-flus jekk il-Franċiżi kellhom it-talba tagħhom. Biex tiġġieled il-preżenza militari Franċiża fl-Ohio, f'Ottubru 1753 Dinwiddie ordnat lill-Maġġur ta '21 sen"&amp;"a George Washington (li ħuh kien investitur ieħor tal-kumpanija Ohio) tar-Reġiment ta 'Virginia biex iwissi lill-Franċiżi biex jitilqu mit-territorju ta' Virginia. Washington telaq b'parti żgħira, qabad matul it-triq Jacob van Braam bħala interpretu; Chri"&amp;"stopher Gist, survejter tal-kumpanija li jaħdem fiż-żona; u ftit Mingo mmexxija minn Tanaghrisson. Fit-12 ta 'Diċembru, Washington u l-irġiel tiegħu laħqu Fort Le Boeuf.")</f>
        <v>Il-Gvernatur Robert Dinwiddie ta ’Virginia kien investitur fil-Kumpanija Ohio, li kienet titlef il-flus jekk il-Franċiżi kellhom it-talba tagħhom. Biex tiġġieled il-preżenza militari Franċiża fl-Ohio, f'Ottubru 1753 Dinwiddie ordnat lill-Maġġur ta '21 sena George Washington (li ħuh kien investitur ieħor tal-kumpanija Ohio) tar-Reġiment ta 'Virginia biex iwissi lill-Franċiżi biex jitilqu mit-territorju ta' Virginia. Washington telaq b'parti żgħira, qabad matul it-triq Jacob van Braam bħala interpretu; Christopher Gist, survejter tal-kumpanija li jaħdem fiż-żona; u ftit Mingo mmexxija minn Tanaghrisson. Fit-12 ta 'Diċembru, Washington u l-irġiel tiegħu laħqu Fort Le Boeuf.</v>
      </c>
    </row>
    <row r="10329" ht="15.75" customHeight="1">
      <c r="A10329" s="2" t="s">
        <v>10329</v>
      </c>
      <c r="B10329" s="2" t="str">
        <f>IFERROR(__xludf.DUMMYFUNCTION("GOOGLETRANSLATE(A10329, ""en"", ""mt"")"),"Min ipproklama l-embargo taż-żejt?")</f>
        <v>Min ipproklama l-embargo taż-żejt?</v>
      </c>
    </row>
    <row r="10330" ht="15.75" customHeight="1">
      <c r="A10330" s="2" t="s">
        <v>10330</v>
      </c>
      <c r="B10330" s="2" t="str">
        <f>IFERROR(__xludf.DUMMYFUNCTION("GOOGLETRANSLATE(A10330, ""en"", ""mt"")"),"Min ma adottax il-Karta Soċjali?")</f>
        <v>Min ma adottax il-Karta Soċjali?</v>
      </c>
    </row>
    <row r="10331" ht="15.75" customHeight="1">
      <c r="A10331" s="2" t="s">
        <v>10331</v>
      </c>
      <c r="B10331" s="2" t="str">
        <f>IFERROR(__xludf.DUMMYFUNCTION("GOOGLETRANSLATE(A10331, ""en"", ""mt"")"),"Fl-UDP, in-netwerk jiggarantixxi xiex?")</f>
        <v>Fl-UDP, in-netwerk jiggarantixxi xiex?</v>
      </c>
    </row>
    <row r="10332" ht="15.75" customHeight="1">
      <c r="A10332" s="2" t="s">
        <v>10332</v>
      </c>
      <c r="B10332" s="2" t="str">
        <f>IFERROR(__xludf.DUMMYFUNCTION("GOOGLETRANSLATE(A10332, ""en"", ""mt"")"),"Fl-1890, ma 'min iddeċieda li l-università tingħaqad?")</f>
        <v>Fl-1890, ma 'min iddeċieda li l-università tingħaqad?</v>
      </c>
    </row>
    <row r="10333" ht="15.75" customHeight="1">
      <c r="A10333" s="2" t="s">
        <v>10333</v>
      </c>
      <c r="B10333" s="2" t="str">
        <f>IFERROR(__xludf.DUMMYFUNCTION("GOOGLETRANSLATE(A10333, ""en"", ""mt"")"),"1314")</f>
        <v>1314</v>
      </c>
    </row>
    <row r="10334" ht="15.75" customHeight="1">
      <c r="A10334" s="2" t="s">
        <v>10334</v>
      </c>
      <c r="B10334" s="2" t="str">
        <f>IFERROR(__xludf.DUMMYFUNCTION("GOOGLETRANSLATE(A10334, ""en"", ""mt"")"),"F’liema sena l-produzzjoni taż-żejt inqabżet mill-Arabja Sawdita f’pajjiżi oħra?")</f>
        <v>F’liema sena l-produzzjoni taż-żejt inqabżet mill-Arabja Sawdita f’pajjiżi oħra?</v>
      </c>
    </row>
    <row r="10335" ht="15.75" customHeight="1">
      <c r="A10335" s="2" t="s">
        <v>10335</v>
      </c>
      <c r="B10335" s="2" t="str">
        <f>IFERROR(__xludf.DUMMYFUNCTION("GOOGLETRANSLATE(A10335, ""en"", ""mt"")"),"Dak li jgħin lis-sid fid-disinn u l-kostruzzjoni?")</f>
        <v>Dak li jgħin lis-sid fid-disinn u l-kostruzzjoni?</v>
      </c>
    </row>
    <row r="10336" ht="15.75" customHeight="1">
      <c r="A10336" s="2" t="s">
        <v>10336</v>
      </c>
      <c r="B10336" s="2" t="str">
        <f>IFERROR(__xludf.DUMMYFUNCTION("GOOGLETRANSLATE(A10336, ""en"", ""mt"")"),"X'inhu sport li qed jikber fin-Nofsinhar tal-Kalifornja?")</f>
        <v>X'inhu sport li qed jikber fin-Nofsinhar tal-Kalifornja?</v>
      </c>
    </row>
    <row r="10337" ht="15.75" customHeight="1">
      <c r="A10337" s="2" t="s">
        <v>10337</v>
      </c>
      <c r="B10337" s="2" t="str">
        <f>IFERROR(__xludf.DUMMYFUNCTION("GOOGLETRANSLATE(A10337, ""en"", ""mt"")"),"Ir-raba '")</f>
        <v>Ir-raba '</v>
      </c>
    </row>
    <row r="10338" ht="15.75" customHeight="1">
      <c r="A10338" s="2" t="s">
        <v>10338</v>
      </c>
      <c r="B10338" s="2" t="str">
        <f>IFERROR(__xludf.DUMMYFUNCTION("GOOGLETRANSLATE(A10338, ""en"", ""mt"")"),"Tfittex għall-kera")</f>
        <v>Tfittex għall-kera</v>
      </c>
    </row>
    <row r="10339" ht="15.75" customHeight="1">
      <c r="A10339" s="2" t="s">
        <v>10339</v>
      </c>
      <c r="B10339" s="2" t="str">
        <f>IFERROR(__xludf.DUMMYFUNCTION("GOOGLETRANSLATE(A10339, ""en"", ""mt"")"),"Infrastruttura")</f>
        <v>Infrastruttura</v>
      </c>
    </row>
    <row r="10340" ht="15.75" customHeight="1">
      <c r="A10340" s="2" t="s">
        <v>10340</v>
      </c>
      <c r="B10340" s="2" t="str">
        <f>IFERROR(__xludf.DUMMYFUNCTION("GOOGLETRANSLATE(A10340, ""en"", ""mt"")"),"X'kienet ir-raġuni li l-Qorti Kostituzzjonali Taljana tat li rriżultat fis-Sur Costa li jitlef it-talba tiegħu kontra Enel?")</f>
        <v>X'kienet ir-raġuni li l-Qorti Kostituzzjonali Taljana tat li rriżultat fis-Sur Costa li jitlef it-talba tiegħu kontra Enel?</v>
      </c>
    </row>
    <row r="10341" ht="15.75" customHeight="1">
      <c r="A10341" s="2" t="s">
        <v>10341</v>
      </c>
      <c r="B10341" s="2" t="str">
        <f>IFERROR(__xludf.DUMMYFUNCTION("GOOGLETRANSLATE(A10341, ""en"", ""mt"")"),"Liema membri tipikament jiftħu dibattiti?")</f>
        <v>Liema membri tipikament jiftħu dibattiti?</v>
      </c>
    </row>
    <row r="10342" ht="15.75" customHeight="1">
      <c r="A10342" s="2" t="s">
        <v>10342</v>
      </c>
      <c r="B10342" s="2" t="str">
        <f>IFERROR(__xludf.DUMMYFUNCTION("GOOGLETRANSLATE(A10342, ""en"", ""mt"")"),"Min ta donazzjoni lill-Università ta 'Chicago?")</f>
        <v>Min ta donazzjoni lill-Università ta 'Chicago?</v>
      </c>
    </row>
    <row r="10343" ht="15.75" customHeight="1">
      <c r="A10343" s="2" t="s">
        <v>10343</v>
      </c>
      <c r="B10343" s="2" t="str">
        <f>IFERROR(__xludf.DUMMYFUNCTION("GOOGLETRANSLATE(A10343, ""en"", ""mt"")"),"Liema żona fl-Afrika t'Isfel aċċettat kolonisti Huguenot?")</f>
        <v>Liema żona fl-Afrika t'Isfel aċċettat kolonisti Huguenot?</v>
      </c>
    </row>
    <row r="10344" ht="15.75" customHeight="1">
      <c r="A10344" s="2" t="s">
        <v>10344</v>
      </c>
      <c r="B10344" s="2" t="str">
        <f>IFERROR(__xludf.DUMMYFUNCTION("GOOGLETRANSLATE(A10344, ""en"", ""mt"")"),"Minbarra li teħtieġ 17-il klassi, x'iktar hija meħtieġa taħt il-qalba mill-2013-2014?")</f>
        <v>Minbarra li teħtieġ 17-il klassi, x'iktar hija meħtieġa taħt il-qalba mill-2013-2014?</v>
      </c>
    </row>
    <row r="10345" ht="15.75" customHeight="1">
      <c r="A10345" s="2" t="s">
        <v>10345</v>
      </c>
      <c r="B10345" s="2" t="str">
        <f>IFERROR(__xludf.DUMMYFUNCTION("GOOGLETRANSLATE(A10345, ""en"", ""mt"")"),"Pagi tal-Ħaddiema")</f>
        <v>Pagi tal-Ħaddiema</v>
      </c>
    </row>
    <row r="10346" ht="15.75" customHeight="1">
      <c r="A10346" s="2" t="s">
        <v>10346</v>
      </c>
      <c r="B10346" s="2" t="str">
        <f>IFERROR(__xludf.DUMMYFUNCTION("GOOGLETRANSLATE(A10346, ""en"", ""mt"")"),"L-università rreġistrat 5,984 student fil-kulleġġ u kemm fl-iskejjel professjonali tagħha?")</f>
        <v>L-università rreġistrat 5,984 student fil-kulleġġ u kemm fl-iskejjel professjonali tagħha?</v>
      </c>
    </row>
    <row r="10347" ht="15.75" customHeight="1">
      <c r="A10347" s="2" t="s">
        <v>10347</v>
      </c>
      <c r="B10347" s="2" t="str">
        <f>IFERROR(__xludf.DUMMYFUNCTION("GOOGLETRANSLATE(A10347, ""en"", ""mt"")"),"X’tesplikat l-għeruq Ingliż Pharmakos?")</f>
        <v>X’tesplikat l-għeruq Ingliż Pharmakos?</v>
      </c>
    </row>
    <row r="10348" ht="15.75" customHeight="1">
      <c r="A10348" s="2" t="s">
        <v>10348</v>
      </c>
      <c r="B10348" s="2" t="str">
        <f>IFERROR(__xludf.DUMMYFUNCTION("GOOGLETRANSLATE(A10348, ""en"", ""mt"")"),"X'inhi t-traduzzjoni bl-Ingliż ta 'het scheur?")</f>
        <v>X'inhi t-traduzzjoni bl-Ingliż ta 'het scheur?</v>
      </c>
    </row>
    <row r="10349" ht="15.75" customHeight="1">
      <c r="A10349" s="2" t="s">
        <v>10349</v>
      </c>
      <c r="B10349" s="2" t="str">
        <f>IFERROR(__xludf.DUMMYFUNCTION("GOOGLETRANSLATE(A10349, ""en"", ""mt"")"),"Xi jfisser rapport tal-2013 dwar in-Niġerja?")</f>
        <v>Xi jfisser rapport tal-2013 dwar in-Niġerja?</v>
      </c>
    </row>
    <row r="10350" ht="15.75" customHeight="1">
      <c r="A10350" s="2" t="s">
        <v>10350</v>
      </c>
      <c r="B10350" s="2" t="str">
        <f>IFERROR(__xludf.DUMMYFUNCTION("GOOGLETRANSLATE(A10350, ""en"", ""mt"")"),"X'inhu żżid ir-rati ta 'intraprenditorija fil-livell individwali?")</f>
        <v>X'inhu żżid ir-rati ta 'intraprenditorija fil-livell individwali?</v>
      </c>
    </row>
    <row r="10351" ht="15.75" customHeight="1">
      <c r="A10351" s="2" t="s">
        <v>10351</v>
      </c>
      <c r="B10351" s="2" t="str">
        <f>IFERROR(__xludf.DUMMYFUNCTION("GOOGLETRANSLATE(A10351, ""en"", ""mt"")"),"Fejn kienu l-linji tal-ferrovija tal-kejl dojoq imwaqqa 'fir-Rabat?")</f>
        <v>Fejn kienu l-linji tal-ferrovija tal-kejl dojoq imwaqqa 'fir-Rabat?</v>
      </c>
    </row>
    <row r="10352" ht="15.75" customHeight="1">
      <c r="A10352" s="2" t="s">
        <v>10352</v>
      </c>
      <c r="B10352" s="2" t="str">
        <f>IFERROR(__xludf.DUMMYFUNCTION("GOOGLETRANSLATE(A10352, ""en"", ""mt"")"),"1 ta ’Settembru 1939")</f>
        <v>1 ta ’Settembru 1939</v>
      </c>
    </row>
    <row r="10353" ht="15.75" customHeight="1">
      <c r="A10353" s="2" t="s">
        <v>10353</v>
      </c>
      <c r="B10353" s="2" t="str">
        <f>IFERROR(__xludf.DUMMYFUNCTION("GOOGLETRANSLATE(A10353, ""en"", ""mt"")"),"Liema kobor ta 'terremot jista' jipproduċi ħafna ħsarat?")</f>
        <v>Liema kobor ta 'terremot jista' jipproduċi ħafna ħsarat?</v>
      </c>
    </row>
    <row r="10354" ht="15.75" customHeight="1">
      <c r="A10354" s="2" t="s">
        <v>10354</v>
      </c>
      <c r="B10354" s="2" t="str">
        <f>IFERROR(__xludf.DUMMYFUNCTION("GOOGLETRANSLATE(A10354, ""en"", ""mt"")"),"Klassijiet oħra ta 'kumplessità importanti jinkludu BPP, ZPP u RP, li huma definiti bl-użu ta' magni tat-Turing probabilistiċi; AC u NC, li huma definiti bl-użu ta 'ċirkwiti Boolean; u BQP u QMA, li huma definiti bl-użu ta 'magni ta' Turing Quantum. #P hi"&amp;"ja klassi ta 'kumplessità importanti ta' problemi ta 'għadd (mhux problemi ta' deċiżjoni). Klassijiet bħal IP u AM huma definiti bl-użu ta 'sistemi ta' prova interattiva. Kollha hija l-klassi tal-problemi kollha ta 'deċiżjoni.")</f>
        <v>Klassijiet oħra ta 'kumplessità importanti jinkludu BPP, ZPP u RP, li huma definiti bl-użu ta' magni tat-Turing probabilistiċi; AC u NC, li huma definiti bl-użu ta 'ċirkwiti Boolean; u BQP u QMA, li huma definiti bl-użu ta 'magni ta' Turing Quantum. #P hija klassi ta 'kumplessità importanti ta' problemi ta 'għadd (mhux problemi ta' deċiżjoni). Klassijiet bħal IP u AM huma definiti bl-użu ta 'sistemi ta' prova interattiva. Kollha hija l-klassi tal-problemi kollha ta 'deċiżjoni.</v>
      </c>
    </row>
    <row r="10355" ht="15.75" customHeight="1">
      <c r="A10355" s="2" t="s">
        <v>10355</v>
      </c>
      <c r="B10355" s="2" t="str">
        <f>IFERROR(__xludf.DUMMYFUNCTION("GOOGLETRANSLATE(A10355, ""en"", ""mt"")"),"X'inhi espressjoni li CAAN tintuża biex turi s-suspettat fl-ugwaljanza ta 'klassijiet ta' kumplessità?")</f>
        <v>X'inhi espressjoni li CAAN tintuża biex turi s-suspettat fl-ugwaljanza ta 'klassijiet ta' kumplessità?</v>
      </c>
    </row>
    <row r="10356" ht="15.75" customHeight="1">
      <c r="A10356" s="2" t="s">
        <v>10356</v>
      </c>
      <c r="B10356" s="2" t="str">
        <f>IFERROR(__xludf.DUMMYFUNCTION("GOOGLETRANSLATE(A10356, ""en"", ""mt"")"),"X'inhi kostruzzjoni flessibbli simili għal?")</f>
        <v>X'inhi kostruzzjoni flessibbli simili għal?</v>
      </c>
    </row>
    <row r="10357" ht="15.75" customHeight="1">
      <c r="A10357" s="2" t="s">
        <v>10357</v>
      </c>
      <c r="B10357" s="2" t="str">
        <f>IFERROR(__xludf.DUMMYFUNCTION("GOOGLETRANSLATE(A10357, ""en"", ""mt"")"),"X'tip ta 'algoritmu huwa diviżjoni ta' prova?")</f>
        <v>X'tip ta 'algoritmu huwa diviżjoni ta' prova?</v>
      </c>
    </row>
    <row r="10358" ht="15.75" customHeight="1">
      <c r="A10358" s="2" t="s">
        <v>10358</v>
      </c>
      <c r="B10358" s="2" t="str">
        <f>IFERROR(__xludf.DUMMYFUNCTION("GOOGLETRANSLATE(A10358, ""en"", ""mt"")"),"Fl-1066, id-Duka William II tan-Normandija ħakmu l-Ingilterra li qatlet ir-Re Harold II fil-Battalja ta ’Hastings. In-Normanni li jinvadu u d-dixxendenti tagħhom issostitwixxew l-Anglo-Sassoni bħala l-klassi dominanti tal-Ingilterra. In-nobbli ta 'l-Ingil"&amp;"terra kienet parti minn kultura ta' Normans waħda u ħafna kellhom artijiet fuq iż-żewġ naħat tal-kanal. Kings Norman bikrija tal-Ingilterra, bħala Dukes of Normandy, kellhom ġieħ lir-Re ta ’Franza għall-art tagħhom fuq il-kontinent. Huma kkunsidraw l-Ingi"&amp;"lterra bħala l-iktar azjenda importanti tagħhom (ġab miegħu t-titlu ta 'king - simbolu ta' status importanti).")</f>
        <v>Fl-1066, id-Duka William II tan-Normandija ħakmu l-Ingilterra li qatlet ir-Re Harold II fil-Battalja ta ’Hastings. In-Normanni li jinvadu u d-dixxendenti tagħhom issostitwixxew l-Anglo-Sassoni bħala l-klassi dominanti tal-Ingilterra. In-nobbli ta 'l-Ingilterra kienet parti minn kultura ta' Normans waħda u ħafna kellhom artijiet fuq iż-żewġ naħat tal-kanal. Kings Norman bikrija tal-Ingilterra, bħala Dukes of Normandy, kellhom ġieħ lir-Re ta ’Franza għall-art tagħhom fuq il-kontinent. Huma kkunsidraw l-Ingilterra bħala l-iktar azjenda importanti tagħhom (ġab miegħu t-titlu ta 'king - simbolu ta' status importanti).</v>
      </c>
    </row>
    <row r="10359" ht="15.75" customHeight="1">
      <c r="A10359" s="2" t="s">
        <v>10359</v>
      </c>
      <c r="B10359" s="2" t="str">
        <f>IFERROR(__xludf.DUMMYFUNCTION("GOOGLETRANSLATE(A10359, ""en"", ""mt"")"),"Meta nqabdu l-Muntanji Vosges maqbuda mir-Renu?")</f>
        <v>Meta nqabdu l-Muntanji Vosges maqbuda mir-Renu?</v>
      </c>
    </row>
    <row r="10360" ht="15.75" customHeight="1">
      <c r="A10360" s="2" t="s">
        <v>10360</v>
      </c>
      <c r="B10360" s="2" t="str">
        <f>IFERROR(__xludf.DUMMYFUNCTION("GOOGLETRANSLATE(A10360, ""en"", ""mt"")"),"Fejn il-biċċa l-kbira tal-Huguenots iddeċidew li jgħixu?")</f>
        <v>Fejn il-biċċa l-kbira tal-Huguenots iddeċidew li jgħixu?</v>
      </c>
    </row>
    <row r="10361" ht="15.75" customHeight="1">
      <c r="A10361" s="2" t="s">
        <v>10361</v>
      </c>
      <c r="B10361" s="2" t="str">
        <f>IFERROR(__xludf.DUMMYFUNCTION("GOOGLETRANSLATE(A10361, ""en"", ""mt"")"),"Meta ngħalqet il-Librerija tal-Università?")</f>
        <v>Meta ngħalqet il-Librerija tal-Università?</v>
      </c>
    </row>
    <row r="10362" ht="15.75" customHeight="1">
      <c r="A10362" s="2" t="s">
        <v>10362</v>
      </c>
      <c r="B10362" s="2" t="str">
        <f>IFERROR(__xludf.DUMMYFUNCTION("GOOGLETRANSLATE(A10362, ""en"", ""mt"")"),"Tfal li servew bħala messaġġiera u truppi ta 'quddiem fir-rewwixta ta' Varsavja")</f>
        <v>Tfal li servew bħala messaġġiera u truppi ta 'quddiem fir-rewwixta ta' Varsavja</v>
      </c>
    </row>
    <row r="10363" ht="15.75" customHeight="1">
      <c r="A10363" s="2" t="s">
        <v>10363</v>
      </c>
      <c r="B10363" s="2" t="str">
        <f>IFERROR(__xludf.DUMMYFUNCTION("GOOGLETRANSLATE(A10363, ""en"", ""mt"")"),"Ftit millimetri għal 1.5 m")</f>
        <v>Ftit millimetri għal 1.5 m</v>
      </c>
    </row>
    <row r="10364" ht="15.75" customHeight="1">
      <c r="A10364" s="2" t="s">
        <v>10364</v>
      </c>
      <c r="B10364" s="2" t="str">
        <f>IFERROR(__xludf.DUMMYFUNCTION("GOOGLETRANSLATE(A10364, ""en"", ""mt"")")," X'kien it-titlu Spanjol tal-ktieb ta 'Polo?")</f>
        <v> X'kien it-titlu Spanjol tal-ktieb ta 'Polo?</v>
      </c>
    </row>
    <row r="10365" ht="15.75" customHeight="1">
      <c r="A10365" s="2" t="s">
        <v>10365</v>
      </c>
      <c r="B10365" s="2" t="str">
        <f>IFERROR(__xludf.DUMMYFUNCTION("GOOGLETRANSLATE(A10365, ""en"", ""mt"")"),"Il-bdil tal-pakketti jitlob ħlas meta ma tiġi trasferita l-ebda dejta?")</f>
        <v>Il-bdil tal-pakketti jitlob ħlas meta ma tiġi trasferita l-ebda dejta?</v>
      </c>
    </row>
    <row r="10366" ht="15.75" customHeight="1">
      <c r="A10366" s="2" t="s">
        <v>10366</v>
      </c>
      <c r="B10366" s="2" t="str">
        <f>IFERROR(__xludf.DUMMYFUNCTION("GOOGLETRANSLATE(A10366, ""en"", ""mt"")"),"Min jipproponi d-data tal-elezzjoni ma tkunx varjata?")</f>
        <v>Min jipproponi d-data tal-elezzjoni ma tkunx varjata?</v>
      </c>
    </row>
    <row r="10367" ht="15.75" customHeight="1">
      <c r="A10367" s="2" t="s">
        <v>10367</v>
      </c>
      <c r="B10367" s="2" t="str">
        <f>IFERROR(__xludf.DUMMYFUNCTION("GOOGLETRANSLATE(A10367, ""en"", ""mt"")"),"sustanzi ċari b'kulur ċar blu-sema")</f>
        <v>sustanzi ċari b'kulur ċar blu-sema</v>
      </c>
    </row>
    <row r="10368" ht="15.75" customHeight="1">
      <c r="A10368" s="2" t="s">
        <v>10368</v>
      </c>
      <c r="B10368" s="2" t="str">
        <f>IFERROR(__xludf.DUMMYFUNCTION("GOOGLETRANSLATE(A10368, ""en"", ""mt"")"),"Meta kien hemm tnaqqis fin-numru ta 'membri parlamentari Skoċċiżi?")</f>
        <v>Meta kien hemm tnaqqis fin-numru ta 'membri parlamentari Skoċċiżi?</v>
      </c>
    </row>
    <row r="10369" ht="15.75" customHeight="1">
      <c r="A10369" s="2" t="s">
        <v>10369</v>
      </c>
      <c r="B10369" s="2" t="str">
        <f>IFERROR(__xludf.DUMMYFUNCTION("GOOGLETRANSLATE(A10369, ""en"", ""mt"")"),"Movimenti Iżlamisti bħall-Fratellanza Musulmana, ""huma magħrufa sew għall-għoti ta 'kenn, assistenza edukattiva, kliniċi mediċi b'xejn jew bi prezz baxx, assistenza ta' akkomodazzjoni lil studenti minn barra mill-belt, gruppi konsultattivi ta 'studenti, "&amp;"faċilitazzjoni ta' ċerimonji rħas taż-żwieġ tal-massa biex tevita dota li tiswa ħafna flus Talbiet, assistenza legali, faċilitajiet sportivi, u gruppi tan-nisa. "" Dan kollu jikkompara b'mod favorevoli ma 'gvernijiet inkompetenti, ineffiċjenti, jew negliċ"&amp;"i li l-impenn tagħhom għall-ġustizzja soċjali huwa limitat għar-retorika.")</f>
        <v>Movimenti Iżlamisti bħall-Fratellanza Musulmana, "huma magħrufa sew għall-għoti ta 'kenn, assistenza edukattiva, kliniċi mediċi b'xejn jew bi prezz baxx, assistenza ta' akkomodazzjoni lil studenti minn barra mill-belt, gruppi konsultattivi ta 'studenti, faċilitazzjoni ta' ċerimonji rħas taż-żwieġ tal-massa biex tevita dota li tiswa ħafna flus Talbiet, assistenza legali, faċilitajiet sportivi, u gruppi tan-nisa. " Dan kollu jikkompara b'mod favorevoli ma 'gvernijiet inkompetenti, ineffiċjenti, jew negliċi li l-impenn tagħhom għall-ġustizzja soċjali huwa limitat għar-retorika.</v>
      </c>
    </row>
    <row r="10370" ht="15.75" customHeight="1">
      <c r="A10370" s="2" t="s">
        <v>10370</v>
      </c>
      <c r="B10370" s="2" t="str">
        <f>IFERROR(__xludf.DUMMYFUNCTION("GOOGLETRANSLATE(A10370, ""en"", ""mt"")"),"Fir-renju tar-Re Ġorġ")</f>
        <v>Fir-renju tar-Re Ġorġ</v>
      </c>
    </row>
    <row r="10371" ht="15.75" customHeight="1">
      <c r="A10371" s="2" t="s">
        <v>10371</v>
      </c>
      <c r="B10371" s="2" t="str">
        <f>IFERROR(__xludf.DUMMYFUNCTION("GOOGLETRANSLATE(A10371, ""en"", ""mt"")"),"Wara t-tieni sena tagħhom")</f>
        <v>Wara t-tieni sena tagħhom</v>
      </c>
    </row>
    <row r="10372" ht="15.75" customHeight="1">
      <c r="A10372" s="2" t="s">
        <v>10372</v>
      </c>
      <c r="B10372" s="2" t="str">
        <f>IFERROR(__xludf.DUMMYFUNCTION("GOOGLETRANSLATE(A10372, ""en"", ""mt"")"),"X'għandha t-tendenza li żżid il-pagi f'qasam jew pożizzjoni tax-xogħol?")</f>
        <v>X'għandha t-tendenza li żżid il-pagi f'qasam jew pożizzjoni tax-xogħol?</v>
      </c>
    </row>
    <row r="10373" ht="15.75" customHeight="1">
      <c r="A10373" s="2" t="s">
        <v>10373</v>
      </c>
      <c r="B10373" s="2" t="str">
        <f>IFERROR(__xludf.DUMMYFUNCTION("GOOGLETRANSLATE(A10373, ""en"", ""mt"")"),"Liema isem ta 'era Ċiniża adotta Kublai?")</f>
        <v>Liema isem ta 'era Ċiniża adotta Kublai?</v>
      </c>
    </row>
    <row r="10374" ht="15.75" customHeight="1">
      <c r="A10374" s="2" t="s">
        <v>10374</v>
      </c>
      <c r="B10374" s="2" t="str">
        <f>IFERROR(__xludf.DUMMYFUNCTION("GOOGLETRANSLATE(A10374, ""en"", ""mt"")"),"Min kienu d-detraturi ewlenin tat-teorija umoristika tal-immunità?")</f>
        <v>Min kienu d-detraturi ewlenin tat-teorija umoristika tal-immunità?</v>
      </c>
    </row>
    <row r="10375" ht="15.75" customHeight="1">
      <c r="A10375" s="2" t="s">
        <v>10375</v>
      </c>
      <c r="B10375" s="2" t="str">
        <f>IFERROR(__xludf.DUMMYFUNCTION("GOOGLETRANSLATE(A10375, ""en"", ""mt"")"),"Iċ-ċiklu tal-karbonju")</f>
        <v>Iċ-ċiklu tal-karbonju</v>
      </c>
    </row>
    <row r="10376" ht="15.75" customHeight="1">
      <c r="A10376" s="2" t="s">
        <v>10376</v>
      </c>
      <c r="B10376" s="2" t="str">
        <f>IFERROR(__xludf.DUMMYFUNCTION("GOOGLETRANSLATE(A10376, ""en"", ""mt"")"),"F’liema sena l-kleru daħal fl-Ingilterra?")</f>
        <v>F’liema sena l-kleru daħal fl-Ingilterra?</v>
      </c>
    </row>
    <row r="10377" ht="15.75" customHeight="1">
      <c r="A10377" s="2" t="s">
        <v>10377</v>
      </c>
      <c r="B10377" s="2" t="str">
        <f>IFERROR(__xludf.DUMMYFUNCTION("GOOGLETRANSLATE(A10377, ""en"", ""mt"")"),"Għall-klassijiet ta 'kumplessità definiti b'dan il-mod, huwa mixtieq li tipprova li l-illaxkar tar-rekwiżiti fuq (ngħidu aħna) il-ħin tal-komputazzjoni tabilħaqq jiddefinixxi sett akbar ta' problemi. B'mod partikolari, għalkemm dtime (n) tinsab fi dtime ("&amp;"n2), ikun interessanti li tkun taf jekk l-inklużjoni hijiex stretta. Għal rekwiżiti ta 'ħin u spazju, it-tweġiba għal dawn il-mistoqsijiet tingħata mit-teoremi tal-ġerarkija tal-ħin u tal-ispazju rispettivament. Huma msejħa teoremi tal-ġerarkija minħabba "&amp;"li jinduċu ġerarkija xierqa fuq il-klassijiet definiti billi jillimitaw ir-riżorsi rispettivi. Għalhekk hemm pari ta 'klassijiet ta' kumplessità tali li wieħed ikun inkluż sew fl-ieħor. Wara li dedotta dawn l-inklużjonijiet ta 'sett xieraq, nistgħu nippro"&amp;"ċedu biex nagħmlu dikjarazzjonijiet kwantitattivi dwar kemm hemm bżonn ta' aktar ħin jew spazju addizzjonali sabiex jiżdied in-numru ta 'problemi li jistgħu jiġu solvuti.")</f>
        <v>Għall-klassijiet ta 'kumplessità definiti b'dan il-mod, huwa mixtieq li tipprova li l-illaxkar tar-rekwiżiti fuq (ngħidu aħna) il-ħin tal-komputazzjoni tabilħaqq jiddefinixxi sett akbar ta' problemi. B'mod partikolari, għalkemm dtime (n) tinsab fi dtime (n2), ikun interessanti li tkun taf jekk l-inklużjoni hijiex stretta. Għal rekwiżiti ta 'ħin u spazju, it-tweġiba għal dawn il-mistoqsijiet tingħata mit-teoremi tal-ġerarkija tal-ħin u tal-ispazju rispettivament. Huma msejħa teoremi tal-ġerarkija minħabba li jinduċu ġerarkija xierqa fuq il-klassijiet definiti billi jillimitaw ir-riżorsi rispettivi. Għalhekk hemm pari ta 'klassijiet ta' kumplessità tali li wieħed ikun inkluż sew fl-ieħor. Wara li dedotta dawn l-inklużjonijiet ta 'sett xieraq, nistgħu nipproċedu biex nagħmlu dikjarazzjonijiet kwantitattivi dwar kemm hemm bżonn ta' aktar ħin jew spazju addizzjonali sabiex jiżdied in-numru ta 'problemi li jistgħu jiġu solvuti.</v>
      </c>
    </row>
    <row r="10378" ht="15.75" customHeight="1">
      <c r="A10378" s="2" t="s">
        <v>10378</v>
      </c>
      <c r="B10378" s="2" t="str">
        <f>IFERROR(__xludf.DUMMYFUNCTION("GOOGLETRANSLATE(A10378, ""en"", ""mt"")"),"Sky UK Limited qabel kien magħruf b'liema isem?")</f>
        <v>Sky UK Limited qabel kien magħruf b'liema isem?</v>
      </c>
    </row>
    <row r="10379" ht="15.75" customHeight="1">
      <c r="A10379" s="2" t="s">
        <v>10379</v>
      </c>
      <c r="B10379" s="2" t="str">
        <f>IFERROR(__xludf.DUMMYFUNCTION("GOOGLETRANSLATE(A10379, ""en"", ""mt"")"),"X'inhuma l-punti ta 'oġġetti alġebro-ġeometriċi?")</f>
        <v>X'inhuma l-punti ta 'oġġetti alġebro-ġeometriċi?</v>
      </c>
    </row>
    <row r="10380" ht="15.75" customHeight="1">
      <c r="A10380" s="2" t="s">
        <v>10380</v>
      </c>
      <c r="B10380" s="2" t="str">
        <f>IFERROR(__xludf.DUMMYFUNCTION("GOOGLETRANSLATE(A10380, ""en"", ""mt"")"),"Formazzjonijiet tal-ħadid banded")</f>
        <v>Formazzjonijiet tal-ħadid banded</v>
      </c>
    </row>
    <row r="10381" ht="15.75" customHeight="1">
      <c r="A10381" s="2" t="s">
        <v>10381</v>
      </c>
      <c r="B10381" s="2" t="str">
        <f>IFERROR(__xludf.DUMMYFUNCTION("GOOGLETRANSLATE(A10381, ""en"", ""mt"")"),"X'inhu inqas f'pajjiżi b'aktar inugwaljanza għall-aqwa 21 pajjiż industrijalizzat?")</f>
        <v>X'inhu inqas f'pajjiżi b'aktar inugwaljanza għall-aqwa 21 pajjiż industrijalizzat?</v>
      </c>
    </row>
    <row r="10382" ht="15.75" customHeight="1">
      <c r="A10382" s="2" t="s">
        <v>10382</v>
      </c>
      <c r="B10382" s="2" t="str">
        <f>IFERROR(__xludf.DUMMYFUNCTION("GOOGLETRANSLATE(A10382, ""en"", ""mt"")"),"Fejn ibiddel l-isem Nederrijn?")</f>
        <v>Fejn ibiddel l-isem Nederrijn?</v>
      </c>
    </row>
    <row r="10383" ht="15.75" customHeight="1">
      <c r="A10383" s="2" t="s">
        <v>10383</v>
      </c>
      <c r="B10383" s="2" t="str">
        <f>IFERROR(__xludf.DUMMYFUNCTION("GOOGLETRANSLATE(A10383, ""en"", ""mt"")"),"a + bi")</f>
        <v>a + bi</v>
      </c>
    </row>
    <row r="10384" ht="15.75" customHeight="1">
      <c r="A10384" s="2" t="s">
        <v>10384</v>
      </c>
      <c r="B10384" s="2" t="str">
        <f>IFERROR(__xludf.DUMMYFUNCTION("GOOGLETRANSLATE(A10384, ""en"", ""mt"")"),"1024-bit")</f>
        <v>1024-bit</v>
      </c>
    </row>
    <row r="10385" ht="15.75" customHeight="1">
      <c r="A10385" s="2" t="s">
        <v>10385</v>
      </c>
      <c r="B10385" s="2" t="str">
        <f>IFERROR(__xludf.DUMMYFUNCTION("GOOGLETRANSLATE(A10385, ""en"", ""mt"")"),"L-Amerka ta 'Fuq")</f>
        <v>L-Amerka ta 'Fuq</v>
      </c>
    </row>
    <row r="10386" ht="15.75" customHeight="1">
      <c r="A10386" s="2" t="s">
        <v>10386</v>
      </c>
      <c r="B10386" s="2" t="str">
        <f>IFERROR(__xludf.DUMMYFUNCTION("GOOGLETRANSLATE(A10386, ""en"", ""mt"")"),"Ir-regola kolonjali tkun ikkunsidrata bħala tip ta 'imperjalizmu?")</f>
        <v>Ir-regola kolonjali tkun ikkunsidrata bħala tip ta 'imperjalizmu?</v>
      </c>
    </row>
    <row r="10387" ht="15.75" customHeight="1">
      <c r="A10387" s="2" t="s">
        <v>10387</v>
      </c>
      <c r="B10387" s="2" t="str">
        <f>IFERROR(__xludf.DUMMYFUNCTION("GOOGLETRANSLATE(A10387, ""en"", ""mt"")"),"Għerf, kompassjoni, ġustizzja u integrità")</f>
        <v>Għerf, kompassjoni, ġustizzja u integrità</v>
      </c>
    </row>
    <row r="10388" ht="15.75" customHeight="1">
      <c r="A10388" s="2" t="s">
        <v>10388</v>
      </c>
      <c r="B10388" s="2" t="str">
        <f>IFERROR(__xludf.DUMMYFUNCTION("GOOGLETRANSLATE(A10388, ""en"", ""mt"")"),"X’kienet il-biża ’Iqbal iddgħajjef il-pedamenti spiritwali tal-Iżlam u s-soċjetà Musulmana?")</f>
        <v>X’kienet il-biża ’Iqbal iddgħajjef il-pedamenti spiritwali tal-Iżlam u s-soċjetà Musulmana?</v>
      </c>
    </row>
    <row r="10389" ht="15.75" customHeight="1">
      <c r="A10389" s="2" t="s">
        <v>10389</v>
      </c>
      <c r="B10389" s="2" t="str">
        <f>IFERROR(__xludf.DUMMYFUNCTION("GOOGLETRANSLATE(A10389, ""en"", ""mt"")"),"X’forma fil-wied Coachella fit-tramuntana tal-Kontea ta ’Orange?")</f>
        <v>X’forma fil-wied Coachella fit-tramuntana tal-Kontea ta ’Orange?</v>
      </c>
    </row>
    <row r="10390" ht="15.75" customHeight="1">
      <c r="A10390" s="2" t="s">
        <v>10390</v>
      </c>
      <c r="B10390" s="2" t="str">
        <f>IFERROR(__xludf.DUMMYFUNCTION("GOOGLETRANSLATE(A10390, ""en"", ""mt"")"),"Nazzjonijiet magħquda")</f>
        <v>Nazzjonijiet magħquda</v>
      </c>
    </row>
    <row r="10391" ht="15.75" customHeight="1">
      <c r="A10391" s="2" t="s">
        <v>10391</v>
      </c>
      <c r="B10391" s="2" t="str">
        <f>IFERROR(__xludf.DUMMYFUNCTION("GOOGLETRANSLATE(A10391, ""en"", ""mt"")"),"X'inhi s-suppożizzjoni mhux ippruvata ġeneralment attribwita għall-valur tal-klassijiet ta 'kumplessità?")</f>
        <v>X'inhi s-suppożizzjoni mhux ippruvata ġeneralment attribwita għall-valur tal-klassijiet ta 'kumplessità?</v>
      </c>
    </row>
    <row r="10392" ht="15.75" customHeight="1">
      <c r="A10392" s="2" t="s">
        <v>10392</v>
      </c>
      <c r="B10392" s="2" t="str">
        <f>IFERROR(__xludf.DUMMYFUNCTION("GOOGLETRANSLATE(A10392, ""en"", ""mt"")"),"Indikatur tal-magna bil-fwar")</f>
        <v>Indikatur tal-magna bil-fwar</v>
      </c>
    </row>
    <row r="10393" ht="15.75" customHeight="1">
      <c r="A10393" s="2" t="s">
        <v>10393</v>
      </c>
      <c r="B10393" s="2" t="str">
        <f>IFERROR(__xludf.DUMMYFUNCTION("GOOGLETRANSLATE(A10393, ""en"", ""mt"")"),"L-ispiżjara huma dejjem aktar mistennija li jkunu kkumpensati għall-ħiliet tal-kura tal-pazjent tagħhom")</f>
        <v>L-ispiżjara huma dejjem aktar mistennija li jkunu kkumpensati għall-ħiliet tal-kura tal-pazjent tagħhom</v>
      </c>
    </row>
    <row r="10394" ht="15.75" customHeight="1">
      <c r="A10394" s="2" t="s">
        <v>10394</v>
      </c>
      <c r="B10394" s="2" t="str">
        <f>IFERROR(__xludf.DUMMYFUNCTION("GOOGLETRANSLATE(A10394, ""en"", ""mt"")"),"Los Angeles Kings")</f>
        <v>Los Angeles Kings</v>
      </c>
    </row>
    <row r="10395" ht="15.75" customHeight="1">
      <c r="A10395" s="2" t="s">
        <v>10395</v>
      </c>
      <c r="B10395" s="2" t="str">
        <f>IFERROR(__xludf.DUMMYFUNCTION("GOOGLETRANSLATE(A10395, ""en"", ""mt"")"),"il-pjanuri aridi tal-Asja Ċentrali")</f>
        <v>il-pjanuri aridi tal-Asja Ċentrali</v>
      </c>
    </row>
    <row r="10396" ht="15.75" customHeight="1">
      <c r="A10396" s="2" t="s">
        <v>10396</v>
      </c>
      <c r="B10396" s="2" t="str">
        <f>IFERROR(__xludf.DUMMYFUNCTION("GOOGLETRANSLATE(A10396, ""en"", ""mt"")"),"Meta nbniet ir-Rotta 99 tal-Istat?")</f>
        <v>Meta nbniet ir-Rotta 99 tal-Istat?</v>
      </c>
    </row>
    <row r="10397" ht="15.75" customHeight="1">
      <c r="A10397" s="2" t="s">
        <v>10397</v>
      </c>
      <c r="B10397" s="2" t="str">
        <f>IFERROR(__xludf.DUMMYFUNCTION("GOOGLETRANSLATE(A10397, ""en"", ""mt"")"),"L-ewwel")</f>
        <v>L-ewwel</v>
      </c>
    </row>
    <row r="10398" ht="15.75" customHeight="1">
      <c r="A10398" s="2" t="s">
        <v>10398</v>
      </c>
      <c r="B10398" s="2" t="str">
        <f>IFERROR(__xludf.DUMMYFUNCTION("GOOGLETRANSLATE(A10398, ""en"", ""mt"")"),"Għal liema tul tista 'tikber il-flagella?")</f>
        <v>Għal liema tul tista 'tikber il-flagella?</v>
      </c>
    </row>
    <row r="10399" ht="15.75" customHeight="1">
      <c r="A10399" s="2" t="s">
        <v>10399</v>
      </c>
      <c r="B10399" s="2" t="str">
        <f>IFERROR(__xludf.DUMMYFUNCTION("GOOGLETRANSLATE(A10399, ""en"", ""mt"")"),"X'jiġri meta Bathocyroe u Ocyropsis jaqbdu l-lobi tagħhom flimkien?")</f>
        <v>X'jiġri meta Bathocyroe u Ocyropsis jaqbdu l-lobi tagħhom flimkien?</v>
      </c>
    </row>
    <row r="10400" ht="15.75" customHeight="1">
      <c r="A10400" s="2" t="s">
        <v>10400</v>
      </c>
      <c r="B10400" s="2" t="str">
        <f>IFERROR(__xludf.DUMMYFUNCTION("GOOGLETRANSLATE(A10400, ""en"", ""mt"")"),"X'kien l-ewwel netwerk Internet2 maħluq ma 'NLR?")</f>
        <v>X'kien l-ewwel netwerk Internet2 maħluq ma 'NLR?</v>
      </c>
    </row>
    <row r="10401" ht="15.75" customHeight="1">
      <c r="A10401" s="2" t="s">
        <v>10401</v>
      </c>
      <c r="B10401" s="2" t="str">
        <f>IFERROR(__xludf.DUMMYFUNCTION("GOOGLETRANSLATE(A10401, ""en"", ""mt"")"),"Liema oqsma tal-Ewropa tat-Tramuntana pprattikaw dawk ir-reliġjonijiet?")</f>
        <v>Liema oqsma tal-Ewropa tat-Tramuntana pprattikaw dawk ir-reliġjonijiet?</v>
      </c>
    </row>
    <row r="10402" ht="15.75" customHeight="1">
      <c r="A10402" s="2" t="s">
        <v>10402</v>
      </c>
      <c r="B10402" s="2" t="str">
        <f>IFERROR(__xludf.DUMMYFUNCTION("GOOGLETRANSLATE(A10402, ""en"", ""mt"")"),"Matul is-snin sebgħin u xi kultant wara, il-gvernijiet tal-Punent u favur il-Punent spiss appoġġjaw Iżlamisti u gruppi Iżlamisti li aktar tard ġew meqjusa bħala għedewwa perikolużi. L-Iżlamisti kienu meqjusa mill-gvernijiet tal-Punent li jbatu kontra - da"&amp;"k li kien maħsub li kien dak iż-żmien - aktar perikolużi xellugin / Komunisti / Nazzjonalisti Insurgenti / oppożizzjoni, li l-Iżlamisti kienu meqjusa b'mod korrett bħala opposti. L-Istati Uniti nefqu biljuni ta 'dollari biex jgħinu lill-għedewwa tal-Mujah"&amp;"ideen Musulmani Afganistan tal-Unjoni Sovjetika, u veterani mhux Afgani tal-gwerra rritornaw id-dar bil-prestiġju tagħhom, ""esperjenza, ideoloġija, u armi"", u kellhom impatt konsiderevoli.")</f>
        <v>Matul is-snin sebgħin u xi kultant wara, il-gvernijiet tal-Punent u favur il-Punent spiss appoġġjaw Iżlamisti u gruppi Iżlamisti li aktar tard ġew meqjusa bħala għedewwa perikolużi. L-Iżlamisti kienu meqjusa mill-gvernijiet tal-Punent li jbatu kontra - dak li kien maħsub li kien dak iż-żmien - aktar perikolużi xellugin / Komunisti / Nazzjonalisti Insurgenti / oppożizzjoni, li l-Iżlamisti kienu meqjusa b'mod korrett bħala opposti. L-Istati Uniti nefqu biljuni ta 'dollari biex jgħinu lill-għedewwa tal-Mujahideen Musulmani Afganistan tal-Unjoni Sovjetika, u veterani mhux Afgani tal-gwerra rritornaw id-dar bil-prestiġju tagħhom, "esperjenza, ideoloġija, u armi", u kellhom impatt konsiderevoli.</v>
      </c>
    </row>
    <row r="10403" ht="15.75" customHeight="1">
      <c r="A10403" s="2" t="s">
        <v>10403</v>
      </c>
      <c r="B10403" s="2" t="str">
        <f>IFERROR(__xludf.DUMMYFUNCTION("GOOGLETRANSLATE(A10403, ""en"", ""mt"")"),"kompetizzjoni bejn il-ħaddiema")</f>
        <v>kompetizzjoni bejn il-ħaddiema</v>
      </c>
    </row>
    <row r="10404" ht="15.75" customHeight="1">
      <c r="A10404" s="2" t="s">
        <v>10404</v>
      </c>
      <c r="B10404" s="2" t="str">
        <f>IFERROR(__xludf.DUMMYFUNCTION("GOOGLETRANSLATE(A10404, ""en"", ""mt"")"),"Att tal-2012")</f>
        <v>Att tal-2012</v>
      </c>
    </row>
    <row r="10405" ht="15.75" customHeight="1">
      <c r="A10405" s="2" t="s">
        <v>10405</v>
      </c>
      <c r="B10405" s="2" t="str">
        <f>IFERROR(__xludf.DUMMYFUNCTION("GOOGLETRANSLATE(A10405, ""en"", ""mt"")"),"Min jippossjedi aktar ġid mill-qiegħ 90 fil-mija tan-nies fl-Istati Uniti?")</f>
        <v>Min jippossjedi aktar ġid mill-qiegħ 90 fil-mija tan-nies fl-Istati Uniti?</v>
      </c>
    </row>
    <row r="10406" ht="15.75" customHeight="1">
      <c r="A10406" s="2" t="s">
        <v>10406</v>
      </c>
      <c r="B10406" s="2" t="str">
        <f>IFERROR(__xludf.DUMMYFUNCTION("GOOGLETRANSLATE(A10406, ""en"", ""mt"")"),"Liema gruppi qabel kienu meqjusa bħala integrati?")</f>
        <v>Liema gruppi qabel kienu meqjusa bħala integrati?</v>
      </c>
    </row>
    <row r="10407" ht="15.75" customHeight="1">
      <c r="A10407" s="2" t="s">
        <v>10407</v>
      </c>
      <c r="B10407" s="2" t="str">
        <f>IFERROR(__xludf.DUMMYFUNCTION("GOOGLETRANSLATE(A10407, ""en"", ""mt"")"),"X'inhu l-isem ta 'tip wieħed ta' test tal-primalità moderna?")</f>
        <v>X'inhu l-isem ta 'tip wieħed ta' test tal-primalità moderna?</v>
      </c>
    </row>
    <row r="10408" ht="15.75" customHeight="1">
      <c r="A10408" s="2" t="s">
        <v>10408</v>
      </c>
      <c r="B10408" s="2" t="str">
        <f>IFERROR(__xludf.DUMMYFUNCTION("GOOGLETRANSLATE(A10408, ""en"", ""mt"")"),"Xogħol")</f>
        <v>Xogħol</v>
      </c>
    </row>
    <row r="10409" ht="15.75" customHeight="1">
      <c r="A10409" s="2" t="s">
        <v>10409</v>
      </c>
      <c r="B10409" s="2" t="str">
        <f>IFERROR(__xludf.DUMMYFUNCTION("GOOGLETRANSLATE(A10409, ""en"", ""mt"")"),"Għin lill-priża mikroskopika diretta lejn il-ħalq")</f>
        <v>Għin lill-priża mikroskopika diretta lejn il-ħalq</v>
      </c>
    </row>
    <row r="10410" ht="15.75" customHeight="1">
      <c r="A10410" s="2" t="s">
        <v>10410</v>
      </c>
      <c r="B10410" s="2" t="str">
        <f>IFERROR(__xludf.DUMMYFUNCTION("GOOGLETRANSLATE(A10410, ""en"", ""mt"")"),"Kemm malajr il-gambli jiddiġerixxu ċ-ctenophores meta mqabbla ma 'priża oħra?")</f>
        <v>Kemm malajr il-gambli jiddiġerixxu ċ-ctenophores meta mqabbla ma 'priża oħra?</v>
      </c>
    </row>
    <row r="10411" ht="15.75" customHeight="1">
      <c r="A10411" s="2" t="s">
        <v>10411</v>
      </c>
      <c r="B10411" s="2" t="str">
        <f>IFERROR(__xludf.DUMMYFUNCTION("GOOGLETRANSLATE(A10411, ""en"", ""mt"")"),"Liema klassi ta 'ċelloli T tirrikonoxxi antiġeni intatti li mhumiex assoċjati mar-riċetturi MHC?")</f>
        <v>Liema klassi ta 'ċelloli T tirrikonoxxi antiġeni intatti li mhumiex assoċjati mar-riċetturi MHC?</v>
      </c>
    </row>
    <row r="10412" ht="15.75" customHeight="1">
      <c r="A10412" s="2" t="s">
        <v>10412</v>
      </c>
      <c r="B10412" s="2" t="str">
        <f>IFERROR(__xludf.DUMMYFUNCTION("GOOGLETRANSLATE(A10412, ""en"", ""mt"")"),"Deċiżjoni importanti għal diżubbidjenti ċivili hija jekk hux se jinvoka ħati jew le. Hemm ħafna dibattitu dwar dan il-punt, għax xi wħud jemmnu li huwa d-dmir ta 'diżubbidjenti ċivili li jissottometti l-piena preskritt mil-liġi, filwaqt li oħrajn jemmnu l"&amp;"i d-difiża ta' ruħha fil-qorti se żżid il-possibbiltà li tinbidel il-liġi inġusta. Ġie argumentat ukoll li kwalunkwe għażla hija kompatibbli mal-ispirtu ta 'diżubbidjenza ċivili. Il-manwal tat-taħriġ tad-diżubbidjenza ċivili ta 'ACT-UP jiddikjara li diżub"&amp;"bidjenti ċivili li jinvoka ħati huwa essenzjalment jiddikjara, ""Iva, impenjat l-att li takkuża lili. Jien ma niċħadx; fil-fatt, jien kburi bih. Inħoss Jien għamilt l-aħjar ħaġa billi kiser din il-liġi partikolari; jien ħati bħala akkużat, ""imma li nvolv"&amp;"i li mhux ħati jibgħat messaġġ ta ',"" il-ħtija timplika ħażin. Inħoss li għamilt l-ebda ħażin. Jista' jkolli kiser xi liġijiet speċifiċi , imma jien ħati li ma għamilt l-ebda ħażin. Għalhekk jien inqajjem ħati. "" Motiv ta 'l-ebda konkors huwa xi kultant"&amp;" meqjus bħala kompromess bejn it-tnejn. Wieħed mill-akkużat akkużat li pprotesta illegalment l-enerġija nukleari, meta mitlub jidħol fl-eċċezzjoni tiegħu, iddikjara, ""Jiena nitlob għas-sbuħija li jdawwarna""; Dan huwa magħruf bħala ""motiv kreattiv,"" u "&amp;"ġeneralment ikun interpretat bħala motiv ta 'mhux ħati.")</f>
        <v>Deċiżjoni importanti għal diżubbidjenti ċivili hija jekk hux se jinvoka ħati jew le. Hemm ħafna dibattitu dwar dan il-punt, għax xi wħud jemmnu li huwa d-dmir ta 'diżubbidjenti ċivili li jissottometti l-piena preskritt mil-liġi, filwaqt li oħrajn jemmnu li d-difiża ta' ruħha fil-qorti se żżid il-possibbiltà li tinbidel il-liġi inġusta. Ġie argumentat ukoll li kwalunkwe għażla hija kompatibbli mal-ispirtu ta 'diżubbidjenza ċivili. Il-manwal tat-taħriġ tad-diżubbidjenza ċivili ta 'ACT-UP jiddikjara li diżubbidjenti ċivili li jinvoka ħati huwa essenzjalment jiddikjara, "Iva, impenjat l-att li takkuża lili. Jien ma niċħadx; fil-fatt, jien kburi bih. Inħoss Jien għamilt l-aħjar ħaġa billi kiser din il-liġi partikolari; jien ħati bħala akkużat, "imma li nvolvi li mhux ħati jibgħat messaġġ ta '," il-ħtija timplika ħażin. Inħoss li għamilt l-ebda ħażin. Jista' jkolli kiser xi liġijiet speċifiċi , imma jien ħati li ma għamilt l-ebda ħażin. Għalhekk jien inqajjem ħati. " Motiv ta 'l-ebda konkors huwa xi kultant meqjus bħala kompromess bejn it-tnejn. Wieħed mill-akkużat akkużat li pprotesta illegalment l-enerġija nukleari, meta mitlub jidħol fl-eċċezzjoni tiegħu, iddikjara, "Jiena nitlob għas-sbuħija li jdawwarna"; Dan huwa magħruf bħala "motiv kreattiv," u ġeneralment ikun interpretat bħala motiv ta 'mhux ħati.</v>
      </c>
    </row>
    <row r="10413" ht="15.75" customHeight="1">
      <c r="A10413" s="2" t="s">
        <v>10413</v>
      </c>
      <c r="B10413" s="2" t="str">
        <f>IFERROR(__xludf.DUMMYFUNCTION("GOOGLETRANSLATE(A10413, ""en"", ""mt"")"),"F'liema xhur l-esperjenza ta 'Fresno żiedet riħ li ġej mid-direzzjoni tax-xlokk?")</f>
        <v>F'liema xhur l-esperjenza ta 'Fresno żiedet riħ li ġej mid-direzzjoni tax-xlokk?</v>
      </c>
    </row>
    <row r="10414" ht="15.75" customHeight="1">
      <c r="A10414" s="2" t="s">
        <v>10414</v>
      </c>
      <c r="B10414" s="2" t="str">
        <f>IFERROR(__xludf.DUMMYFUNCTION("GOOGLETRANSLATE(A10414, ""en"", ""mt"")"),"Stat tas-saħħa tal-pjanti")</f>
        <v>Stat tas-saħħa tal-pjanti</v>
      </c>
    </row>
    <row r="10415" ht="15.75" customHeight="1">
      <c r="A10415" s="2" t="s">
        <v>10415</v>
      </c>
      <c r="B10415" s="2" t="str">
        <f>IFERROR(__xludf.DUMMYFUNCTION("GOOGLETRANSLATE(A10415, ""en"", ""mt"")"),"74 fil-mija, jew 260 mill-352 vot")</f>
        <v>74 fil-mija, jew 260 mill-352 vot</v>
      </c>
    </row>
    <row r="10416" ht="15.75" customHeight="1">
      <c r="A10416" s="2" t="s">
        <v>10416</v>
      </c>
      <c r="B10416" s="2" t="str">
        <f>IFERROR(__xludf.DUMMYFUNCTION("GOOGLETRANSLATE(A10416, ""en"", ""mt"")"),"Min wera li l-arja hija meħtieġa għall-kombustjoni?")</f>
        <v>Min wera li l-arja hija meħtieġa għall-kombustjoni?</v>
      </c>
    </row>
    <row r="10417" ht="15.75" customHeight="1">
      <c r="A10417" s="2" t="s">
        <v>10417</v>
      </c>
      <c r="B10417" s="2" t="str">
        <f>IFERROR(__xludf.DUMMYFUNCTION("GOOGLETRANSLATE(A10417, ""en"", ""mt"")"),"linja dritta")</f>
        <v>linja dritta</v>
      </c>
    </row>
    <row r="10418" ht="15.75" customHeight="1">
      <c r="A10418" s="2" t="s">
        <v>10418</v>
      </c>
      <c r="B10418" s="2" t="str">
        <f>IFERROR(__xludf.DUMMYFUNCTION("GOOGLETRANSLATE(A10418, ""en"", ""mt"")"),"Fuq liema lag attakkaw it-truppi Fort Willima Henry fix-xitwa?")</f>
        <v>Fuq liema lag attakkaw it-truppi Fort Willima Henry fix-xitwa?</v>
      </c>
    </row>
    <row r="10419" ht="15.75" customHeight="1">
      <c r="A10419" s="2" t="s">
        <v>10419</v>
      </c>
      <c r="B10419" s="2" t="str">
        <f>IFERROR(__xludf.DUMMYFUNCTION("GOOGLETRANSLATE(A10419, ""en"", ""mt"")"),"X'inhi l-karta miktuba minn Richard Karp fl-1972 li wasslet f'era ġdida ta 'fehim bejn il-intrattabilità u l-problemi kompluti NP?")</f>
        <v>X'inhi l-karta miktuba minn Richard Karp fl-1972 li wasslet f'era ġdida ta 'fehim bejn il-intrattabilità u l-problemi kompluti NP?</v>
      </c>
    </row>
    <row r="10420" ht="15.75" customHeight="1">
      <c r="A10420" s="2" t="s">
        <v>10420</v>
      </c>
      <c r="B10420" s="2" t="str">
        <f>IFERROR(__xludf.DUMMYFUNCTION("GOOGLETRANSLATE(A10420, ""en"", ""mt"")"),"Spiżeriji tal-Komunità tal-Brick-And-Morther")</f>
        <v>Spiżeriji tal-Komunità tal-Brick-And-Morther</v>
      </c>
    </row>
    <row r="10421" ht="15.75" customHeight="1">
      <c r="A10421" s="2" t="s">
        <v>10421</v>
      </c>
      <c r="B10421" s="2" t="str">
        <f>IFERROR(__xludf.DUMMYFUNCTION("GOOGLETRANSLATE(A10421, ""en"", ""mt"")"),"Jappartjeni lil Warsz")</f>
        <v>Jappartjeni lil Warsz</v>
      </c>
    </row>
    <row r="10422" ht="15.75" customHeight="1">
      <c r="A10422" s="2" t="s">
        <v>10422</v>
      </c>
      <c r="B10422" s="2" t="str">
        <f>IFERROR(__xludf.DUMMYFUNCTION("GOOGLETRANSLATE(A10422, ""en"", ""mt"")"),"Fejn jista 'jinstab ramel Eoljan b'numru ta' terrazzi?")</f>
        <v>Fejn jista 'jinstab ramel Eoljan b'numru ta' terrazzi?</v>
      </c>
    </row>
    <row r="10423" ht="15.75" customHeight="1">
      <c r="A10423" s="2" t="s">
        <v>10423</v>
      </c>
      <c r="B10423" s="2" t="str">
        <f>IFERROR(__xludf.DUMMYFUNCTION("GOOGLETRANSLATE(A10423, ""en"", ""mt"")"),"X'kien l-għan tal-espedizzjoni ta 'Haddock?")</f>
        <v>X'kien l-għan tal-espedizzjoni ta 'Haddock?</v>
      </c>
    </row>
    <row r="10424" ht="15.75" customHeight="1">
      <c r="A10424" s="2" t="s">
        <v>10424</v>
      </c>
      <c r="B10424" s="2" t="str">
        <f>IFERROR(__xludf.DUMMYFUNCTION("GOOGLETRANSLATE(A10424, ""en"", ""mt"")"),"Liema alternattiva għal Arpanet ġiet żviluppata?")</f>
        <v>Liema alternattiva għal Arpanet ġiet żviluppata?</v>
      </c>
    </row>
    <row r="10425" ht="15.75" customHeight="1">
      <c r="A10425" s="2" t="s">
        <v>10425</v>
      </c>
      <c r="B10425" s="2" t="str">
        <f>IFERROR(__xludf.DUMMYFUNCTION("GOOGLETRANSLATE(A10425, ""en"", ""mt"")"),"South Wales")</f>
        <v>South Wales</v>
      </c>
    </row>
    <row r="10426" ht="15.75" customHeight="1">
      <c r="A10426" s="2" t="s">
        <v>10426</v>
      </c>
      <c r="B10426" s="2" t="str">
        <f>IFERROR(__xludf.DUMMYFUNCTION("GOOGLETRANSLATE(A10426, ""en"", ""mt"")"),"biex ma nitkellmux")</f>
        <v>biex ma nitkellmux</v>
      </c>
    </row>
    <row r="10427" ht="15.75" customHeight="1">
      <c r="A10427" s="2" t="s">
        <v>10427</v>
      </c>
      <c r="B10427" s="2" t="str">
        <f>IFERROR(__xludf.DUMMYFUNCTION("GOOGLETRANSLATE(A10427, ""en"", ""mt"")"),"ir-riżultanti (imsejħa wkoll il-forza netta)")</f>
        <v>ir-riżultanti (imsejħa wkoll il-forza netta)</v>
      </c>
    </row>
    <row r="10428" ht="15.75" customHeight="1">
      <c r="A10428" s="2" t="s">
        <v>10428</v>
      </c>
      <c r="B10428" s="2" t="str">
        <f>IFERROR(__xludf.DUMMYFUNCTION("GOOGLETRANSLATE(A10428, ""en"", ""mt"")"),"Liema persentaġġ ta 'enerġija elettrika fl-Istati Uniti huwa magħmul mill-ġeneraturi?")</f>
        <v>Liema persentaġġ ta 'enerġija elettrika fl-Istati Uniti huwa magħmul mill-ġeneraturi?</v>
      </c>
    </row>
    <row r="10429" ht="15.75" customHeight="1">
      <c r="A10429" s="2" t="s">
        <v>10429</v>
      </c>
      <c r="B10429" s="2" t="str">
        <f>IFERROR(__xludf.DUMMYFUNCTION("GOOGLETRANSLATE(A10429, ""en"", ""mt"")"),"Fir-rebbiegħa tal-1753, Paul Marin de la Malgue ingħata kmand ta ’forza ta’ 2,000 raġel ta ’truppi de la Marine u Indjani. L-ordnijiet tiegħu kienu li jipproteġu l-art tar-re fil-Wied ta 'Ohio mill-Ingliżi. Marin segwa r-rotta li Céloron kien fassal erba "&amp;"'snin qabel, iżda fejn Céloron kien illimita r-rekord tat-talbiet Franċiżi għad-difna ta' pjanċi taċ-ċomb, Marin mibni u forts garrisoned. Huwa l-ewwel bena Fort Presque Isle (ħdejn Erie tal-lum, Pennsylvania) fuq ix-Xatt tan-Nofsinhar tal-Lag Erie. Kellu"&amp;" triq mibnija lejn il-headwaters ta ’Leboeuf Creek. Marin bena t-tieni Fort fil-Fort Le Boeuf (preżenti Waterford, Pennsylvania), iddisinjat biex jgħasses il-headwaters ta 'Leboeuf Creek. Hekk kif mexa lejn in-nofsinhar, huwa saq jew qabad negozjanti Ingl"&amp;"iżi, allarmanti kemm lill-Ingliżi kif ukoll lill-Iroquois. Tanaghrisson, kap tal-Mingo, li kienu fdalijiet ta 'Iroquois u tribujiet oħra li kienu mmexxija lejn il-punent minn espansjoni kolonjali. Huwa ma qagħadx b'mod intensiv lill-Franċiżi (li huwa akku"&amp;"żat li qatel u jiekol lil missieru). Jivvjaġġa lejn Fort Le Boeuf, huwa hedded lill-Franċiżi b'azzjoni militari, li Marin ċaħad b'mod dispreġġjattiv.")</f>
        <v>Fir-rebbiegħa tal-1753, Paul Marin de la Malgue ingħata kmand ta ’forza ta’ 2,000 raġel ta ’truppi de la Marine u Indjani. L-ordnijiet tiegħu kienu li jipproteġu l-art tar-re fil-Wied ta 'Ohio mill-Ingliżi. Marin segwa r-rotta li Céloron kien fassal erba 'snin qabel, iżda fejn Céloron kien illimita r-rekord tat-talbiet Franċiżi għad-difna ta' pjanċi taċ-ċomb, Marin mibni u forts garrisoned. Huwa l-ewwel bena Fort Presque Isle (ħdejn Erie tal-lum, Pennsylvania) fuq ix-Xatt tan-Nofsinhar tal-Lag Erie. Kellu triq mibnija lejn il-headwaters ta ’Leboeuf Creek. Marin bena t-tieni Fort fil-Fort Le Boeuf (preżenti Waterford, Pennsylvania), iddisinjat biex jgħasses il-headwaters ta 'Leboeuf Creek. Hekk kif mexa lejn in-nofsinhar, huwa saq jew qabad negozjanti Ingliżi, allarmanti kemm lill-Ingliżi kif ukoll lill-Iroquois. Tanaghrisson, kap tal-Mingo, li kienu fdalijiet ta 'Iroquois u tribujiet oħra li kienu mmexxija lejn il-punent minn espansjoni kolonjali. Huwa ma qagħadx b'mod intensiv lill-Franċiżi (li huwa akkużat li qatel u jiekol lil missieru). Jivvjaġġa lejn Fort Le Boeuf, huwa hedded lill-Franċiżi b'azzjoni militari, li Marin ċaħad b'mod dispreġġjattiv.</v>
      </c>
    </row>
    <row r="10430" ht="15.75" customHeight="1">
      <c r="A10430" s="2" t="s">
        <v>10430</v>
      </c>
      <c r="B10430" s="2" t="str">
        <f>IFERROR(__xludf.DUMMYFUNCTION("GOOGLETRANSLATE(A10430, ""en"", ""mt"")"),"(provvista għolja) li jikkompetu għal xogħol li ftit jeħtieġu (domanda baxxa)")</f>
        <v>(provvista għolja) li jikkompetu għal xogħol li ftit jeħtieġu (domanda baxxa)</v>
      </c>
    </row>
    <row r="10431" ht="15.75" customHeight="1">
      <c r="A10431" s="2" t="s">
        <v>10431</v>
      </c>
      <c r="B10431" s="2" t="str">
        <f>IFERROR(__xludf.DUMMYFUNCTION("GOOGLETRANSLATE(A10431, ""en"", ""mt"")"),"Seklu 19")</f>
        <v>Seklu 19</v>
      </c>
    </row>
    <row r="10432" ht="15.75" customHeight="1">
      <c r="A10432" s="2" t="s">
        <v>10432</v>
      </c>
      <c r="B10432" s="2" t="str">
        <f>IFERROR(__xludf.DUMMYFUNCTION("GOOGLETRANSLATE(A10432, ""en"", ""mt"")"),"Min jinsab fuq il-pannell tal-IPCC?")</f>
        <v>Min jinsab fuq il-pannell tal-IPCC?</v>
      </c>
    </row>
    <row r="10433" ht="15.75" customHeight="1">
      <c r="A10433" s="2" t="s">
        <v>10433</v>
      </c>
      <c r="B10433" s="2" t="str">
        <f>IFERROR(__xludf.DUMMYFUNCTION("GOOGLETRANSLATE(A10433, ""en"", ""mt"")"),"Fejn beda jgħallem?")</f>
        <v>Fejn beda jgħallem?</v>
      </c>
    </row>
    <row r="10434" ht="15.75" customHeight="1">
      <c r="A10434" s="2" t="s">
        <v>10434</v>
      </c>
      <c r="B10434" s="2" t="str">
        <f>IFERROR(__xludf.DUMMYFUNCTION("GOOGLETRANSLATE(A10434, ""en"", ""mt"")"),"Biex tkejjel id-diffikultà biex tissolva problema tal-komputazzjoni, wieħed jista 'jixtieq jara kemm ħin l-aħjar algoritmu jirrikjedi biex issolvi l-problema. Madankollu, il-ħin ta 'tħaddim jista', b'mod ġenerali, jiddependi mill-istanza. B'mod partikolar"&amp;"i, każijiet ikbar jeħtieġu aktar ħin biex isolvu. Għalhekk il-ħin meħtieġ biex tissolva problema (jew l-ispazju meħtieġ, jew kwalunkwe miżura ta 'kumplessità) huwa kkalkulat bħala funzjoni tad-daqs tal-istanza. Dan ġeneralment jittieħed bħala d-daqs tal-i"&amp;"nput fil-bits. It-teorija tal-kumplessità hija interessata fil-mod kif l-algoritmi jiskalaw b'żieda fid-daqs tal-input. Pereżempju, fil-problema li ssib jekk graff huwiex konness, kemm iktar ħin tieħu biex issolvi problema għal graff bi vertiċi 2N meta mq"&amp;"abbel mal-ħin meħud għal graff bi n vertiċi?")</f>
        <v>Biex tkejjel id-diffikultà biex tissolva problema tal-komputazzjoni, wieħed jista 'jixtieq jara kemm ħin l-aħjar algoritmu jirrikjedi biex issolvi l-problema. Madankollu, il-ħin ta 'tħaddim jista', b'mod ġenerali, jiddependi mill-istanza. B'mod partikolari, każijiet ikbar jeħtieġu aktar ħin biex isolvu. Għalhekk il-ħin meħtieġ biex tissolva problema (jew l-ispazju meħtieġ, jew kwalunkwe miżura ta 'kumplessità) huwa kkalkulat bħala funzjoni tad-daqs tal-istanza. Dan ġeneralment jittieħed bħala d-daqs tal-input fil-bits. It-teorija tal-kumplessità hija interessata fil-mod kif l-algoritmi jiskalaw b'żieda fid-daqs tal-input. Pereżempju, fil-problema li ssib jekk graff huwiex konness, kemm iktar ħin tieħu biex issolvi problema għal graff bi vertiċi 2N meta mqabbel mal-ħin meħud għal graff bi n vertiċi?</v>
      </c>
    </row>
    <row r="10435" ht="15.75" customHeight="1">
      <c r="A10435" s="2" t="s">
        <v>10435</v>
      </c>
      <c r="B10435" s="2" t="str">
        <f>IFERROR(__xludf.DUMMYFUNCTION("GOOGLETRANSLATE(A10435, ""en"", ""mt"")"),"Kemm mir-residenti tal-belt ta 'Jacksonville huma iżgħar minn 18?")</f>
        <v>Kemm mir-residenti tal-belt ta 'Jacksonville huma iżgħar minn 18?</v>
      </c>
    </row>
    <row r="10436" ht="15.75" customHeight="1">
      <c r="A10436" s="2" t="s">
        <v>10436</v>
      </c>
      <c r="B10436" s="2" t="str">
        <f>IFERROR(__xludf.DUMMYFUNCTION("GOOGLETRANSLATE(A10436, ""en"", ""mt"")"),"pjattaforma bis-satellita")</f>
        <v>pjattaforma bis-satellita</v>
      </c>
    </row>
    <row r="10437" ht="15.75" customHeight="1">
      <c r="A10437" s="2" t="s">
        <v>10437</v>
      </c>
      <c r="B10437" s="2" t="str">
        <f>IFERROR(__xludf.DUMMYFUNCTION("GOOGLETRANSLATE(A10437, ""en"", ""mt"")"),"Kemm speċi invertebrati huma magħrufa biss fil-Brażil?")</f>
        <v>Kemm speċi invertebrati huma magħrufa biss fil-Brażil?</v>
      </c>
    </row>
    <row r="10438" ht="15.75" customHeight="1">
      <c r="A10438" s="2" t="s">
        <v>10438</v>
      </c>
      <c r="B10438" s="2" t="str">
        <f>IFERROR(__xludf.DUMMYFUNCTION("GOOGLETRANSLATE(A10438, ""en"", ""mt"")"),"X'kienet il-lavoisier li l-arja kienet tilfet daqskemm kienet kisbet il-landa")</f>
        <v>X'kienet il-lavoisier li l-arja kienet tilfet daqskemm kienet kisbet il-landa</v>
      </c>
    </row>
    <row r="10439" ht="15.75" customHeight="1">
      <c r="A10439" s="2" t="s">
        <v>10439</v>
      </c>
      <c r="B10439" s="2" t="str">
        <f>IFERROR(__xludf.DUMMYFUNCTION("GOOGLETRANSLATE(A10439, ""en"", ""mt"")"),"62 acres")</f>
        <v>62 acres</v>
      </c>
    </row>
    <row r="10440" ht="15.75" customHeight="1">
      <c r="A10440" s="2" t="s">
        <v>10440</v>
      </c>
      <c r="B10440" s="2" t="str">
        <f>IFERROR(__xludf.DUMMYFUNCTION("GOOGLETRANSLATE(A10440, ""en"", ""mt"")"),"X'inhu eżempju ta 'sustanza kkontrollata?")</f>
        <v>X'inhu eżempju ta 'sustanza kkontrollata?</v>
      </c>
    </row>
    <row r="10441" ht="15.75" customHeight="1">
      <c r="A10441" s="2" t="s">
        <v>10441</v>
      </c>
      <c r="B10441" s="2" t="str">
        <f>IFERROR(__xludf.DUMMYFUNCTION("GOOGLETRANSLATE(A10441, ""en"", ""mt"")"),"Il-gvern ta 'Kublai wara l-1262 kien kompromess bejn il-preservazzjoni tal-interessi Mongoljani fiċ-Ċina u li jissodisfa t-talbiet tas-suġġetti Ċiniżi tiegħu. Huwa stabbilixxa r-riformi proposti mill-konsulenti Ċiniżi tiegħu billi jiċċentralizza l-burokra"&amp;"zija, jespandi ċ-ċirkolazzjoni tal-flus tal-karta, u żamm il-monopolji tradizzjonali fuq il-melħ u l-ħadid. Huwa rrestawra s-Segretarjat Imperjali u ħalla l-istruttura amministrattiva lokali tad-dinastiji Ċiniżi tal-passat mhux mibdula. Madankollu, Kublai"&amp;" ċaħad il-pjanijiet biex terġa 'titqajjem l-eżamijiet Imperjali Confucian u s-soċjetà tal-wan maqsuma fi tlieta, aktar tard erbgħa, klassijiet maċ-Ċiniżi Han li jokkupaw l-inqas grad. Il-konsulenti Ċiniżi ta 'Kublai għadhom għamlu poter sinifikanti fil-gv"&amp;"ern, iżda l-grad uffiċjali tagħhom kien nebulous.")</f>
        <v>Il-gvern ta 'Kublai wara l-1262 kien kompromess bejn il-preservazzjoni tal-interessi Mongoljani fiċ-Ċina u li jissodisfa t-talbiet tas-suġġetti Ċiniżi tiegħu. Huwa stabbilixxa r-riformi proposti mill-konsulenti Ċiniżi tiegħu billi jiċċentralizza l-burokrazija, jespandi ċ-ċirkolazzjoni tal-flus tal-karta, u żamm il-monopolji tradizzjonali fuq il-melħ u l-ħadid. Huwa rrestawra s-Segretarjat Imperjali u ħalla l-istruttura amministrattiva lokali tad-dinastiji Ċiniżi tal-passat mhux mibdula. Madankollu, Kublai ċaħad il-pjanijiet biex terġa 'titqajjem l-eżamijiet Imperjali Confucian u s-soċjetà tal-wan maqsuma fi tlieta, aktar tard erbgħa, klassijiet maċ-Ċiniżi Han li jokkupaw l-inqas grad. Il-konsulenti Ċiniżi ta 'Kublai għadhom għamlu poter sinifikanti fil-gvern, iżda l-grad uffiċjali tagħhom kien nebulous.</v>
      </c>
    </row>
    <row r="10442" ht="15.75" customHeight="1">
      <c r="A10442" s="2" t="s">
        <v>10442</v>
      </c>
      <c r="B10442" s="2" t="str">
        <f>IFERROR(__xludf.DUMMYFUNCTION("GOOGLETRANSLATE(A10442, ""en"", ""mt"")"),"X'kienet waħda mill-problemi solvuti mill-protokoll ta 'Kyoto?")</f>
        <v>X'kienet waħda mill-problemi solvuti mill-protokoll ta 'Kyoto?</v>
      </c>
    </row>
    <row r="10443" ht="15.75" customHeight="1">
      <c r="A10443" s="2" t="s">
        <v>10443</v>
      </c>
      <c r="B10443" s="2" t="str">
        <f>IFERROR(__xludf.DUMMYFUNCTION("GOOGLETRANSLATE(A10443, ""en"", ""mt"")"),"Għal xiex inżammet l-USSR responsabbli fir-rigward taż-żejt?")</f>
        <v>Għal xiex inżammet l-USSR responsabbli fir-rigward taż-żejt?</v>
      </c>
    </row>
    <row r="10444" ht="15.75" customHeight="1">
      <c r="A10444" s="2" t="s">
        <v>10444</v>
      </c>
      <c r="B10444" s="2" t="str">
        <f>IFERROR(__xludf.DUMMYFUNCTION("GOOGLETRANSLATE(A10444, ""en"", ""mt"")"),"X'inhu l-isem tal-organizzazzjoni inkarigata mit-tmexxija tal-klabbs fl-università?")</f>
        <v>X'inhu l-isem tal-organizzazzjoni inkarigata mit-tmexxija tal-klabbs fl-università?</v>
      </c>
    </row>
    <row r="10445" ht="15.75" customHeight="1">
      <c r="A10445" s="2" t="s">
        <v>10445</v>
      </c>
      <c r="B10445" s="2" t="str">
        <f>IFERROR(__xludf.DUMMYFUNCTION("GOOGLETRANSLATE(A10445, ""en"", ""mt"")"),"Ħmar")</f>
        <v>Ħmar</v>
      </c>
    </row>
    <row r="10446" ht="15.75" customHeight="1">
      <c r="A10446" s="2" t="s">
        <v>10446</v>
      </c>
      <c r="B10446" s="2" t="str">
        <f>IFERROR(__xludf.DUMMYFUNCTION("GOOGLETRANSLATE(A10446, ""en"", ""mt"")"),"Xi jfisser għal għoqda li titqies bħala element P?")</f>
        <v>Xi jfisser għal għoqda li titqies bħala element P?</v>
      </c>
    </row>
    <row r="10447" ht="15.75" customHeight="1">
      <c r="A10447" s="2" t="s">
        <v>10447</v>
      </c>
      <c r="B10447" s="2" t="str">
        <f>IFERROR(__xludf.DUMMYFUNCTION("GOOGLETRANSLATE(A10447, ""en"", ""mt"")"),"Fruntieri bejn Franza l-ġdida u l-kolonji Ingliżi")</f>
        <v>Fruntieri bejn Franza l-ġdida u l-kolonji Ingliżi</v>
      </c>
    </row>
    <row r="10448" ht="15.75" customHeight="1">
      <c r="A10448" s="2" t="s">
        <v>10448</v>
      </c>
      <c r="B10448" s="2" t="str">
        <f>IFERROR(__xludf.DUMMYFUNCTION("GOOGLETRANSLATE(A10448, ""en"", ""mt"")"),"X'żieda fil-prezz taż-żejt iġġiegħel lil GM, Ford u Chrysler jagħmlu?")</f>
        <v>X'żieda fil-prezz taż-żejt iġġiegħel lil GM, Ford u Chrysler jagħmlu?</v>
      </c>
    </row>
    <row r="10449" ht="15.75" customHeight="1">
      <c r="A10449" s="2" t="s">
        <v>10449</v>
      </c>
      <c r="B10449" s="2" t="str">
        <f>IFERROR(__xludf.DUMMYFUNCTION("GOOGLETRANSLATE(A10449, ""en"", ""mt"")"),"Kif jaġixxu r-rotifers bħal meta tfittex ikla?")</f>
        <v>Kif jaġixxu r-rotifers bħal meta tfittex ikla?</v>
      </c>
    </row>
    <row r="10450" ht="15.75" customHeight="1">
      <c r="A10450" s="2" t="s">
        <v>10450</v>
      </c>
      <c r="B10450" s="2" t="str">
        <f>IFERROR(__xludf.DUMMYFUNCTION("GOOGLETRANSLATE(A10450, ""en"", ""mt"")"),"Dak li pprovda ħafna mill-bażi għall-istruttura tal-Parlament fl-1995?")</f>
        <v>Dak li pprovda ħafna mill-bażi għall-istruttura tal-Parlament fl-1995?</v>
      </c>
    </row>
    <row r="10451" ht="15.75" customHeight="1">
      <c r="A10451" s="2" t="s">
        <v>10451</v>
      </c>
      <c r="B10451" s="2" t="str">
        <f>IFERROR(__xludf.DUMMYFUNCTION("GOOGLETRANSLATE(A10451, ""en"", ""mt"")"),"Sadanittant, fl-1 ta 'Awwissu, 1774, esperiment immexxi mill-kleru Brittaniku Joseph Priestley iffokat ix-xemx fuq l-ossidu Merkuriku (HGO) ġewwa tubu tal-ħġieġ, li ħeles gass li hu jismu ""arja deflogistizzata"". Huwa nnota li x-xemgħat inħarqu isbaħ fil"&amp;"-gass u li ġurdien kien aktar attiv u għex aktar waqt li jieħu n-nifs. Wara li nifs il-gass innifsu, huwa kiteb: ""Is-sentiment ta 'dan għall-pulmuni tiegħi ma kienx differenti b'mod differenti minn dak ta' l-arja komuni, imma kont inħobb li s-sider tiegħ"&amp;"i ħassu partikolarment ħafif u faċli għal xi żmien wara."" Priestley ippubblika s-sejbiet tiegħu fl-1775 f'karta intitolata ""Kont ta 'Skoperti Aktar fl-Ajru"" li kien inkluż fit-tieni volum tal-ktieb tiegħu intitolat Esperimenti u Osservazzjonijiet fuq t"&amp;"ipi differenti ta' arja. Minħabba li ppubblika s-sejbiet tiegħu l-ewwel, Priestley normalment jingħata prijorità fl-iskoperta.")</f>
        <v>Sadanittant, fl-1 ta 'Awwissu, 1774, esperiment immexxi mill-kleru Brittaniku Joseph Priestley iffokat ix-xemx fuq l-ossidu Merkuriku (HGO) ġewwa tubu tal-ħġieġ, li ħeles gass li hu jismu "arja deflogistizzata". Huwa nnota li x-xemgħat inħarqu isbaħ fil-gass u li ġurdien kien aktar attiv u għex aktar waqt li jieħu n-nifs. Wara li nifs il-gass innifsu, huwa kiteb: "Is-sentiment ta 'dan għall-pulmuni tiegħi ma kienx differenti b'mod differenti minn dak ta' l-arja komuni, imma kont inħobb li s-sider tiegħi ħassu partikolarment ħafif u faċli għal xi żmien wara." Priestley ippubblika s-sejbiet tiegħu fl-1775 f'karta intitolata "Kont ta 'Skoperti Aktar fl-Ajru" li kien inkluż fit-tieni volum tal-ktieb tiegħu intitolat Esperimenti u Osservazzjonijiet fuq tipi differenti ta' arja. Minħabba li ppubblika s-sejbiet tiegħu l-ewwel, Priestley normalment jingħata prijorità fl-iskoperta.</v>
      </c>
    </row>
    <row r="10452" ht="15.75" customHeight="1">
      <c r="A10452" s="2" t="s">
        <v>10452</v>
      </c>
      <c r="B10452" s="2" t="str">
        <f>IFERROR(__xludf.DUMMYFUNCTION("GOOGLETRANSLATE(A10452, ""en"", ""mt"")"),"Segretarju tad-Difiża")</f>
        <v>Segretarju tad-Difiża</v>
      </c>
    </row>
    <row r="10453" ht="15.75" customHeight="1">
      <c r="A10453" s="2" t="s">
        <v>10453</v>
      </c>
      <c r="B10453" s="2" t="str">
        <f>IFERROR(__xludf.DUMMYFUNCTION("GOOGLETRANSLATE(A10453, ""en"", ""mt"")"),"In-Nofsinhar ta ’California hija wkoll dar għal surf kbir imkabbar fid-dar u kultura tal-iskejboard. Kumpaniji bħal Volcom, Quiksilver, No Fear, RVCA, u Body Glove huma kollha fil-kwartjieri ġenerali hawn. Skateboarder professjonali Tony Hawk, surfers pro"&amp;"fessjonali Rob Machado, Tim Curran, Bobby Martinez, Pat O'Connell, Dane Reynolds, u Chris Ward, u s-snowboarder professjonali Shaun White jgħixu fin-Nofsinhar ta 'California. Uħud mill-postijiet leġġendarji tas-surf tad-dinja huma wkoll fin-Nofsinhar tal-"&amp;"Kalifornja, inklużi Trestles, Rincon, The Wedge, Huntington Beach, u Malibu, u hija t-tieni biss għall-gżira ta 'Oahu f'termini ta' pawżi famużi tas-surf. Uħud mill-ikbar avvenimenti sportivi estremi tad-dinja, inklużi l-Logħob X, Boost Mobile Pro, u l-Op"&amp;"en ta 'l-Istati Uniti tas-Surfing huma kollha fin-Nofsinhar ta' California. In-Nofsinhar tal-Kalifornja hija importanti wkoll għad-dinja tal-yachting. It-tellieqa annwali tal-jott transpaċifiku, jew Transpac, minn Los Angeles għal Hawaii, hija waħda mill-"&amp;"avvenimenti ewlenin tal-Yachting. Is-San Diego Yacht Club kellu t-Tazza tal-Amerika, l-iktar premju prestiġjuż fil-yachting, mill-1988 sal-1995 u ospita tliet tiġrijiet tat-Tazza tal-Amerika matul dak iż-żmien.")</f>
        <v>In-Nofsinhar ta ’California hija wkoll dar għal surf kbir imkabbar fid-dar u kultura tal-iskejboard. Kumpaniji bħal Volcom, Quiksilver, No Fear, RVCA, u Body Glove huma kollha fil-kwartjieri ġenerali hawn. Skateboarder professjonali Tony Hawk, surfers professjonali Rob Machado, Tim Curran, Bobby Martinez, Pat O'Connell, Dane Reynolds, u Chris Ward, u s-snowboarder professjonali Shaun White jgħixu fin-Nofsinhar ta 'California. Uħud mill-postijiet leġġendarji tas-surf tad-dinja huma wkoll fin-Nofsinhar tal-Kalifornja, inklużi Trestles, Rincon, The Wedge, Huntington Beach, u Malibu, u hija t-tieni biss għall-gżira ta 'Oahu f'termini ta' pawżi famużi tas-surf. Uħud mill-ikbar avvenimenti sportivi estremi tad-dinja, inklużi l-Logħob X, Boost Mobile Pro, u l-Open ta 'l-Istati Uniti tas-Surfing huma kollha fin-Nofsinhar ta' California. In-Nofsinhar tal-Kalifornja hija importanti wkoll għad-dinja tal-yachting. It-tellieqa annwali tal-jott transpaċifiku, jew Transpac, minn Los Angeles għal Hawaii, hija waħda mill-avvenimenti ewlenin tal-Yachting. Is-San Diego Yacht Club kellu t-Tazza tal-Amerika, l-iktar premju prestiġjuż fil-yachting, mill-1988 sal-1995 u ospita tliet tiġrijiet tat-Tazza tal-Amerika matul dak iż-żmien.</v>
      </c>
    </row>
    <row r="10454" ht="15.75" customHeight="1">
      <c r="A10454" s="2" t="s">
        <v>10454</v>
      </c>
      <c r="B10454" s="2" t="str">
        <f>IFERROR(__xludf.DUMMYFUNCTION("GOOGLETRANSLATE(A10454, ""en"", ""mt"")"),"lisożima")</f>
        <v>lisożima</v>
      </c>
    </row>
    <row r="10455" ht="15.75" customHeight="1">
      <c r="A10455" s="2" t="s">
        <v>10455</v>
      </c>
      <c r="B10455" s="2" t="str">
        <f>IFERROR(__xludf.DUMMYFUNCTION("GOOGLETRANSLATE(A10455, ""en"", ""mt"")"),"L-enerġija mekkanika netta hija dak f'sistema miftuħa?")</f>
        <v>L-enerġija mekkanika netta hija dak f'sistema miftuħa?</v>
      </c>
    </row>
    <row r="10456" ht="15.75" customHeight="1">
      <c r="A10456" s="2" t="s">
        <v>10456</v>
      </c>
      <c r="B10456" s="2" t="str">
        <f>IFERROR(__xludf.DUMMYFUNCTION("GOOGLETRANSLATE(A10456, ""en"", ""mt"")"),"2007")</f>
        <v>2007</v>
      </c>
    </row>
    <row r="10457" ht="15.75" customHeight="1">
      <c r="A10457" s="2" t="s">
        <v>10457</v>
      </c>
      <c r="B10457" s="2" t="str">
        <f>IFERROR(__xludf.DUMMYFUNCTION("GOOGLETRANSLATE(A10457, ""en"", ""mt"")"),"22 mil")</f>
        <v>22 mil</v>
      </c>
    </row>
    <row r="10458" ht="15.75" customHeight="1">
      <c r="A10458" s="2" t="s">
        <v>10458</v>
      </c>
      <c r="B10458" s="2" t="str">
        <f>IFERROR(__xludf.DUMMYFUNCTION("GOOGLETRANSLATE(A10458, ""en"", ""mt"")"),"Meta n-Nors joħorġu Ivolve f'inkursjonijiet distruttivi?")</f>
        <v>Meta n-Nors joħorġu Ivolve f'inkursjonijiet distruttivi?</v>
      </c>
    </row>
    <row r="10459" ht="15.75" customHeight="1">
      <c r="A10459" s="2" t="s">
        <v>10459</v>
      </c>
      <c r="B10459" s="2" t="str">
        <f>IFERROR(__xludf.DUMMYFUNCTION("GOOGLETRANSLATE(A10459, ""en"", ""mt"")"),"Min ikkalibra studji aktar ġodda?")</f>
        <v>Min ikkalibra studji aktar ġodda?</v>
      </c>
    </row>
    <row r="10460" ht="15.75" customHeight="1">
      <c r="A10460" s="2" t="s">
        <v>10460</v>
      </c>
      <c r="B10460" s="2" t="str">
        <f>IFERROR(__xludf.DUMMYFUNCTION("GOOGLETRANSLATE(A10460, ""en"", ""mt"")")," Liema formazzjonijiet moderni jistudjaw il-ġeoloġi?")</f>
        <v> Liema formazzjonijiet moderni jistudjaw il-ġeoloġi?</v>
      </c>
    </row>
    <row r="10461" ht="15.75" customHeight="1">
      <c r="A10461" s="2" t="s">
        <v>10461</v>
      </c>
      <c r="B10461" s="2" t="str">
        <f>IFERROR(__xludf.DUMMYFUNCTION("GOOGLETRANSLATE(A10461, ""en"", ""mt"")"),"Esperimenti fiżiċi tal-pressjoni")</f>
        <v>Esperimenti fiżiċi tal-pressjoni</v>
      </c>
    </row>
    <row r="10462" ht="15.75" customHeight="1">
      <c r="A10462" s="2" t="s">
        <v>10462</v>
      </c>
      <c r="B10462" s="2" t="str">
        <f>IFERROR(__xludf.DUMMYFUNCTION("GOOGLETRANSLATE(A10462, ""en"", ""mt"")"),"Minbarra d-drogi, x'iktar jipprovdu l-ispiżeriji speċjalizzati?")</f>
        <v>Minbarra d-drogi, x'iktar jipprovdu l-ispiżeriji speċjalizzati?</v>
      </c>
    </row>
    <row r="10463" ht="15.75" customHeight="1">
      <c r="A10463" s="2" t="s">
        <v>10463</v>
      </c>
      <c r="B10463" s="2" t="str">
        <f>IFERROR(__xludf.DUMMYFUNCTION("GOOGLETRANSLATE(A10463, ""en"", ""mt"")"),"Wianki")</f>
        <v>Wianki</v>
      </c>
    </row>
    <row r="10464" ht="15.75" customHeight="1">
      <c r="A10464" s="2" t="s">
        <v>10464</v>
      </c>
      <c r="B10464" s="2" t="str">
        <f>IFERROR(__xludf.DUMMYFUNCTION("GOOGLETRANSLATE(A10464, ""en"", ""mt"")"),"protesta")</f>
        <v>protesta</v>
      </c>
    </row>
    <row r="10465" ht="15.75" customHeight="1">
      <c r="A10465" s="2" t="s">
        <v>10465</v>
      </c>
      <c r="B10465" s="2" t="str">
        <f>IFERROR(__xludf.DUMMYFUNCTION("GOOGLETRANSLATE(A10465, ""en"", ""mt"")"),"Liema bidla fil-kundizzjonijiet tista 'tagħmel il-foresta tropikali tal-Amazon insostenibbli?")</f>
        <v>Liema bidla fil-kundizzjonijiet tista 'tagħmel il-foresta tropikali tal-Amazon insostenibbli?</v>
      </c>
    </row>
    <row r="10466" ht="15.75" customHeight="1">
      <c r="A10466" s="2" t="s">
        <v>10466</v>
      </c>
      <c r="B10466" s="2" t="str">
        <f>IFERROR(__xludf.DUMMYFUNCTION("GOOGLETRANSLATE(A10466, ""en"", ""mt"")"),"X'inhi l-karriera ta 'Raghuram Rajan?")</f>
        <v>X'inhi l-karriera ta 'Raghuram Rajan?</v>
      </c>
    </row>
    <row r="10467" ht="15.75" customHeight="1">
      <c r="A10467" s="2" t="s">
        <v>10467</v>
      </c>
      <c r="B10467" s="2" t="str">
        <f>IFERROR(__xludf.DUMMYFUNCTION("GOOGLETRANSLATE(A10467, ""en"", ""mt"")"),"Il-kolonjaliżmu bħala politika huwa kkawżat minn finanzjarju u liema raġunijiet oħra?")</f>
        <v>Il-kolonjaliżmu bħala politika huwa kkawżat minn finanzjarju u liema raġunijiet oħra?</v>
      </c>
    </row>
    <row r="10468" ht="15.75" customHeight="1">
      <c r="A10468" s="2" t="s">
        <v>10468</v>
      </c>
      <c r="B10468" s="2" t="str">
        <f>IFERROR(__xludf.DUMMYFUNCTION("GOOGLETRANSLATE(A10468, ""en"", ""mt"")"),"Trasformazzjoni Galiljana")</f>
        <v>Trasformazzjoni Galiljana</v>
      </c>
    </row>
    <row r="10469" ht="15.75" customHeight="1">
      <c r="A10469" s="2" t="s">
        <v>10469</v>
      </c>
      <c r="B10469" s="2" t="str">
        <f>IFERROR(__xludf.DUMMYFUNCTION("GOOGLETRANSLATE(A10469, ""en"", ""mt"")"),"Minħabba l-elettroni mhux imqabbla tagħha")</f>
        <v>Minħabba l-elettroni mhux imqabbla tagħha</v>
      </c>
    </row>
    <row r="10470" ht="15.75" customHeight="1">
      <c r="A10470" s="2" t="s">
        <v>10470</v>
      </c>
      <c r="B10470" s="2" t="str">
        <f>IFERROR(__xludf.DUMMYFUNCTION("GOOGLETRANSLATE(A10470, ""en"", ""mt"")"),"Liema aġenzija tal-gvern issorvelja l-patrijiet Buddisti?")</f>
        <v>Liema aġenzija tal-gvern issorvelja l-patrijiet Buddisti?</v>
      </c>
    </row>
    <row r="10471" ht="15.75" customHeight="1">
      <c r="A10471" s="2" t="s">
        <v>10471</v>
      </c>
      <c r="B10471" s="2" t="str">
        <f>IFERROR(__xludf.DUMMYFUNCTION("GOOGLETRANSLATE(A10471, ""en"", ""mt"")"),"id-dinja")</f>
        <v>id-dinja</v>
      </c>
    </row>
    <row r="10472" ht="15.75" customHeight="1">
      <c r="A10472" s="2" t="s">
        <v>10472</v>
      </c>
      <c r="B10472" s="2" t="str">
        <f>IFERROR(__xludf.DUMMYFUNCTION("GOOGLETRANSLATE(A10472, ""en"", ""mt"")"),"Ċentru tal-Quddiesa")</f>
        <v>Ċentru tal-Quddiesa</v>
      </c>
    </row>
    <row r="10473" ht="15.75" customHeight="1">
      <c r="A10473" s="2" t="s">
        <v>10473</v>
      </c>
      <c r="B10473" s="2" t="str">
        <f>IFERROR(__xludf.DUMMYFUNCTION("GOOGLETRANSLATE(A10473, ""en"", ""mt"")"),"489")</f>
        <v>489</v>
      </c>
    </row>
    <row r="10474" ht="15.75" customHeight="1">
      <c r="A10474" s="2" t="s">
        <v>10474</v>
      </c>
      <c r="B10474" s="2" t="str">
        <f>IFERROR(__xludf.DUMMYFUNCTION("GOOGLETRANSLATE(A10474, ""en"", ""mt"")"),"Il-Port ta ’Marsilja Madwar Novembru 1347")</f>
        <v>Il-Port ta ’Marsilja Madwar Novembru 1347</v>
      </c>
    </row>
    <row r="10475" ht="15.75" customHeight="1">
      <c r="A10475" s="2" t="s">
        <v>10475</v>
      </c>
      <c r="B10475" s="2" t="str">
        <f>IFERROR(__xludf.DUMMYFUNCTION("GOOGLETRANSLATE(A10475, ""en"", ""mt"")"),"Għal liema servizz bskyb chare miżati ta 'abbonament addizzjonali?")</f>
        <v>Għal liema servizz bskyb chare miżati ta 'abbonament addizzjonali?</v>
      </c>
    </row>
    <row r="10476" ht="15.75" customHeight="1">
      <c r="A10476" s="2" t="s">
        <v>10476</v>
      </c>
      <c r="B10476" s="2" t="str">
        <f>IFERROR(__xludf.DUMMYFUNCTION("GOOGLETRANSLATE(A10476, ""en"", ""mt"")"),"Għalkemm l-isem kien korrett, dawn is-servizzi kollha kienu ġestiti minn min?")</f>
        <v>Għalkemm l-isem kien korrett, dawn is-servizzi kollha kienu ġestiti minn min?</v>
      </c>
    </row>
    <row r="10477" ht="15.75" customHeight="1">
      <c r="A10477" s="2" t="s">
        <v>10477</v>
      </c>
      <c r="B10477" s="2" t="str">
        <f>IFERROR(__xludf.DUMMYFUNCTION("GOOGLETRANSLATE(A10477, ""en"", ""mt"")"),"Fakultà notevoli fil-fiżika inkludew il-veloċità tal-kalkulatur tad-dawl A. A. Michelson, il-kalkulatur tal-ħlas elementari Robert A. Millikan, skopertur tal-effett Compton Arthur H. Compton, il-kreatur tal-ewwel reattur nukleari Enrico Fermi, ""il-missie"&amp;"r tal-bomba tal-idroġenu"" Edward Teller, ""wieħed mill-aktar fiżiċi sperimentali brillanti u produttivi tas-seklu għoxrin"" Luis Walter Alvarez, Murray Gell-Mann li introduċa l-Quark, it-tieni mara Nobel Laureate Maria Goeppert-Mayer, l-iżgħar rebbieħa A"&amp;"merikana tal-Premju Nobel Tsung- Dao Lee, u l-astrofiżiku Subrahmanyan Chandrasekhar.")</f>
        <v>Fakultà notevoli fil-fiżika inkludew il-veloċità tal-kalkulatur tad-dawl A. A. Michelson, il-kalkulatur tal-ħlas elementari Robert A. Millikan, skopertur tal-effett Compton Arthur H. Compton, il-kreatur tal-ewwel reattur nukleari Enrico Fermi, "il-missier tal-bomba tal-idroġenu" Edward Teller, "wieħed mill-aktar fiżiċi sperimentali brillanti u produttivi tas-seklu għoxrin" Luis Walter Alvarez, Murray Gell-Mann li introduċa l-Quark, it-tieni mara Nobel Laureate Maria Goeppert-Mayer, l-iżgħar rebbieħa Amerikana tal-Premju Nobel Tsung- Dao Lee, u l-astrofiżiku Subrahmanyan Chandrasekhar.</v>
      </c>
    </row>
    <row r="10478" ht="15.75" customHeight="1">
      <c r="A10478" s="2" t="s">
        <v>10478</v>
      </c>
      <c r="B10478" s="2" t="str">
        <f>IFERROR(__xludf.DUMMYFUNCTION("GOOGLETRANSLATE(A10478, ""en"", ""mt"")"),"Kemm jiswa l-Istitut Milton Friedman bejn wieħed u ieħor?")</f>
        <v>Kemm jiswa l-Istitut Milton Friedman bejn wieħed u ieħor?</v>
      </c>
    </row>
    <row r="10479" ht="15.75" customHeight="1">
      <c r="A10479" s="2" t="s">
        <v>10479</v>
      </c>
      <c r="B10479" s="2" t="str">
        <f>IFERROR(__xludf.DUMMYFUNCTION("GOOGLETRANSLATE(A10479, ""en"", ""mt"")"),"il-Baħar l-Aħmar")</f>
        <v>il-Baħar l-Aħmar</v>
      </c>
    </row>
    <row r="10480" ht="15.75" customHeight="1">
      <c r="A10480" s="2" t="s">
        <v>10480</v>
      </c>
      <c r="B10480" s="2" t="str">
        <f>IFERROR(__xludf.DUMMYFUNCTION("GOOGLETRANSLATE(A10480, ""en"", ""mt"")"),"li ma tkunx diżubbidjenti ċivili")</f>
        <v>li ma tkunx diżubbidjenti ċivili</v>
      </c>
    </row>
    <row r="10481" ht="15.75" customHeight="1">
      <c r="A10481" s="2" t="s">
        <v>10481</v>
      </c>
      <c r="B10481" s="2" t="str">
        <f>IFERROR(__xludf.DUMMYFUNCTION("GOOGLETRANSLATE(A10481, ""en"", ""mt"")"),"X'inhu tipikament użat biex jiddefinixxi b'mod wiesa 'miżuri ta' kumplessità?")</f>
        <v>X'inhu tipikament użat biex jiddefinixxi b'mod wiesa 'miżuri ta' kumplessità?</v>
      </c>
    </row>
    <row r="10482" ht="15.75" customHeight="1">
      <c r="A10482" s="2" t="s">
        <v>10482</v>
      </c>
      <c r="B10482" s="2" t="str">
        <f>IFERROR(__xludf.DUMMYFUNCTION("GOOGLETRANSLATE(A10482, ""en"", ""mt"")"),"Xi tfisser ir-rebħa għal Franza?")</f>
        <v>Xi tfisser ir-rebħa għal Franza?</v>
      </c>
    </row>
    <row r="10483" ht="15.75" customHeight="1">
      <c r="A10483" s="2" t="s">
        <v>10483</v>
      </c>
      <c r="B10483" s="2" t="str">
        <f>IFERROR(__xludf.DUMMYFUNCTION("GOOGLETRANSLATE(A10483, ""en"", ""mt"")"),"għex fil-faqar u ġew trattati ħażin")</f>
        <v>għex fil-faqar u ġew trattati ħażin</v>
      </c>
    </row>
    <row r="10484" ht="15.75" customHeight="1">
      <c r="A10484" s="2" t="s">
        <v>10484</v>
      </c>
      <c r="B10484" s="2" t="str">
        <f>IFERROR(__xludf.DUMMYFUNCTION("GOOGLETRANSLATE(A10484, ""en"", ""mt"")"),"X'jiġri mal-pakkett fid-destinazzjoni")</f>
        <v>X'jiġri mal-pakkett fid-destinazzjoni</v>
      </c>
    </row>
    <row r="10485" ht="15.75" customHeight="1">
      <c r="A10485" s="2" t="s">
        <v>10485</v>
      </c>
      <c r="B10485" s="2" t="str">
        <f>IFERROR(__xludf.DUMMYFUNCTION("GOOGLETRANSLATE(A10485, ""en"", ""mt"")"),"Meta hija l-aħħar referenza magħrufa għall-immunità?")</f>
        <v>Meta hija l-aħħar referenza magħrufa għall-immunità?</v>
      </c>
    </row>
    <row r="10486" ht="15.75" customHeight="1">
      <c r="A10486" s="2" t="s">
        <v>10486</v>
      </c>
      <c r="B10486" s="2" t="str">
        <f>IFERROR(__xludf.DUMMYFUNCTION("GOOGLETRANSLATE(A10486, ""en"", ""mt"")"),"Liema regoli għandha ssegwi l-IPCC?")</f>
        <v>Liema regoli għandha ssegwi l-IPCC?</v>
      </c>
    </row>
    <row r="10487" ht="15.75" customHeight="1">
      <c r="A10487" s="2" t="s">
        <v>10487</v>
      </c>
      <c r="B10487" s="2" t="str">
        <f>IFERROR(__xludf.DUMMYFUNCTION("GOOGLETRANSLATE(A10487, ""en"", ""mt"")"),"Min kien ħu Emma?")</f>
        <v>Min kien ħu Emma?</v>
      </c>
    </row>
    <row r="10488" ht="15.75" customHeight="1">
      <c r="A10488" s="2" t="s">
        <v>10488</v>
      </c>
      <c r="B10488" s="2" t="str">
        <f>IFERROR(__xludf.DUMMYFUNCTION("GOOGLETRANSLATE(A10488, ""en"", ""mt"")"),"Reżistenza akkwistata sistemika")</f>
        <v>Reżistenza akkwistata sistemika</v>
      </c>
    </row>
    <row r="10489" ht="15.75" customHeight="1">
      <c r="A10489" s="2" t="s">
        <v>10489</v>
      </c>
      <c r="B10489" s="2" t="str">
        <f>IFERROR(__xludf.DUMMYFUNCTION("GOOGLETRANSLATE(A10489, ""en"", ""mt"")"),"Liema metodu ma jintużax biex jivvaluta jew jikkwantifika b'mod intuwittiv l-ammont ta 'riżorsi meħtieġa biex issolvi problema tal-komputazzjoni ??")</f>
        <v>Liema metodu ma jintużax biex jivvaluta jew jikkwantifika b'mod intuwittiv l-ammont ta 'riżorsi meħtieġa biex issolvi problema tal-komputazzjoni ??</v>
      </c>
    </row>
    <row r="10490" ht="15.75" customHeight="1">
      <c r="A10490" s="2" t="s">
        <v>10490</v>
      </c>
      <c r="B10490" s="2" t="str">
        <f>IFERROR(__xludf.DUMMYFUNCTION("GOOGLETRANSLATE(A10490, ""en"", ""mt"")"),"X'inhu eżempju ta 'artiklu ta' ħwejjeġ uniformi tipikament preżenti fl-iskejjel privati ​​Awstraljani?")</f>
        <v>X'inhu eżempju ta 'artiklu ta' ħwejjeġ uniformi tipikament preżenti fl-iskejjel privati ​​Awstraljani?</v>
      </c>
    </row>
    <row r="10491" ht="15.75" customHeight="1">
      <c r="A10491" s="2" t="s">
        <v>10491</v>
      </c>
      <c r="B10491" s="2" t="str">
        <f>IFERROR(__xludf.DUMMYFUNCTION("GOOGLETRANSLATE(A10491, ""en"", ""mt"")"),"X'inhuma eżempji ta 'atturi ekonomiċi?")</f>
        <v>X'inhuma eżempji ta 'atturi ekonomiċi?</v>
      </c>
    </row>
    <row r="10492" ht="15.75" customHeight="1">
      <c r="A10492" s="2" t="s">
        <v>10492</v>
      </c>
      <c r="B10492" s="2" t="str">
        <f>IFERROR(__xludf.DUMMYFUNCTION("GOOGLETRANSLATE(A10492, ""en"", ""mt"")"),"tnaqqas it-tkabbir")</f>
        <v>tnaqqas it-tkabbir</v>
      </c>
    </row>
    <row r="10493" ht="15.75" customHeight="1">
      <c r="A10493" s="2" t="s">
        <v>10493</v>
      </c>
      <c r="B10493" s="2" t="str">
        <f>IFERROR(__xludf.DUMMYFUNCTION("GOOGLETRANSLATE(A10493, ""en"", ""mt"")"),"Meta tintuża l-vjolenza, kif tissejjaħ kultant id-diżubbidjenza ċivili?")</f>
        <v>Meta tintuża l-vjolenza, kif tissejjaħ kultant id-diżubbidjenza ċivili?</v>
      </c>
    </row>
    <row r="10494" ht="15.75" customHeight="1">
      <c r="A10494" s="2" t="s">
        <v>10494</v>
      </c>
      <c r="B10494" s="2" t="str">
        <f>IFERROR(__xludf.DUMMYFUNCTION("GOOGLETRANSLATE(A10494, ""en"", ""mt"")"),"Liema kundizzjonijiet għandhom jiġu sodisfatti biex tippreskrivi sustanza kkontrollata?")</f>
        <v>Liema kundizzjonijiet għandhom jiġu sodisfatti biex tippreskrivi sustanza kkontrollata?</v>
      </c>
    </row>
    <row r="10495" ht="15.75" customHeight="1">
      <c r="A10495" s="2" t="s">
        <v>10495</v>
      </c>
      <c r="B10495" s="2" t="str">
        <f>IFERROR(__xludf.DUMMYFUNCTION("GOOGLETRANSLATE(A10495, ""en"", ""mt"")"),"Oriġini lingwistiċi doppji jew tripli mhux Franċiżi")</f>
        <v>Oriġini lingwistiċi doppji jew tripli mhux Franċiżi</v>
      </c>
    </row>
    <row r="10496" ht="15.75" customHeight="1">
      <c r="A10496" s="2" t="s">
        <v>10496</v>
      </c>
      <c r="B10496" s="2" t="str">
        <f>IFERROR(__xludf.DUMMYFUNCTION("GOOGLETRANSLATE(A10496, ""en"", ""mt"")"),"Liema karta seminali hija komunement ikkunsidrata bħala l-bidu ta 'studji tas-soċjoloġija?")</f>
        <v>Liema karta seminali hija komunement ikkunsidrata bħala l-bidu ta 'studji tas-soċjoloġija?</v>
      </c>
    </row>
    <row r="10497" ht="15.75" customHeight="1">
      <c r="A10497" s="2" t="s">
        <v>10497</v>
      </c>
      <c r="B10497" s="2" t="str">
        <f>IFERROR(__xludf.DUMMYFUNCTION("GOOGLETRANSLATE(A10497, ""en"", ""mt"")"),"Min imexxi l-Kunsill tal-UNEP?")</f>
        <v>Min imexxi l-Kunsill tal-UNEP?</v>
      </c>
    </row>
    <row r="10498" ht="15.75" customHeight="1">
      <c r="A10498" s="2" t="s">
        <v>10498</v>
      </c>
      <c r="B10498" s="2" t="str">
        <f>IFERROR(__xludf.DUMMYFUNCTION("GOOGLETRANSLATE(A10498, ""en"", ""mt"")"),"Ħafna mix-xogħol tal-Parlament Skoċċiż isir fil-kumitat. Ir-rwol tal-kumitati huwa aktar b'saħħtu fil-Parlament Skoċċiż milli f'sistemi parlamentari oħra, parzjalment bħala mezz biex isaħħaħ ir-rwol ta 'backbenchers fl-iskrutinju tagħhom tal-gvern u parzj"&amp;"alment biex jikkumpensaw għall-fatt li m'hemm l-ebda kamra ta' reviżjoni. Ir-rwol ewlieni tal-kumitati fil-Parlament Skoċċiż huwa li tieħu xhieda minn xhieda, twettaq inkjesti u tifli l-leġiżlazzjoni. Il-laqgħat tal-kumitat isiru nhar it-Tlieta, l-Erbgħa "&amp;"u l-Ħamis filgħodu meta l-Parlament ikun bilqiegħda. Il-kumitati jistgħu wkoll jiltaqgħu f’postijiet oħra madwar l-Iskozja.")</f>
        <v>Ħafna mix-xogħol tal-Parlament Skoċċiż isir fil-kumitat. Ir-rwol tal-kumitati huwa aktar b'saħħtu fil-Parlament Skoċċiż milli f'sistemi parlamentari oħra, parzjalment bħala mezz biex isaħħaħ ir-rwol ta 'backbenchers fl-iskrutinju tagħhom tal-gvern u parzjalment biex jikkumpensaw għall-fatt li m'hemm l-ebda kamra ta' reviżjoni. Ir-rwol ewlieni tal-kumitati fil-Parlament Skoċċiż huwa li tieħu xhieda minn xhieda, twettaq inkjesti u tifli l-leġiżlazzjoni. Il-laqgħat tal-kumitat isiru nhar it-Tlieta, l-Erbgħa u l-Ħamis filgħodu meta l-Parlament ikun bilqiegħda. Il-kumitati jistgħu wkoll jiltaqgħu f’postijiet oħra madwar l-Iskozja.</v>
      </c>
    </row>
    <row r="10499" ht="15.75" customHeight="1">
      <c r="A10499" s="2" t="s">
        <v>10499</v>
      </c>
      <c r="B10499" s="2" t="str">
        <f>IFERROR(__xludf.DUMMYFUNCTION("GOOGLETRANSLATE(A10499, ""en"", ""mt"")"),"Kif ma kinux Brittaniċi kapaċi jaqtgħu l-provvisti lil Louisbourg?")</f>
        <v>Kif ma kinux Brittaniċi kapaċi jaqtgħu l-provvisti lil Louisbourg?</v>
      </c>
    </row>
    <row r="10500" ht="15.75" customHeight="1">
      <c r="A10500" s="2" t="s">
        <v>10500</v>
      </c>
      <c r="B10500" s="2" t="str">
        <f>IFERROR(__xludf.DUMMYFUNCTION("GOOGLETRANSLATE(A10500, ""en"", ""mt"")"),"Jacques Legardere de Saint-Pierre, li rnexxielu lil Marin bħala kmandant tal-forzi Franċiżi wara li dan tal-aħħar miet fid-29 ta 'Ottubru, stieden lil Washington biex tiekol miegħu. Matul il-pranzu, Washington ippreżenta lil Saint-Pierre bl-ittra minn Din"&amp;"widdie fejn talbet irtirar Franċiż immedjat mill-pajjiż ta 'Ohio. Saint-Pierre qal, ""Fir-rigward tat-taħrika li tibgħatli biex nirtira, ma naħsibx lili nnifsi obbligat li nobdiha."" Huwa qal lil Washington li t-talba ta 'Franza fir-reġjun kienet superjur"&amp;"i għal dik tal-Ingliżi, minn meta René-Robert Cavelier, Sieur de la Salle kien esplora l-pajjiż ta' Ohio kważi seklu qabel.")</f>
        <v>Jacques Legardere de Saint-Pierre, li rnexxielu lil Marin bħala kmandant tal-forzi Franċiżi wara li dan tal-aħħar miet fid-29 ta 'Ottubru, stieden lil Washington biex tiekol miegħu. Matul il-pranzu, Washington ippreżenta lil Saint-Pierre bl-ittra minn Dinwiddie fejn talbet irtirar Franċiż immedjat mill-pajjiż ta 'Ohio. Saint-Pierre qal, "Fir-rigward tat-taħrika li tibgħatli biex nirtira, ma naħsibx lili nnifsi obbligat li nobdiha." Huwa qal lil Washington li t-talba ta 'Franza fir-reġjun kienet superjuri għal dik tal-Ingliżi, minn meta René-Robert Cavelier, Sieur de la Salle kien esplora l-pajjiż ta' Ohio kważi seklu qabel.</v>
      </c>
    </row>
    <row r="10501" ht="15.75" customHeight="1">
      <c r="A10501" s="2" t="s">
        <v>10501</v>
      </c>
      <c r="B10501" s="2" t="str">
        <f>IFERROR(__xludf.DUMMYFUNCTION("GOOGLETRANSLATE(A10501, ""en"", ""mt"")"),"perjodu ta 'dominazzjoni barranija")</f>
        <v>perjodu ta 'dominazzjoni barranija</v>
      </c>
    </row>
    <row r="10502" ht="15.75" customHeight="1">
      <c r="A10502" s="2" t="s">
        <v>10502</v>
      </c>
      <c r="B10502" s="2" t="str">
        <f>IFERROR(__xludf.DUMMYFUNCTION("GOOGLETRANSLATE(A10502, ""en"", ""mt"")"),"Minħabba li ż-żejt kien ipprezzat f'dollari, id-dħul reali tal-produtturi taż-żejt naqas")</f>
        <v>Minħabba li ż-żejt kien ipprezzat f'dollari, id-dħul reali tal-produtturi taż-żejt naqas</v>
      </c>
    </row>
    <row r="10503" ht="15.75" customHeight="1">
      <c r="A10503" s="2" t="s">
        <v>10503</v>
      </c>
      <c r="B10503" s="2" t="str">
        <f>IFERROR(__xludf.DUMMYFUNCTION("GOOGLETRANSLATE(A10503, ""en"", ""mt"")"),"26.7%")</f>
        <v>26.7%</v>
      </c>
    </row>
    <row r="10504" ht="15.75" customHeight="1">
      <c r="A10504" s="2" t="s">
        <v>10504</v>
      </c>
      <c r="B10504" s="2" t="str">
        <f>IFERROR(__xludf.DUMMYFUNCTION("GOOGLETRANSLATE(A10504, ""en"", ""mt"")"),"Dsatax")</f>
        <v>Dsatax</v>
      </c>
    </row>
    <row r="10505" ht="15.75" customHeight="1">
      <c r="A10505" s="2" t="s">
        <v>10505</v>
      </c>
      <c r="B10505" s="2" t="str">
        <f>IFERROR(__xludf.DUMMYFUNCTION("GOOGLETRANSLATE(A10505, ""en"", ""mt"")"),"żball tipografiku")</f>
        <v>żball tipografiku</v>
      </c>
    </row>
    <row r="10506" ht="15.75" customHeight="1">
      <c r="A10506" s="2" t="s">
        <v>10506</v>
      </c>
      <c r="B10506" s="2" t="str">
        <f>IFERROR(__xludf.DUMMYFUNCTION("GOOGLETRANSLATE(A10506, ""en"", ""mt"")"),"L-Għargħar ta ’Santa Eliżabetta")</f>
        <v>L-Għargħar ta ’Santa Eliżabetta</v>
      </c>
    </row>
    <row r="10507" ht="15.75" customHeight="1">
      <c r="A10507" s="2" t="s">
        <v>10507</v>
      </c>
      <c r="B10507" s="2" t="str">
        <f>IFERROR(__xludf.DUMMYFUNCTION("GOOGLETRANSLATE(A10507, ""en"", ""mt"")"),"X'inhu l-eżempju ta 'problema intermedjata ta' NP mhux magħrufa li teżisti f'P jew NP-komplut?")</f>
        <v>X'inhu l-eżempju ta 'problema intermedjata ta' NP mhux magħrufa li teżisti f'P jew NP-komplut?</v>
      </c>
    </row>
    <row r="10508" ht="15.75" customHeight="1">
      <c r="A10508" s="2" t="s">
        <v>10508</v>
      </c>
      <c r="B10508" s="2" t="str">
        <f>IFERROR(__xludf.DUMMYFUNCTION("GOOGLETRANSLATE(A10508, ""en"", ""mt"")"),"Parlament")</f>
        <v>Parlament</v>
      </c>
    </row>
    <row r="10509" ht="15.75" customHeight="1">
      <c r="A10509" s="2" t="s">
        <v>10509</v>
      </c>
      <c r="B10509" s="2" t="str">
        <f>IFERROR(__xludf.DUMMYFUNCTION("GOOGLETRANSLATE(A10509, ""en"", ""mt"")"),"Meta nbena l-palazz fuq l-ilma?")</f>
        <v>Meta nbena l-palazz fuq l-ilma?</v>
      </c>
    </row>
    <row r="10510" ht="15.75" customHeight="1">
      <c r="A10510" s="2" t="s">
        <v>10510</v>
      </c>
      <c r="B10510" s="2" t="str">
        <f>IFERROR(__xludf.DUMMYFUNCTION("GOOGLETRANSLATE(A10510, ""en"", ""mt"")"),"F'magna tal-kondensatur, xiex timbotta l-pressjoni tal-arja?")</f>
        <v>F'magna tal-kondensatur, xiex timbotta l-pressjoni tal-arja?</v>
      </c>
    </row>
    <row r="10511" ht="15.75" customHeight="1">
      <c r="A10511" s="2" t="s">
        <v>10511</v>
      </c>
      <c r="B10511" s="2" t="str">
        <f>IFERROR(__xludf.DUMMYFUNCTION("GOOGLETRANSLATE(A10511, ""en"", ""mt"")"),"Liema gerijiet intuża fuq magni tat-turbini tal-fwar sad-disgħinijiet?")</f>
        <v>Liema gerijiet intuża fuq magni tat-turbini tal-fwar sad-disgħinijiet?</v>
      </c>
    </row>
    <row r="10512" ht="15.75" customHeight="1">
      <c r="A10512" s="2" t="s">
        <v>10512</v>
      </c>
      <c r="B10512" s="2" t="str">
        <f>IFERROR(__xludf.DUMMYFUNCTION("GOOGLETRANSLATE(A10512, ""en"", ""mt"")"),"Liema element jinstab fil-bijomolekuli kollha?")</f>
        <v>Liema element jinstab fil-bijomolekuli kollha?</v>
      </c>
    </row>
    <row r="10513" ht="15.75" customHeight="1">
      <c r="A10513" s="2" t="s">
        <v>10513</v>
      </c>
      <c r="B10513" s="2" t="str">
        <f>IFERROR(__xludf.DUMMYFUNCTION("GOOGLETRANSLATE(A10513, ""en"", ""mt"")"),"X'inhu l-annimal li l-gżejjer tar-Rhine huma msemmija wara?")</f>
        <v>X'inhu l-annimal li l-gżejjer tar-Rhine huma msemmija wara?</v>
      </c>
    </row>
    <row r="10514" ht="15.75" customHeight="1">
      <c r="A10514" s="2" t="s">
        <v>10514</v>
      </c>
      <c r="B10514" s="2" t="str">
        <f>IFERROR(__xludf.DUMMYFUNCTION("GOOGLETRANSLATE(A10514, ""en"", ""mt"")"),"Studju mill-Istitut Dinji għar-Riċerka dwar l-Ekonomija għall-Iżvilupp fl-Università tan-Nazzjonijiet Uniti jirrapporta li l-aktar sinjuri 1% tal-adulti biss kellhom 40% tal-assi globali fis-sena 2000. L-aktar tliet persuni sinjuri fid-dinja għandhom akta"&amp;"r assi finanzjarji mill-inqas 48 nazzjon magħquda. Il-ġid ikkombinat tal- ""10 miljun dollaru ta 'miljunarji"" kiber għal kważi $ 41 triljun fl-2008. Rapport ta' Jannar 2014 minn Oxfam jiddikjara li l-85 individwu sinjur fid-dinja għandhom ġid ikkombinat "&amp;"daqs dak tal-qiegħ 50% tal-popolazzjoni tad-dinja , jew madwar 3.5 biljun persuna. Skond analiżi tar-rapport ta 'Los Angeles Times, l-aktar sinjur 1% għandu 46% tal-ġid tad-dinja; Il-85 persuna l-aktar sinjura, parti żgħira tal-1% sinjura, għandhom madwar"&amp;" 0.7% tal-ġid tal-popolazzjoni umana, li hija l-istess bħan-nofs tal-qiegħ tal-popolazzjoni. Aktar reċentement, f'Jannar 2015, Oxfam irrapporta li l-aktar sinjur 1 fil-mija se jkollu aktar minn nofs il-ġid globali sal-2016. Studju ta 'Ottubru 2014 minn Cr"&amp;"edit Suisse jiddikjara wkoll li l-aqwa 1% issa għandhom kważi nofs nofs il-ġid tad-dinja u dak Id-disparità tal-aċċellerazzjoni tista 'tikkawża riċessjoni. F’Ottubru 2015, Credit Suisse ppubblikat studju li juri li l-inugwaljanza globali qed tkompli tiżdi"&amp;"ed, u li nofs il-ġid tad-dinja issa jinsab f’idejn dawk fl-aqwa perċentili, li l-assi tagħhom jaqbżu kull $ 759,900. Rapport tal-2016 minn Oxfam jiddikjara li t-62 individwu l-aktar sinjur għandhom daqshekk ġid daqs l-ifqar nofs tal-popolazzjoni globali f"&amp;"limkien. It-talbiet ta 'Oxfam madankollu ġew interrogati fuq il-bażi tal-metodoloġija uża Iċ-Ċina (minħabba tendenza akbar li tieħu d-djun). [Sors mhux affidabbli?] [Sors mhux affidabbli?] Anthony Shorrocks, l-awtur ewlieni tar-Rapport Credit Suisse li hu"&amp;"wa wieħed mis-sorsi tad-dejta ta 'Oxfam, iqis il-kritika dwar id-dejn tkun ""argument iblah"" u ""nuqqas ta 'ħruġ ... devjazzjoni.""")</f>
        <v>Studju mill-Istitut Dinji għar-Riċerka dwar l-Ekonomija għall-Iżvilupp fl-Università tan-Nazzjonijiet Uniti jirrapporta li l-aktar sinjuri 1% tal-adulti biss kellhom 40% tal-assi globali fis-sena 2000. L-aktar tliet persuni sinjuri fid-dinja għandhom aktar assi finanzjarji mill-inqas 48 nazzjon magħquda. Il-ġid ikkombinat tal- "10 miljun dollaru ta 'miljunarji" kiber għal kważi $ 41 triljun fl-2008. Rapport ta' Jannar 2014 minn Oxfam jiddikjara li l-85 individwu sinjur fid-dinja għandhom ġid ikkombinat daqs dak tal-qiegħ 50% tal-popolazzjoni tad-dinja , jew madwar 3.5 biljun persuna. Skond analiżi tar-rapport ta 'Los Angeles Times, l-aktar sinjur 1% għandu 46% tal-ġid tad-dinja; Il-85 persuna l-aktar sinjura, parti żgħira tal-1% sinjura, għandhom madwar 0.7% tal-ġid tal-popolazzjoni umana, li hija l-istess bħan-nofs tal-qiegħ tal-popolazzjoni. Aktar reċentement, f'Jannar 2015, Oxfam irrapporta li l-aktar sinjur 1 fil-mija se jkollu aktar minn nofs il-ġid globali sal-2016. Studju ta 'Ottubru 2014 minn Credit Suisse jiddikjara wkoll li l-aqwa 1% issa għandhom kważi nofs nofs il-ġid tad-dinja u dak Id-disparità tal-aċċellerazzjoni tista 'tikkawża riċessjoni. F’Ottubru 2015, Credit Suisse ppubblikat studju li juri li l-inugwaljanza globali qed tkompli tiżdied, u li nofs il-ġid tad-dinja issa jinsab f’idejn dawk fl-aqwa perċentili, li l-assi tagħhom jaqbżu kull $ 759,900. Rapport tal-2016 minn Oxfam jiddikjara li t-62 individwu l-aktar sinjur għandhom daqshekk ġid daqs l-ifqar nofs tal-popolazzjoni globali flimkien. It-talbiet ta 'Oxfam madankollu ġew interrogati fuq il-bażi tal-metodoloġija uża Iċ-Ċina (minħabba tendenza akbar li tieħu d-djun). [Sors mhux affidabbli?] [Sors mhux affidabbli?] Anthony Shorrocks, l-awtur ewlieni tar-Rapport Credit Suisse li huwa wieħed mis-sorsi tad-dejta ta 'Oxfam, iqis il-kritika dwar id-dejn tkun "argument iblah" u "nuqqas ta 'ħruġ ... devjazzjoni."</v>
      </c>
    </row>
    <row r="10515" ht="15.75" customHeight="1">
      <c r="A10515" s="2" t="s">
        <v>10515</v>
      </c>
      <c r="B10515" s="2" t="str">
        <f>IFERROR(__xludf.DUMMYFUNCTION("GOOGLETRANSLATE(A10515, ""en"", ""mt"")"),"Kemm mill-popolazzjoni Ewropea qatlet il-Mewt l-Iswed?")</f>
        <v>Kemm mill-popolazzjoni Ewropea qatlet il-Mewt l-Iswed?</v>
      </c>
    </row>
    <row r="10516" ht="15.75" customHeight="1">
      <c r="A10516" s="2" t="s">
        <v>10516</v>
      </c>
      <c r="B10516" s="2" t="str">
        <f>IFERROR(__xludf.DUMMYFUNCTION("GOOGLETRANSLATE(A10516, ""en"", ""mt"")"),"Magni ta 'kombustjoni esterna")</f>
        <v>Magni ta 'kombustjoni esterna</v>
      </c>
    </row>
    <row r="10517" ht="15.75" customHeight="1">
      <c r="A10517" s="2" t="s">
        <v>10517</v>
      </c>
      <c r="B10517" s="2" t="str">
        <f>IFERROR(__xludf.DUMMYFUNCTION("GOOGLETRANSLATE(A10517, ""en"", ""mt"")"),"Ġesù l-interpretu")</f>
        <v>Ġesù l-interpretu</v>
      </c>
    </row>
    <row r="10518" ht="15.75" customHeight="1">
      <c r="A10518" s="2" t="s">
        <v>10518</v>
      </c>
      <c r="B10518" s="2" t="str">
        <f>IFERROR(__xludf.DUMMYFUNCTION("GOOGLETRANSLATE(A10518, ""en"", ""mt"")"),"Meta spiċċat l-aħħar glaċjali?")</f>
        <v>Meta spiċċat l-aħħar glaċjali?</v>
      </c>
    </row>
    <row r="10519" ht="15.75" customHeight="1">
      <c r="A10519" s="2" t="s">
        <v>10519</v>
      </c>
      <c r="B10519" s="2" t="str">
        <f>IFERROR(__xludf.DUMMYFUNCTION("GOOGLETRANSLATE(A10519, ""en"", ""mt"")"),"X'inhu, apparti l-firebox, huwa isem ieħor għall-ispazju li fih materjal kombustibbli jinħaraq fl-element ta 'tisħin elettriku?")</f>
        <v>X'inhu, apparti l-firebox, huwa isem ieħor għall-ispazju li fih materjal kombustibbli jinħaraq fl-element ta 'tisħin elettriku?</v>
      </c>
    </row>
    <row r="10520" ht="15.75" customHeight="1">
      <c r="A10520" s="2" t="s">
        <v>10520</v>
      </c>
      <c r="B10520" s="2" t="str">
        <f>IFERROR(__xludf.DUMMYFUNCTION("GOOGLETRANSLATE(A10520, ""en"", ""mt"")"),"Karta tal-flus tal-benesseri")</f>
        <v>Karta tal-flus tal-benesseri</v>
      </c>
    </row>
    <row r="10521" ht="15.75" customHeight="1">
      <c r="A10521" s="2" t="s">
        <v>10521</v>
      </c>
      <c r="B10521" s="2" t="str">
        <f>IFERROR(__xludf.DUMMYFUNCTION("GOOGLETRANSLATE(A10521, ""en"", ""mt"")"),"Diversi proċeduri")</f>
        <v>Diversi proċeduri</v>
      </c>
    </row>
    <row r="10522" ht="15.75" customHeight="1">
      <c r="A10522" s="2" t="s">
        <v>10522</v>
      </c>
      <c r="B10522" s="2" t="str">
        <f>IFERROR(__xludf.DUMMYFUNCTION("GOOGLETRANSLATE(A10522, ""en"", ""mt"")")," L-imperjalizmu huwa responsabbli għat-tixrid bil-mod ta 'xiex?")</f>
        <v> L-imperjalizmu huwa responsabbli għat-tixrid bil-mod ta 'xiex?</v>
      </c>
    </row>
    <row r="10523" ht="15.75" customHeight="1">
      <c r="A10523" s="2" t="s">
        <v>10523</v>
      </c>
      <c r="B10523" s="2" t="str">
        <f>IFERROR(__xludf.DUMMYFUNCTION("GOOGLETRANSLATE(A10523, ""en"", ""mt"")"),"Liema antikorpi jinġarru mill-omm għal tarbija madwar il-plaċenta?")</f>
        <v>Liema antikorpi jinġarru mill-omm għal tarbija madwar il-plaċenta?</v>
      </c>
    </row>
    <row r="10524" ht="15.75" customHeight="1">
      <c r="A10524" s="2" t="s">
        <v>10524</v>
      </c>
      <c r="B10524" s="2" t="str">
        <f>IFERROR(__xludf.DUMMYFUNCTION("GOOGLETRANSLATE(A10524, ""en"", ""mt"")"),"Meta Ralph Woodward wasal għand Fresno?")</f>
        <v>Meta Ralph Woodward wasal għand Fresno?</v>
      </c>
    </row>
    <row r="10525" ht="15.75" customHeight="1">
      <c r="A10525" s="2" t="s">
        <v>10525</v>
      </c>
      <c r="B10525" s="2" t="str">
        <f>IFERROR(__xludf.DUMMYFUNCTION("GOOGLETRANSLATE(A10525, ""en"", ""mt"")"),"Prim Ministru Ingliż Edward Heath")</f>
        <v>Prim Ministru Ingliż Edward Heath</v>
      </c>
    </row>
    <row r="10526" ht="15.75" customHeight="1">
      <c r="A10526" s="2" t="s">
        <v>10526</v>
      </c>
      <c r="B10526" s="2" t="str">
        <f>IFERROR(__xludf.DUMMYFUNCTION("GOOGLETRANSLATE(A10526, ""en"", ""mt"")"),"Blat imġebbda li għafsu fil-lentijiet huma magħrufa minn liema kelma?")</f>
        <v>Blat imġebbda li għafsu fil-lentijiet huma magħrufa minn liema kelma?</v>
      </c>
    </row>
    <row r="10527" ht="15.75" customHeight="1">
      <c r="A10527" s="2" t="s">
        <v>10527</v>
      </c>
      <c r="B10527" s="2" t="str">
        <f>IFERROR(__xludf.DUMMYFUNCTION("GOOGLETRANSLATE(A10527, ""en"", ""mt"")"),"Riċetturi varjabbli tal-limfoċiti (VLRs)")</f>
        <v>Riċetturi varjabbli tal-limfoċiti (VLRs)</v>
      </c>
    </row>
    <row r="10528" ht="15.75" customHeight="1">
      <c r="A10528" s="2" t="s">
        <v>10528</v>
      </c>
      <c r="B10528" s="2" t="str">
        <f>IFERROR(__xludf.DUMMYFUNCTION("GOOGLETRANSLATE(A10528, ""en"", ""mt"")"),"4 kilometri")</f>
        <v>4 kilometri</v>
      </c>
    </row>
    <row r="10529" ht="15.75" customHeight="1">
      <c r="A10529" s="2" t="s">
        <v>10529</v>
      </c>
      <c r="B10529" s="2" t="str">
        <f>IFERROR(__xludf.DUMMYFUNCTION("GOOGLETRANSLATE(A10529, ""en"", ""mt"")"),"Kemm mill-popolazzjoni ta 'Ħelsinki tkellmet bil-Franċiż mill-1700?")</f>
        <v>Kemm mill-popolazzjoni ta 'Ħelsinki tkellmet bil-Franċiż mill-1700?</v>
      </c>
    </row>
    <row r="10530" ht="15.75" customHeight="1">
      <c r="A10530" s="2" t="s">
        <v>10530</v>
      </c>
      <c r="B10530" s="2" t="str">
        <f>IFERROR(__xludf.DUMMYFUNCTION("GOOGLETRANSLATE(A10530, ""en"", ""mt"")"),"X'inhu eżempju ta 'xogħol li għaliha kienet adattata magna tal-fwar mgħammra mill-gvernatur ċentrifugali?")</f>
        <v>X'inhu eżempju ta 'xogħol li għaliha kienet adattata magna tal-fwar mgħammra mill-gvernatur ċentrifugali?</v>
      </c>
    </row>
    <row r="10531" ht="15.75" customHeight="1">
      <c r="A10531" s="2" t="s">
        <v>10531</v>
      </c>
      <c r="B10531" s="2" t="str">
        <f>IFERROR(__xludf.DUMMYFUNCTION("GOOGLETRANSLATE(A10531, ""en"", ""mt"")"),"It-test ta 'Lucas-Lehmer")</f>
        <v>It-test ta 'Lucas-Lehmer</v>
      </c>
    </row>
    <row r="10532" ht="15.75" customHeight="1">
      <c r="A10532" s="2" t="s">
        <v>10532</v>
      </c>
      <c r="B10532" s="2" t="str">
        <f>IFERROR(__xludf.DUMMYFUNCTION("GOOGLETRANSLATE(A10532, ""en"", ""mt"")"),"X'inhu l-mekkaniżmu tad-difiża ewlieni tal-batterji magħruf bħala?")</f>
        <v>X'inhu l-mekkaniżmu tad-difiża ewlieni tal-batterji magħruf bħala?</v>
      </c>
    </row>
    <row r="10533" ht="15.75" customHeight="1">
      <c r="A10533" s="2" t="s">
        <v>10533</v>
      </c>
      <c r="B10533" s="2" t="str">
        <f>IFERROR(__xludf.DUMMYFUNCTION("GOOGLETRANSLATE(A10533, ""en"", ""mt"")"),"Kemm hemm sports li jintlagħbu fil-Faċiliti tal-Atletika?")</f>
        <v>Kemm hemm sports li jintlagħbu fil-Faċiliti tal-Atletika?</v>
      </c>
    </row>
    <row r="10534" ht="15.75" customHeight="1">
      <c r="A10534" s="2" t="s">
        <v>10534</v>
      </c>
      <c r="B10534" s="2" t="str">
        <f>IFERROR(__xludf.DUMMYFUNCTION("GOOGLETRANSLATE(A10534, ""en"", ""mt"")"),"Kif huwa deskritt it-temp tax-xitwa f'Jacksonville?")</f>
        <v>Kif huwa deskritt it-temp tax-xitwa f'Jacksonville?</v>
      </c>
    </row>
    <row r="10535" ht="15.75" customHeight="1">
      <c r="A10535" s="2" t="s">
        <v>10535</v>
      </c>
      <c r="B10535" s="2" t="str">
        <f>IFERROR(__xludf.DUMMYFUNCTION("GOOGLETRANSLATE(A10535, ""en"", ""mt"")"),"Meta l-università bdiet ikollha programm ta 'grad ta' baċellerat fl-Istudji tat-Teatru u l-Prestazzjoni?")</f>
        <v>Meta l-università bdiet ikollha programm ta 'grad ta' baċellerat fl-Istudji tat-Teatru u l-Prestazzjoni?</v>
      </c>
    </row>
    <row r="10536" ht="15.75" customHeight="1">
      <c r="A10536" s="2" t="s">
        <v>10536</v>
      </c>
      <c r="B10536" s="2" t="str">
        <f>IFERROR(__xludf.DUMMYFUNCTION("GOOGLETRANSLATE(A10536, ""en"", ""mt"")"),"Min hu dixxendent tal-Ġeneral Hermann von Francois?")</f>
        <v>Min hu dixxendent tal-Ġeneral Hermann von Francois?</v>
      </c>
    </row>
    <row r="10537" ht="15.75" customHeight="1">
      <c r="A10537" s="2" t="s">
        <v>10537</v>
      </c>
      <c r="B10537" s="2" t="str">
        <f>IFERROR(__xludf.DUMMYFUNCTION("GOOGLETRANSLATE(A10537, ""en"", ""mt"")"),"X'inhu l-Kastell Irjali l-iktar eżempju interessanti ta '?")</f>
        <v>X'inhu l-Kastell Irjali l-iktar eżempju interessanti ta '?</v>
      </c>
    </row>
    <row r="10538" ht="15.75" customHeight="1">
      <c r="A10538" s="2" t="s">
        <v>10538</v>
      </c>
      <c r="B10538" s="2" t="str">
        <f>IFERROR(__xludf.DUMMYFUNCTION("GOOGLETRANSLATE(A10538, ""en"", ""mt"")"),"X'inhi klassi waħda ta 'molekula personali?")</f>
        <v>X'inhi klassi waħda ta 'molekula personali?</v>
      </c>
    </row>
    <row r="10539" ht="15.75" customHeight="1">
      <c r="A10539" s="2" t="s">
        <v>10539</v>
      </c>
      <c r="B10539" s="2" t="str">
        <f>IFERROR(__xludf.DUMMYFUNCTION("GOOGLETRANSLATE(A10539, ""en"", ""mt"")"),"Dak li pprovda inċentiv lill-imperi tal-Punent biex jikkolonizzaw l-Afrika?")</f>
        <v>Dak li pprovda inċentiv lill-imperi tal-Punent biex jikkolonizzaw l-Afrika?</v>
      </c>
    </row>
    <row r="10540" ht="15.75" customHeight="1">
      <c r="A10540" s="2" t="s">
        <v>10540</v>
      </c>
      <c r="B10540" s="2" t="str">
        <f>IFERROR(__xludf.DUMMYFUNCTION("GOOGLETRANSLATE(A10540, ""en"", ""mt"")"),"Il-kunflitt huwa magħruf b'ismijiet multipli. Fl-Amerika Ingliża, il-gwerer spiss kienu msejħa wara l-monarka Brittanika seduta, bħall-gwerra tar-Re William jew il-gwerra tar-Reġina Anne. Peress li diġà kien hemm il-gwerra tar-Re Ġorġ fl-1740s, il-kolonis"&amp;"ti Ingliżi semmew it-tieni gwerra fir-renju tar-Re Ġorġ wara l-avversarji tagħhom, u saret magħrufa bħala l-Gwerra Franċiża u Indjana. Dan l-isem tradizzjonali jkompli bħala l-istandard fl-Istati Uniti, iżda joskura l-fatt li l-Indjani ġġieldu fuq iż-żewġ"&amp;" naħat tal-kunflitt, u li dan kien parti mill-gwerra tas-seba 'snin, kunflitt ferm akbar bejn Franza u l-Gran Brittanja. L-istoriċi Amerikani ġeneralment jużaw l-isem tradizzjonali jew xi kultant il-gwerra tas-seba ’snin. Ismijiet oħra, inqas użati għall-"&amp;"gwerra jinkludu r-raba 'gwerra interkolonjali u l-gwerra kbira għall-imperu.")</f>
        <v>Il-kunflitt huwa magħruf b'ismijiet multipli. Fl-Amerika Ingliża, il-gwerer spiss kienu msejħa wara l-monarka Brittanika seduta, bħall-gwerra tar-Re William jew il-gwerra tar-Reġina Anne. Peress li diġà kien hemm il-gwerra tar-Re Ġorġ fl-1740s, il-kolonisti Ingliżi semmew it-tieni gwerra fir-renju tar-Re Ġorġ wara l-avversarji tagħhom, u saret magħrufa bħala l-Gwerra Franċiża u Indjana. Dan l-isem tradizzjonali jkompli bħala l-istandard fl-Istati Uniti, iżda joskura l-fatt li l-Indjani ġġieldu fuq iż-żewġ naħat tal-kunflitt, u li dan kien parti mill-gwerra tas-seba 'snin, kunflitt ferm akbar bejn Franza u l-Gran Brittanja. L-istoriċi Amerikani ġeneralment jużaw l-isem tradizzjonali jew xi kultant il-gwerra tas-seba ’snin. Ismijiet oħra, inqas użati għall-gwerra jinkludu r-raba 'gwerra interkolonjali u l-gwerra kbira għall-imperu.</v>
      </c>
    </row>
    <row r="10541" ht="15.75" customHeight="1">
      <c r="A10541" s="2" t="s">
        <v>10541</v>
      </c>
      <c r="B10541" s="2" t="str">
        <f>IFERROR(__xludf.DUMMYFUNCTION("GOOGLETRANSLATE(A10541, ""en"", ""mt"")"),"X'inhu l-iskop tal-ASER?")</f>
        <v>X'inhu l-iskop tal-ASER?</v>
      </c>
    </row>
    <row r="10542" ht="15.75" customHeight="1">
      <c r="A10542" s="2" t="s">
        <v>10542</v>
      </c>
      <c r="B10542" s="2" t="str">
        <f>IFERROR(__xludf.DUMMYFUNCTION("GOOGLETRANSLATE(A10542, ""en"", ""mt"")"),"Wahhabi / salafi jihadist extremist militant group")</f>
        <v>Wahhabi / salafi jihadist extremist militant group</v>
      </c>
    </row>
    <row r="10543" ht="15.75" customHeight="1">
      <c r="A10543" s="2" t="s">
        <v>10543</v>
      </c>
      <c r="B10543" s="2" t="str">
        <f>IFERROR(__xludf.DUMMYFUNCTION("GOOGLETRANSLATE(A10543, ""en"", ""mt"")"),"bijostratigrafiċi")</f>
        <v>bijostratigrafiċi</v>
      </c>
    </row>
    <row r="10544" ht="15.75" customHeight="1">
      <c r="A10544" s="2" t="s">
        <v>10544</v>
      </c>
      <c r="B10544" s="2" t="str">
        <f>IFERROR(__xludf.DUMMYFUNCTION("GOOGLETRANSLATE(A10544, ""en"", ""mt"")"),"ġie mfakkar u mibdul minn Jeffery Amherst")</f>
        <v>ġie mfakkar u mibdul minn Jeffery Amherst</v>
      </c>
    </row>
    <row r="10545" ht="15.75" customHeight="1">
      <c r="A10545" s="2" t="s">
        <v>10545</v>
      </c>
      <c r="B10545" s="2" t="str">
        <f>IFERROR(__xludf.DUMMYFUNCTION("GOOGLETRANSLATE(A10545, ""en"", ""mt"")"),"Fl-1972 (għalkemm in-Norveġja ma spiċċatx tingħaqad)")</f>
        <v>Fl-1972 (għalkemm in-Norveġja ma spiċċatx tingħaqad)</v>
      </c>
    </row>
    <row r="10546" ht="15.75" customHeight="1">
      <c r="A10546" s="2" t="s">
        <v>10546</v>
      </c>
      <c r="B10546" s="2" t="str">
        <f>IFERROR(__xludf.DUMMYFUNCTION("GOOGLETRANSLATE(A10546, ""en"", ""mt"")"),"Kif jintbagħtu l-pakketti sinkroniċi?")</f>
        <v>Kif jintbagħtu l-pakketti sinkroniċi?</v>
      </c>
    </row>
    <row r="10547" ht="15.75" customHeight="1">
      <c r="A10547" s="2" t="s">
        <v>10547</v>
      </c>
      <c r="B10547" s="2" t="str">
        <f>IFERROR(__xludf.DUMMYFUNCTION("GOOGLETRANSLATE(A10547, ""en"", ""mt"")"),"Fejn huma ppubblikati opinjonijiet li ma jaqblux?")</f>
        <v>Fejn huma ppubblikati opinjonijiet li ma jaqblux?</v>
      </c>
    </row>
    <row r="10548" ht="15.75" customHeight="1">
      <c r="A10548" s="2" t="s">
        <v>10548</v>
      </c>
      <c r="B10548" s="2" t="str">
        <f>IFERROR(__xludf.DUMMYFUNCTION("GOOGLETRANSLATE(A10548, ""en"", ""mt"")"),"Fil-kwart tal-ħarifa tal-2014, kemm studenti ffirmaw għall-università b’kollox?")</f>
        <v>Fil-kwart tal-ħarifa tal-2014, kemm studenti ffirmaw għall-università b’kollox?</v>
      </c>
    </row>
    <row r="10549" ht="15.75" customHeight="1">
      <c r="A10549" s="2" t="s">
        <v>10549</v>
      </c>
      <c r="B10549" s="2" t="str">
        <f>IFERROR(__xludf.DUMMYFUNCTION("GOOGLETRANSLATE(A10549, ""en"", ""mt"")"),"X'inhi tifsira addizzjonali maħsuba meta jintuża l-komponent tal-kelma?")</f>
        <v>X'inhi tifsira addizzjonali maħsuba meta jintuża l-komponent tal-kelma?</v>
      </c>
    </row>
    <row r="10550" ht="15.75" customHeight="1">
      <c r="A10550" s="2" t="s">
        <v>10550</v>
      </c>
      <c r="B10550" s="2" t="str">
        <f>IFERROR(__xludf.DUMMYFUNCTION("GOOGLETRANSLATE(A10550, ""en"", ""mt"")"),"tvarja minn 53% fil-Botswana għal -40% fil-Baħrejn")</f>
        <v>tvarja minn 53% fil-Botswana għal -40% fil-Baħrejn</v>
      </c>
    </row>
    <row r="10551" ht="15.75" customHeight="1">
      <c r="A10551" s="2" t="s">
        <v>10551</v>
      </c>
      <c r="B10551" s="2" t="str">
        <f>IFERROR(__xludf.DUMMYFUNCTION("GOOGLETRANSLATE(A10551, ""en"", ""mt"")"),"F’liema sena Frederick William tal-Prussja sar l-Elettur il-Kbir?")</f>
        <v>F’liema sena Frederick William tal-Prussja sar l-Elettur il-Kbir?</v>
      </c>
    </row>
    <row r="10552" ht="15.75" customHeight="1">
      <c r="A10552" s="2" t="s">
        <v>10552</v>
      </c>
      <c r="B10552" s="2" t="str">
        <f>IFERROR(__xludf.DUMMYFUNCTION("GOOGLETRANSLATE(A10552, ""en"", ""mt"")"),"Liema ġeneru huwa meqjus bħala z-zija ta 'Vendobionta?")</f>
        <v>Liema ġeneru huwa meqjus bħala z-zija ta 'Vendobionta?</v>
      </c>
    </row>
    <row r="10553" ht="15.75" customHeight="1">
      <c r="A10553" s="2" t="s">
        <v>10553</v>
      </c>
      <c r="B10553" s="2" t="str">
        <f>IFERROR(__xludf.DUMMYFUNCTION("GOOGLETRANSLATE(A10553, ""en"", ""mt"")"),"X'tip ta 'algoritmu hija diviżjoni tal-probabbiltà?")</f>
        <v>X'tip ta 'algoritmu hija diviżjoni tal-probabbiltà?</v>
      </c>
    </row>
    <row r="10554" ht="15.75" customHeight="1">
      <c r="A10554" s="2" t="s">
        <v>10554</v>
      </c>
      <c r="B10554" s="2" t="str">
        <f>IFERROR(__xludf.DUMMYFUNCTION("GOOGLETRANSLATE(A10554, ""en"", ""mt"")"),"Liema memorja kiteb William Smith li ġie ppubblikat fit-tranżazzjonijiet tas-Soċjetà?")</f>
        <v>Liema memorja kiteb William Smith li ġie ppubblikat fit-tranżazzjonijiet tas-Soċjetà?</v>
      </c>
    </row>
    <row r="10555" ht="15.75" customHeight="1">
      <c r="A10555" s="2" t="s">
        <v>10555</v>
      </c>
      <c r="B10555" s="2" t="str">
        <f>IFERROR(__xludf.DUMMYFUNCTION("GOOGLETRANSLATE(A10555, ""en"", ""mt"")"),"forza normali")</f>
        <v>forza normali</v>
      </c>
    </row>
    <row r="10556" ht="15.75" customHeight="1">
      <c r="A10556" s="2" t="s">
        <v>10556</v>
      </c>
      <c r="B10556" s="2" t="str">
        <f>IFERROR(__xludf.DUMMYFUNCTION("GOOGLETRANSLATE(A10556, ""en"", ""mt"")"),"miljun")</f>
        <v>miljun</v>
      </c>
    </row>
    <row r="10557" ht="15.75" customHeight="1">
      <c r="A10557" s="2" t="s">
        <v>10557</v>
      </c>
      <c r="B10557" s="2" t="str">
        <f>IFERROR(__xludf.DUMMYFUNCTION("GOOGLETRANSLATE(A10557, ""en"", ""mt"")"),"Forza tanġenzjali")</f>
        <v>Forza tanġenzjali</v>
      </c>
    </row>
    <row r="10558" ht="15.75" customHeight="1">
      <c r="A10558" s="2" t="s">
        <v>10558</v>
      </c>
      <c r="B10558" s="2" t="str">
        <f>IFERROR(__xludf.DUMMYFUNCTION("GOOGLETRANSLATE(A10558, ""en"", ""mt"")"),"Sa kemm kilometru l-problema tal-bejjiegħ li tivvjaġġa tfittex li tikklassifika rotta bejn il-15-il belt l-akbar fil-Ġermanja?")</f>
        <v>Sa kemm kilometru l-problema tal-bejjiegħ li tivvjaġġa tfittex li tikklassifika rotta bejn il-15-il belt l-akbar fil-Ġermanja?</v>
      </c>
    </row>
    <row r="10559" ht="15.75" customHeight="1">
      <c r="A10559" s="2" t="s">
        <v>10559</v>
      </c>
      <c r="B10559" s="2" t="str">
        <f>IFERROR(__xludf.DUMMYFUNCTION("GOOGLETRANSLATE(A10559, ""en"", ""mt"")"),"Kings Canyon Avenue tinsab fin-naħa tax-Xlokk ta 'xiex?")</f>
        <v>Kings Canyon Avenue tinsab fin-naħa tax-Xlokk ta 'xiex?</v>
      </c>
    </row>
    <row r="10560" ht="15.75" customHeight="1">
      <c r="A10560" s="2" t="s">
        <v>10560</v>
      </c>
      <c r="B10560" s="2" t="str">
        <f>IFERROR(__xludf.DUMMYFUNCTION("GOOGLETRANSLATE(A10560, ""en"", ""mt"")"),"Il-konċentrazzjoni tal-ġid hija proċess teoretiku [skond min?] Li permezz tiegħu, taħt ċerti kundizzjonijiet, konċentrati tal-ġid maħluqa ġodda fil-pussess ta 'individwi jew entitajiet diġà sinjifikanti. Skond din it-teorija, dawk li diġà għandhom il-ġid "&amp;"għandhom il-mezzi biex jinvestu f'sorsi ġodda ta 'ħolqien ta' ġid jew biex inkella jsaħħu l-akkumulazzjoni tal-ġid, u għalhekk huma l-benefiċjarji tal-ġid il-ġdid. Maż-żmien, il-kondensazzjoni tal-ġid tista 'tikkontribwixxi b'mod sinifikanti għall-persist"&amp;"enza ta' inugwaljanza fis-soċjetà. Thomas Piketty fil-ktieb tal-ktieb tiegħu fis-seklu wieħed u għoxrin jargumenta li l-forza fundamentali għad-diverġenza hija r-ritorn ġeneralment ikbar tal-kapital (R) milli t-tkabbir ekonomiku (G), u li l-fortuni akbar "&amp;"jiġġeneraw qligħ ogħla [PP. 384 Tabella 12.2, Daqs tad-Dotazzjoni tal-Università ta 'l-Istati Uniti vs Rata ta' Ritorn Annwali Real]")</f>
        <v>Il-konċentrazzjoni tal-ġid hija proċess teoretiku [skond min?] Li permezz tiegħu, taħt ċerti kundizzjonijiet, konċentrati tal-ġid maħluqa ġodda fil-pussess ta 'individwi jew entitajiet diġà sinjifikanti. Skond din it-teorija, dawk li diġà għandhom il-ġid għandhom il-mezzi biex jinvestu f'sorsi ġodda ta 'ħolqien ta' ġid jew biex inkella jsaħħu l-akkumulazzjoni tal-ġid, u għalhekk huma l-benefiċjarji tal-ġid il-ġdid. Maż-żmien, il-kondensazzjoni tal-ġid tista 'tikkontribwixxi b'mod sinifikanti għall-persistenza ta' inugwaljanza fis-soċjetà. Thomas Piketty fil-ktieb tal-ktieb tiegħu fis-seklu wieħed u għoxrin jargumenta li l-forza fundamentali għad-diverġenza hija r-ritorn ġeneralment ikbar tal-kapital (R) milli t-tkabbir ekonomiku (G), u li l-fortuni akbar jiġġeneraw qligħ ogħla [PP. 384 Tabella 12.2, Daqs tad-Dotazzjoni tal-Università ta 'l-Istati Uniti vs Rata ta' Ritorn Annwali Real]</v>
      </c>
    </row>
    <row r="10561" ht="15.75" customHeight="1">
      <c r="A10561" s="2" t="s">
        <v>10561</v>
      </c>
      <c r="B10561" s="2" t="str">
        <f>IFERROR(__xludf.DUMMYFUNCTION("GOOGLETRANSLATE(A10561, ""en"", ""mt"")"),"Kraków")</f>
        <v>Kraków</v>
      </c>
    </row>
    <row r="10562" ht="15.75" customHeight="1">
      <c r="A10562" s="2" t="s">
        <v>10562</v>
      </c>
      <c r="B10562" s="2" t="str">
        <f>IFERROR(__xludf.DUMMYFUNCTION("GOOGLETRANSLATE(A10562, ""en"", ""mt"")"),"X'inhi r-relazzjoni bejn il-perit u s-sottokuntrattur?")</f>
        <v>X'inhi r-relazzjoni bejn il-perit u s-sottokuntrattur?</v>
      </c>
    </row>
    <row r="10563" ht="15.75" customHeight="1">
      <c r="A10563" s="2" t="s">
        <v>10563</v>
      </c>
      <c r="B10563" s="2" t="str">
        <f>IFERROR(__xludf.DUMMYFUNCTION("GOOGLETRANSLATE(A10563, ""en"", ""mt"")"),"Servizz tas-Sema")</f>
        <v>Servizz tas-Sema</v>
      </c>
    </row>
    <row r="10564" ht="15.75" customHeight="1">
      <c r="A10564" s="2" t="s">
        <v>10564</v>
      </c>
      <c r="B10564" s="2" t="str">
        <f>IFERROR(__xludf.DUMMYFUNCTION("GOOGLETRANSLATE(A10564, ""en"", ""mt"")"),"Qabel it-taqsimiet ta 'dating iżotopiku tal-blat kellhom jiġu ddatati bl-użu ta' fossili u korrelazzjoni stratigrafika relattiva għal xiex?")</f>
        <v>Qabel it-taqsimiet ta 'dating iżotopiku tal-blat kellhom jiġu ddatati bl-użu ta' fossili u korrelazzjoni stratigrafika relattiva għal xiex?</v>
      </c>
    </row>
    <row r="10565" ht="15.75" customHeight="1">
      <c r="A10565" s="2" t="s">
        <v>10565</v>
      </c>
      <c r="B10565" s="2" t="str">
        <f>IFERROR(__xludf.DUMMYFUNCTION("GOOGLETRANSLATE(A10565, ""en"", ""mt"")"),"CRISPR")</f>
        <v>CRISPR</v>
      </c>
    </row>
    <row r="10566" ht="15.75" customHeight="1">
      <c r="A10566" s="2" t="s">
        <v>10566</v>
      </c>
      <c r="B10566" s="2" t="str">
        <f>IFERROR(__xludf.DUMMYFUNCTION("GOOGLETRANSLATE(A10566, ""en"", ""mt"")"),"ir-re Korean")</f>
        <v>ir-re Korean</v>
      </c>
    </row>
    <row r="10567" ht="15.75" customHeight="1">
      <c r="A10567" s="2" t="s">
        <v>10567</v>
      </c>
      <c r="B10567" s="2" t="str">
        <f>IFERROR(__xludf.DUMMYFUNCTION("GOOGLETRANSLATE(A10567, ""en"", ""mt"")"),"Kemm il-klijenti Sema UK tilfet bħala xandar tat-TV bi ħlas mill-2015?")</f>
        <v>Kemm il-klijenti Sema UK tilfet bħala xandar tat-TV bi ħlas mill-2015?</v>
      </c>
    </row>
    <row r="10568" ht="15.75" customHeight="1">
      <c r="A10568" s="2" t="s">
        <v>10568</v>
      </c>
      <c r="B10568" s="2" t="str">
        <f>IFERROR(__xludf.DUMMYFUNCTION("GOOGLETRANSLATE(A10568, ""en"", ""mt"")"),"Għaliex il-blat maqtugħin fuq nett ta 'tort iżgħar mit-tort?")</f>
        <v>Għaliex il-blat maqtugħin fuq nett ta 'tort iżgħar mit-tort?</v>
      </c>
    </row>
    <row r="10569" ht="15.75" customHeight="1">
      <c r="A10569" s="2" t="s">
        <v>10569</v>
      </c>
      <c r="B10569" s="2" t="str">
        <f>IFERROR(__xludf.DUMMYFUNCTION("GOOGLETRANSLATE(A10569, ""en"", ""mt"")"),"Zhenjin")</f>
        <v>Zhenjin</v>
      </c>
    </row>
    <row r="10570" ht="15.75" customHeight="1">
      <c r="A10570" s="2" t="s">
        <v>10570</v>
      </c>
      <c r="B10570" s="2" t="str">
        <f>IFERROR(__xludf.DUMMYFUNCTION("GOOGLETRANSLATE(A10570, ""en"", ""mt"")"),"Xmara Thames")</f>
        <v>Xmara Thames</v>
      </c>
    </row>
    <row r="10571" ht="15.75" customHeight="1">
      <c r="A10571" s="2" t="s">
        <v>10571</v>
      </c>
      <c r="B10571" s="2" t="str">
        <f>IFERROR(__xludf.DUMMYFUNCTION("GOOGLETRANSLATE(A10571, ""en"", ""mt"")"),"L-iżvilupp tal-bajd fertilizzat huwa dirett, fi kliem ieħor m'hemm l-ebda forma ta 'larva distintiva, u l-minorenni tal-gruppi kollha ġeneralment jixbhu lill-adulti taċ-ċidippidi żgħar. Fil-ġeneru Beroe, il-minorenni, bħall-adulti, m'għandhomx tentakli u "&amp;"għant tat-tentaklu. Fil-biċċa l-kbira tal-ispeċi l-minorenni jiżviluppaw gradwalment il-forom tal-ġisem tal-ġenituri tagħhom. F’xi gruppi, bħalma huma l-platyctenids ċatti u fil-qiegħ, il-minorenni jġibu ruħhom aktar bħal larva vera, hekk kif jgħixu fost "&amp;"il-plankton u b’hekk jokkupaw niċċa ekoloġika differenti mill-ġenituri tagħhom u jilħqu l-forma adulta minn metamorfosi aktar radikali, wara Waqqa 'lejn il-qiegħ tal-baħar.")</f>
        <v>L-iżvilupp tal-bajd fertilizzat huwa dirett, fi kliem ieħor m'hemm l-ebda forma ta 'larva distintiva, u l-minorenni tal-gruppi kollha ġeneralment jixbhu lill-adulti taċ-ċidippidi żgħar. Fil-ġeneru Beroe, il-minorenni, bħall-adulti, m'għandhomx tentakli u għant tat-tentaklu. Fil-biċċa l-kbira tal-ispeċi l-minorenni jiżviluppaw gradwalment il-forom tal-ġisem tal-ġenituri tagħhom. F’xi gruppi, bħalma huma l-platyctenids ċatti u fil-qiegħ, il-minorenni jġibu ruħhom aktar bħal larva vera, hekk kif jgħixu fost il-plankton u b’hekk jokkupaw niċċa ekoloġika differenti mill-ġenituri tagħhom u jilħqu l-forma adulta minn metamorfosi aktar radikali, wara Waqqa 'lejn il-qiegħ tal-baħar.</v>
      </c>
    </row>
    <row r="10572" ht="15.75" customHeight="1">
      <c r="A10572" s="2" t="s">
        <v>10572</v>
      </c>
      <c r="B10572" s="2" t="str">
        <f>IFERROR(__xludf.DUMMYFUNCTION("GOOGLETRANSLATE(A10572, ""en"", ""mt"")"),"300 km twil")</f>
        <v>300 km twil</v>
      </c>
    </row>
    <row r="10573" ht="15.75" customHeight="1">
      <c r="A10573" s="2" t="s">
        <v>10573</v>
      </c>
      <c r="B10573" s="2" t="str">
        <f>IFERROR(__xludf.DUMMYFUNCTION("GOOGLETRANSLATE(A10573, ""en"", ""mt"")"),"6.1")</f>
        <v>6.1</v>
      </c>
    </row>
    <row r="10574" ht="15.75" customHeight="1">
      <c r="A10574" s="2" t="s">
        <v>10574</v>
      </c>
      <c r="B10574" s="2" t="str">
        <f>IFERROR(__xludf.DUMMYFUNCTION("GOOGLETRANSLATE(A10574, ""en"", ""mt"")"),"Meta kienet l-inugwaljanza fil-konsum inqas milli kienet fl-1986?")</f>
        <v>Meta kienet l-inugwaljanza fil-konsum inqas milli kienet fl-1986?</v>
      </c>
    </row>
    <row r="10575" ht="15.75" customHeight="1">
      <c r="A10575" s="2" t="s">
        <v>10575</v>
      </c>
      <c r="B10575" s="2" t="str">
        <f>IFERROR(__xludf.DUMMYFUNCTION("GOOGLETRANSLATE(A10575, ""en"", ""mt"")"),"livell tal-baħar")</f>
        <v>livell tal-baħar</v>
      </c>
    </row>
    <row r="10576" ht="15.75" customHeight="1">
      <c r="A10576" s="2" t="s">
        <v>10576</v>
      </c>
      <c r="B10576" s="2" t="str">
        <f>IFERROR(__xludf.DUMMYFUNCTION("GOOGLETRANSLATE(A10576, ""en"", ""mt"")"),"Liema tip ta 'arkitettura ġie wara l-gotiku bikri?")</f>
        <v>Liema tip ta 'arkitettura ġie wara l-gotiku bikri?</v>
      </c>
    </row>
    <row r="10577" ht="15.75" customHeight="1">
      <c r="A10577" s="2" t="s">
        <v>10577</v>
      </c>
      <c r="B10577" s="2" t="str">
        <f>IFERROR(__xludf.DUMMYFUNCTION("GOOGLETRANSLATE(A10577, ""en"", ""mt"")"),"Ma 'riċevitur għandu jkun mgħammar biex jara kontenut mhux ikkriptat?")</f>
        <v>Ma 'riċevitur għandu jkun mgħammar biex jara kontenut mhux ikkriptat?</v>
      </c>
    </row>
    <row r="10578" ht="15.75" customHeight="1">
      <c r="A10578" s="2" t="s">
        <v>10578</v>
      </c>
      <c r="B10578" s="2" t="str">
        <f>IFERROR(__xludf.DUMMYFUNCTION("GOOGLETRANSLATE(A10578, ""en"", ""mt"")"),"It-Tieni Liġi ta 'Newton")</f>
        <v>It-Tieni Liġi ta 'Newton</v>
      </c>
    </row>
    <row r="10579" ht="15.75" customHeight="1">
      <c r="A10579" s="2" t="s">
        <v>10579</v>
      </c>
      <c r="B10579" s="2" t="str">
        <f>IFERROR(__xludf.DUMMYFUNCTION("GOOGLETRANSLATE(A10579, ""en"", ""mt"")")," Kif baqgħet il-mediċina Ċiniża f'post wieħed?")</f>
        <v> Kif baqgħet il-mediċina Ċiniża f'post wieħed?</v>
      </c>
    </row>
    <row r="10580" ht="15.75" customHeight="1">
      <c r="A10580" s="2" t="s">
        <v>10580</v>
      </c>
      <c r="B10580" s="2" t="str">
        <f>IFERROR(__xludf.DUMMYFUNCTION("GOOGLETRANSLATE(A10580, ""en"", ""mt"")"),"Xi jiddetermina l-valur marġinali miżjud minn attur ekonomiku?")</f>
        <v>Xi jiddetermina l-valur marġinali miżjud minn attur ekonomiku?</v>
      </c>
    </row>
    <row r="10581" ht="15.75" customHeight="1">
      <c r="A10581" s="2" t="s">
        <v>10581</v>
      </c>
      <c r="B10581" s="2" t="str">
        <f>IFERROR(__xludf.DUMMYFUNCTION("GOOGLETRANSLATE(A10581, ""en"", ""mt"")"),"Meta bdiet il-formazzjoni tad-delta tar-Rhine-Meuse Holocene?")</f>
        <v>Meta bdiet il-formazzjoni tad-delta tar-Rhine-Meuse Holocene?</v>
      </c>
    </row>
    <row r="10582" ht="15.75" customHeight="1">
      <c r="A10582" s="2" t="s">
        <v>10582</v>
      </c>
      <c r="B10582" s="2" t="str">
        <f>IFERROR(__xludf.DUMMYFUNCTION("GOOGLETRANSLATE(A10582, ""en"", ""mt"")"),"1973_oil_crisis")</f>
        <v>1973_oil_crisis</v>
      </c>
    </row>
    <row r="10583" ht="15.75" customHeight="1">
      <c r="A10583" s="2" t="s">
        <v>10583</v>
      </c>
      <c r="B10583" s="2" t="str">
        <f>IFERROR(__xludf.DUMMYFUNCTION("GOOGLETRANSLATE(A10583, ""en"", ""mt"")"),"X'inhi s-sistema immunitarja ta 'l-imħuħ magħrufa bħala?")</f>
        <v>X'inhi s-sistema immunitarja ta 'l-imħuħ magħrufa bħala?</v>
      </c>
    </row>
    <row r="10584" ht="15.75" customHeight="1">
      <c r="A10584" s="2" t="s">
        <v>10584</v>
      </c>
      <c r="B10584" s="2" t="str">
        <f>IFERROR(__xludf.DUMMYFUNCTION("GOOGLETRANSLATE(A10584, ""en"", ""mt"")"),"Steam jaħrab,")</f>
        <v>Steam jaħrab,</v>
      </c>
    </row>
    <row r="10585" ht="15.75" customHeight="1">
      <c r="A10585" s="2" t="s">
        <v>10585</v>
      </c>
      <c r="B10585" s="2" t="str">
        <f>IFERROR(__xludf.DUMMYFUNCTION("GOOGLETRANSLATE(A10585, ""en"", ""mt"")"),"180 °")</f>
        <v>180 °</v>
      </c>
    </row>
    <row r="10586" ht="15.75" customHeight="1">
      <c r="A10586" s="2" t="s">
        <v>10586</v>
      </c>
      <c r="B10586" s="2" t="str">
        <f>IFERROR(__xludf.DUMMYFUNCTION("GOOGLETRANSLATE(A10586, ""en"", ""mt"")"),"Iċ-ċelloli T helper jesprimu riċetturi taċ-ċelluli T (TCR) li jirrikonoxxu l-antiġen marbut ma 'molekuli MHC tal-klassi II. Il-kumpless MHC: antiġen huwa wkoll rikonoxxut mill-ko-riċettur CD4 taċ-ċellula Helper, li jirrekluta molekuli ġewwa ċ-ċellula T (p"&amp;"er eżempju, LCK) li huma responsabbli għall-attivazzjoni taċ-ċellula T. Iċ-ċelloli T helper għandhom assoċjazzjoni aktar dgħajfa mal-MHC: kumpless antiġen milli osservat għal ċelloli T qattiel, li jfisser li ħafna riċetturi (madwar 200-300) fuq iċ-ċellula"&amp;" T helper għandhom ikunu marbuta minn MHC: antiġen sabiex tiġi attivata ċ-ċellula helper, Filwaqt li ċ-ċelloli T qattiel jistgħu jiġu attivati ​​bl-ingaġġ ta 'MHC wieħed: molekula ta' antiġen. L-attivazzjoni taċ-ċelloli T tal-għajnuna teħtieġ ukoll tul ta"&amp;" ’żmien itwal ta’ impenn ma ’ċellula li tippreżenta l-antiġen. L-attivazzjoni ta 'ċellula T ta' l-għajnuna ta 'mistrieħ tikkawża li tirrilaxxa ċitokini li jinfluwenzaw l-attività ta' ħafna tipi ta 'ċelloli. Is-sinjali taċ-ċitokina prodotti minn ċelloli T "&amp;"helper isaħħu l-funzjoni mikrobiċida tal-makrofaġi u l-attività taċ-ċelloli T qattiel. Barra minn hekk, l-attivazzjoni taċ-ċelluli T helper tikkawża regolazzjoni mill-ġdid ta 'molekuli espressi fuq il-wiċċ taċ-ċellula T, bħal ligand CD40 (imsejjaħ ukoll C"&amp;"D154), li jipprovdu sinjali stimulatorji żejda tipikament meħtieġa biex jattivaw ċelloli B li jipproduċu l-antikorpi.")</f>
        <v>Iċ-ċelloli T helper jesprimu riċetturi taċ-ċelluli T (TCR) li jirrikonoxxu l-antiġen marbut ma 'molekuli MHC tal-klassi II. Il-kumpless MHC: antiġen huwa wkoll rikonoxxut mill-ko-riċettur CD4 taċ-ċellula Helper, li jirrekluta molekuli ġewwa ċ-ċellula T (per eżempju, LCK) li huma responsabbli għall-attivazzjoni taċ-ċellula T. Iċ-ċelloli T helper għandhom assoċjazzjoni aktar dgħajfa mal-MHC: kumpless antiġen milli osservat għal ċelloli T qattiel, li jfisser li ħafna riċetturi (madwar 200-300) fuq iċ-ċellula T helper għandhom ikunu marbuta minn MHC: antiġen sabiex tiġi attivata ċ-ċellula helper, Filwaqt li ċ-ċelloli T qattiel jistgħu jiġu attivati ​​bl-ingaġġ ta 'MHC wieħed: molekula ta' antiġen. L-attivazzjoni taċ-ċelloli T tal-għajnuna teħtieġ ukoll tul ta ’żmien itwal ta’ impenn ma ’ċellula li tippreżenta l-antiġen. L-attivazzjoni ta 'ċellula T ta' l-għajnuna ta 'mistrieħ tikkawża li tirrilaxxa ċitokini li jinfluwenzaw l-attività ta' ħafna tipi ta 'ċelloli. Is-sinjali taċ-ċitokina prodotti minn ċelloli T helper isaħħu l-funzjoni mikrobiċida tal-makrofaġi u l-attività taċ-ċelloli T qattiel. Barra minn hekk, l-attivazzjoni taċ-ċelluli T helper tikkawża regolazzjoni mill-ġdid ta 'molekuli espressi fuq il-wiċċ taċ-ċellula T, bħal ligand CD40 (imsejjaħ ukoll CD154), li jipprovdu sinjali stimulatorji żejda tipikament meħtieġa biex jattivaw ċelloli B li jipproduċu l-antikorpi.</v>
      </c>
    </row>
    <row r="10587" ht="15.75" customHeight="1">
      <c r="A10587" s="2" t="s">
        <v>10587</v>
      </c>
      <c r="B10587" s="2" t="str">
        <f>IFERROR(__xludf.DUMMYFUNCTION("GOOGLETRANSLATE(A10587, ""en"", ""mt"")"),"statocyst")</f>
        <v>statocyst</v>
      </c>
    </row>
    <row r="10588" ht="15.75" customHeight="1">
      <c r="A10588" s="2" t="s">
        <v>10588</v>
      </c>
      <c r="B10588" s="2" t="str">
        <f>IFERROR(__xludf.DUMMYFUNCTION("GOOGLETRANSLATE(A10588, ""en"", ""mt"")"),"Provinċji ta 'l-Amerika ta' Fuq")</f>
        <v>Provinċji ta 'l-Amerika ta' Fuq</v>
      </c>
    </row>
    <row r="10589" ht="15.75" customHeight="1">
      <c r="A10589" s="2" t="s">
        <v>10589</v>
      </c>
      <c r="B10589" s="2" t="str">
        <f>IFERROR(__xludf.DUMMYFUNCTION("GOOGLETRANSLATE(A10589, ""en"", ""mt"")"),"ossidu")</f>
        <v>ossidu</v>
      </c>
    </row>
    <row r="10590" ht="15.75" customHeight="1">
      <c r="A10590" s="2" t="s">
        <v>10590</v>
      </c>
      <c r="B10590" s="2" t="str">
        <f>IFERROR(__xludf.DUMMYFUNCTION("GOOGLETRANSLATE(A10590, ""en"", ""mt"")"),"X'tipprojbi l-Artikolu 102 tat-Trattat ta 'Lisbona?")</f>
        <v>X'tipprojbi l-Artikolu 102 tat-Trattat ta 'Lisbona?</v>
      </c>
    </row>
    <row r="10591" ht="15.75" customHeight="1">
      <c r="A10591" s="2" t="s">
        <v>10591</v>
      </c>
      <c r="B10591" s="2" t="str">
        <f>IFERROR(__xludf.DUMMYFUNCTION("GOOGLETRANSLATE(A10591, ""en"", ""mt"")"),"L-Imperu Brittaniku")</f>
        <v>L-Imperu Brittaniku</v>
      </c>
    </row>
    <row r="10592" ht="15.75" customHeight="1">
      <c r="A10592" s="2" t="s">
        <v>10592</v>
      </c>
      <c r="B10592" s="2" t="str">
        <f>IFERROR(__xludf.DUMMYFUNCTION("GOOGLETRANSLATE(A10592, ""en"", ""mt"")"),"F'liema sena l-gazzetta bidlet id-definizzjoni preċedenti tagħha?")</f>
        <v>F'liema sena l-gazzetta bidlet id-definizzjoni preċedenti tagħha?</v>
      </c>
    </row>
    <row r="10593" ht="15.75" customHeight="1">
      <c r="A10593" s="2" t="s">
        <v>10593</v>
      </c>
      <c r="B10593" s="2" t="str">
        <f>IFERROR(__xludf.DUMMYFUNCTION("GOOGLETRANSLATE(A10593, ""en"", ""mt"")"),"Liema kimika żżomm ċelloli immuni 'l bogħod mis-sit ta' l-infezzjoni?")</f>
        <v>Liema kimika żżomm ċelloli immuni 'l bogħod mis-sit ta' l-infezzjoni?</v>
      </c>
    </row>
    <row r="10594" ht="15.75" customHeight="1">
      <c r="A10594" s="2" t="s">
        <v>10594</v>
      </c>
      <c r="B10594" s="2" t="str">
        <f>IFERROR(__xludf.DUMMYFUNCTION("GOOGLETRANSLATE(A10594, ""en"", ""mt"")"),"il-kuntrattur ewlieni")</f>
        <v>il-kuntrattur ewlieni</v>
      </c>
    </row>
    <row r="10595" ht="15.75" customHeight="1">
      <c r="A10595" s="2" t="s">
        <v>10595</v>
      </c>
      <c r="B10595" s="2" t="str">
        <f>IFERROR(__xludf.DUMMYFUNCTION("GOOGLETRANSLATE(A10595, ""en"", ""mt"")"),"X'inhu l-isem ta 'kontinwazzjoni konvinċenti oħra tat-test tal-primalità ta' Carmichael?")</f>
        <v>X'inhu l-isem ta 'kontinwazzjoni konvinċenti oħra tat-test tal-primalità ta' Carmichael?</v>
      </c>
    </row>
    <row r="10596" ht="15.75" customHeight="1">
      <c r="A10596" s="2" t="s">
        <v>10596</v>
      </c>
      <c r="B10596" s="2" t="str">
        <f>IFERROR(__xludf.DUMMYFUNCTION("GOOGLETRANSLATE(A10596, ""en"", ""mt"")"),"X'inhu l-għoli tal-canton Żvizzeru?")</f>
        <v>X'inhu l-għoli tal-canton Żvizzeru?</v>
      </c>
    </row>
    <row r="10597" ht="15.75" customHeight="1">
      <c r="A10597" s="2" t="s">
        <v>10597</v>
      </c>
      <c r="B10597" s="2" t="str">
        <f>IFERROR(__xludf.DUMMYFUNCTION("GOOGLETRANSLATE(A10597, ""en"", ""mt"")"),"Kif inkella jista 'tabib jieħu vantaġġ mill-interess innifsu?")</f>
        <v>Kif inkella jista 'tabib jieħu vantaġġ mill-interess innifsu?</v>
      </c>
    </row>
    <row r="10598" ht="15.75" customHeight="1">
      <c r="A10598" s="2" t="s">
        <v>10598</v>
      </c>
      <c r="B10598" s="2" t="str">
        <f>IFERROR(__xludf.DUMMYFUNCTION("GOOGLETRANSLATE(A10598, ""en"", ""mt"")"),"X’formula Frank Burnet qabel l-1950?")</f>
        <v>X’formula Frank Burnet qabel l-1950?</v>
      </c>
    </row>
    <row r="10599" ht="15.75" customHeight="1">
      <c r="A10599" s="2" t="s">
        <v>10599</v>
      </c>
      <c r="B10599" s="2" t="str">
        <f>IFERROR(__xludf.DUMMYFUNCTION("GOOGLETRANSLATE(A10599, ""en"", ""mt"")"),"Liġi Amministrattiva")</f>
        <v>Liġi Amministrattiva</v>
      </c>
    </row>
    <row r="10600" ht="15.75" customHeight="1">
      <c r="A10600" s="2" t="s">
        <v>10600</v>
      </c>
      <c r="B10600" s="2" t="str">
        <f>IFERROR(__xludf.DUMMYFUNCTION("GOOGLETRANSLATE(A10600, ""en"", ""mt"")"),"Nar tal-kċina")</f>
        <v>Nar tal-kċina</v>
      </c>
    </row>
    <row r="10601" ht="15.75" customHeight="1">
      <c r="A10601" s="2" t="s">
        <v>10601</v>
      </c>
      <c r="B10601" s="2" t="str">
        <f>IFERROR(__xludf.DUMMYFUNCTION("GOOGLETRANSLATE(A10601, ""en"", ""mt"")")," X'kienet l-inqas pubblikazzjoni notevoli tal-Akkademja ta 'Tugh?")</f>
        <v> X'kienet l-inqas pubblikazzjoni notevoli tal-Akkademja ta 'Tugh?</v>
      </c>
    </row>
    <row r="10602" ht="15.75" customHeight="1">
      <c r="A10602" s="2" t="s">
        <v>10602</v>
      </c>
      <c r="B10602" s="2" t="str">
        <f>IFERROR(__xludf.DUMMYFUNCTION("GOOGLETRANSLATE(A10602, ""en"", ""mt"")"),"X'inhu X fil-Fe1 - Ox?")</f>
        <v>X'inhu X fil-Fe1 - Ox?</v>
      </c>
    </row>
    <row r="10603" ht="15.75" customHeight="1">
      <c r="A10603" s="2" t="s">
        <v>10603</v>
      </c>
      <c r="B10603" s="2" t="str">
        <f>IFERROR(__xludf.DUMMYFUNCTION("GOOGLETRANSLATE(A10603, ""en"", ""mt"")"),"il-kostruzzjoni ta 'toroq militari għaż-żona")</f>
        <v>il-kostruzzjoni ta 'toroq militari għaż-żona</v>
      </c>
    </row>
    <row r="10604" ht="15.75" customHeight="1">
      <c r="A10604" s="2" t="s">
        <v>10604</v>
      </c>
      <c r="B10604" s="2" t="str">
        <f>IFERROR(__xludf.DUMMYFUNCTION("GOOGLETRANSLATE(A10604, ""en"", ""mt"")"),"X'inspire l-indirizz Allahabad ta 'Iqbal?")</f>
        <v>X'inspire l-indirizz Allahabad ta 'Iqbal?</v>
      </c>
    </row>
    <row r="10605" ht="15.75" customHeight="1">
      <c r="A10605" s="2" t="s">
        <v>10605</v>
      </c>
      <c r="B10605" s="2" t="str">
        <f>IFERROR(__xludf.DUMMYFUNCTION("GOOGLETRANSLATE(A10605, ""en"", ""mt"")"),"proċess ta 'kolonizzazzjoni, influwenza, u annessi partijiet oħra tad-dinja")</f>
        <v>proċess ta 'kolonizzazzjoni, influwenza, u annessi partijiet oħra tad-dinja</v>
      </c>
    </row>
    <row r="10606" ht="15.75" customHeight="1">
      <c r="A10606" s="2" t="s">
        <v>10606</v>
      </c>
      <c r="B10606" s="2" t="str">
        <f>IFERROR(__xludf.DUMMYFUNCTION("GOOGLETRANSLATE(A10606, ""en"", ""mt"")"),"X'inhu l-isem tas-suppożizzjoni li hemm pari infiniti ta 'primes li d-differenza tagħhom hija 2?")</f>
        <v>X'inhu l-isem tas-suppożizzjoni li hemm pari infiniti ta 'primes li d-differenza tagħhom hija 2?</v>
      </c>
    </row>
    <row r="10607" ht="15.75" customHeight="1">
      <c r="A10607" s="2" t="s">
        <v>10607</v>
      </c>
      <c r="B10607" s="2" t="str">
        <f>IFERROR(__xludf.DUMMYFUNCTION("GOOGLETRANSLATE(A10607, ""en"", ""mt"")"),"fil-biċċa l-kbira numru ewlieni")</f>
        <v>fil-biċċa l-kbira numru ewlieni</v>
      </c>
    </row>
    <row r="10608" ht="15.75" customHeight="1">
      <c r="A10608" s="2" t="s">
        <v>10608</v>
      </c>
      <c r="B10608" s="2" t="str">
        <f>IFERROR(__xludf.DUMMYFUNCTION("GOOGLETRANSLATE(A10608, ""en"", ""mt"")"),"John Schmitt u Ben Zipperer (2006) tal-CEPR jindikaw il-liberaliżmu ekonomiku u t-tnaqqis tar-regolamentazzjoni tan-negozju flimkien mat-tnaqqis tas-sħubija fl-unjoni bħala waħda mill-kawżi tal-inugwaljanza ekonomika. F'analiżi tal-effetti tal-politiki li"&amp;"berali Anglo-Amerikani intensivi meta mqabbla mal-liberaliżmu Ewropew kontinentali, fejn l-għaqdiet baqgħu b'saħħithom, huma kkonkludew ""il-mudell ekonomiku u soċjali tal-Istati Uniti huwa assoċjat ma 'livelli sostanzjali ta' esklużjoni soċjali, inklużi "&amp;"livelli għoljin ta 'inugwaljanza fid-dħul , rati ta 'faqar relattivi u assoluti għoljin, riżultati edukattivi foqra u mhux ugwali, riżultati ta' saħħa foqra, u rati għoljin ta 'kriminalità u inkarċerazzjoni. Fl-istess ħin, l-evidenza disponibbli tipprovdi"&amp;" ftit appoġġ għall-fehma li l-flessibilità tas-suq tax-xogħol fl-istil ta' l-Istati Uniti titjieb b'mod drammatiku Riżultati tas-suq tax-xogħol. Minkejja preġudizzji popolari għall-kuntrarju, l-ekonomija ta 'l-Istati Uniti toffri b'mod konsistenti livell "&amp;"aktar baxx ta' mobilità ekonomika mill-pajjiżi Ewropej kontinentali kollha li għalihom hija disponibbli d-dejta. """)</f>
        <v>John Schmitt u Ben Zipperer (2006) tal-CEPR jindikaw il-liberaliżmu ekonomiku u t-tnaqqis tar-regolamentazzjoni tan-negozju flimkien mat-tnaqqis tas-sħubija fl-unjoni bħala waħda mill-kawżi tal-inugwaljanza ekonomika. F'analiżi tal-effetti tal-politiki liberali Anglo-Amerikani intensivi meta mqabbla mal-liberaliżmu Ewropew kontinentali, fejn l-għaqdiet baqgħu b'saħħithom, huma kkonkludew "il-mudell ekonomiku u soċjali tal-Istati Uniti huwa assoċjat ma 'livelli sostanzjali ta' esklużjoni soċjali, inklużi livelli għoljin ta 'inugwaljanza fid-dħul , rati ta 'faqar relattivi u assoluti għoljin, riżultati edukattivi foqra u mhux ugwali, riżultati ta' saħħa foqra, u rati għoljin ta 'kriminalità u inkarċerazzjoni. Fl-istess ħin, l-evidenza disponibbli tipprovdi ftit appoġġ għall-fehma li l-flessibilità tas-suq tax-xogħol fl-istil ta' l-Istati Uniti titjieb b'mod drammatiku Riżultati tas-suq tax-xogħol. Minkejja preġudizzji popolari għall-kuntrarju, l-ekonomija ta 'l-Istati Uniti toffri b'mod konsistenti livell aktar baxx ta' mobilità ekonomika mill-pajjiżi Ewropej kontinentali kollha li għalihom hija disponibbli d-dejta. "</v>
      </c>
    </row>
    <row r="10609" ht="15.75" customHeight="1">
      <c r="A10609" s="2" t="s">
        <v>10609</v>
      </c>
      <c r="B10609" s="2" t="str">
        <f>IFERROR(__xludf.DUMMYFUNCTION("GOOGLETRANSLATE(A10609, ""en"", ""mt"")"),"Liema etniċità kienet Shi Tianze?")</f>
        <v>Liema etniċità kienet Shi Tianze?</v>
      </c>
    </row>
    <row r="10610" ht="15.75" customHeight="1">
      <c r="A10610" s="2" t="s">
        <v>10610</v>
      </c>
      <c r="B10610" s="2" t="str">
        <f>IFERROR(__xludf.DUMMYFUNCTION("GOOGLETRANSLATE(A10610, ""en"", ""mt"")"),"Liema linja tal-ferrovija topera madwar il-gżira?")</f>
        <v>Liema linja tal-ferrovija topera madwar il-gżira?</v>
      </c>
    </row>
    <row r="10611" ht="15.75" customHeight="1">
      <c r="A10611" s="2" t="s">
        <v>10611</v>
      </c>
      <c r="B10611" s="2" t="str">
        <f>IFERROR(__xludf.DUMMYFUNCTION("GOOGLETRANSLATE(A10611, ""en"", ""mt"")"),"Arpanet u Sita HLN saru operattivi fl-1969. Qabel l-introduzzjoni ta 'X.25 fl-1973, ġew żviluppati madwar għoxrin teknoloġiji differenti tan-netwerk. Żewġ differenzi fundamentali kienu jinvolvu d-diviżjoni tal-funzjonijiet u l-kompiti bejn l-ospiti fit-ta"&amp;"rf tan-netwerk u l-qalba tan-netwerk. Fis-sistema tad-datagramma, l-ospiti għandhom ir-responsabbiltà li jiżguraw twassil ordnat ta 'pakketti. Il-Protokoll tad-Datagramma tal-Utent (UDP) huwa eżempju ta 'protokoll ta' datagramma. Fis-sistema ta 'telefonat"&amp;"i virtwali, in-netwerk jiggarantixxi l-konsenja sekwenzjata ta' dejta lill-host. Dan jirriżulta f'interface ospitanti aktar sempliċi b'inqas funzjonalità milli fil-mudell Datagram. Is-suite tal-protokoll X.25 tuża dan it-tip ta 'netwerk.")</f>
        <v>Arpanet u Sita HLN saru operattivi fl-1969. Qabel l-introduzzjoni ta 'X.25 fl-1973, ġew żviluppati madwar għoxrin teknoloġiji differenti tan-netwerk. Żewġ differenzi fundamentali kienu jinvolvu d-diviżjoni tal-funzjonijiet u l-kompiti bejn l-ospiti fit-tarf tan-netwerk u l-qalba tan-netwerk. Fis-sistema tad-datagramma, l-ospiti għandhom ir-responsabbiltà li jiżguraw twassil ordnat ta 'pakketti. Il-Protokoll tad-Datagramma tal-Utent (UDP) huwa eżempju ta 'protokoll ta' datagramma. Fis-sistema ta 'telefonati virtwali, in-netwerk jiggarantixxi l-konsenja sekwenzjata ta' dejta lill-host. Dan jirriżulta f'interface ospitanti aktar sempliċi b'inqas funzjonalità milli fil-mudell Datagram. Is-suite tal-protokoll X.25 tuża dan it-tip ta 'netwerk.</v>
      </c>
    </row>
    <row r="10612" ht="15.75" customHeight="1">
      <c r="A10612" s="2" t="s">
        <v>10612</v>
      </c>
      <c r="B10612" s="2" t="str">
        <f>IFERROR(__xludf.DUMMYFUNCTION("GOOGLETRANSLATE(A10612, ""en"", ""mt"")"),"6.7")</f>
        <v>6.7</v>
      </c>
    </row>
    <row r="10613" ht="15.75" customHeight="1">
      <c r="A10613" s="2" t="s">
        <v>10613</v>
      </c>
      <c r="B10613" s="2" t="str">
        <f>IFERROR(__xludf.DUMMYFUNCTION("GOOGLETRANSLATE(A10613, ""en"", ""mt"")"),"Qoxra ta 'siġar taċ-ċawsli")</f>
        <v>Qoxra ta 'siġar taċ-ċawsli</v>
      </c>
    </row>
    <row r="10614" ht="15.75" customHeight="1">
      <c r="A10614" s="2" t="s">
        <v>10614</v>
      </c>
      <c r="B10614" s="2" t="str">
        <f>IFERROR(__xludf.DUMMYFUNCTION("GOOGLETRANSLATE(A10614, ""en"", ""mt"")"),"X'inhu eżempju wieħed ta 'dak li jinvolvu d-dmirijiet ta' spiżjar kliniku?")</f>
        <v>X'inhu eżempju wieħed ta 'dak li jinvolvu d-dmirijiet ta' spiżjar kliniku?</v>
      </c>
    </row>
    <row r="10615" ht="15.75" customHeight="1">
      <c r="A10615" s="2" t="s">
        <v>10615</v>
      </c>
      <c r="B10615" s="2" t="str">
        <f>IFERROR(__xludf.DUMMYFUNCTION("GOOGLETRANSLATE(A10615, ""en"", ""mt"")"),"Liema persentaġġ ta 'effiċjenza ta' magna bi pressjoni għolja kiseb il-magna energiprojekt AB?")</f>
        <v>Liema persentaġġ ta 'effiċjenza ta' magna bi pressjoni għolja kiseb il-magna energiprojekt AB?</v>
      </c>
    </row>
    <row r="10616" ht="15.75" customHeight="1">
      <c r="A10616" s="2" t="s">
        <v>10616</v>
      </c>
      <c r="B10616" s="2" t="str">
        <f>IFERROR(__xludf.DUMMYFUNCTION("GOOGLETRANSLATE(A10616, ""en"", ""mt"")"),"X'inhi attribwita l-inugwaljanza tad-dħul?")</f>
        <v>X'inhi attribwita l-inugwaljanza tad-dħul?</v>
      </c>
    </row>
    <row r="10617" ht="15.75" customHeight="1">
      <c r="A10617" s="2" t="s">
        <v>10617</v>
      </c>
      <c r="B10617" s="2" t="str">
        <f>IFERROR(__xludf.DUMMYFUNCTION("GOOGLETRANSLATE(A10617, ""en"", ""mt"")"),"Ekwazzjoni ta 'Schrödinger")</f>
        <v>Ekwazzjoni ta 'Schrödinger</v>
      </c>
    </row>
    <row r="10618" ht="15.75" customHeight="1">
      <c r="A10618" s="2" t="s">
        <v>10618</v>
      </c>
      <c r="B10618" s="2" t="str">
        <f>IFERROR(__xludf.DUMMYFUNCTION("GOOGLETRANSLATE(A10618, ""en"", ""mt"")"),"forma ta 'bajd")</f>
        <v>forma ta 'bajd</v>
      </c>
    </row>
    <row r="10619" ht="15.75" customHeight="1">
      <c r="A10619" s="2" t="s">
        <v>10619</v>
      </c>
      <c r="B10619" s="2" t="str">
        <f>IFERROR(__xludf.DUMMYFUNCTION("GOOGLETRANSLATE(A10619, ""en"", ""mt"")"),"Interleukin 1")</f>
        <v>Interleukin 1</v>
      </c>
    </row>
    <row r="10620" ht="15.75" customHeight="1">
      <c r="A10620" s="2" t="s">
        <v>10620</v>
      </c>
      <c r="B10620" s="2" t="str">
        <f>IFERROR(__xludf.DUMMYFUNCTION("GOOGLETRANSLATE(A10620, ""en"", ""mt"")"),"Il-blat sedimentarju jista 'jinbidel f'liema mit-tliet tipi ta' blat?")</f>
        <v>Il-blat sedimentarju jista 'jinbidel f'liema mit-tliet tipi ta' blat?</v>
      </c>
    </row>
    <row r="10621" ht="15.75" customHeight="1">
      <c r="A10621" s="2" t="s">
        <v>10621</v>
      </c>
      <c r="B10621" s="2" t="str">
        <f>IFERROR(__xludf.DUMMYFUNCTION("GOOGLETRANSLATE(A10621, ""en"", ""mt"")"),"L-ewwel, jekk l-iskadenza ta 'direttiva għall-implimentazzjoni ma tintlaħaqx, l-Istat Membru ma jistax jinforza liġijiet konfliġġenti, u ċittadin jista' jiddependi fuq id-direttiva f'tali azzjoni (hekk imsejjaħ effett dirett ""vertikali""). Allura, fil-Pu"&amp;"bblico Ministru v Ratti minħabba li l-gvern Taljan naqas milli jimplimenta direttiva 73/173 / KEE fuq l-imballaġġ u l-ittikkettjar tas-solventi sal-iskadenza, ġie estopped mill-infurzar ta 'liġi nazzjonali konfliġġenti mill-1963 kontra s-solvent tas-Sur R"&amp;"atti u n-negozju tal-verniċ. Stat membru jista '""ma jiddependix, kontra individwi, min-nuqqas tiegħu stess li jwettaq l-obbligi li tinvolvi d-direttiva."" It-tieni, ċittadin jew kumpanija jistgħu jinvokaw direttiva, mhux biss f'tilwima ma 'awtorità pubbl"&amp;"ika, iżda f'tilwima ma' ċittadin jew kumpanija oħra. Allura, fis-CIA Security vs Signalson u Securitel Il-Qorti tal-Ġustizzja ddeċidiet li negozju msejjaħ CIA Securit Notifikat lill-Kummissjoni bħala Direttiva meħtieġa. It-tielet, jekk direttiva tagħti es"&amp;"pressjoni lil ""prinċipju ġenerali"" tal-liġi tal-UE, tista 'tiġi invokata bejn partijiet privati ​​mhux statali qabel l-iskadenza tagħha għall-implimentazzjoni. Dan isegwi minn Kücükdeveci vs Swedex GmbH &amp; Co KG fejn il-Kodiċi Ċivili Ġermaniż §622 iddikj"&amp;"ara li s-snin li n-nies ħadmu taħt l-età ta '25 sena ma jgħoddux lejn l-avviż statutorju dejjem jiżdied qabel it-tkeċċija. Is-Sinjura Kücükdeveci ħadmet għal 10 snin, mill-età ta '18 sa 28, għall-Swedex GmbH &amp; Co KG qabel it-tkeċċija tagħha. Hija sostniet"&amp;" li l-liġi li ma tgħoddx is-snin tagħha taħt l-età ta '25 sena kienet diskriminazzjoni illegali fl-età taħt id-Direttiva Qafas ta 'l-Ugwaljanza fl-Impjiegi. Il-Qorti tal-Ġustizzja ddeċidiet li d-direttiva tista 'tiġi invokata minnha minħabba li l-ugwaljan"&amp;"za kienet ukoll prinċipju ġenerali tal-liġi tal-UE. It-tielet, jekk l-imputat huwa emanazzjoni tal-istat, anke jekk mhux gvern ċentrali, xorta jista 'jkun marbut minn direttivi. Fil-Foster V British Gas Plc il-Qorti tal-Ġustizzja ddeċidiet li s-Sinjura Fo"&amp;"ster kellha dritt li ġġib talba ta 'diskriminazzjoni sesswali kontra min iħaddemha, British Gas Plc, li għamlet lin-nisa jirtiraw fl-età ta '60 sena u rġiel ta '65 sena, jekk (1) skond stat Miżura, (2) ipprovda servizz pubbliku, u (3) kellu poteri speċjal"&amp;"i. Dan jista 'jkun minnu wkoll jekk l-intrapriża tkun privatizzata, peress li kienet miżmuma ma' kumpanija tal-ilma li kienet responsabbli għall-provvista bażika tal-ilma.")</f>
        <v>L-ewwel, jekk l-iskadenza ta 'direttiva għall-implimentazzjoni ma tintlaħaqx, l-Istat Membru ma jistax jinforza liġijiet konfliġġenti, u ċittadin jista' jiddependi fuq id-direttiva f'tali azzjoni (hekk imsejjaħ effett dirett "vertikali"). Allura, fil-Pubblico Ministru v Ratti minħabba li l-gvern Taljan naqas milli jimplimenta direttiva 73/173 / KEE fuq l-imballaġġ u l-ittikkettjar tas-solventi sal-iskadenza, ġie estopped mill-infurzar ta 'liġi nazzjonali konfliġġenti mill-1963 kontra s-solvent tas-Sur Ratti u n-negozju tal-verniċ. Stat membru jista '"ma jiddependix, kontra individwi, min-nuqqas tiegħu stess li jwettaq l-obbligi li tinvolvi d-direttiva." It-tieni, ċittadin jew kumpanija jistgħu jinvokaw direttiva, mhux biss f'tilwima ma 'awtorità pubblika, iżda f'tilwima ma' ċittadin jew kumpanija oħra. Allura, fis-CIA Security vs Signalson u Securitel Il-Qorti tal-Ġustizzja ddeċidiet li negozju msejjaħ CIA Securit Notifikat lill-Kummissjoni bħala Direttiva meħtieġa. It-tielet, jekk direttiva tagħti espressjoni lil "prinċipju ġenerali" tal-liġi tal-UE, tista 'tiġi invokata bejn partijiet privati ​​mhux statali qabel l-iskadenza tagħha għall-implimentazzjoni. Dan isegwi minn Kücükdeveci vs Swedex GmbH &amp; Co KG fejn il-Kodiċi Ċivili Ġermaniż §622 iddikjara li s-snin li n-nies ħadmu taħt l-età ta '25 sena ma jgħoddux lejn l-avviż statutorju dejjem jiżdied qabel it-tkeċċija. Is-Sinjura Kücükdeveci ħadmet għal 10 snin, mill-età ta '18 sa 28, għall-Swedex GmbH &amp; Co KG qabel it-tkeċċija tagħha. Hija sostniet li l-liġi li ma tgħoddx is-snin tagħha taħt l-età ta '25 sena kienet diskriminazzjoni illegali fl-età taħt id-Direttiva Qafas ta 'l-Ugwaljanza fl-Impjiegi. Il-Qorti tal-Ġustizzja ddeċidiet li d-direttiva tista 'tiġi invokata minnha minħabba li l-ugwaljanza kienet ukoll prinċipju ġenerali tal-liġi tal-UE. It-tielet, jekk l-imputat huwa emanazzjoni tal-istat, anke jekk mhux gvern ċentrali, xorta jista 'jkun marbut minn direttivi. Fil-Foster V British Gas Plc il-Qorti tal-Ġustizzja ddeċidiet li s-Sinjura Foster kellha dritt li ġġib talba ta 'diskriminazzjoni sesswali kontra min iħaddemha, British Gas Plc, li għamlet lin-nisa jirtiraw fl-età ta '60 sena u rġiel ta '65 sena, jekk (1) skond stat Miżura, (2) ipprovda servizz pubbliku, u (3) kellu poteri speċjali. Dan jista 'jkun minnu wkoll jekk l-intrapriża tkun privatizzata, peress li kienet miżmuma ma' kumpanija tal-ilma li kienet responsabbli għall-provvista bażika tal-ilma.</v>
      </c>
    </row>
    <row r="10622" ht="15.75" customHeight="1">
      <c r="A10622" s="2" t="s">
        <v>10622</v>
      </c>
      <c r="B10622" s="2" t="str">
        <f>IFERROR(__xludf.DUMMYFUNCTION("GOOGLETRANSLATE(A10622, ""en"", ""mt"")"),"Kosta tal-Lvant")</f>
        <v>Kosta tal-Lvant</v>
      </c>
    </row>
    <row r="10623" ht="15.75" customHeight="1">
      <c r="A10623" s="2" t="s">
        <v>10623</v>
      </c>
      <c r="B10623" s="2" t="str">
        <f>IFERROR(__xludf.DUMMYFUNCTION("GOOGLETRANSLATE(A10623, ""en"", ""mt"")"),"Dak li issa nsejħu gravità ma kienx identifikat bħala forza universali sa x-xogħol ta 'Isaac Newton. Qabel Newton, it-tendenza għall-oġġetti li jaqgħu lejn id-dinja ma kinitx mifhuma li hija relatata mal-mozzjonijiet ta 'oġġetti ċelesti. Galileo kien stru"&amp;"mentali biex jiddeskrivi l-karatteristiċi ta 'oġġetti li jaqgħu billi ddetermina li l-aċċellerazzjoni ta' kull oġġett fil-waqgħa ħielsa kienet kostanti u indipendenti mill-massa ta 'l-oġġett. Illum, din l-aċċellerazzjoni minħabba l-gravità lejn il-wiċċ ta"&amp;"d-dinja ġeneralment hija nominata bħala u għandha kobor ta 'madwar 9.81 metri kull sekonda kwadru (dan il-kejl jittieħed mil-livell tal-baħar u jista' jvarja skont il-post), u jindika lejn iċ-ċentru ta ' id-dinja. Din l-osservazzjoni tfisser li l-forza ta"&amp;"l-gravità fuq oġġett fil-wiċċ tad-dinja hija direttament proporzjonali għall-massa tal-oġġett. Għalhekk oġġett li għandu massa ta 'tesperjenza forza:")</f>
        <v>Dak li issa nsejħu gravità ma kienx identifikat bħala forza universali sa x-xogħol ta 'Isaac Newton. Qabel Newton, it-tendenza għall-oġġetti li jaqgħu lejn id-dinja ma kinitx mifhuma li hija relatata mal-mozzjonijiet ta 'oġġetti ċelesti. Galileo kien strumentali biex jiddeskrivi l-karatteristiċi ta 'oġġetti li jaqgħu billi ddetermina li l-aċċellerazzjoni ta' kull oġġett fil-waqgħa ħielsa kienet kostanti u indipendenti mill-massa ta 'l-oġġett. Illum, din l-aċċellerazzjoni minħabba l-gravità lejn il-wiċċ tad-dinja ġeneralment hija nominata bħala u għandha kobor ta 'madwar 9.81 metri kull sekonda kwadru (dan il-kejl jittieħed mil-livell tal-baħar u jista' jvarja skont il-post), u jindika lejn iċ-ċentru ta ' id-dinja. Din l-osservazzjoni tfisser li l-forza tal-gravità fuq oġġett fil-wiċċ tad-dinja hija direttament proporzjonali għall-massa tal-oġġett. Għalhekk oġġett li għandu massa ta 'tesperjenza forza:</v>
      </c>
    </row>
    <row r="10624" ht="15.75" customHeight="1">
      <c r="A10624" s="2" t="s">
        <v>10624</v>
      </c>
      <c r="B10624" s="2" t="str">
        <f>IFERROR(__xludf.DUMMYFUNCTION("GOOGLETRANSLATE(A10624, ""en"", ""mt"")"),"X'inhu eżempju ta 'vettura tat-triq?")</f>
        <v>X'inhu eżempju ta 'vettura tat-triq?</v>
      </c>
    </row>
    <row r="10625" ht="15.75" customHeight="1">
      <c r="A10625" s="2" t="s">
        <v>10625</v>
      </c>
      <c r="B10625" s="2" t="str">
        <f>IFERROR(__xludf.DUMMYFUNCTION("GOOGLETRANSLATE(A10625, ""en"", ""mt"")"),"X'jikkawża li l-ossiġnu triplet jirreaġixxi bil-mod?")</f>
        <v>X'jikkawża li l-ossiġnu triplet jirreaġixxi bil-mod?</v>
      </c>
    </row>
    <row r="10626" ht="15.75" customHeight="1">
      <c r="A10626" s="2" t="s">
        <v>10626</v>
      </c>
      <c r="B10626" s="2" t="str">
        <f>IFERROR(__xludf.DUMMYFUNCTION("GOOGLETRANSLATE(A10626, ""en"", ""mt"")"),"Il-fwar jaħrab")</f>
        <v>Il-fwar jaħrab</v>
      </c>
    </row>
    <row r="10627" ht="15.75" customHeight="1">
      <c r="A10627" s="2" t="s">
        <v>10627</v>
      </c>
      <c r="B10627" s="2" t="str">
        <f>IFERROR(__xludf.DUMMYFUNCTION("GOOGLETRANSLATE(A10627, ""en"", ""mt"")"),"X'inhu l-ktieb Domesday?")</f>
        <v>X'inhu l-ktieb Domesday?</v>
      </c>
    </row>
    <row r="10628" ht="15.75" customHeight="1">
      <c r="A10628" s="2" t="s">
        <v>10628</v>
      </c>
      <c r="B10628" s="2" t="str">
        <f>IFERROR(__xludf.DUMMYFUNCTION("GOOGLETRANSLATE(A10628, ""en"", ""mt"")"),"jekk hux se jagħmel iktar ħsara milli ġid")</f>
        <v>jekk hux se jagħmel iktar ħsara milli ġid</v>
      </c>
    </row>
    <row r="10629" ht="15.75" customHeight="1">
      <c r="A10629" s="2" t="s">
        <v>10629</v>
      </c>
      <c r="B10629" s="2" t="str">
        <f>IFERROR(__xludf.DUMMYFUNCTION("GOOGLETRANSLATE(A10629, ""en"", ""mt"")"),"L-ossiġnu huwa l-ossidant")</f>
        <v>L-ossiġnu huwa l-ossidant</v>
      </c>
    </row>
    <row r="10630" ht="15.75" customHeight="1">
      <c r="A10630" s="2" t="s">
        <v>10630</v>
      </c>
      <c r="B10630" s="2" t="str">
        <f>IFERROR(__xludf.DUMMYFUNCTION("GOOGLETRANSLATE(A10630, ""en"", ""mt"")"),"It-Tieni Gwerra Dinjija kkawżat x'għandu jkun imkabbar?")</f>
        <v>It-Tieni Gwerra Dinjija kkawżat x'għandu jkun imkabbar?</v>
      </c>
    </row>
    <row r="10631" ht="15.75" customHeight="1">
      <c r="A10631" s="2" t="s">
        <v>10631</v>
      </c>
      <c r="B10631" s="2" t="str">
        <f>IFERROR(__xludf.DUMMYFUNCTION("GOOGLETRANSLATE(A10631, ""en"", ""mt"")"),"Kemm huma mistennija li l-livelli tas-CO2 jiżdiedu matul il-100 sena li ġejjin?")</f>
        <v>Kemm huma mistennija li l-livelli tas-CO2 jiżdiedu matul il-100 sena li ġejjin?</v>
      </c>
    </row>
    <row r="10632" ht="15.75" customHeight="1">
      <c r="A10632" s="2" t="s">
        <v>10632</v>
      </c>
      <c r="B10632" s="2" t="str">
        <f>IFERROR(__xludf.DUMMYFUNCTION("GOOGLETRANSLATE(A10632, ""en"", ""mt"")"),"Fejn hu l-hekk imsejjaħ irkoppa tar-Rhine?")</f>
        <v>Fejn hu l-hekk imsejjaħ irkoppa tar-Rhine?</v>
      </c>
    </row>
    <row r="10633" ht="15.75" customHeight="1">
      <c r="A10633" s="2" t="s">
        <v>10633</v>
      </c>
      <c r="B10633" s="2" t="str">
        <f>IFERROR(__xludf.DUMMYFUNCTION("GOOGLETRANSLATE(A10633, ""en"", ""mt"")"),"Sky UK Limited")</f>
        <v>Sky UK Limited</v>
      </c>
    </row>
    <row r="10634" ht="15.75" customHeight="1">
      <c r="A10634" s="2" t="s">
        <v>10634</v>
      </c>
      <c r="B10634" s="2" t="str">
        <f>IFERROR(__xludf.DUMMYFUNCTION("GOOGLETRANSLATE(A10634, ""en"", ""mt"")"),"Cestum Veneris")</f>
        <v>Cestum Veneris</v>
      </c>
    </row>
    <row r="10635" ht="15.75" customHeight="1">
      <c r="A10635" s="2" t="s">
        <v>10635</v>
      </c>
      <c r="B10635" s="2" t="str">
        <f>IFERROR(__xludf.DUMMYFUNCTION("GOOGLETRANSLATE(A10635, ""en"", ""mt"")"),"X'inhu l-isem tal-alfabett l-iktar użat f'istanza ta 'problema?")</f>
        <v>X'inhu l-isem tal-alfabett l-iktar użat f'istanza ta 'problema?</v>
      </c>
    </row>
    <row r="10636" ht="15.75" customHeight="1">
      <c r="A10636" s="2" t="s">
        <v>10636</v>
      </c>
      <c r="B10636" s="2" t="str">
        <f>IFERROR(__xludf.DUMMYFUNCTION("GOOGLETRANSLATE(A10636, ""en"", ""mt"")"),"X'inhu l-iktar xahar sħun ta 'Jacksonville bħala medja?")</f>
        <v>X'inhu l-iktar xahar sħun ta 'Jacksonville bħala medja?</v>
      </c>
    </row>
    <row r="10637" ht="15.75" customHeight="1">
      <c r="A10637" s="2" t="s">
        <v>10637</v>
      </c>
      <c r="B10637" s="2" t="str">
        <f>IFERROR(__xludf.DUMMYFUNCTION("GOOGLETRANSLATE(A10637, ""en"", ""mt"")"),"Il-partit li ngħata siġġu huwa dak bl-ogħla x'inhu?")</f>
        <v>Il-partit li ngħata siġġu huwa dak bl-ogħla x'inhu?</v>
      </c>
    </row>
    <row r="10638" ht="15.75" customHeight="1">
      <c r="A10638" s="2" t="s">
        <v>10638</v>
      </c>
      <c r="B10638" s="2" t="str">
        <f>IFERROR(__xludf.DUMMYFUNCTION("GOOGLETRANSLATE(A10638, ""en"", ""mt"")"),"Meta kienet il-Gwerra tar-Reġina George?")</f>
        <v>Meta kienet il-Gwerra tar-Reġina George?</v>
      </c>
    </row>
    <row r="10639" ht="15.75" customHeight="1">
      <c r="A10639" s="2" t="s">
        <v>10639</v>
      </c>
      <c r="B10639" s="2" t="str">
        <f>IFERROR(__xludf.DUMMYFUNCTION("GOOGLETRANSLATE(A10639, ""en"", ""mt"")"),"funzjoni ta 'appoġġ")</f>
        <v>funzjoni ta 'appoġġ</v>
      </c>
    </row>
    <row r="10640" ht="15.75" customHeight="1">
      <c r="A10640" s="2" t="s">
        <v>10640</v>
      </c>
      <c r="B10640" s="2" t="str">
        <f>IFERROR(__xludf.DUMMYFUNCTION("GOOGLETRANSLATE(A10640, ""en"", ""mt"")"),"Il-Melbourne Cricket Ground")</f>
        <v>Il-Melbourne Cricket Ground</v>
      </c>
    </row>
    <row r="10641" ht="15.75" customHeight="1">
      <c r="A10641" s="2" t="s">
        <v>10641</v>
      </c>
      <c r="B10641" s="2" t="str">
        <f>IFERROR(__xludf.DUMMYFUNCTION("GOOGLETRANSLATE(A10641, ""en"", ""mt"")"),"X'kienet ir-reliġjon tal-istat mhux uffiċjali tal-wan?")</f>
        <v>X'kienet ir-reliġjon tal-istat mhux uffiċjali tal-wan?</v>
      </c>
    </row>
    <row r="10642" ht="15.75" customHeight="1">
      <c r="A10642" s="2" t="s">
        <v>10642</v>
      </c>
      <c r="B10642" s="2" t="str">
        <f>IFERROR(__xludf.DUMMYFUNCTION("GOOGLETRANSLATE(A10642, ""en"", ""mt"")"),"Ċelloli nieqsa minn rashom li għandhom biss ammonti żgħar ta 'liema markatur tal-wiċċ taċ-ċellula?")</f>
        <v>Ċelloli nieqsa minn rashom li għandhom biss ammonti żgħar ta 'liema markatur tal-wiċċ taċ-ċellula?</v>
      </c>
    </row>
    <row r="10643" ht="15.75" customHeight="1">
      <c r="A10643" s="2" t="s">
        <v>10643</v>
      </c>
      <c r="B10643" s="2" t="str">
        <f>IFERROR(__xludf.DUMMYFUNCTION("GOOGLETRANSLATE(A10643, ""en"", ""mt"")")," Min kiteb li l-imperjalizmu huwa l-inqas stadju tal-kapitaliżmu?")</f>
        <v> Min kiteb li l-imperjalizmu huwa l-inqas stadju tal-kapitaliżmu?</v>
      </c>
    </row>
    <row r="10644" ht="15.75" customHeight="1">
      <c r="A10644" s="2" t="s">
        <v>10644</v>
      </c>
      <c r="B10644" s="2" t="str">
        <f>IFERROR(__xludf.DUMMYFUNCTION("GOOGLETRANSLATE(A10644, ""en"", ""mt"")"),"Università ta ’Aberdeen")</f>
        <v>Università ta ’Aberdeen</v>
      </c>
    </row>
    <row r="10645" ht="15.75" customHeight="1">
      <c r="A10645" s="2" t="s">
        <v>10645</v>
      </c>
      <c r="B10645" s="2" t="str">
        <f>IFERROR(__xludf.DUMMYFUNCTION("GOOGLETRANSLATE(A10645, ""en"", ""mt"")"),"jeħilsu tweġibiet immuni ospitanti")</f>
        <v>jeħilsu tweġibiet immuni ospitanti</v>
      </c>
    </row>
    <row r="10646" ht="15.75" customHeight="1">
      <c r="A10646" s="2" t="s">
        <v>10646</v>
      </c>
      <c r="B10646" s="2" t="str">
        <f>IFERROR(__xludf.DUMMYFUNCTION("GOOGLETRANSLATE(A10646, ""en"", ""mt"")"),"Twaqqif ta 'relazzjonijiet ma' parteċipanti oħra meħtieġa permezz tal-proċess ta 'bini tad-disinn")</f>
        <v>Twaqqif ta 'relazzjonijiet ma' parteċipanti oħra meħtieġa permezz tal-proċess ta 'bini tad-disinn</v>
      </c>
    </row>
    <row r="10647" ht="15.75" customHeight="1">
      <c r="A10647" s="2" t="s">
        <v>10647</v>
      </c>
      <c r="B10647" s="2" t="str">
        <f>IFERROR(__xludf.DUMMYFUNCTION("GOOGLETRANSLATE(A10647, ""en"", ""mt"")"),"Kif tissejjaħ il-forza riżultanti meta żewġ forzi jaġixxu fuq partikula?")</f>
        <v>Kif tissejjaħ il-forza riżultanti meta żewġ forzi jaġixxu fuq partikula?</v>
      </c>
    </row>
    <row r="10648" ht="15.75" customHeight="1">
      <c r="A10648" s="2" t="s">
        <v>10648</v>
      </c>
      <c r="B10648" s="2" t="str">
        <f>IFERROR(__xludf.DUMMYFUNCTION("GOOGLETRANSLATE(A10648, ""en"", ""mt"")"),"Liema pjattaforma kkawżat lil BSKYB biex itemm is-servizz analogu tagħhom?")</f>
        <v>Liema pjattaforma kkawżat lil BSKYB biex itemm is-servizz analogu tagħhom?</v>
      </c>
    </row>
    <row r="10649" ht="15.75" customHeight="1">
      <c r="A10649" s="2" t="s">
        <v>10649</v>
      </c>
      <c r="B10649" s="2" t="str">
        <f>IFERROR(__xludf.DUMMYFUNCTION("GOOGLETRANSLATE(A10649, ""en"", ""mt"")"),"Projezzjonijiet ġelatinużi mmarkati biċ-ċili li jipproduċu kurrenti tal-ilma")</f>
        <v>Projezzjonijiet ġelatinużi mmarkati biċ-ċili li jipproduċu kurrenti tal-ilma</v>
      </c>
    </row>
    <row r="10650" ht="15.75" customHeight="1">
      <c r="A10650" s="2" t="s">
        <v>10650</v>
      </c>
      <c r="B10650" s="2" t="str">
        <f>IFERROR(__xludf.DUMMYFUNCTION("GOOGLETRANSLATE(A10650, ""en"", ""mt"")"),"simmetrika")</f>
        <v>simmetrika</v>
      </c>
    </row>
    <row r="10651" ht="15.75" customHeight="1">
      <c r="A10651" s="2" t="s">
        <v>10651</v>
      </c>
      <c r="B10651" s="2" t="str">
        <f>IFERROR(__xludf.DUMMYFUNCTION("GOOGLETRANSLATE(A10651, ""en"", ""mt"")"),"Min għamel lil Edward il-Konfessur Earl?")</f>
        <v>Min għamel lil Edward il-Konfessur Earl?</v>
      </c>
    </row>
    <row r="10652" ht="15.75" customHeight="1">
      <c r="A10652" s="2" t="s">
        <v>10652</v>
      </c>
      <c r="B10652" s="2" t="str">
        <f>IFERROR(__xludf.DUMMYFUNCTION("GOOGLETRANSLATE(A10652, ""en"", ""mt"")"),"Meta nkiteb it-Trattat ta 'Versailles?")</f>
        <v>Meta nkiteb it-Trattat ta 'Versailles?</v>
      </c>
    </row>
    <row r="10653" ht="15.75" customHeight="1">
      <c r="A10653" s="2" t="s">
        <v>10653</v>
      </c>
      <c r="B10653" s="2" t="str">
        <f>IFERROR(__xludf.DUMMYFUNCTION("GOOGLETRANSLATE(A10653, ""en"", ""mt"")"),"X'limita l-effiċjenza taċ-ċiklu ta 'Rankine?")</f>
        <v>X'limita l-effiċjenza taċ-ċiklu ta 'Rankine?</v>
      </c>
    </row>
    <row r="10654" ht="15.75" customHeight="1">
      <c r="A10654" s="2" t="s">
        <v>10654</v>
      </c>
      <c r="B10654" s="2" t="str">
        <f>IFERROR(__xludf.DUMMYFUNCTION("GOOGLETRANSLATE(A10654, ""en"", ""mt"")"),"żdied b'0.3 sa 0.6 ° C")</f>
        <v>żdied b'0.3 sa 0.6 ° C</v>
      </c>
    </row>
    <row r="10655" ht="15.75" customHeight="1">
      <c r="A10655" s="2" t="s">
        <v>10655</v>
      </c>
      <c r="B10655" s="2" t="str">
        <f>IFERROR(__xludf.DUMMYFUNCTION("GOOGLETRANSLATE(A10655, ""en"", ""mt"")"),"Pierre-Auguste Renoir")</f>
        <v>Pierre-Auguste Renoir</v>
      </c>
    </row>
    <row r="10656" ht="15.75" customHeight="1">
      <c r="A10656" s="2" t="s">
        <v>10656</v>
      </c>
      <c r="B10656" s="2" t="str">
        <f>IFERROR(__xludf.DUMMYFUNCTION("GOOGLETRANSLATE(A10656, ""en"", ""mt"")"),"Liema stil ta 'bizzilla huwa maħsub bi żball minn uħud li għandhom influwenza ta' Huguenot?")</f>
        <v>Liema stil ta 'bizzilla huwa maħsub bi żball minn uħud li għandhom influwenza ta' Huguenot?</v>
      </c>
    </row>
    <row r="10657" ht="15.75" customHeight="1">
      <c r="A10657" s="2" t="s">
        <v>10657</v>
      </c>
      <c r="B10657" s="2" t="str">
        <f>IFERROR(__xludf.DUMMYFUNCTION("GOOGLETRANSLATE(A10657, ""en"", ""mt"")"),"X'inhuma l-molekuli O f'forma tripletta?")</f>
        <v>X'inhuma l-molekuli O f'forma tripletta?</v>
      </c>
    </row>
    <row r="10658" ht="15.75" customHeight="1">
      <c r="A10658" s="2" t="s">
        <v>10658</v>
      </c>
      <c r="B10658" s="2" t="str">
        <f>IFERROR(__xludf.DUMMYFUNCTION("GOOGLETRANSLATE(A10658, ""en"", ""mt"")"),"Turiżmu")</f>
        <v>Turiżmu</v>
      </c>
    </row>
    <row r="10659" ht="15.75" customHeight="1">
      <c r="A10659" s="2" t="s">
        <v>10659</v>
      </c>
      <c r="B10659" s="2" t="str">
        <f>IFERROR(__xludf.DUMMYFUNCTION("GOOGLETRANSLATE(A10659, ""en"", ""mt"")"),"żagħżugħ u anzjani")</f>
        <v>żagħżugħ u anzjani</v>
      </c>
    </row>
    <row r="10660" ht="15.75" customHeight="1">
      <c r="A10660" s="2" t="s">
        <v>10660</v>
      </c>
      <c r="B10660" s="2" t="str">
        <f>IFERROR(__xludf.DUMMYFUNCTION("GOOGLETRANSLATE(A10660, ""en"", ""mt"")"),"X’ingħaqad mal-Pirinej?")</f>
        <v>X’ingħaqad mal-Pirinej?</v>
      </c>
    </row>
    <row r="10661" ht="15.75" customHeight="1">
      <c r="A10661" s="2" t="s">
        <v>10661</v>
      </c>
      <c r="B10661" s="2" t="str">
        <f>IFERROR(__xludf.DUMMYFUNCTION("GOOGLETRANSLATE(A10661, ""en"", ""mt"")"),"Liema karozzi mudell ta 'daqs sħiħ ma kinux popolari?")</f>
        <v>Liema karozzi mudell ta 'daqs sħiħ ma kinux popolari?</v>
      </c>
    </row>
    <row r="10662" ht="15.75" customHeight="1">
      <c r="A10662" s="2" t="s">
        <v>10662</v>
      </c>
      <c r="B10662" s="2" t="str">
        <f>IFERROR(__xludf.DUMMYFUNCTION("GOOGLETRANSLATE(A10662, ""en"", ""mt"")"),"X'tip ta 'xjenzat huwa David Herlihy?")</f>
        <v>X'tip ta 'xjenzat huwa David Herlihy?</v>
      </c>
    </row>
    <row r="10663" ht="15.75" customHeight="1">
      <c r="A10663" s="2" t="s">
        <v>10663</v>
      </c>
      <c r="B10663" s="2" t="str">
        <f>IFERROR(__xludf.DUMMYFUNCTION("GOOGLETRANSLATE(A10663, ""en"", ""mt"")"),"Kemm studenti tgħallem Charles William Eliot matul il-mandat tiegħu f'Harvard?")</f>
        <v>Kemm studenti tgħallem Charles William Eliot matul il-mandat tiegħu f'Harvard?</v>
      </c>
    </row>
    <row r="10664" ht="15.75" customHeight="1">
      <c r="A10664" s="2" t="s">
        <v>10664</v>
      </c>
      <c r="B10664" s="2" t="str">
        <f>IFERROR(__xludf.DUMMYFUNCTION("GOOGLETRANSLATE(A10664, ""en"", ""mt"")"),"Messiaen jgħid li l-kompożizzjoni bin-numri ewlenin kienet ispirata minn xiex?")</f>
        <v>Messiaen jgħid li l-kompożizzjoni bin-numri ewlenin kienet ispirata minn xiex?</v>
      </c>
    </row>
    <row r="10665" ht="15.75" customHeight="1">
      <c r="A10665" s="2" t="s">
        <v>10665</v>
      </c>
      <c r="B10665" s="2" t="str">
        <f>IFERROR(__xludf.DUMMYFUNCTION("GOOGLETRANSLATE(A10665, ""en"", ""mt"")"),"Għaliex ir-Rhine ġie rregolat?")</f>
        <v>Għaliex ir-Rhine ġie rregolat?</v>
      </c>
    </row>
    <row r="10666" ht="15.75" customHeight="1">
      <c r="A10666" s="2" t="s">
        <v>10666</v>
      </c>
      <c r="B10666" s="2" t="str">
        <f>IFERROR(__xludf.DUMMYFUNCTION("GOOGLETRANSLATE(A10666, ""en"", ""mt"")"),"B'mod ġenerali, hemm tliet setturi tal-kostruzzjoni: bini, infrastruttura u industrijali. Il-kostruzzjoni tal-bini ġeneralment tkun maqsuma aktar fi residenzjali u mhux residenzjali (kummerċjali / istituzzjonali). L-infrastruttura ta 'spiss tissejjaħ inġi"&amp;"nerija tqila / awtostrada, ċivili jew tqila. Dan jinkludi xogħlijiet pubbliċi kbar, digi, pontijiet, awtostradi, ilma / drenaġġ u distribuzzjoni tal-utilità. Industrijali jinkludi raffineriji, kimika tal-proċess, ġenerazzjoni tal-enerġija, imtieħen u impj"&amp;"anti tal-manifattura. Hemm modi oħra kif tkisser l-industrija f'setturi jew swieq.")</f>
        <v>B'mod ġenerali, hemm tliet setturi tal-kostruzzjoni: bini, infrastruttura u industrijali. Il-kostruzzjoni tal-bini ġeneralment tkun maqsuma aktar fi residenzjali u mhux residenzjali (kummerċjali / istituzzjonali). L-infrastruttura ta 'spiss tissejjaħ inġinerija tqila / awtostrada, ċivili jew tqila. Dan jinkludi xogħlijiet pubbliċi kbar, digi, pontijiet, awtostradi, ilma / drenaġġ u distribuzzjoni tal-utilità. Industrijali jinkludi raffineriji, kimika tal-proċess, ġenerazzjoni tal-enerġija, imtieħen u impjanti tal-manifattura. Hemm modi oħra kif tkisser l-industrija f'setturi jew swieq.</v>
      </c>
    </row>
    <row r="10667" ht="15.75" customHeight="1">
      <c r="A10667" s="2" t="s">
        <v>10667</v>
      </c>
      <c r="B10667" s="2" t="str">
        <f>IFERROR(__xludf.DUMMYFUNCTION("GOOGLETRANSLATE(A10667, ""en"", ""mt"")"),"Meta waqfu l-ġeoloġi jużaw l-iżotopi?")</f>
        <v>Meta waqfu l-ġeoloġi jużaw l-iżotopi?</v>
      </c>
    </row>
    <row r="10668" ht="15.75" customHeight="1">
      <c r="A10668" s="2" t="s">
        <v>10668</v>
      </c>
      <c r="B10668" s="2" t="str">
        <f>IFERROR(__xludf.DUMMYFUNCTION("GOOGLETRANSLATE(A10668, ""en"", ""mt"")"),"Li r-rwol tagħhom huwa li tiddisinja x-xogħlijiet, tħejji l-ispeċifikazzjonijiet u tipproduċi tpinġijiet tal-kostruzzjoni, tamministra l-kuntratt, tenera x-xogħlijiet, u timmaniġġja x-xogħlijiet mill-bidu sal-tlestija")</f>
        <v>Li r-rwol tagħhom huwa li tiddisinja x-xogħlijiet, tħejji l-ispeċifikazzjonijiet u tipproduċi tpinġijiet tal-kostruzzjoni, tamministra l-kuntratt, tenera x-xogħlijiet, u timmaniġġja x-xogħlijiet mill-bidu sal-tlestija</v>
      </c>
    </row>
    <row r="10669" ht="15.75" customHeight="1">
      <c r="A10669" s="2" t="s">
        <v>10669</v>
      </c>
      <c r="B10669" s="2" t="str">
        <f>IFERROR(__xludf.DUMMYFUNCTION("GOOGLETRANSLATE(A10669, ""en"", ""mt"")"),"Meta kien l-Iżrael iddikjarat pajjiż mhux faċli?")</f>
        <v>Meta kien l-Iżrael iddikjarat pajjiż mhux faċli?</v>
      </c>
    </row>
    <row r="10670" ht="15.75" customHeight="1">
      <c r="A10670" s="2" t="s">
        <v>10670</v>
      </c>
      <c r="B10670" s="2" t="str">
        <f>IFERROR(__xludf.DUMMYFUNCTION("GOOGLETRANSLATE(A10670, ""en"", ""mt"")"),"Meta kienet kompluta l-porzjon Ewropew tas-seba 'snin tal-gwerra?")</f>
        <v>Meta kienet kompluta l-porzjon Ewropew tas-seba 'snin tal-gwerra?</v>
      </c>
    </row>
    <row r="10671" ht="15.75" customHeight="1">
      <c r="A10671" s="2" t="s">
        <v>10671</v>
      </c>
      <c r="B10671" s="2" t="str">
        <f>IFERROR(__xludf.DUMMYFUNCTION("GOOGLETRANSLATE(A10671, ""en"", ""mt"")"),"X'inhu l-ħalq ta 'pleuobrachia?")</f>
        <v>X'inhu l-ħalq ta 'pleuobrachia?</v>
      </c>
    </row>
    <row r="10672" ht="15.75" customHeight="1">
      <c r="A10672" s="2" t="s">
        <v>10672</v>
      </c>
      <c r="B10672" s="2" t="str">
        <f>IFERROR(__xludf.DUMMYFUNCTION("GOOGLETRANSLATE(A10672, ""en"", ""mt"")"),"Min minbarra r-Russi huma spiss inklużi fid-dibattitu tal-kolonjaliżmu?")</f>
        <v>Min minbarra r-Russi huma spiss inklużi fid-dibattitu tal-kolonjaliżmu?</v>
      </c>
    </row>
    <row r="10673" ht="15.75" customHeight="1">
      <c r="A10673" s="2" t="s">
        <v>10673</v>
      </c>
      <c r="B10673" s="2" t="str">
        <f>IFERROR(__xludf.DUMMYFUNCTION("GOOGLETRANSLATE(A10673, ""en"", ""mt"")"),"X’għamel Austpac")</f>
        <v>X’għamel Austpac</v>
      </c>
    </row>
    <row r="10674" ht="15.75" customHeight="1">
      <c r="A10674" s="2" t="s">
        <v>10674</v>
      </c>
      <c r="B10674" s="2" t="str">
        <f>IFERROR(__xludf.DUMMYFUNCTION("GOOGLETRANSLATE(A10674, ""en"", ""mt"")"),"Fl-Afganistan, ir-rebħa tal-Mujahideen kontra l-Unjoni Sovjetika fis-snin 80 ma wasslitx għall-ġustizzja u l-prosperità, minħabba gwerra ċivili vizzjuża u distruttiva bejn il-kmandanti tal-gwerra politiċi u tribali, li għamlet l-Afganistan wieħed mill-ifq"&amp;"ar pajjiżi fid-dinja. Fl-1992, ir-Repubblika Demokratika ta 'l-Afganistan immexxija mill-forzi komunisti waqa', u l-elementi Iżlamisti Demokratiċi ta 'Mujahdeen waqqfu l-Istat Iżlamiku ta' l-Afganistan. Fl-1996, moviment Iżlamista aktar konservattiv u ant"&amp;"i-demokratiku magħruf bħala t-Taliban tela 'għall-poter, għeleb ħafna mill-kmandanti tal-gwerra u ħa madwar 80% tal-Afganistan.")</f>
        <v>Fl-Afganistan, ir-rebħa tal-Mujahideen kontra l-Unjoni Sovjetika fis-snin 80 ma wasslitx għall-ġustizzja u l-prosperità, minħabba gwerra ċivili vizzjuża u distruttiva bejn il-kmandanti tal-gwerra politiċi u tribali, li għamlet l-Afganistan wieħed mill-ifqar pajjiżi fid-dinja. Fl-1992, ir-Repubblika Demokratika ta 'l-Afganistan immexxija mill-forzi komunisti waqa', u l-elementi Iżlamisti Demokratiċi ta 'Mujahdeen waqqfu l-Istat Iżlamiku ta' l-Afganistan. Fl-1996, moviment Iżlamista aktar konservattiv u anti-demokratiku magħruf bħala t-Taliban tela 'għall-poter, għeleb ħafna mill-kmandanti tal-gwerra u ħa madwar 80% tal-Afganistan.</v>
      </c>
    </row>
    <row r="10675" ht="15.75" customHeight="1">
      <c r="A10675" s="2" t="s">
        <v>10675</v>
      </c>
      <c r="B10675" s="2" t="str">
        <f>IFERROR(__xludf.DUMMYFUNCTION("GOOGLETRANSLATE(A10675, ""en"", ""mt"")"),"Meta Victoria ppromulgat il-Kostituzzjoni tagħha?")</f>
        <v>Meta Victoria ppromulgat il-Kostituzzjoni tagħha?</v>
      </c>
    </row>
    <row r="10676" ht="15.75" customHeight="1">
      <c r="A10676" s="2" t="s">
        <v>10676</v>
      </c>
      <c r="B10676" s="2" t="str">
        <f>IFERROR(__xludf.DUMMYFUNCTION("GOOGLETRANSLATE(A10676, ""en"", ""mt"")"),"Università Yale")</f>
        <v>Università Yale</v>
      </c>
    </row>
    <row r="10677" ht="15.75" customHeight="1">
      <c r="A10677" s="2" t="s">
        <v>10677</v>
      </c>
      <c r="B10677" s="2" t="str">
        <f>IFERROR(__xludf.DUMMYFUNCTION("GOOGLETRANSLATE(A10677, ""en"", ""mt"")"),"oqbra tal-massa fit-tramuntana, ċentrali u fin-nofsinhar tal-Ewropa")</f>
        <v>oqbra tal-massa fit-tramuntana, ċentrali u fin-nofsinhar tal-Ewropa</v>
      </c>
    </row>
    <row r="10678" ht="15.75" customHeight="1">
      <c r="A10678" s="2" t="s">
        <v>10678</v>
      </c>
      <c r="B10678" s="2" t="str">
        <f>IFERROR(__xludf.DUMMYFUNCTION("GOOGLETRANSLATE(A10678, ""en"", ""mt"")"),"fotolisi")</f>
        <v>fotolisi</v>
      </c>
    </row>
    <row r="10679" ht="15.75" customHeight="1">
      <c r="A10679" s="2" t="s">
        <v>10679</v>
      </c>
      <c r="B10679" s="2" t="str">
        <f>IFERROR(__xludf.DUMMYFUNCTION("GOOGLETRANSLATE(A10679, ""en"", ""mt"")"),"Liema waħda mil-lukandi ta 'Fresno ħarqu?")</f>
        <v>Liema waħda mil-lukandi ta 'Fresno ħarqu?</v>
      </c>
    </row>
    <row r="10680" ht="15.75" customHeight="1">
      <c r="A10680" s="2" t="s">
        <v>10680</v>
      </c>
      <c r="B10680" s="2" t="str">
        <f>IFERROR(__xludf.DUMMYFUNCTION("GOOGLETRANSLATE(A10680, ""en"", ""mt"")"),"X'inhu d-djalett Almanniku biex jiddeskrivi l-gżejjer barra fl-Awstrija?")</f>
        <v>X'inhu d-djalett Almanniku biex jiddeskrivi l-gżejjer barra fl-Awstrija?</v>
      </c>
    </row>
    <row r="10681" ht="15.75" customHeight="1">
      <c r="A10681" s="2" t="s">
        <v>10681</v>
      </c>
      <c r="B10681" s="2" t="str">
        <f>IFERROR(__xludf.DUMMYFUNCTION("GOOGLETRANSLATE(A10681, ""en"", ""mt"")"),"F'liema każ ingħataw il-vjeġġi tal-Vigilantes Franċiżi ta 'frawli Spanjoli?")</f>
        <v>F'liema każ ingħataw il-vjeġġi tal-Vigilantes Franċiżi ta 'frawli Spanjoli?</v>
      </c>
    </row>
    <row r="10682" ht="15.75" customHeight="1">
      <c r="A10682" s="2" t="s">
        <v>10682</v>
      </c>
      <c r="B10682" s="2" t="str">
        <f>IFERROR(__xludf.DUMMYFUNCTION("GOOGLETRANSLATE(A10682, ""en"", ""mt"")"),"Hemm ukoll numru dejjem jikber ta 'forom ġodda ta' akkwist li jinvolvu kuntratti ta 'relazzjoni fejn l-enfasi hija fuq relazzjoni kooperattiva bejn il-prinċipal u l-kuntrattur u partijiet interessati oħra fi proġett ta' kostruzzjoni. Formoli ġodda jinklud"&amp;"u sħubija bħalma huma s-sħubija pubblika-privata (PPPs) magħruf ukoll bħala inizjattivi ta 'finanzi privati ​​(PFIs) u alleanzi bħal alleanzi ""puri"" jew ""proġett"" u alleanzi ""impuri"" jew ""strateġiċi"". L-enfasi fuq il-kooperazzjoni hija li ttejjeb "&amp;"il-ħafna problemi li jinħolqu mill-prattiki ta 'spiss kompetittivi u kontradittorji fl-industrija tal-kostruzzjoni.")</f>
        <v>Hemm ukoll numru dejjem jikber ta 'forom ġodda ta' akkwist li jinvolvu kuntratti ta 'relazzjoni fejn l-enfasi hija fuq relazzjoni kooperattiva bejn il-prinċipal u l-kuntrattur u partijiet interessati oħra fi proġett ta' kostruzzjoni. Formoli ġodda jinkludu sħubija bħalma huma s-sħubija pubblika-privata (PPPs) magħruf ukoll bħala inizjattivi ta 'finanzi privati ​​(PFIs) u alleanzi bħal alleanzi "puri" jew "proġett" u alleanzi "impuri" jew "strateġiċi". L-enfasi fuq il-kooperazzjoni hija li ttejjeb il-ħafna problemi li jinħolqu mill-prattiki ta 'spiss kompetittivi u kontradittorji fl-industrija tal-kostruzzjoni.</v>
      </c>
    </row>
    <row r="10683" ht="15.75" customHeight="1">
      <c r="A10683" s="2" t="s">
        <v>10683</v>
      </c>
      <c r="B10683" s="2" t="str">
        <f>IFERROR(__xludf.DUMMYFUNCTION("GOOGLETRANSLATE(A10683, ""en"", ""mt"")"),"1992")</f>
        <v>1992</v>
      </c>
    </row>
    <row r="10684" ht="15.75" customHeight="1">
      <c r="A10684" s="2" t="s">
        <v>10684</v>
      </c>
      <c r="B10684" s="2" t="str">
        <f>IFERROR(__xludf.DUMMYFUNCTION("GOOGLETRANSLATE(A10684, ""en"", ""mt"")"),"Kif il-viruses jegħlbu l-ostakli fiżiċi?")</f>
        <v>Kif il-viruses jegħlbu l-ostakli fiżiċi?</v>
      </c>
    </row>
    <row r="10685" ht="15.75" customHeight="1">
      <c r="A10685" s="2" t="s">
        <v>10685</v>
      </c>
      <c r="B10685" s="2" t="str">
        <f>IFERROR(__xludf.DUMMYFUNCTION("GOOGLETRANSLATE(A10685, ""en"", ""mt"")"),"OneDrive għan-Negozju")</f>
        <v>OneDrive għan-Negozju</v>
      </c>
    </row>
    <row r="10686" ht="15.75" customHeight="1">
      <c r="A10686" s="2" t="s">
        <v>10686</v>
      </c>
      <c r="B10686" s="2" t="str">
        <f>IFERROR(__xludf.DUMMYFUNCTION("GOOGLETRANSLATE(A10686, ""en"", ""mt"")"),"Regolamenti lokali tal-awtorità tal-bini u kodiċi ta 'prattika")</f>
        <v>Regolamenti lokali tal-awtorità tal-bini u kodiċi ta 'prattika</v>
      </c>
    </row>
    <row r="10687" ht="15.75" customHeight="1">
      <c r="A10687" s="2" t="s">
        <v>10687</v>
      </c>
      <c r="B10687" s="2" t="str">
        <f>IFERROR(__xludf.DUMMYFUNCTION("GOOGLETRANSLATE(A10687, ""en"", ""mt"")"),"Min ma kienx il-qtil ta 'Al-Banna bħala ritaljazzjoni għall-qtil minn qabel?")</f>
        <v>Min ma kienx il-qtil ta 'Al-Banna bħala ritaljazzjoni għall-qtil minn qabel?</v>
      </c>
    </row>
    <row r="10688" ht="15.75" customHeight="1">
      <c r="A10688" s="2" t="s">
        <v>10688</v>
      </c>
      <c r="B10688" s="2" t="str">
        <f>IFERROR(__xludf.DUMMYFUNCTION("GOOGLETRANSLATE(A10688, ""en"", ""mt"")"),"San Lawrenz")</f>
        <v>San Lawrenz</v>
      </c>
    </row>
    <row r="10689" ht="15.75" customHeight="1">
      <c r="A10689" s="2" t="s">
        <v>10689</v>
      </c>
      <c r="B10689" s="2" t="str">
        <f>IFERROR(__xludf.DUMMYFUNCTION("GOOGLETRANSLATE(A10689, ""en"", ""mt"")"),"1862")</f>
        <v>1862</v>
      </c>
    </row>
    <row r="10690" ht="15.75" customHeight="1">
      <c r="A10690" s="2" t="s">
        <v>10690</v>
      </c>
      <c r="B10690" s="2" t="str">
        <f>IFERROR(__xludf.DUMMYFUNCTION("GOOGLETRANSLATE(A10690, ""en"", ""mt"")"),"Awtoimmunità")</f>
        <v>Awtoimmunità</v>
      </c>
    </row>
    <row r="10691" ht="15.75" customHeight="1">
      <c r="A10691" s="2" t="s">
        <v>10691</v>
      </c>
      <c r="B10691" s="2" t="str">
        <f>IFERROR(__xludf.DUMMYFUNCTION("GOOGLETRANSLATE(A10691, ""en"", ""mt"")"),"L-iżvilupp ta 'dan il-kunċett oriġinarjament kien ikkunsidrat ""klassifikat"" jew sigriet?")</f>
        <v>L-iżvilupp ta 'dan il-kunċett oriġinarjament kien ikkunsidrat "klassifikat" jew sigriet?</v>
      </c>
    </row>
    <row r="10692" ht="15.75" customHeight="1">
      <c r="A10692" s="2" t="s">
        <v>10692</v>
      </c>
      <c r="B10692" s="2" t="str">
        <f>IFERROR(__xludf.DUMMYFUNCTION("GOOGLETRANSLATE(A10692, ""en"", ""mt"")"),"Min irrestawra l-bungalows?")</f>
        <v>Min irrestawra l-bungalows?</v>
      </c>
    </row>
    <row r="10693" ht="15.75" customHeight="1">
      <c r="A10693" s="2" t="s">
        <v>10693</v>
      </c>
      <c r="B10693" s="2" t="str">
        <f>IFERROR(__xludf.DUMMYFUNCTION("GOOGLETRANSLATE(A10693, ""en"", ""mt"")"),"il-Portugiż")</f>
        <v>il-Portugiż</v>
      </c>
    </row>
    <row r="10694" ht="15.75" customHeight="1">
      <c r="A10694" s="2" t="s">
        <v>10694</v>
      </c>
      <c r="B10694" s="2" t="str">
        <f>IFERROR(__xludf.DUMMYFUNCTION("GOOGLETRANSLATE(A10694, ""en"", ""mt"")"),"Ħlas ta 'kull xahar")</f>
        <v>Ħlas ta 'kull xahar</v>
      </c>
    </row>
    <row r="10695" ht="15.75" customHeight="1">
      <c r="A10695" s="2" t="s">
        <v>10695</v>
      </c>
      <c r="B10695" s="2" t="str">
        <f>IFERROR(__xludf.DUMMYFUNCTION("GOOGLETRANSLATE(A10695, ""en"", ""mt"")"),"Liema applikazzjonijiet ma appoġġjawx Austpac?")</f>
        <v>Liema applikazzjonijiet ma appoġġjawx Austpac?</v>
      </c>
    </row>
    <row r="10696" ht="15.75" customHeight="1">
      <c r="A10696" s="2" t="s">
        <v>10696</v>
      </c>
      <c r="B10696" s="2" t="str">
        <f>IFERROR(__xludf.DUMMYFUNCTION("GOOGLETRANSLATE(A10696, ""en"", ""mt"")"),"Kif ippjanaw l-Istati Uniti biex jissottomettu tendenzi mhux imperjalistiċi?")</f>
        <v>Kif ippjanaw l-Istati Uniti biex jissottomettu tendenzi mhux imperjalistiċi?</v>
      </c>
    </row>
    <row r="10697" ht="15.75" customHeight="1">
      <c r="A10697" s="2" t="s">
        <v>10697</v>
      </c>
      <c r="B10697" s="2" t="str">
        <f>IFERROR(__xludf.DUMMYFUNCTION("GOOGLETRANSLATE(A10697, ""en"", ""mt"")"),"Liema pajjiż huwa alleat tradizzjonali ta 'Iżrael?")</f>
        <v>Liema pajjiż huwa alleat tradizzjonali ta 'Iżrael?</v>
      </c>
    </row>
    <row r="10698" ht="15.75" customHeight="1">
      <c r="A10698" s="2" t="s">
        <v>10698</v>
      </c>
      <c r="B10698" s="2" t="str">
        <f>IFERROR(__xludf.DUMMYFUNCTION("GOOGLETRANSLATE(A10698, ""en"", ""mt"")"),"Min kien Frédéric Chopin?")</f>
        <v>Min kien Frédéric Chopin?</v>
      </c>
    </row>
    <row r="10699" ht="15.75" customHeight="1">
      <c r="A10699" s="2" t="s">
        <v>10699</v>
      </c>
      <c r="B10699" s="2" t="str">
        <f>IFERROR(__xludf.DUMMYFUNCTION("GOOGLETRANSLATE(A10699, ""en"", ""mt"")"),"X'tip ta 'fossili nstabu fiċ-Ċina?")</f>
        <v>X'tip ta 'fossili nstabu fiċ-Ċina?</v>
      </c>
    </row>
    <row r="10700" ht="15.75" customHeight="1">
      <c r="A10700" s="2" t="s">
        <v>10700</v>
      </c>
      <c r="B10700" s="2" t="str">
        <f>IFERROR(__xludf.DUMMYFUNCTION("GOOGLETRANSLATE(A10700, ""en"", ""mt"")"),"Ajruport Internazzjonali ta ’Los Angeles")</f>
        <v>Ajruport Internazzjonali ta ’Los Angeles</v>
      </c>
    </row>
    <row r="10701" ht="15.75" customHeight="1">
      <c r="A10701" s="2" t="s">
        <v>10701</v>
      </c>
      <c r="B10701" s="2" t="str">
        <f>IFERROR(__xludf.DUMMYFUNCTION("GOOGLETRANSLATE(A10701, ""en"", ""mt"")"),"Huwa ż-żejt tal-Iskozja")</f>
        <v>Huwa ż-żejt tal-Iskozja</v>
      </c>
    </row>
    <row r="10702" ht="15.75" customHeight="1">
      <c r="A10702" s="2" t="s">
        <v>10702</v>
      </c>
      <c r="B10702" s="2" t="str">
        <f>IFERROR(__xludf.DUMMYFUNCTION("GOOGLETRANSLATE(A10702, ""en"", ""mt"")"),"X'inhu l-isem ta 'kontinwazzjoni konvinċenti oħra tat-test tal-primalità Fermat?")</f>
        <v>X'inhu l-isem ta 'kontinwazzjoni konvinċenti oħra tat-test tal-primalità Fermat?</v>
      </c>
    </row>
    <row r="10703" ht="15.75" customHeight="1">
      <c r="A10703" s="2" t="s">
        <v>10703</v>
      </c>
      <c r="B10703" s="2" t="str">
        <f>IFERROR(__xludf.DUMMYFUNCTION("GOOGLETRANSLATE(A10703, ""en"", ""mt"")"),"Harvard xtara meded ta 'art f'Allston, mixja madwar ix-Xmara Charles minn Cambridge, bl-intenzjoni ta' espansjoni kbira lejn in-nofsinhar. L-università issa għandha madwar ħamsin fil-mija aktar art f'Allston milli f'Cambridge. Proposti biex tikkonnettja l"&amp;"-kampus ta 'Cambridge mal-kampus il-ġdid ta' Allston jinkludu pontijiet ġodda u mkabbra, servizz tax-shuttle u / jew tram. Il-pjanijiet jitolbu wkoll parti għall-għarqa ta 'Steor Drive (bi spejjeż ta' Harvard) għas-sostituzzjoni ma 'l-art tal-park u l-aċċ"&amp;"ess pedonali għax-Xmara Charles, kif ukoll għall-kostruzzjoni ta' mogħdijiet tar-rota, u bini fil-kampus ta 'Allston. L-istituzzjoni tafferma li din l-espansjoni se tibbenefika mhux biss l-iskola, iżda wkoll il-komunità li tindika, li tindika l-karatteris"&amp;"tiċi bħall-infrastruttura ta 'transitu msaħħa, shuttles possibbli miftuħa għall-pubbliku, u l-ispazju tal-park li se jkun ukoll aċċessibbli pubblikament.")</f>
        <v>Harvard xtara meded ta 'art f'Allston, mixja madwar ix-Xmara Charles minn Cambridge, bl-intenzjoni ta' espansjoni kbira lejn in-nofsinhar. L-università issa għandha madwar ħamsin fil-mija aktar art f'Allston milli f'Cambridge. Proposti biex tikkonnettja l-kampus ta 'Cambridge mal-kampus il-ġdid ta' Allston jinkludu pontijiet ġodda u mkabbra, servizz tax-shuttle u / jew tram. Il-pjanijiet jitolbu wkoll parti għall-għarqa ta 'Steor Drive (bi spejjeż ta' Harvard) għas-sostituzzjoni ma 'l-art tal-park u l-aċċess pedonali għax-Xmara Charles, kif ukoll għall-kostruzzjoni ta' mogħdijiet tar-rota, u bini fil-kampus ta 'Allston. L-istituzzjoni tafferma li din l-espansjoni se tibbenefika mhux biss l-iskola, iżda wkoll il-komunità li tindika, li tindika l-karatteristiċi bħall-infrastruttura ta 'transitu msaħħa, shuttles possibbli miftuħa għall-pubbliku, u l-ispazju tal-park li se jkun ukoll aċċessibbli pubblikament.</v>
      </c>
    </row>
    <row r="10704" ht="15.75" customHeight="1">
      <c r="A10704" s="2" t="s">
        <v>10704</v>
      </c>
      <c r="B10704" s="2" t="str">
        <f>IFERROR(__xludf.DUMMYFUNCTION("GOOGLETRANSLATE(A10704, ""en"", ""mt"")"),"Kemm unitajiet akkademiċi jiffurmaw Radcliffe?")</f>
        <v>Kemm unitajiet akkademiċi jiffurmaw Radcliffe?</v>
      </c>
    </row>
    <row r="10705" ht="15.75" customHeight="1">
      <c r="A10705" s="2" t="s">
        <v>10705</v>
      </c>
      <c r="B10705" s="2" t="str">
        <f>IFERROR(__xludf.DUMMYFUNCTION("GOOGLETRANSLATE(A10705, ""en"", ""mt"")"),"il-konservattivi")</f>
        <v>il-konservattivi</v>
      </c>
    </row>
    <row r="10706" ht="15.75" customHeight="1">
      <c r="A10706" s="2" t="s">
        <v>10706</v>
      </c>
      <c r="B10706" s="2" t="str">
        <f>IFERROR(__xludf.DUMMYFUNCTION("GOOGLETRANSLATE(A10706, ""en"", ""mt"")"),"Jean Cauvin")</f>
        <v>Jean Cauvin</v>
      </c>
    </row>
    <row r="10707" ht="15.75" customHeight="1">
      <c r="A10707" s="2" t="s">
        <v>10707</v>
      </c>
      <c r="B10707" s="2" t="str">
        <f>IFERROR(__xludf.DUMMYFUNCTION("GOOGLETRANSLATE(A10707, ""en"", ""mt"")"),"Il-BankaMericard jista 'jintuża f'ħafna negozjanti imma ma jistax jagħmel x'inhu?")</f>
        <v>Il-BankaMericard jista 'jintuża f'ħafna negozjanti imma ma jistax jagħmel x'inhu?</v>
      </c>
    </row>
    <row r="10708" ht="15.75" customHeight="1">
      <c r="A10708" s="2" t="s">
        <v>10708</v>
      </c>
      <c r="B10708" s="2" t="str">
        <f>IFERROR(__xludf.DUMMYFUNCTION("GOOGLETRANSLATE(A10708, ""en"", ""mt"")"),"Sport uffiċjali tal-iskola")</f>
        <v>Sport uffiċjali tal-iskola</v>
      </c>
    </row>
    <row r="10709" ht="15.75" customHeight="1">
      <c r="A10709" s="2" t="s">
        <v>10709</v>
      </c>
      <c r="B10709" s="2" t="str">
        <f>IFERROR(__xludf.DUMMYFUNCTION("GOOGLETRANSLATE(A10709, ""en"", ""mt"")"),"LE")</f>
        <v>LE</v>
      </c>
    </row>
    <row r="10710" ht="15.75" customHeight="1">
      <c r="A10710" s="2" t="s">
        <v>10710</v>
      </c>
      <c r="B10710" s="2" t="str">
        <f>IFERROR(__xludf.DUMMYFUNCTION("GOOGLETRANSLATE(A10710, ""en"", ""mt"")"),"Mersenne")</f>
        <v>Mersenne</v>
      </c>
    </row>
    <row r="10711" ht="15.75" customHeight="1">
      <c r="A10711" s="2" t="s">
        <v>10711</v>
      </c>
      <c r="B10711" s="2" t="str">
        <f>IFERROR(__xludf.DUMMYFUNCTION("GOOGLETRANSLATE(A10711, ""en"", ""mt"")"),"15 ta 'Awwissu, 1971")</f>
        <v>15 ta 'Awwissu, 1971</v>
      </c>
    </row>
    <row r="10712" ht="15.75" customHeight="1">
      <c r="A10712" s="2" t="s">
        <v>10712</v>
      </c>
      <c r="B10712" s="2" t="str">
        <f>IFERROR(__xludf.DUMMYFUNCTION("GOOGLETRANSLATE(A10712, ""en"", ""mt"")"),"Liema sena ġie kkoreġut l-iżball tipografiku għall-ewwel darba?")</f>
        <v>Liema sena ġie kkoreġut l-iżball tipografiku għall-ewwel darba?</v>
      </c>
    </row>
    <row r="10713" ht="15.75" customHeight="1">
      <c r="A10713" s="2" t="s">
        <v>10713</v>
      </c>
      <c r="B10713" s="2" t="str">
        <f>IFERROR(__xludf.DUMMYFUNCTION("GOOGLETRANSLATE(A10713, ""en"", ""mt"")"),"F'liema laqgħa Shirley stabbilixxa pjanijiet għall-1756?")</f>
        <v>F'liema laqgħa Shirley stabbilixxa pjanijiet għall-1756?</v>
      </c>
    </row>
    <row r="10714" ht="15.75" customHeight="1">
      <c r="A10714" s="2" t="s">
        <v>10714</v>
      </c>
      <c r="B10714" s="2" t="str">
        <f>IFERROR(__xludf.DUMMYFUNCTION("GOOGLETRANSLATE(A10714, ""en"", ""mt"")"),"X'inhu l-għan ta 'diżubbidjenza ċivili individwali?")</f>
        <v>X'inhu l-għan ta 'diżubbidjenza ċivili individwali?</v>
      </c>
    </row>
    <row r="10715" ht="15.75" customHeight="1">
      <c r="A10715" s="2" t="s">
        <v>10715</v>
      </c>
      <c r="B10715" s="2" t="str">
        <f>IFERROR(__xludf.DUMMYFUNCTION("GOOGLETRANSLATE(A10715, ""en"", ""mt"")"),"L-atti ta 'liema gvern jibdew b'formula konvenzjonali li tippromwovi?")</f>
        <v>L-atti ta 'liema gvern jibdew b'formula konvenzjonali li tippromwovi?</v>
      </c>
    </row>
    <row r="10716" ht="15.75" customHeight="1">
      <c r="A10716" s="2" t="s">
        <v>10716</v>
      </c>
      <c r="B10716" s="2" t="str">
        <f>IFERROR(__xludf.DUMMYFUNCTION("GOOGLETRANSLATE(A10716, ""en"", ""mt"")"),"587,000")</f>
        <v>587,000</v>
      </c>
    </row>
    <row r="10717" ht="15.75" customHeight="1">
      <c r="A10717" s="2" t="s">
        <v>10717</v>
      </c>
      <c r="B10717" s="2" t="str">
        <f>IFERROR(__xludf.DUMMYFUNCTION("GOOGLETRANSLATE(A10717, ""en"", ""mt"")"),"Lek")</f>
        <v>Lek</v>
      </c>
    </row>
    <row r="10718" ht="15.75" customHeight="1">
      <c r="A10718" s="2" t="s">
        <v>10718</v>
      </c>
      <c r="B10718" s="2" t="str">
        <f>IFERROR(__xludf.DUMMYFUNCTION("GOOGLETRANSLATE(A10718, ""en"", ""mt"")"),"It-teorija ta ’min kienet it-teorija tad-drift kontinentali?")</f>
        <v>It-teorija ta ’min kienet it-teorija tad-drift kontinentali?</v>
      </c>
    </row>
    <row r="10719" ht="15.75" customHeight="1">
      <c r="A10719" s="2" t="s">
        <v>10719</v>
      </c>
      <c r="B10719" s="2" t="str">
        <f>IFERROR(__xludf.DUMMYFUNCTION("GOOGLETRANSLATE(A10719, ""en"", ""mt"")"),"Ċiklu bijokimiku")</f>
        <v>Ċiklu bijokimiku</v>
      </c>
    </row>
    <row r="10720" ht="15.75" customHeight="1">
      <c r="A10720" s="2" t="s">
        <v>10720</v>
      </c>
      <c r="B10720" s="2" t="str">
        <f>IFERROR(__xludf.DUMMYFUNCTION("GOOGLETRANSLATE(A10720, ""en"", ""mt"")"),"Liema metodu artifiċjali biex tinfirex l-immunità jikkawża mard?")</f>
        <v>Liema metodu artifiċjali biex tinfirex l-immunità jikkawża mard?</v>
      </c>
    </row>
    <row r="10721" ht="15.75" customHeight="1">
      <c r="A10721" s="2" t="s">
        <v>10721</v>
      </c>
      <c r="B10721" s="2" t="str">
        <f>IFERROR(__xludf.DUMMYFUNCTION("GOOGLETRANSLATE(A10721, ""en"", ""mt"")"),"f'Wijk Bij Duurstede")</f>
        <v>f'Wijk Bij Duurstede</v>
      </c>
    </row>
    <row r="10722" ht="15.75" customHeight="1">
      <c r="A10722" s="2" t="s">
        <v>10722</v>
      </c>
      <c r="B10722" s="2" t="str">
        <f>IFERROR(__xludf.DUMMYFUNCTION("GOOGLETRANSLATE(A10722, ""en"", ""mt"")"),"Liema esperiment jista 'jitwettaq fuq settings kbar li ma jistgħux ikunu fuq settings żgħar?")</f>
        <v>Liema esperiment jista 'jitwettaq fuq settings kbar li ma jistgħux ikunu fuq settings żgħar?</v>
      </c>
    </row>
    <row r="10723" ht="15.75" customHeight="1">
      <c r="A10723" s="2" t="s">
        <v>10723</v>
      </c>
      <c r="B10723" s="2" t="str">
        <f>IFERROR(__xludf.DUMMYFUNCTION("GOOGLETRANSLATE(A10723, ""en"", ""mt"")"),"Meta jsir il-festival ta 'nofs is-sajf?")</f>
        <v>Meta jsir il-festival ta 'nofs is-sajf?</v>
      </c>
    </row>
    <row r="10724" ht="15.75" customHeight="1">
      <c r="A10724" s="2" t="s">
        <v>10724</v>
      </c>
      <c r="B10724" s="2" t="str">
        <f>IFERROR(__xludf.DUMMYFUNCTION("GOOGLETRANSLATE(A10724, ""en"", ""mt"")"),"F'liema tul ta 'mewġa jagħmlu l-quċċata tal-meded spettrofotometriċi?")</f>
        <v>F'liema tul ta 'mewġa jagħmlu l-quċċata tal-meded spettrofotometriċi?</v>
      </c>
    </row>
    <row r="10725" ht="15.75" customHeight="1">
      <c r="A10725" s="2" t="s">
        <v>10725</v>
      </c>
      <c r="B10725" s="2" t="str">
        <f>IFERROR(__xludf.DUMMYFUNCTION("GOOGLETRANSLATE(A10725, ""en"", ""mt"")"),"tyrosinase")</f>
        <v>tyrosinase</v>
      </c>
    </row>
    <row r="10726" ht="15.75" customHeight="1">
      <c r="A10726" s="2" t="s">
        <v>10726</v>
      </c>
      <c r="B10726" s="2" t="str">
        <f>IFERROR(__xludf.DUMMYFUNCTION("GOOGLETRANSLATE(A10726, ""en"", ""mt"")"),"Liema għodda jużaw l-istratigraphers biex jaraw id-dejta tagħhom fi tliet dimensjonijiet?")</f>
        <v>Liema għodda jużaw l-istratigraphers biex jaraw id-dejta tagħhom fi tliet dimensjonijiet?</v>
      </c>
    </row>
    <row r="10727" ht="15.75" customHeight="1">
      <c r="A10727" s="2" t="s">
        <v>10727</v>
      </c>
      <c r="B10727" s="2" t="str">
        <f>IFERROR(__xludf.DUMMYFUNCTION("GOOGLETRANSLATE(A10727, ""en"", ""mt"")"),"3.5 biljun sena ilu")</f>
        <v>3.5 biljun sena ilu</v>
      </c>
    </row>
    <row r="10728" ht="15.75" customHeight="1">
      <c r="A10728" s="2" t="s">
        <v>10728</v>
      </c>
      <c r="B10728" s="2" t="str">
        <f>IFERROR(__xludf.DUMMYFUNCTION("GOOGLETRANSLATE(A10728, ""en"", ""mt"")"),"X'kienet il-popolazzjoni ta 'l-Istati Uniti fl-2010?")</f>
        <v>X'kienet il-popolazzjoni ta 'l-Istati Uniti fl-2010?</v>
      </c>
    </row>
    <row r="10729" ht="15.75" customHeight="1">
      <c r="A10729" s="2" t="s">
        <v>10729</v>
      </c>
      <c r="B10729" s="2" t="str">
        <f>IFERROR(__xludf.DUMMYFUNCTION("GOOGLETRANSLATE(A10729, ""en"", ""mt"")"),"Meta twaqqfet id-Dukat tan-Normandija?")</f>
        <v>Meta twaqqfet id-Dukat tan-Normandija?</v>
      </c>
    </row>
    <row r="10730" ht="15.75" customHeight="1">
      <c r="A10730" s="2" t="s">
        <v>10730</v>
      </c>
      <c r="B10730" s="2" t="str">
        <f>IFERROR(__xludf.DUMMYFUNCTION("GOOGLETRANSLATE(A10730, ""en"", ""mt"")"),"Harvard għandu diversi faċilitajiet atletiċi, bħall-Padiljun Lavietes, arena b'diversi skopijiet u dar għat-timijiet tal-basketball ta 'Harvard. Iċ-Ċentru Atletiku ta 'Malkin, magħruf bħala ""Mac"", iservi kemm bħala l-faċilità ta' rikreazzjoni primarja t"&amp;"al-università kif ukoll bħala post bis-satellita għal diversi sports ta 'varsity. Il-bini b'ħames sulari jinkludi żewġ kmamar kardjo, pixxina ta 'daqs Olimpiku, ġabra iżgħar għall-akwaerobika u attivitajiet oħra, mezzanin, fejn huma miżmuma t-tipi kollha "&amp;"ta' klassijiet, studju ta 'ċikliżmu fuq ġewwa, tliet kmamar tal-piż, u tlieta Qorti tal-ġinnasju tal-qorti biex tilgħab il-baskitbol. Il-Mac joffri trejners personali u klassijiet ta 'speċjalità. Huwa d-dar ta 'Harvard Volleyball, Fencing u Wrestling. L-u"&amp;"ffiċċji ta 'bosta mill-kowċis tal-varsity tal-iskola huma wkoll fil-Mac.")</f>
        <v>Harvard għandu diversi faċilitajiet atletiċi, bħall-Padiljun Lavietes, arena b'diversi skopijiet u dar għat-timijiet tal-basketball ta 'Harvard. Iċ-Ċentru Atletiku ta 'Malkin, magħruf bħala "Mac", iservi kemm bħala l-faċilità ta' rikreazzjoni primarja tal-università kif ukoll bħala post bis-satellita għal diversi sports ta 'varsity. Il-bini b'ħames sulari jinkludi żewġ kmamar kardjo, pixxina ta 'daqs Olimpiku, ġabra iżgħar għall-akwaerobika u attivitajiet oħra, mezzanin, fejn huma miżmuma t-tipi kollha ta' klassijiet, studju ta 'ċikliżmu fuq ġewwa, tliet kmamar tal-piż, u tlieta Qorti tal-ġinnasju tal-qorti biex tilgħab il-baskitbol. Il-Mac joffri trejners personali u klassijiet ta 'speċjalità. Huwa d-dar ta 'Harvard Volleyball, Fencing u Wrestling. L-uffiċċji ta 'bosta mill-kowċis tal-varsity tal-iskola huma wkoll fil-Mac.</v>
      </c>
    </row>
    <row r="10731" ht="15.75" customHeight="1">
      <c r="A10731" s="2" t="s">
        <v>10731</v>
      </c>
      <c r="B10731" s="2" t="str">
        <f>IFERROR(__xludf.DUMMYFUNCTION("GOOGLETRANSLATE(A10731, ""en"", ""mt"")"),"Fejn huma l-biċċa l-kbira tal-fabbriki kkonċentrati tul ir-Renu?")</f>
        <v>Fejn huma l-biċċa l-kbira tal-fabbriki kkonċentrati tul ir-Renu?</v>
      </c>
    </row>
    <row r="10732" ht="15.75" customHeight="1">
      <c r="A10732" s="2" t="s">
        <v>10732</v>
      </c>
      <c r="B10732" s="2" t="str">
        <f>IFERROR(__xludf.DUMMYFUNCTION("GOOGLETRANSLATE(A10732, ""en"", ""mt"")"),"Mejju")</f>
        <v>Mejju</v>
      </c>
    </row>
    <row r="10733" ht="15.75" customHeight="1">
      <c r="A10733" s="2" t="s">
        <v>10733</v>
      </c>
      <c r="B10733" s="2" t="str">
        <f>IFERROR(__xludf.DUMMYFUNCTION("GOOGLETRANSLATE(A10733, ""en"", ""mt"")"),"Afrikans")</f>
        <v>Afrikans</v>
      </c>
    </row>
    <row r="10734" ht="15.75" customHeight="1">
      <c r="A10734" s="2" t="s">
        <v>10734</v>
      </c>
      <c r="B10734" s="2" t="str">
        <f>IFERROR(__xludf.DUMMYFUNCTION("GOOGLETRANSLATE(A10734, ""en"", ""mt"")"),"Imperjalizmu")</f>
        <v>Imperjalizmu</v>
      </c>
    </row>
    <row r="10735" ht="15.75" customHeight="1">
      <c r="A10735" s="2" t="s">
        <v>10735</v>
      </c>
      <c r="B10735" s="2" t="str">
        <f>IFERROR(__xludf.DUMMYFUNCTION("GOOGLETRANSLATE(A10735, ""en"", ""mt"")"),"Min ħassar il-pjanijiet ta 'Alexius Komnenos għal stat indipendenti?")</f>
        <v>Min ħassar il-pjanijiet ta 'Alexius Komnenos għal stat indipendenti?</v>
      </c>
    </row>
    <row r="10736" ht="15.75" customHeight="1">
      <c r="A10736" s="2" t="s">
        <v>10736</v>
      </c>
      <c r="B10736" s="2" t="str">
        <f>IFERROR(__xludf.DUMMYFUNCTION("GOOGLETRANSLATE(A10736, ""en"", ""mt"")"),"Liema azzjonijiet famużi tal-Indjani kienu meqjusa bħala diżubbidjenza ċivili?")</f>
        <v>Liema azzjonijiet famużi tal-Indjani kienu meqjusa bħala diżubbidjenza ċivili?</v>
      </c>
    </row>
    <row r="10737" ht="15.75" customHeight="1">
      <c r="A10737" s="2" t="s">
        <v>10737</v>
      </c>
      <c r="B10737" s="2" t="str">
        <f>IFERROR(__xludf.DUMMYFUNCTION("GOOGLETRANSLATE(A10737, ""en"", ""mt"")"),"X'inhi xrar jew sħana għall-progress ta 'nar?")</f>
        <v>X'inhi xrar jew sħana għall-progress ta 'nar?</v>
      </c>
    </row>
    <row r="10738" ht="15.75" customHeight="1">
      <c r="A10738" s="2" t="s">
        <v>10738</v>
      </c>
      <c r="B10738" s="2" t="str">
        <f>IFERROR(__xludf.DUMMYFUNCTION("GOOGLETRANSLATE(A10738, ""en"", ""mt"")"),"akbar minn $ 2 miljun")</f>
        <v>akbar minn $ 2 miljun</v>
      </c>
    </row>
    <row r="10739" ht="15.75" customHeight="1">
      <c r="A10739" s="2" t="s">
        <v>10739</v>
      </c>
      <c r="B10739" s="2" t="str">
        <f>IFERROR(__xludf.DUMMYFUNCTION("GOOGLETRANSLATE(A10739, ""en"", ""mt"")"),"L-Islam Konservattiv jikklassifika dawk li mhumiex Musulmani li jsegwu l-interpretazzjoni Shia?")</f>
        <v>L-Islam Konservattiv jikklassifika dawk li mhumiex Musulmani li jsegwu l-interpretazzjoni Shia?</v>
      </c>
    </row>
    <row r="10740" ht="15.75" customHeight="1">
      <c r="A10740" s="2" t="s">
        <v>10740</v>
      </c>
      <c r="B10740" s="2" t="str">
        <f>IFERROR(__xludf.DUMMYFUNCTION("GOOGLETRANSLATE(A10740, ""en"", ""mt"")"),"Preskrizzjonijiet tal-pazjenti u kwistjonijiet ta 'sigurtà tal-pazjent")</f>
        <v>Preskrizzjonijiet tal-pazjenti u kwistjonijiet ta 'sigurtà tal-pazjent</v>
      </c>
    </row>
    <row r="10741" ht="15.75" customHeight="1">
      <c r="A10741" s="2" t="s">
        <v>10741</v>
      </c>
      <c r="B10741" s="2" t="str">
        <f>IFERROR(__xludf.DUMMYFUNCTION("GOOGLETRANSLATE(A10741, ""en"", ""mt"")"),"toroq, pontijiet u pjazi kbar")</f>
        <v>toroq, pontijiet u pjazi kbar</v>
      </c>
    </row>
    <row r="10742" ht="15.75" customHeight="1">
      <c r="A10742" s="2" t="s">
        <v>10742</v>
      </c>
      <c r="B10742" s="2" t="str">
        <f>IFERROR(__xludf.DUMMYFUNCTION("GOOGLETRANSLATE(A10742, ""en"", ""mt"")"),"rari u mixtieq")</f>
        <v>rari u mixtieq</v>
      </c>
    </row>
    <row r="10743" ht="15.75" customHeight="1">
      <c r="A10743" s="2" t="s">
        <v>10743</v>
      </c>
      <c r="B10743" s="2" t="str">
        <f>IFERROR(__xludf.DUMMYFUNCTION("GOOGLETRANSLATE(A10743, ""en"", ""mt"")"),"F'liema sena rċevew Hatmanis u Stearn fil-kumplessità tal-komputazzjoni?")</f>
        <v>F'liema sena rċevew Hatmanis u Stearn fil-kumplessità tal-komputazzjoni?</v>
      </c>
    </row>
    <row r="10744" ht="15.75" customHeight="1">
      <c r="A10744" s="2" t="s">
        <v>10744</v>
      </c>
      <c r="B10744" s="2" t="str">
        <f>IFERROR(__xludf.DUMMYFUNCTION("GOOGLETRANSLATE(A10744, ""en"", ""mt"")"),"Harvard_Università")</f>
        <v>Harvard_Università</v>
      </c>
    </row>
    <row r="10745" ht="15.75" customHeight="1">
      <c r="A10745" s="2" t="s">
        <v>10745</v>
      </c>
      <c r="B10745" s="2" t="str">
        <f>IFERROR(__xludf.DUMMYFUNCTION("GOOGLETRANSLATE(A10745, ""en"", ""mt"")"),"Kif jissejjaħ il-grupp li ma jaqbilx mal-gvern?")</f>
        <v>Kif jissejjaħ il-grupp li ma jaqbilx mal-gvern?</v>
      </c>
    </row>
    <row r="10746" ht="15.75" customHeight="1">
      <c r="A10746" s="2" t="s">
        <v>10746</v>
      </c>
      <c r="B10746" s="2" t="str">
        <f>IFERROR(__xludf.DUMMYFUNCTION("GOOGLETRANSLATE(A10746, ""en"", ""mt"")"),"L-Iżlamiżmu, magħruf ukoll bħala l-Islam politiku (Għarbi: إسلام سياسي Islām Siyāsī), huwa moviment tal-qawmien mill-ġdid Iżlamiku li spiss ikun ikkaratterizzat minn konservattiviżmu morali, litteraliżmu, u l-attentat ""biex jimplimenta valuri Iżlamiċi fl"&amp;"-isferi kollha tal-ħajja."" L-Iżlamiżmu jiffavorixxi l-ordni mill-ġdid tal-gvern u tas-soċjetà skont ix-Shari'a. Il-movimenti Iżlamisti differenti ġew deskritti bħala ""li joxxillaw bejn żewġ poli"": f'tarf wieħed hija strateġija ta 'l-Iżlamizzazzjoni tas"&amp;"-Soċjetà permezz ta' poter tal-istat maqbud minn rivoluzzjoni jew invażjoni; Fl-arblu l-ieħor ""riformist"" l-Iżlamisti jaħdmu biex is-soċjetà Iżlamizza gradwalment ""minn isfel għal fuq"". Il-movimenti ""bla dubju biddlu l-Lvant Nofsani aktar minn kwalun"&amp;"kwe xejra minn meta l-istati moderni kisbu l-indipendenza"", jiddefinixxu mill-ġdid ""politika u anke fruntieri"" skond ġurnalist wieħed (Robin Wright).")</f>
        <v>L-Iżlamiżmu, magħruf ukoll bħala l-Islam politiku (Għarbi: إسلام سياسي Islām Siyāsī), huwa moviment tal-qawmien mill-ġdid Iżlamiku li spiss ikun ikkaratterizzat minn konservattiviżmu morali, litteraliżmu, u l-attentat "biex jimplimenta valuri Iżlamiċi fl-isferi kollha tal-ħajja." L-Iżlamiżmu jiffavorixxi l-ordni mill-ġdid tal-gvern u tas-soċjetà skont ix-Shari'a. Il-movimenti Iżlamisti differenti ġew deskritti bħala "li joxxillaw bejn żewġ poli": f'tarf wieħed hija strateġija ta 'l-Iżlamizzazzjoni tas-Soċjetà permezz ta' poter tal-istat maqbud minn rivoluzzjoni jew invażjoni; Fl-arblu l-ieħor "riformist" l-Iżlamisti jaħdmu biex is-soċjetà Iżlamizza gradwalment "minn isfel għal fuq". Il-movimenti "bla dubju biddlu l-Lvant Nofsani aktar minn kwalunkwe xejra minn meta l-istati moderni kisbu l-indipendenza", jiddefinixxu mill-ġdid "politika u anke fruntieri" skond ġurnalist wieħed (Robin Wright).</v>
      </c>
    </row>
    <row r="10747" ht="15.75" customHeight="1">
      <c r="A10747" s="2" t="s">
        <v>10747</v>
      </c>
      <c r="B10747" s="2" t="str">
        <f>IFERROR(__xludf.DUMMYFUNCTION("GOOGLETRANSLATE(A10747, ""en"", ""mt"")"),"Italo-Norman jismu Raoul")</f>
        <v>Italo-Norman jismu Raoul</v>
      </c>
    </row>
    <row r="10748" ht="15.75" customHeight="1">
      <c r="A10748" s="2" t="s">
        <v>10748</v>
      </c>
      <c r="B10748" s="2" t="str">
        <f>IFERROR(__xludf.DUMMYFUNCTION("GOOGLETRANSLATE(A10748, ""en"", ""mt"")"),"X'inhu intarsjat bid-deheb imqabbad mix-xmajjar Franċiżi?")</f>
        <v>X'inhu intarsjat bid-deheb imqabbad mix-xmajjar Franċiżi?</v>
      </c>
    </row>
    <row r="10749" ht="15.75" customHeight="1">
      <c r="A10749" s="2" t="s">
        <v>10749</v>
      </c>
      <c r="B10749" s="2" t="str">
        <f>IFERROR(__xludf.DUMMYFUNCTION("GOOGLETRANSLATE(A10749, ""en"", ""mt"")"),"X'inhi t-temperatura fil-wied tal-firxa tal-muntanji fix-xitwa?")</f>
        <v>X'inhi t-temperatura fil-wied tal-firxa tal-muntanji fix-xitwa?</v>
      </c>
    </row>
    <row r="10750" ht="15.75" customHeight="1">
      <c r="A10750" s="2" t="s">
        <v>10750</v>
      </c>
      <c r="B10750" s="2" t="str">
        <f>IFERROR(__xludf.DUMMYFUNCTION("GOOGLETRANSLATE(A10750, ""en"", ""mt"")"),"ir-raba 'sessjoni")</f>
        <v>ir-raba 'sessjoni</v>
      </c>
    </row>
    <row r="10751" ht="15.75" customHeight="1">
      <c r="A10751" s="2" t="s">
        <v>10751</v>
      </c>
      <c r="B10751" s="2" t="str">
        <f>IFERROR(__xludf.DUMMYFUNCTION("GOOGLETRANSLATE(A10751, ""en"", ""mt"")"),"L-ormoni rilaxxati waqt l-irqad jappoġġjaw l-interazzjoni taċ-ċelloli T u liema speċi?")</f>
        <v>L-ormoni rilaxxati waqt l-irqad jappoġġjaw l-interazzjoni taċ-ċelloli T u liema speċi?</v>
      </c>
    </row>
    <row r="10752" ht="15.75" customHeight="1">
      <c r="A10752" s="2" t="s">
        <v>10752</v>
      </c>
      <c r="B10752" s="2" t="str">
        <f>IFERROR(__xludf.DUMMYFUNCTION("GOOGLETRANSLATE(A10752, ""en"", ""mt"")"),"Minn kemm Kent-Brown naqqas l-investiment tiegħu f'Harvard?")</f>
        <v>Minn kemm Kent-Brown naqqas l-investiment tiegħu f'Harvard?</v>
      </c>
    </row>
    <row r="10753" ht="15.75" customHeight="1">
      <c r="A10753" s="2" t="s">
        <v>10753</v>
      </c>
      <c r="B10753" s="2" t="str">
        <f>IFERROR(__xludf.DUMMYFUNCTION("GOOGLETRANSLATE(A10753, ""en"", ""mt"")"),"Fejn kien id-daqs medju tad-dar kien 3.21")</f>
        <v>Fejn kien id-daqs medju tad-dar kien 3.21</v>
      </c>
    </row>
    <row r="10754" ht="15.75" customHeight="1">
      <c r="A10754" s="2" t="s">
        <v>10754</v>
      </c>
      <c r="B10754" s="2" t="str">
        <f>IFERROR(__xludf.DUMMYFUNCTION("GOOGLETRANSLATE(A10754, ""en"", ""mt"")"),"Il-ħtieġa għall-ekonomiji kapitalisti biex jespandu kontinwament l-investiment, ir-riżorsi materjali u l-ħaddiema b'tali mod li kien jeħtieġ espansjoni kolonjali.")</f>
        <v>Il-ħtieġa għall-ekonomiji kapitalisti biex jespandu kontinwament l-investiment, ir-riżorsi materjali u l-ħaddiema b'tali mod li kien jeħtieġ espansjoni kolonjali.</v>
      </c>
    </row>
    <row r="10755" ht="15.75" customHeight="1">
      <c r="A10755" s="2" t="s">
        <v>10755</v>
      </c>
      <c r="B10755" s="2" t="str">
        <f>IFERROR(__xludf.DUMMYFUNCTION("GOOGLETRANSLATE(A10755, ""en"", ""mt"")"),"X'inhu l-livell tal-baħar tal-Kanal Ingliż?")</f>
        <v>X'inhu l-livell tal-baħar tal-Kanal Ingliż?</v>
      </c>
    </row>
    <row r="10756" ht="15.75" customHeight="1">
      <c r="A10756" s="2" t="s">
        <v>10756</v>
      </c>
      <c r="B10756" s="2" t="str">
        <f>IFERROR(__xludf.DUMMYFUNCTION("GOOGLETRANSLATE(A10756, ""en"", ""mt"")")," Min ma kkawżax ix-xoljiment tal-Imperu Ruman Imqaddes?")</f>
        <v> Min ma kkawżax ix-xoljiment tal-Imperu Ruman Imqaddes?</v>
      </c>
    </row>
    <row r="10757" ht="15.75" customHeight="1">
      <c r="A10757" s="2" t="s">
        <v>10757</v>
      </c>
      <c r="B10757" s="2" t="str">
        <f>IFERROR(__xludf.DUMMYFUNCTION("GOOGLETRANSLATE(A10757, ""en"", ""mt"")"),"Töregene Khatun")</f>
        <v>Töregene Khatun</v>
      </c>
    </row>
    <row r="10758" ht="15.75" customHeight="1">
      <c r="A10758" s="2" t="s">
        <v>10758</v>
      </c>
      <c r="B10758" s="2" t="str">
        <f>IFERROR(__xludf.DUMMYFUNCTION("GOOGLETRANSLATE(A10758, ""en"", ""mt"")"),"L-Afganistan Musulman Mujahideen")</f>
        <v>L-Afganistan Musulman Mujahideen</v>
      </c>
    </row>
    <row r="10759" ht="15.75" customHeight="1">
      <c r="A10759" s="2" t="s">
        <v>10759</v>
      </c>
      <c r="B10759" s="2" t="str">
        <f>IFERROR(__xludf.DUMMYFUNCTION("GOOGLETRANSLATE(A10759, ""en"", ""mt"")"),"Kemm residenti ġew irreġistrati fiċ-ċensiment tal-2010 ta 'Jacksonville?")</f>
        <v>Kemm residenti ġew irreġistrati fiċ-ċensiment tal-2010 ta 'Jacksonville?</v>
      </c>
    </row>
    <row r="10760" ht="15.75" customHeight="1">
      <c r="A10760" s="2" t="s">
        <v>10760</v>
      </c>
      <c r="B10760" s="2" t="str">
        <f>IFERROR(__xludf.DUMMYFUNCTION("GOOGLETRANSLATE(A10760, ""en"", ""mt"")"),"Kemm hemm teknoloġiji tan-netwerk differenti fejn hemm qabel l-1973?")</f>
        <v>Kemm hemm teknoloġiji tan-netwerk differenti fejn hemm qabel l-1973?</v>
      </c>
    </row>
    <row r="10761" ht="15.75" customHeight="1">
      <c r="A10761" s="2" t="s">
        <v>10761</v>
      </c>
      <c r="B10761" s="2" t="str">
        <f>IFERROR(__xludf.DUMMYFUNCTION("GOOGLETRANSLATE(A10761, ""en"", ""mt"")"),"Proċessi ta 'kogenerazzjoni")</f>
        <v>Proċessi ta 'kogenerazzjoni</v>
      </c>
    </row>
    <row r="10762" ht="15.75" customHeight="1">
      <c r="A10762" s="2" t="s">
        <v>10762</v>
      </c>
      <c r="B10762" s="2" t="str">
        <f>IFERROR(__xludf.DUMMYFUNCTION("GOOGLETRANSLATE(A10762, ""en"", ""mt"")")," Xi jfisser Yeke Mongghul Ulus?")</f>
        <v> Xi jfisser Yeke Mongghul Ulus?</v>
      </c>
    </row>
    <row r="10763" ht="15.75" customHeight="1">
      <c r="A10763" s="2" t="s">
        <v>10763</v>
      </c>
      <c r="B10763" s="2" t="str">
        <f>IFERROR(__xludf.DUMMYFUNCTION("GOOGLETRANSLATE(A10763, ""en"", ""mt"")"),"Xi jfisser 'Pal Monqolica'?")</f>
        <v>Xi jfisser 'Pal Monqolica'?</v>
      </c>
    </row>
    <row r="10764" ht="15.75" customHeight="1">
      <c r="A10764" s="2" t="s">
        <v>10764</v>
      </c>
      <c r="B10764" s="2" t="str">
        <f>IFERROR(__xludf.DUMMYFUNCTION("GOOGLETRANSLATE(A10764, ""en"", ""mt"")"),"Xi jfisser il-biċċa l-kbira tal-materjal HD bħala standard?")</f>
        <v>Xi jfisser il-biċċa l-kbira tal-materjal HD bħala standard?</v>
      </c>
    </row>
    <row r="10765" ht="15.75" customHeight="1">
      <c r="A10765" s="2" t="s">
        <v>10765</v>
      </c>
      <c r="B10765" s="2" t="str">
        <f>IFERROR(__xludf.DUMMYFUNCTION("GOOGLETRANSLATE(A10765, ""en"", ""mt"")"),"Fid-deċennji li ġejjin, l-ispiżjara huma mistennija jsiru aktar integrali fis-sistema tal-kura tas-saħħa. Minflok sempliċement iqassam il-medikazzjoni, l-ispiżjara huma dejjem aktar mistennija li jkunu kkumpensati għall-ħiliet tal-kura tal-pazjent tagħhom"&amp;". B'mod partikolari, il-ġestjoni tat-terapija ta 'medikazzjoni (MTM) tinkludi s-servizzi kliniċi li l-ispiżjara jistgħu jipprovdu għall-pazjenti tagħhom. Servizzi bħal dawn jinkludu l-analiżi bir-reqqa tal-medikazzjoni kollha (preskrizzjoni, nuqqas ta 'pr"&amp;"eskrizzjoni, u herbals) li bħalissa qed jittieħdu minn individwu. Ir-riżultat huwa rikonċiljazzjoni tal-medikazzjoni u l-edukazzjoni tal-pazjent li tirriżulta f'żieda fir-riżultati tas-saħħa tal-pazjent u tnaqqis fl-ispejjeż għas-sistema tal-kura tas-saħħ"&amp;"a.")</f>
        <v>Fid-deċennji li ġejjin, l-ispiżjara huma mistennija jsiru aktar integrali fis-sistema tal-kura tas-saħħa. Minflok sempliċement iqassam il-medikazzjoni, l-ispiżjara huma dejjem aktar mistennija li jkunu kkumpensati għall-ħiliet tal-kura tal-pazjent tagħhom. B'mod partikolari, il-ġestjoni tat-terapija ta 'medikazzjoni (MTM) tinkludi s-servizzi kliniċi li l-ispiżjara jistgħu jipprovdu għall-pazjenti tagħhom. Servizzi bħal dawn jinkludu l-analiżi bir-reqqa tal-medikazzjoni kollha (preskrizzjoni, nuqqas ta 'preskrizzjoni, u herbals) li bħalissa qed jittieħdu minn individwu. Ir-riżultat huwa rikonċiljazzjoni tal-medikazzjoni u l-edukazzjoni tal-pazjent li tirriżulta f'żieda fir-riżultati tas-saħħa tal-pazjent u tnaqqis fl-ispejjeż għas-sistema tal-kura tas-saħħa.</v>
      </c>
    </row>
    <row r="10766" ht="15.75" customHeight="1">
      <c r="A10766" s="2" t="s">
        <v>10766</v>
      </c>
      <c r="B10766" s="2" t="str">
        <f>IFERROR(__xludf.DUMMYFUNCTION("GOOGLETRANSLATE(A10766, ""en"", ""mt"")"),"X'inhi l-iskrizzjoni ta 'dawk li għadhom ma ggradwawx f'Harvard?")</f>
        <v>X'inhi l-iskrizzjoni ta 'dawk li għadhom ma ggradwawx f'Harvard?</v>
      </c>
    </row>
    <row r="10767" ht="15.75" customHeight="1">
      <c r="A10767" s="2" t="s">
        <v>10767</v>
      </c>
      <c r="B10767" s="2" t="str">
        <f>IFERROR(__xludf.DUMMYFUNCTION("GOOGLETRANSLATE(A10767, ""en"", ""mt"")"),"X'inhu r-rekord għoli f'Jannar?")</f>
        <v>X'inhu r-rekord għoli f'Jannar?</v>
      </c>
    </row>
    <row r="10768" ht="15.75" customHeight="1">
      <c r="A10768" s="2" t="s">
        <v>10768</v>
      </c>
      <c r="B10768" s="2" t="str">
        <f>IFERROR(__xludf.DUMMYFUNCTION("GOOGLETRANSLATE(A10768, ""en"", ""mt"")"),"Professjonist tal-Kura tas-Saħħa")</f>
        <v>Professjonist tal-Kura tas-Saħħa</v>
      </c>
    </row>
    <row r="10769" ht="15.75" customHeight="1">
      <c r="A10769" s="2" t="s">
        <v>10769</v>
      </c>
      <c r="B10769" s="2" t="str">
        <f>IFERROR(__xludf.DUMMYFUNCTION("GOOGLETRANSLATE(A10769, ""en"", ""mt"")"),"Ġerarkija xierqa")</f>
        <v>Ġerarkija xierqa</v>
      </c>
    </row>
    <row r="10770" ht="15.75" customHeight="1">
      <c r="A10770" s="2" t="s">
        <v>10770</v>
      </c>
      <c r="B10770" s="2" t="str">
        <f>IFERROR(__xludf.DUMMYFUNCTION("GOOGLETRANSLATE(A10770, ""en"", ""mt"")"),"Il-Kummissjoni Ewropea")</f>
        <v>Il-Kummissjoni Ewropea</v>
      </c>
    </row>
    <row r="10771" ht="15.75" customHeight="1">
      <c r="A10771" s="2" t="s">
        <v>10771</v>
      </c>
      <c r="B10771" s="2" t="str">
        <f>IFERROR(__xludf.DUMMYFUNCTION("GOOGLETRANSLATE(A10771, ""en"", ""mt"")"),"Kemm kienet kbira l-udjenza li qalet li Bskyb tista 'tilħaq?")</f>
        <v>Kemm kienet kbira l-udjenza li qalet li Bskyb tista 'tilħaq?</v>
      </c>
    </row>
    <row r="10772" ht="15.75" customHeight="1">
      <c r="A10772" s="2" t="s">
        <v>10772</v>
      </c>
      <c r="B10772" s="2" t="str">
        <f>IFERROR(__xludf.DUMMYFUNCTION("GOOGLETRANSLATE(A10772, ""en"", ""mt"")"),"X'inhu sors ovvju għall-inġiniera tal-ispejjeż?")</f>
        <v>X'inhu sors ovvju għall-inġiniera tal-ispejjeż?</v>
      </c>
    </row>
    <row r="10773" ht="15.75" customHeight="1">
      <c r="A10773" s="2" t="s">
        <v>10773</v>
      </c>
      <c r="B10773" s="2" t="str">
        <f>IFERROR(__xludf.DUMMYFUNCTION("GOOGLETRANSLATE(A10773, ""en"", ""mt"")"),"kmieni fis-snin 1950")</f>
        <v>kmieni fis-snin 1950</v>
      </c>
    </row>
    <row r="10774" ht="15.75" customHeight="1">
      <c r="A10774" s="2" t="s">
        <v>10774</v>
      </c>
      <c r="B10774" s="2" t="str">
        <f>IFERROR(__xludf.DUMMYFUNCTION("GOOGLETRANSLATE(A10774, ""en"", ""mt"")"),"Battalja ta 'Hastings")</f>
        <v>Battalja ta 'Hastings</v>
      </c>
    </row>
    <row r="10775" ht="15.75" customHeight="1">
      <c r="A10775" s="2" t="s">
        <v>10775</v>
      </c>
      <c r="B10775" s="2" t="str">
        <f>IFERROR(__xludf.DUMMYFUNCTION("GOOGLETRANSLATE(A10775, ""en"", ""mt"")"),"Minħabba li l-liġi Olandiża qalet li nies biss stabbiliti fl-Olanda jistgħu jagħtu pariri legali")</f>
        <v>Minħabba li l-liġi Olandiża qalet li nies biss stabbiliti fl-Olanda jistgħu jagħtu pariri legali</v>
      </c>
    </row>
    <row r="10776" ht="15.75" customHeight="1">
      <c r="A10776" s="2" t="s">
        <v>10776</v>
      </c>
      <c r="B10776" s="2" t="str">
        <f>IFERROR(__xludf.DUMMYFUNCTION("GOOGLETRANSLATE(A10776, ""en"", ""mt"")"),"X'inhu eżempju ta 'dak li huwa analizzat mill-kompjuters fil-laboratorju?")</f>
        <v>X'inhu eżempju ta 'dak li huwa analizzat mill-kompjuters fil-laboratorju?</v>
      </c>
    </row>
    <row r="10777" ht="15.75" customHeight="1">
      <c r="A10777" s="2" t="s">
        <v>10777</v>
      </c>
      <c r="B10777" s="2" t="str">
        <f>IFERROR(__xludf.DUMMYFUNCTION("GOOGLETRANSLATE(A10777, ""en"", ""mt"")"),"F'każ ta 'pressjoni tal-kabina, x'inhu disponibbli għall-passiġġieri?")</f>
        <v>F'każ ta 'pressjoni tal-kabina, x'inhu disponibbli għall-passiġġieri?</v>
      </c>
    </row>
    <row r="10778" ht="15.75" customHeight="1">
      <c r="A10778" s="2" t="s">
        <v>10778</v>
      </c>
      <c r="B10778" s="2" t="str">
        <f>IFERROR(__xludf.DUMMYFUNCTION("GOOGLETRANSLATE(A10778, ""en"", ""mt"")"),"It-trattati japplikaw malli jidħlu fis-seħħ, sakemm ma jingħadx mod ieħor, u ġeneralment jiġu konklużi għal perjodu illimitat")</f>
        <v>It-trattati japplikaw malli jidħlu fis-seħħ, sakemm ma jingħadx mod ieħor, u ġeneralment jiġu konklużi għal perjodu illimitat</v>
      </c>
    </row>
    <row r="10779" ht="15.75" customHeight="1">
      <c r="A10779" s="2" t="s">
        <v>10779</v>
      </c>
      <c r="B10779" s="2" t="str">
        <f>IFERROR(__xludf.DUMMYFUNCTION("GOOGLETRANSLATE(A10779, ""en"", ""mt"")"),"splussivi")</f>
        <v>splussivi</v>
      </c>
    </row>
    <row r="10780" ht="15.75" customHeight="1">
      <c r="A10780" s="2" t="s">
        <v>10780</v>
      </c>
      <c r="B10780" s="2" t="str">
        <f>IFERROR(__xludf.DUMMYFUNCTION("GOOGLETRANSLATE(A10780, ""en"", ""mt"")"),"Problemi ta 'deċiżjoni li kapaċi jiġu solvuti permezz ta' magna tat-Turing deterministika filwaqt li żżomm l-aderenza ma 'ħin polinomjali jappartjenu għal liema klassi?")</f>
        <v>Problemi ta 'deċiżjoni li kapaċi jiġu solvuti permezz ta' magna tat-Turing deterministika filwaqt li żżomm l-aderenza ma 'ħin polinomjali jappartjenu għal liema klassi?</v>
      </c>
    </row>
    <row r="10781" ht="15.75" customHeight="1">
      <c r="A10781" s="2" t="s">
        <v>10781</v>
      </c>
      <c r="B10781" s="2" t="str">
        <f>IFERROR(__xludf.DUMMYFUNCTION("GOOGLETRANSLATE(A10781, ""en"", ""mt"")"),"Matul liema etajiet inbnew il-Ġermaniku tal-Ġir?")</f>
        <v>Matul liema etajiet inbnew il-Ġermaniku tal-Ġir?</v>
      </c>
    </row>
    <row r="10782" ht="15.75" customHeight="1">
      <c r="A10782" s="2" t="s">
        <v>10782</v>
      </c>
      <c r="B10782" s="2" t="str">
        <f>IFERROR(__xludf.DUMMYFUNCTION("GOOGLETRANSLATE(A10782, ""en"", ""mt"")"),"Il-magni tal-fwar ibbażati fuq l-art jistgħu jeżawrixxu ħafna mill-fwar tagħhom, peress li l-ilma tal-għalf ġeneralment kien disponibbli faċilment. Qabel u matul l-Ewwel Gwerra Dinjija, il-magna ta 'espansjoni ddominat applikazzjonijiet tal-baħar fejn il-"&amp;"veloċità għolja tal-bastiment ma kinitx essenzjali. Madankollu ġie sostitwit mit-turbina tal-fwar tal-invenzjoni Ingliża fejn kienet meħtieġa l-veloċità, pereżempju f'bastimenti tal-gwerra, bħalma huma l-vapuri tal-vapuri Dreadnought, u l-inforor tal-oċea"&amp;"ni. HMS Dreadnought tal-1905 kien l-ewwel bastiment tal-gwerra maġġuri li ħa post it-teknoloġija ppruvata tal-magna reċiprokanti bit-turbina tal-fwar ta 'dak iż-żmien. [Ċitazzjoni meħtieġa]")</f>
        <v>Il-magni tal-fwar ibbażati fuq l-art jistgħu jeżawrixxu ħafna mill-fwar tagħhom, peress li l-ilma tal-għalf ġeneralment kien disponibbli faċilment. Qabel u matul l-Ewwel Gwerra Dinjija, il-magna ta 'espansjoni ddominat applikazzjonijiet tal-baħar fejn il-veloċità għolja tal-bastiment ma kinitx essenzjali. Madankollu ġie sostitwit mit-turbina tal-fwar tal-invenzjoni Ingliża fejn kienet meħtieġa l-veloċità, pereżempju f'bastimenti tal-gwerra, bħalma huma l-vapuri tal-vapuri Dreadnought, u l-inforor tal-oċeani. HMS Dreadnought tal-1905 kien l-ewwel bastiment tal-gwerra maġġuri li ħa post it-teknoloġija ppruvata tal-magna reċiprokanti bit-turbina tal-fwar ta 'dak iż-żmien. [Ċitazzjoni meħtieġa]</v>
      </c>
    </row>
    <row r="10783" ht="15.75" customHeight="1">
      <c r="A10783" s="2" t="s">
        <v>10783</v>
      </c>
      <c r="B10783" s="2" t="str">
        <f>IFERROR(__xludf.DUMMYFUNCTION("GOOGLETRANSLATE(A10783, ""en"", ""mt"")"),"Liema netwerk ta 'komunikazzjonijiet ta' dejta internazzjonali kien kwartjieri ġenerali f'San Juan, CA?")</f>
        <v>Liema netwerk ta 'komunikazzjonijiet ta' dejta internazzjonali kien kwartjieri ġenerali f'San Juan, CA?</v>
      </c>
    </row>
    <row r="10784" ht="15.75" customHeight="1">
      <c r="A10784" s="2" t="s">
        <v>10784</v>
      </c>
      <c r="B10784" s="2" t="str">
        <f>IFERROR(__xludf.DUMMYFUNCTION("GOOGLETRANSLATE(A10784, ""en"", ""mt"")"),"membru privat")</f>
        <v>membru privat</v>
      </c>
    </row>
    <row r="10785" ht="15.75" customHeight="1">
      <c r="A10785" s="2" t="s">
        <v>10785</v>
      </c>
      <c r="B10785" s="2" t="str">
        <f>IFERROR(__xludf.DUMMYFUNCTION("GOOGLETRANSLATE(A10785, ""en"", ""mt"")"),"Fuq liema naħa tat-triq se jkunu fuq il-biċċiet tal-arti?")</f>
        <v>Fuq liema naħa tat-triq se jkunu fuq il-biċċiet tal-arti?</v>
      </c>
    </row>
    <row r="10786" ht="15.75" customHeight="1">
      <c r="A10786" s="2" t="s">
        <v>10786</v>
      </c>
      <c r="B10786" s="2" t="str">
        <f>IFERROR(__xludf.DUMMYFUNCTION("GOOGLETRANSLATE(A10786, ""en"", ""mt"")"),"Fl-2004, dokumenti deklassifikati żvelaw li l-Istati Uniti kienet tant distraught miż-żieda fil-prezzijiet taż-żejt u li ġiet ikkontestata minn pajjiżi mhux żviluppati li huma kkunsidraw fil-qosor azzjoni militari biex jaħtfu bil-forza l-kampijiet taż-żej"&amp;"t tal-Lvant Nofsani fl-aħħar tal-1973. Għalkemm ma ġie msemmi l-ebda pjan espliċitu, a Il-konversazzjoni bejn is-Segretarju tad-Difiża tal-Istati Uniti James Schlesinger u l-Ambaxxatur Brittaniku għall-Istati Uniti Lord Cromer żvelat li Schlesinger kien q"&amp;"allu li ""ma kienx għadu ovvju għalih li l-Istati Uniti ma setgħux jużaw il-forza."" Il-Prim Ministru Ingliż Edward Heath kien tant inkwetat minn din il-prospett li ordna stima tal-intelliġenza Ingliża tal-intenzjonijiet tal-Istati Uniti, li kkonkluda li "&amp;"l-Amerika ""tista 'tikkunsidra li ma setgħetx tittollera sitwazzjoni li fiha l-Istati Uniti u l-alleati tagħha kienu fil-ħniena ta' grupp żgħir ta ' Pajjiżi mhux raġonevoli, ""u li jippreferu operazzjoni rapida biex jaħtfu l-kampijiet taż-żejt fl-Arabja S"&amp;"awdija u l-Kuwajt, u possibbilment ġie deċiż Abu Dhabi fl-azzjoni militari. Għalkemm ir-rispons Sovjetiku għal att bħal dan x'aktarx ma jinvolvix forza, l-intelliġenza wissiet ""l-okkupazzjoni Amerikana teħtieġ li ddum 10 snin hekk kif il-Punent żviluppa "&amp;"sorsi ta 'enerġija alternattivi, u jirriżulta fl-"" aljenazzjoni totali ""tal-Għarab u ħafna mill- Bqija tat-Tielet Dinja. """)</f>
        <v>Fl-2004, dokumenti deklassifikati żvelaw li l-Istati Uniti kienet tant distraught miż-żieda fil-prezzijiet taż-żejt u li ġiet ikkontestata minn pajjiżi mhux żviluppati li huma kkunsidraw fil-qosor azzjoni militari biex jaħtfu bil-forza l-kampijiet taż-żejt tal-Lvant Nofsani fl-aħħar tal-1973. Għalkemm ma ġie msemmi l-ebda pjan espliċitu, a Il-konversazzjoni bejn is-Segretarju tad-Difiża tal-Istati Uniti James Schlesinger u l-Ambaxxatur Brittaniku għall-Istati Uniti Lord Cromer żvelat li Schlesinger kien qallu li "ma kienx għadu ovvju għalih li l-Istati Uniti ma setgħux jużaw il-forza." Il-Prim Ministru Ingliż Edward Heath kien tant inkwetat minn din il-prospett li ordna stima tal-intelliġenza Ingliża tal-intenzjonijiet tal-Istati Uniti, li kkonkluda li l-Amerika "tista 'tikkunsidra li ma setgħetx tittollera sitwazzjoni li fiha l-Istati Uniti u l-alleati tagħha kienu fil-ħniena ta' grupp żgħir ta ' Pajjiżi mhux raġonevoli, "u li jippreferu operazzjoni rapida biex jaħtfu l-kampijiet taż-żejt fl-Arabja Sawdija u l-Kuwajt, u possibbilment ġie deċiż Abu Dhabi fl-azzjoni militari. Għalkemm ir-rispons Sovjetiku għal att bħal dan x'aktarx ma jinvolvix forza, l-intelliġenza wissiet "l-okkupazzjoni Amerikana teħtieġ li ddum 10 snin hekk kif il-Punent żviluppa sorsi ta 'enerġija alternattivi, u jirriżulta fl-" aljenazzjoni totali "tal-Għarab u ħafna mill- Bqija tat-Tielet Dinja. "</v>
      </c>
    </row>
    <row r="10787" ht="15.75" customHeight="1">
      <c r="A10787" s="2" t="s">
        <v>10787</v>
      </c>
      <c r="B10787" s="2" t="str">
        <f>IFERROR(__xludf.DUMMYFUNCTION("GOOGLETRANSLATE(A10787, ""en"", ""mt"")"),"Reġjun tal-Muntanji Cévennes")</f>
        <v>Reġjun tal-Muntanji Cévennes</v>
      </c>
    </row>
    <row r="10788" ht="15.75" customHeight="1">
      <c r="A10788" s="2" t="s">
        <v>10788</v>
      </c>
      <c r="B10788" s="2" t="str">
        <f>IFERROR(__xludf.DUMMYFUNCTION("GOOGLETRANSLATE(A10788, ""en"", ""mt"")"),"X'inhu fattur ewlieni anke bi tnaqqis fl-ajruspazju?")</f>
        <v>X'inhu fattur ewlieni anke bi tnaqqis fl-ajruspazju?</v>
      </c>
    </row>
    <row r="10789" ht="15.75" customHeight="1">
      <c r="A10789" s="2" t="s">
        <v>10789</v>
      </c>
      <c r="B10789" s="2" t="str">
        <f>IFERROR(__xludf.DUMMYFUNCTION("GOOGLETRANSLATE(A10789, ""en"", ""mt"")"),"Varjazzjoni antiġenika")</f>
        <v>Varjazzjoni antiġenika</v>
      </c>
    </row>
    <row r="10790" ht="15.75" customHeight="1">
      <c r="A10790" s="2" t="s">
        <v>10790</v>
      </c>
      <c r="B10790" s="2" t="str">
        <f>IFERROR(__xludf.DUMMYFUNCTION("GOOGLETRANSLATE(A10790, ""en"", ""mt"")"),"Meta kien il-massakru tal-Jum San Bartolomew?")</f>
        <v>Meta kien il-massakru tal-Jum San Bartolomew?</v>
      </c>
    </row>
    <row r="10791" ht="15.75" customHeight="1">
      <c r="A10791" s="2" t="s">
        <v>10791</v>
      </c>
      <c r="B10791" s="2" t="str">
        <f>IFERROR(__xludf.DUMMYFUNCTION("GOOGLETRANSLATE(A10791, ""en"", ""mt"")"),"F'liema artikolu t-Trattat ta 'Lisbona jipprojbixxi ftehimiet anti-kompetittivi?")</f>
        <v>F'liema artikolu t-Trattat ta 'Lisbona jipprojbixxi ftehimiet anti-kompetittivi?</v>
      </c>
    </row>
    <row r="10792" ht="15.75" customHeight="1">
      <c r="A10792" s="2" t="s">
        <v>10792</v>
      </c>
      <c r="B10792" s="2" t="str">
        <f>IFERROR(__xludf.DUMMYFUNCTION("GOOGLETRANSLATE(A10792, ""en"", ""mt"")"),"Portugiż")</f>
        <v>Portugiż</v>
      </c>
    </row>
    <row r="10793" ht="15.75" customHeight="1">
      <c r="A10793" s="2" t="s">
        <v>10793</v>
      </c>
      <c r="B10793" s="2" t="str">
        <f>IFERROR(__xludf.DUMMYFUNCTION("GOOGLETRANSLATE(A10793, ""en"", ""mt"")"),"il-forza elettrostatika (minħabba l-kamp elettriku) u l-forza manjetika")</f>
        <v>il-forza elettrostatika (minħabba l-kamp elettriku) u l-forza manjetika</v>
      </c>
    </row>
    <row r="10794" ht="15.75" customHeight="1">
      <c r="A10794" s="2" t="s">
        <v>10794</v>
      </c>
      <c r="B10794" s="2" t="str">
        <f>IFERROR(__xludf.DUMMYFUNCTION("GOOGLETRANSLATE(A10794, ""en"", ""mt"")"),"X'inhi l-problema attribwita għad-definizzjoni jekk żewġ graffs finiti huma iżomorfi?")</f>
        <v>X'inhi l-problema attribwita għad-definizzjoni jekk żewġ graffs finiti huma iżomorfi?</v>
      </c>
    </row>
    <row r="10795" ht="15.75" customHeight="1">
      <c r="A10795" s="2" t="s">
        <v>10795</v>
      </c>
      <c r="B10795" s="2" t="str">
        <f>IFERROR(__xludf.DUMMYFUNCTION("GOOGLETRANSLATE(A10795, ""en"", ""mt"")"),"L-uffiċjal li jippresiedi (jew id-deputat uffiċjal li jippresiedi) jiddeċiedi min jitkellem fid-dibattiti tal-kamra u l-ammont ta 'ħin li għalih huma permessi jitkellmu. Normalment, l-uffiċjal li jippresiedi jipprova jikseb bilanċ bejn il-perspettivi diff"&amp;"erenti u l-partiti politiċi meta jagħżlu membri biex jitkellmu. Tipikament, il-ministri jew il-mexxejja tal-partiti jiftħu dibattiti, bil-kelliema tal-ftuħ mogħtija bejn 5 u 20 minuta, u kelliema suċċessivi allokaw inqas ħin. L-uffiċjal li jippresiedi jis"&amp;"ta 'jnaqqas il-ħin tat-taħdit jekk numru kbir ta' membri jixtiequ jipparteċipaw fid-dibattitu. Id-dibattitu huwa aktar informali milli f'xi sistemi parlamentari. Il-membri jistgħu jsejħu lil xulxin direttament bl-isem, aktar milli bil-kostitwenza jew il-p"&amp;"ożizzjoni tal-kabinett, u l-irkupru tal-idejn huwa permess. Diskorsi lill-Awla huma normalment imwassla bl-Ingliż, iżda l-membri jistgħu jużaw Skoċċiżi, Gaeliċi, jew kwalunkwe lingwa oħra bil-ftehim tal-uffiċjal li jippresiedi. Il-Parlament Skoċċiż mexxa "&amp;"dibattiti bil-lingwa Gaelika.")</f>
        <v>L-uffiċjal li jippresiedi (jew id-deputat uffiċjal li jippresiedi) jiddeċiedi min jitkellem fid-dibattiti tal-kamra u l-ammont ta 'ħin li għalih huma permessi jitkellmu. Normalment, l-uffiċjal li jippresiedi jipprova jikseb bilanċ bejn il-perspettivi differenti u l-partiti politiċi meta jagħżlu membri biex jitkellmu. Tipikament, il-ministri jew il-mexxejja tal-partiti jiftħu dibattiti, bil-kelliema tal-ftuħ mogħtija bejn 5 u 20 minuta, u kelliema suċċessivi allokaw inqas ħin. L-uffiċjal li jippresiedi jista 'jnaqqas il-ħin tat-taħdit jekk numru kbir ta' membri jixtiequ jipparteċipaw fid-dibattitu. Id-dibattitu huwa aktar informali milli f'xi sistemi parlamentari. Il-membri jistgħu jsejħu lil xulxin direttament bl-isem, aktar milli bil-kostitwenza jew il-pożizzjoni tal-kabinett, u l-irkupru tal-idejn huwa permess. Diskorsi lill-Awla huma normalment imwassla bl-Ingliż, iżda l-membri jistgħu jużaw Skoċċiżi, Gaeliċi, jew kwalunkwe lingwa oħra bil-ftehim tal-uffiċjal li jippresiedi. Il-Parlament Skoċċiż mexxa dibattiti bil-lingwa Gaelika.</v>
      </c>
    </row>
    <row r="10796" ht="15.75" customHeight="1">
      <c r="A10796" s="2" t="s">
        <v>10796</v>
      </c>
      <c r="B10796" s="2" t="str">
        <f>IFERROR(__xludf.DUMMYFUNCTION("GOOGLETRANSLATE(A10796, ""en"", ""mt"")"),"Liema knisja ta 'Huguenot bikrija ġiet stabbilita fl-Ingilterra?")</f>
        <v>Liema knisja ta 'Huguenot bikrija ġiet stabbilita fl-Ingilterra?</v>
      </c>
    </row>
    <row r="10797" ht="15.75" customHeight="1">
      <c r="A10797" s="2" t="s">
        <v>10797</v>
      </c>
      <c r="B10797" s="2" t="str">
        <f>IFERROR(__xludf.DUMMYFUNCTION("GOOGLETRANSLATE(A10797, ""en"", ""mt"")"),"Il-ftehimiet jinkludu miżati fissi ta 'ġarr annwali ta' £ 30m għall-kanali biż-żewġ fornituri tal-kanali li kapaċi jassiguraw ħlasijiet b'kappa addizzjonali jekk il-kanali tagħhom jissodisfaw ċerti miri relatati mal-prestazzjoni. Bħalissa m'hemm l-ebda in"&amp;"dikazzjoni dwar jekk il-ftehim il-ġdid jinkludi l-video addizzjonali fuq talba u kontenut ta 'definizzjoni għolja li qabel kien offrut minn BSKYB. Bħala parti mill-ftehim, kemm BSKYB kif ukoll Virgin Media qablu li jtemmu l-proċeduri kollha tal-Qorti Għol"&amp;"ja kontra xulxin relatati mat-trasport tal-kanali bażiċi rispettivi tagħhom.")</f>
        <v>Il-ftehimiet jinkludu miżati fissi ta 'ġarr annwali ta' £ 30m għall-kanali biż-żewġ fornituri tal-kanali li kapaċi jassiguraw ħlasijiet b'kappa addizzjonali jekk il-kanali tagħhom jissodisfaw ċerti miri relatati mal-prestazzjoni. Bħalissa m'hemm l-ebda indikazzjoni dwar jekk il-ftehim il-ġdid jinkludi l-video addizzjonali fuq talba u kontenut ta 'definizzjoni għolja li qabel kien offrut minn BSKYB. Bħala parti mill-ftehim, kemm BSKYB kif ukoll Virgin Media qablu li jtemmu l-proċeduri kollha tal-Qorti Għolja kontra xulxin relatati mat-trasport tal-kanali bażiċi rispettivi tagħhom.</v>
      </c>
    </row>
    <row r="10798" ht="15.75" customHeight="1">
      <c r="A10798" s="2" t="s">
        <v>10798</v>
      </c>
      <c r="B10798" s="2" t="str">
        <f>IFERROR(__xludf.DUMMYFUNCTION("GOOGLETRANSLATE(A10798, ""en"", ""mt"")"),"X'inhu tip ieħor ta 'algoritmu ta' kriptografija ta 'ċavetta privata?")</f>
        <v>X'inhu tip ieħor ta 'algoritmu ta' kriptografija ta 'ċavetta privata?</v>
      </c>
    </row>
    <row r="10799" ht="15.75" customHeight="1">
      <c r="A10799" s="2" t="s">
        <v>10799</v>
      </c>
      <c r="B10799" s="2" t="str">
        <f>IFERROR(__xludf.DUMMYFUNCTION("GOOGLETRANSLATE(A10799, ""en"", ""mt"")"),"Hoesung Lee")</f>
        <v>Hoesung Lee</v>
      </c>
    </row>
    <row r="10800" ht="15.75" customHeight="1">
      <c r="A10800" s="2" t="s">
        <v>10800</v>
      </c>
      <c r="B10800" s="2" t="str">
        <f>IFERROR(__xludf.DUMMYFUNCTION("GOOGLETRANSLATE(A10800, ""en"", ""mt"")"),"Kif Huguenots żammew xi wħud mit-twemmin reliġjuż tagħhom matul is-snin?")</f>
        <v>Kif Huguenots żammew xi wħud mit-twemmin reliġjuż tagħhom matul is-snin?</v>
      </c>
    </row>
    <row r="10801" ht="15.75" customHeight="1">
      <c r="A10801" s="2" t="s">
        <v>10801</v>
      </c>
      <c r="B10801" s="2" t="str">
        <f>IFERROR(__xludf.DUMMYFUNCTION("GOOGLETRANSLATE(A10801, ""en"", ""mt"")"),"Magma")</f>
        <v>Magma</v>
      </c>
    </row>
    <row r="10802" ht="15.75" customHeight="1">
      <c r="A10802" s="2" t="s">
        <v>10802</v>
      </c>
      <c r="B10802" s="2" t="str">
        <f>IFERROR(__xludf.DUMMYFUNCTION("GOOGLETRANSLATE(A10802, ""en"", ""mt"")"),"L-Adrijatiku")</f>
        <v>L-Adrijatiku</v>
      </c>
    </row>
    <row r="10803" ht="15.75" customHeight="1">
      <c r="A10803" s="2" t="s">
        <v>10803</v>
      </c>
      <c r="B10803" s="2" t="str">
        <f>IFERROR(__xludf.DUMMYFUNCTION("GOOGLETRANSLATE(A10803, ""en"", ""mt"")"),"F'liema sena Rene Goulaine de Laudonniere ħalliet il-pożizzjoni tiegħu bħala Logutenent għal Jean Ribault?")</f>
        <v>F'liema sena Rene Goulaine de Laudonniere ħalliet il-pożizzjoni tiegħu bħala Logutenent għal Jean Ribault?</v>
      </c>
    </row>
    <row r="10804" ht="15.75" customHeight="1">
      <c r="A10804" s="2" t="s">
        <v>10804</v>
      </c>
      <c r="B10804" s="2" t="str">
        <f>IFERROR(__xludf.DUMMYFUNCTION("GOOGLETRANSLATE(A10804, ""en"", ""mt"")"),"Fejn ippjana Francis Heisler li jkollu l-protesta tagħha?")</f>
        <v>Fejn ippjana Francis Heisler li jkollu l-protesta tagħha?</v>
      </c>
    </row>
    <row r="10805" ht="15.75" customHeight="1">
      <c r="A10805" s="2" t="s">
        <v>10805</v>
      </c>
      <c r="B10805" s="2" t="str">
        <f>IFERROR(__xludf.DUMMYFUNCTION("GOOGLETRANSLATE(A10805, ""en"", ""mt"")"),"Liema tweġiba politika kienet tlaqqa 'f'Ġunju / Lulju 1745?")</f>
        <v>Liema tweġiba politika kienet tlaqqa 'f'Ġunju / Lulju 1745?</v>
      </c>
    </row>
    <row r="10806" ht="15.75" customHeight="1">
      <c r="A10806" s="2" t="s">
        <v>10806</v>
      </c>
      <c r="B10806" s="2" t="str">
        <f>IFERROR(__xludf.DUMMYFUNCTION("GOOGLETRANSLATE(A10806, ""en"", ""mt"")"),"minn kulħadd")</f>
        <v>minn kulħadd</v>
      </c>
    </row>
    <row r="10807" ht="15.75" customHeight="1">
      <c r="A10807" s="2" t="s">
        <v>10807</v>
      </c>
      <c r="B10807" s="2" t="str">
        <f>IFERROR(__xludf.DUMMYFUNCTION("GOOGLETRANSLATE(A10807, ""en"", ""mt"")"),"1041")</f>
        <v>1041</v>
      </c>
    </row>
    <row r="10808" ht="15.75" customHeight="1">
      <c r="A10808" s="2" t="s">
        <v>10808</v>
      </c>
      <c r="B10808" s="2" t="str">
        <f>IFERROR(__xludf.DUMMYFUNCTION("GOOGLETRANSLATE(A10808, ""en"", ""mt"")"),"Ċittadinanza tal-UE")</f>
        <v>Ċittadinanza tal-UE</v>
      </c>
    </row>
    <row r="10809" ht="15.75" customHeight="1">
      <c r="A10809" s="2" t="s">
        <v>10809</v>
      </c>
      <c r="B10809" s="2" t="str">
        <f>IFERROR(__xludf.DUMMYFUNCTION("GOOGLETRANSLATE(A10809, ""en"", ""mt"")"),"X'inhi t-traduzzjoni bl-Ingliż ta 'Tawhid?")</f>
        <v>X'inhi t-traduzzjoni bl-Ingliż ta 'Tawhid?</v>
      </c>
    </row>
    <row r="10810" ht="15.75" customHeight="1">
      <c r="A10810" s="2" t="s">
        <v>10810</v>
      </c>
      <c r="B10810" s="2" t="str">
        <f>IFERROR(__xludf.DUMMYFUNCTION("GOOGLETRANSLATE(A10810, ""en"", ""mt"")"),"Frederick W. Mote")</f>
        <v>Frederick W. Mote</v>
      </c>
    </row>
    <row r="10811" ht="15.75" customHeight="1">
      <c r="A10811" s="2" t="s">
        <v>10811</v>
      </c>
      <c r="B10811" s="2" t="str">
        <f>IFERROR(__xludf.DUMMYFUNCTION("GOOGLETRANSLATE(A10811, ""en"", ""mt"")"),"Għal xiex ibiddel l-isem Nederrijn?")</f>
        <v>Għal xiex ibiddel l-isem Nederrijn?</v>
      </c>
    </row>
    <row r="10812" ht="15.75" customHeight="1">
      <c r="A10812" s="2" t="s">
        <v>10812</v>
      </c>
      <c r="B10812" s="2" t="str">
        <f>IFERROR(__xludf.DUMMYFUNCTION("GOOGLETRANSLATE(A10812, ""en"", ""mt"")"),"Minn liema belt kienet Jan Van Riebeeck?")</f>
        <v>Minn liema belt kienet Jan Van Riebeeck?</v>
      </c>
    </row>
    <row r="10813" ht="15.75" customHeight="1">
      <c r="A10813" s="2" t="s">
        <v>10813</v>
      </c>
      <c r="B10813" s="2" t="str">
        <f>IFERROR(__xludf.DUMMYFUNCTION("GOOGLETRANSLATE(A10813, ""en"", ""mt"")"),"Fil-Filippini, liema persentaġġ ta 'studenti tal-iskola sekondarja jattendu skejjel privati?")</f>
        <v>Fil-Filippini, liema persentaġġ ta 'studenti tal-iskola sekondarja jattendu skejjel privati?</v>
      </c>
    </row>
    <row r="10814" ht="15.75" customHeight="1">
      <c r="A10814" s="2" t="s">
        <v>10814</v>
      </c>
      <c r="B10814" s="2" t="str">
        <f>IFERROR(__xludf.DUMMYFUNCTION("GOOGLETRANSLATE(A10814, ""en"", ""mt"")"),"Fis-snin 80 x'kienet il-popolazzjoni tar-reġjun tal-Amażonja?")</f>
        <v>Fis-snin 80 x'kienet il-popolazzjoni tar-reġjun tal-Amażonja?</v>
      </c>
    </row>
    <row r="10815" ht="15.75" customHeight="1">
      <c r="A10815" s="2" t="s">
        <v>10815</v>
      </c>
      <c r="B10815" s="2" t="str">
        <f>IFERROR(__xludf.DUMMYFUNCTION("GOOGLETRANSLATE(A10815, ""en"", ""mt"")"),"Għaliex il-livell tal-baħar attwali qed jiżdied?")</f>
        <v>Għaliex il-livell tal-baħar attwali qed jiżdied?</v>
      </c>
    </row>
    <row r="10816" ht="15.75" customHeight="1">
      <c r="A10816" s="2" t="s">
        <v>10816</v>
      </c>
      <c r="B10816" s="2" t="str">
        <f>IFERROR(__xludf.DUMMYFUNCTION("GOOGLETRANSLATE(A10816, ""en"", ""mt"")"),"b'regoli komuni għall-faħam u l-azzar, u mbagħad l-enerġija atomika")</f>
        <v>b'regoli komuni għall-faħam u l-azzar, u mbagħad l-enerġija atomika</v>
      </c>
    </row>
    <row r="10817" ht="15.75" customHeight="1">
      <c r="A10817" s="2" t="s">
        <v>10817</v>
      </c>
      <c r="B10817" s="2" t="str">
        <f>IFERROR(__xludf.DUMMYFUNCTION("GOOGLETRANSLATE(A10817, ""en"", ""mt"")"),"Kumpanija postali")</f>
        <v>Kumpanija postali</v>
      </c>
    </row>
    <row r="10818" ht="15.75" customHeight="1">
      <c r="A10818" s="2" t="s">
        <v>10818</v>
      </c>
      <c r="B10818" s="2" t="str">
        <f>IFERROR(__xludf.DUMMYFUNCTION("GOOGLETRANSLATE(A10818, ""en"", ""mt"")"),"Mejju 1754")</f>
        <v>Mejju 1754</v>
      </c>
    </row>
    <row r="10819" ht="15.75" customHeight="1">
      <c r="A10819" s="2" t="s">
        <v>10819</v>
      </c>
      <c r="B10819" s="2" t="str">
        <f>IFERROR(__xludf.DUMMYFUNCTION("GOOGLETRANSLATE(A10819, ""en"", ""mt"")"),"ir-raġġ () tad-dinja")</f>
        <v>ir-raġġ () tad-dinja</v>
      </c>
    </row>
    <row r="10820" ht="15.75" customHeight="1">
      <c r="A10820" s="2" t="s">
        <v>10820</v>
      </c>
      <c r="B10820" s="2" t="str">
        <f>IFERROR(__xludf.DUMMYFUNCTION("GOOGLETRANSLATE(A10820, ""en"", ""mt"")"),"3.55 pulzier (90.2 mm)")</f>
        <v>3.55 pulzier (90.2 mm)</v>
      </c>
    </row>
    <row r="10821" ht="15.75" customHeight="1">
      <c r="A10821" s="2" t="s">
        <v>10821</v>
      </c>
      <c r="B10821" s="2" t="str">
        <f>IFERROR(__xludf.DUMMYFUNCTION("GOOGLETRANSLATE(A10821, ""en"", ""mt"")"),"BankaMericard")</f>
        <v>BankaMericard</v>
      </c>
    </row>
    <row r="10822" ht="15.75" customHeight="1">
      <c r="A10822" s="2" t="s">
        <v>10822</v>
      </c>
      <c r="B10822" s="2" t="str">
        <f>IFERROR(__xludf.DUMMYFUNCTION("GOOGLETRANSLATE(A10822, ""en"", ""mt"")"),"Min beda d-dinastija Yuan?")</f>
        <v>Min beda d-dinastija Yuan?</v>
      </c>
    </row>
    <row r="10823" ht="15.75" customHeight="1">
      <c r="A10823" s="2" t="s">
        <v>10823</v>
      </c>
      <c r="B10823" s="2" t="str">
        <f>IFERROR(__xludf.DUMMYFUNCTION("GOOGLETRANSLATE(A10823, ""en"", ""mt"")"),"X'tip ta 'spazju f'Varsavja huma l-Ġnien tal-Kultura u l-Ġnien tal-Librerija tal-Università?")</f>
        <v>X'tip ta 'spazju f'Varsavja huma l-Ġnien tal-Kultura u l-Ġnien tal-Librerija tal-Università?</v>
      </c>
    </row>
    <row r="10824" ht="15.75" customHeight="1">
      <c r="A10824" s="2" t="s">
        <v>10824</v>
      </c>
      <c r="B10824" s="2" t="str">
        <f>IFERROR(__xludf.DUMMYFUNCTION("GOOGLETRANSLATE(A10824, ""en"", ""mt"")"),"F'liema porzjon ġeografiku ta 'l-Ingilterra tinsab Abercynon?")</f>
        <v>F'liema porzjon ġeografiku ta 'l-Ingilterra tinsab Abercynon?</v>
      </c>
    </row>
    <row r="10825" ht="15.75" customHeight="1">
      <c r="A10825" s="2" t="s">
        <v>10825</v>
      </c>
      <c r="B10825" s="2" t="str">
        <f>IFERROR(__xludf.DUMMYFUNCTION("GOOGLETRANSLATE(A10825, ""en"", ""mt"")"),"X'inhuma t-tliet espressjonijiet primarji użati biex jirrappreżentaw il-kumplessità tal-każijiet?")</f>
        <v>X'inhuma t-tliet espressjonijiet primarji użati biex jirrappreżentaw il-kumplessità tal-każijiet?</v>
      </c>
    </row>
    <row r="10826" ht="15.75" customHeight="1">
      <c r="A10826" s="2" t="s">
        <v>10826</v>
      </c>
      <c r="B10826" s="2" t="str">
        <f>IFERROR(__xludf.DUMMYFUNCTION("GOOGLETRANSLATE(A10826, ""en"", ""mt"")"),"Liema żona saret attraenti għar-ristoranti?")</f>
        <v>Liema żona saret attraenti għar-ristoranti?</v>
      </c>
    </row>
    <row r="10827" ht="15.75" customHeight="1">
      <c r="A10827" s="2" t="s">
        <v>10827</v>
      </c>
      <c r="B10827" s="2" t="str">
        <f>IFERROR(__xludf.DUMMYFUNCTION("GOOGLETRANSLATE(A10827, ""en"", ""mt"")"),"Madwar miljun Protestant fi Franza moderna jirrappreżentaw madwar 2% tal-popolazzjoni tagħha. Il-biċċa l-kbira huma kkonċentrati fl-Alsace fil-Grigal ta ’Franza u fir-reġjun tal-Muntanji Cévennes fin-Nofsinhar, li għadhom iqisu lilhom infushom bħala Hugue"&amp;"nots sal-lum. [Ċitazzjoni meħtieġa] Diaspora tal-Awstraljani Franċiżi għadha tqis lilha nnifisha Huguenot, anke wara sekli ta’ eżilju. Long integrata fis-soċjetà Awstraljana, hija mħeġġa mis-Soċjetà Huguenot tal-Awstralja biex tħaddan u tikkonserva l-wirt"&amp;" kulturali tagħha, megħjuna mis-servizzi ta 'riċerka ġenealoġika tas-soċjetà.")</f>
        <v>Madwar miljun Protestant fi Franza moderna jirrappreżentaw madwar 2% tal-popolazzjoni tagħha. Il-biċċa l-kbira huma kkonċentrati fl-Alsace fil-Grigal ta ’Franza u fir-reġjun tal-Muntanji Cévennes fin-Nofsinhar, li għadhom iqisu lilhom infushom bħala Huguenots sal-lum. [Ċitazzjoni meħtieġa] Diaspora tal-Awstraljani Franċiżi għadha tqis lilha nnifisha Huguenot, anke wara sekli ta’ eżilju. Long integrata fis-soċjetà Awstraljana, hija mħeġġa mis-Soċjetà Huguenot tal-Awstralja biex tħaddan u tikkonserva l-wirt kulturali tagħha, megħjuna mis-servizzi ta 'riċerka ġenealoġika tas-soċjetà.</v>
      </c>
    </row>
    <row r="10828" ht="15.75" customHeight="1">
      <c r="A10828" s="2" t="s">
        <v>10828</v>
      </c>
      <c r="B10828" s="2" t="str">
        <f>IFERROR(__xludf.DUMMYFUNCTION("GOOGLETRANSLATE(A10828, ""en"", ""mt"")"),"X’ma kienx l-għan tal-Kungress?")</f>
        <v>X’ma kienx l-għan tal-Kungress?</v>
      </c>
    </row>
    <row r="10829" ht="15.75" customHeight="1">
      <c r="A10829" s="2" t="s">
        <v>10829</v>
      </c>
      <c r="B10829" s="2" t="str">
        <f>IFERROR(__xludf.DUMMYFUNCTION("GOOGLETRANSLATE(A10829, ""en"", ""mt"")"),"effett dirett jew effett indirett")</f>
        <v>effett dirett jew effett indirett</v>
      </c>
    </row>
    <row r="10830" ht="15.75" customHeight="1">
      <c r="A10830" s="2" t="s">
        <v>10830</v>
      </c>
      <c r="B10830" s="2" t="str">
        <f>IFERROR(__xludf.DUMMYFUNCTION("GOOGLETRANSLATE(A10830, ""en"", ""mt"")"),"X’għamel negozjant greedy lill-sirena?")</f>
        <v>X’għamel negozjant greedy lill-sirena?</v>
      </c>
    </row>
    <row r="10831" ht="15.75" customHeight="1">
      <c r="A10831" s="2" t="s">
        <v>10831</v>
      </c>
      <c r="B10831" s="2" t="str">
        <f>IFERROR(__xludf.DUMMYFUNCTION("GOOGLETRANSLATE(A10831, ""en"", ""mt"")"),"Liema xmara tinsab fil-viċinanza tal-iskola?")</f>
        <v>Liema xmara tinsab fil-viċinanza tal-iskola?</v>
      </c>
    </row>
    <row r="10832" ht="15.75" customHeight="1">
      <c r="A10832" s="2" t="s">
        <v>10832</v>
      </c>
      <c r="B10832" s="2" t="str">
        <f>IFERROR(__xludf.DUMMYFUNCTION("GOOGLETRANSLATE(A10832, ""en"", ""mt"")"),"Liema rapport tal-2011 intalab mill-IPCC?")</f>
        <v>Liema rapport tal-2011 intalab mill-IPCC?</v>
      </c>
    </row>
    <row r="10833" ht="15.75" customHeight="1">
      <c r="A10833" s="2" t="s">
        <v>10833</v>
      </c>
      <c r="B10833" s="2" t="str">
        <f>IFERROR(__xludf.DUMMYFUNCTION("GOOGLETRANSLATE(A10833, ""en"", ""mt"")"),"X'inhu terminu ieħor għall-atmosfera ta 'fuq?")</f>
        <v>X'inhu terminu ieħor għall-atmosfera ta 'fuq?</v>
      </c>
    </row>
    <row r="10834" ht="15.75" customHeight="1">
      <c r="A10834" s="2" t="s">
        <v>10834</v>
      </c>
      <c r="B10834" s="2" t="str">
        <f>IFERROR(__xludf.DUMMYFUNCTION("GOOGLETRANSLATE(A10834, ""en"", ""mt"")"),"L-okkupazzjoni ta 'min tal-Kuwajt il-militar tal-Istati Uniti fittex li jtemm?")</f>
        <v>L-okkupazzjoni ta 'min tal-Kuwajt il-militar tal-Istati Uniti fittex li jtemm?</v>
      </c>
    </row>
    <row r="10835" ht="15.75" customHeight="1">
      <c r="A10835" s="2" t="s">
        <v>10835</v>
      </c>
      <c r="B10835" s="2" t="str">
        <f>IFERROR(__xludf.DUMMYFUNCTION("GOOGLETRANSLATE(A10835, ""en"", ""mt"")"),"X'kien il-prinċipju muri fil-marka ta 'l-anarkija?")</f>
        <v>X'kien il-prinċipju muri fil-marka ta 'l-anarkija?</v>
      </c>
    </row>
    <row r="10836" ht="15.75" customHeight="1">
      <c r="A10836" s="2" t="s">
        <v>10836</v>
      </c>
      <c r="B10836" s="2" t="str">
        <f>IFERROR(__xludf.DUMMYFUNCTION("GOOGLETRANSLATE(A10836, ""en"", ""mt"")"),"reċiprokanti")</f>
        <v>reċiprokanti</v>
      </c>
    </row>
    <row r="10837" ht="15.75" customHeight="1">
      <c r="A10837" s="2" t="s">
        <v>10837</v>
      </c>
      <c r="B10837" s="2" t="str">
        <f>IFERROR(__xludf.DUMMYFUNCTION("GOOGLETRANSLATE(A10837, ""en"", ""mt"")"),"8,646")</f>
        <v>8,646</v>
      </c>
    </row>
    <row r="10838" ht="15.75" customHeight="1">
      <c r="A10838" s="2" t="s">
        <v>10838</v>
      </c>
      <c r="B10838" s="2" t="str">
        <f>IFERROR(__xludf.DUMMYFUNCTION("GOOGLETRANSLATE(A10838, ""en"", ""mt"")"),"L-arkitettura Norman tipikament tispikka bħala stadju ġdid fl-istorja arkitettonika tar-reġjuni li huma ssottomettu. Huma xerrdu idjoma Rumanika unika lejn l-Ingilterra u l-Italja, u l-inkastellazzjoni ta 'dawn ir-reġjuni ma' żżomm fl-istil Franċiż tat-Tr"&amp;"amuntana tagħhom biddel fundamentalment il-pajsaġġ militari. L-istil tagħhom kien ikkaratterizzat minn arkati tond, partikolarment fuq twieqi u bibien, u proporzjonijiet massivi.")</f>
        <v>L-arkitettura Norman tipikament tispikka bħala stadju ġdid fl-istorja arkitettonika tar-reġjuni li huma ssottomettu. Huma xerrdu idjoma Rumanika unika lejn l-Ingilterra u l-Italja, u l-inkastellazzjoni ta 'dawn ir-reġjuni ma' żżomm fl-istil Franċiż tat-Tramuntana tagħhom biddel fundamentalment il-pajsaġġ militari. L-istil tagħhom kien ikkaratterizzat minn arkati tond, partikolarment fuq twieqi u bibien, u proporzjonijiet massivi.</v>
      </c>
    </row>
    <row r="10839" ht="15.75" customHeight="1">
      <c r="A10839" s="2" t="s">
        <v>10839</v>
      </c>
      <c r="B10839" s="2" t="str">
        <f>IFERROR(__xludf.DUMMYFUNCTION("GOOGLETRANSLATE(A10839, ""en"", ""mt"")"),"tul il-kosta")</f>
        <v>tul il-kosta</v>
      </c>
    </row>
    <row r="10840" ht="15.75" customHeight="1">
      <c r="A10840" s="2" t="s">
        <v>10840</v>
      </c>
      <c r="B10840" s="2" t="str">
        <f>IFERROR(__xludf.DUMMYFUNCTION("GOOGLETRANSLATE(A10840, ""en"", ""mt"")"),"Mistoqsija Lothian tal-Punent")</f>
        <v>Mistoqsija Lothian tal-Punent</v>
      </c>
    </row>
    <row r="10841" ht="15.75" customHeight="1">
      <c r="A10841" s="2" t="s">
        <v>10841</v>
      </c>
      <c r="B10841" s="2" t="str">
        <f>IFERROR(__xludf.DUMMYFUNCTION("GOOGLETRANSLATE(A10841, ""en"", ""mt"")"),"Iċ-Ċirmish tal-Knisja tal-Brick")</f>
        <v>Iċ-Ċirmish tal-Knisja tal-Brick</v>
      </c>
    </row>
    <row r="10842" ht="15.75" customHeight="1">
      <c r="A10842" s="2" t="s">
        <v>10842</v>
      </c>
      <c r="B10842" s="2" t="str">
        <f>IFERROR(__xludf.DUMMYFUNCTION("GOOGLETRANSLATE(A10842, ""en"", ""mt"")"),"Kemm-il sena ħadet biex il-mewt sewda tinfirex madwar l-Ewropa?")</f>
        <v>Kemm-il sena ħadet biex il-mewt sewda tinfirex madwar l-Ewropa?</v>
      </c>
    </row>
    <row r="10843" ht="15.75" customHeight="1">
      <c r="A10843" s="2" t="s">
        <v>10843</v>
      </c>
      <c r="B10843" s="2" t="str">
        <f>IFERROR(__xludf.DUMMYFUNCTION("GOOGLETRANSLATE(A10843, ""en"", ""mt"")"),"F'liema għaxar snin ir-Rankine Cycle ħoloq 90% tal-komponenti tal-magna?")</f>
        <v>F'liema għaxar snin ir-Rankine Cycle ħoloq 90% tal-komponenti tal-magna?</v>
      </c>
    </row>
    <row r="10844" ht="15.75" customHeight="1">
      <c r="A10844" s="2" t="s">
        <v>10844</v>
      </c>
      <c r="B10844" s="2" t="str">
        <f>IFERROR(__xludf.DUMMYFUNCTION("GOOGLETRANSLATE(A10844, ""en"", ""mt"")"),"Flimkien mal-imtieħen u l-minjieri, f'liema postijiet industrijali ssuq il-magni?")</f>
        <v>Flimkien mal-imtieħen u l-minjieri, f'liema postijiet industrijali ssuq il-magni?</v>
      </c>
    </row>
    <row r="10845" ht="15.75" customHeight="1">
      <c r="A10845" s="2" t="s">
        <v>10845</v>
      </c>
      <c r="B10845" s="2" t="str">
        <f>IFERROR(__xludf.DUMMYFUNCTION("GOOGLETRANSLATE(A10845, ""en"", ""mt"")"),"Min mhux mistieden f'Washington biex jiekol miegħu?")</f>
        <v>Min mhux mistieden f'Washington biex jiekol miegħu?</v>
      </c>
    </row>
    <row r="10846" ht="15.75" customHeight="1">
      <c r="A10846" s="2" t="s">
        <v>10846</v>
      </c>
      <c r="B10846" s="2" t="str">
        <f>IFERROR(__xludf.DUMMYFUNCTION("GOOGLETRANSLATE(A10846, ""en"", ""mt"")"),"ġeomorfoloġiku")</f>
        <v>ġeomorfoloġiku</v>
      </c>
    </row>
    <row r="10847" ht="15.75" customHeight="1">
      <c r="A10847" s="2" t="s">
        <v>10847</v>
      </c>
      <c r="B10847" s="2" t="str">
        <f>IFERROR(__xludf.DUMMYFUNCTION("GOOGLETRANSLATE(A10847, ""en"", ""mt"")"),"X'inhu l-virus fil-bnedmin li jikkawża kanċer ċervikali?")</f>
        <v>X'inhu l-virus fil-bnedmin li jikkawża kanċer ċervikali?</v>
      </c>
    </row>
    <row r="10848" ht="15.75" customHeight="1">
      <c r="A10848" s="2" t="s">
        <v>10848</v>
      </c>
      <c r="B10848" s="2" t="str">
        <f>IFERROR(__xludf.DUMMYFUNCTION("GOOGLETRANSLATE(A10848, ""en"", ""mt"")"),"Min kien id-direttur tas-Soċjetà Ġeografika Amerikana fl-1914?")</f>
        <v>Min kien id-direttur tas-Soċjetà Ġeografika Amerikana fl-1914?</v>
      </c>
    </row>
    <row r="10849" ht="15.75" customHeight="1">
      <c r="A10849" s="2" t="s">
        <v>10849</v>
      </c>
      <c r="B10849" s="2" t="str">
        <f>IFERROR(__xludf.DUMMYFUNCTION("GOOGLETRANSLATE(A10849, ""en"", ""mt"")"),"X'inhuma żewġ fatturi li jaffettwaw direttament kemm tista 'tkun magna tat-Turing qawwija?")</f>
        <v>X'inhuma żewġ fatturi li jaffettwaw direttament kemm tista 'tkun magna tat-Turing qawwija?</v>
      </c>
    </row>
    <row r="10850" ht="15.75" customHeight="1">
      <c r="A10850" s="2" t="s">
        <v>10850</v>
      </c>
      <c r="B10850" s="2" t="str">
        <f>IFERROR(__xludf.DUMMYFUNCTION("GOOGLETRANSLATE(A10850, ""en"", ""mt"")"),"Ohio Company of Virginia")</f>
        <v>Ohio Company of Virginia</v>
      </c>
    </row>
    <row r="10851" ht="15.75" customHeight="1">
      <c r="A10851" s="2" t="s">
        <v>10851</v>
      </c>
      <c r="B10851" s="2" t="str">
        <f>IFERROR(__xludf.DUMMYFUNCTION("GOOGLETRANSLATE(A10851, ""en"", ""mt"")"),"Kif jissejjaħ ix-xenarju li fih ma nbiddlux il-prattiki tagħna tal-ħolqien tal-gass serra?")</f>
        <v>Kif jissejjaħ ix-xenarju li fih ma nbiddlux il-prattiki tagħna tal-ħolqien tal-gass serra?</v>
      </c>
    </row>
    <row r="10852" ht="15.75" customHeight="1">
      <c r="A10852" s="2" t="s">
        <v>10852</v>
      </c>
      <c r="B10852" s="2" t="str">
        <f>IFERROR(__xludf.DUMMYFUNCTION("GOOGLETRANSLATE(A10852, ""en"", ""mt"")"),"Meta spiċċa l-Oloken?")</f>
        <v>Meta spiċċa l-Oloken?</v>
      </c>
    </row>
    <row r="10853" ht="15.75" customHeight="1">
      <c r="A10853" s="2" t="s">
        <v>10853</v>
      </c>
      <c r="B10853" s="2" t="str">
        <f>IFERROR(__xludf.DUMMYFUNCTION("GOOGLETRANSLATE(A10853, ""en"", ""mt"")"),"mistenni li jsir aktar integrali fis-sistema tal-kura tas-saħħa")</f>
        <v>mistenni li jsir aktar integrali fis-sistema tal-kura tas-saħħa</v>
      </c>
    </row>
    <row r="10854" ht="15.75" customHeight="1">
      <c r="A10854" s="2" t="s">
        <v>10854</v>
      </c>
      <c r="B10854" s="2" t="str">
        <f>IFERROR(__xludf.DUMMYFUNCTION("GOOGLETRANSLATE(A10854, ""en"", ""mt"")"),"Xi jfisser arpanet f'termini sempliċi?")</f>
        <v>Xi jfisser arpanet f'termini sempliċi?</v>
      </c>
    </row>
    <row r="10855" ht="15.75" customHeight="1">
      <c r="A10855" s="2" t="s">
        <v>10855</v>
      </c>
      <c r="B10855" s="2" t="str">
        <f>IFERROR(__xludf.DUMMYFUNCTION("GOOGLETRANSLATE(A10855, ""en"", ""mt"")"),"konvertiti ġodda")</f>
        <v>konvertiti ġodda</v>
      </c>
    </row>
    <row r="10856" ht="15.75" customHeight="1">
      <c r="A10856" s="2" t="s">
        <v>10856</v>
      </c>
      <c r="B10856" s="2" t="str">
        <f>IFERROR(__xludf.DUMMYFUNCTION("GOOGLETRANSLATE(A10856, ""en"", ""mt"")"),"Kemm għandha siġġu Victoria fis-Senat?")</f>
        <v>Kemm għandha siġġu Victoria fis-Senat?</v>
      </c>
    </row>
    <row r="10857" ht="15.75" customHeight="1">
      <c r="A10857" s="2" t="s">
        <v>10857</v>
      </c>
      <c r="B10857" s="2" t="str">
        <f>IFERROR(__xludf.DUMMYFUNCTION("GOOGLETRANSLATE(A10857, ""en"", ""mt"")"),"Matul il-moviment tal-edukazzjoni tal-iskola sekondarja mill-1910–1940, kien hemm żieda fil-ħaddiema tas-sengħa, li wasslet għal tnaqqis fil-prezz tax-xogħol tas-sengħa. L-edukazzjoni tal-iskola għolja matul il-perjodu kienet iddisinjata biex tgħammar lil"&amp;"l-istudenti b'settijiet ta 'ħiliet meħtieġa biex ikunu jistgħu jwettqu fuq ix-xogħol. Fil-fatt, hija differenti mill-edukazzjoni preżenti tal-iskola sekondarja, li hija meqjusa bħala stepping-stone biex takkwista kulleġġ u gradi avvanzati. Dan it-tnaqqis "&amp;"fil-pagi kkawża perjodu ta 'kompressjoni u tnaqqis fl-inugwaljanza bejn ħaddiema tas-sengħa u dawk mhux kwalifikati. L-edukazzjoni hija importanti ħafna għat-tkabbir tal-ekonomija, madankollu l-inugwaljanza edukattiva fil-ġeneru tinfluwenza wkoll lejn l-e"&amp;"konomija. LagerLof u Galor iddikjaraw li l-inugwaljanza bejn is-sessi fl-edukazzjoni tista 'tirriżulta għal tkabbir ekonomiku baxx, u kontinwa l-inugwaljanza bejn is-sessi fl-edukazzjoni, u b'hekk toħloq nassa tal-faqar. Huwa ssuġġerit li vojt kbir fl-edu"&amp;"kazzjoni maskili u femminili jista 'jindika ritard u għalhekk jista' jkun assoċjat ma 'tkabbir ekonomiku aktar baxx, li jista' jispjega għaliex hemm inugwaljanza ekonomika bejn il-pajjiżi.")</f>
        <v>Matul il-moviment tal-edukazzjoni tal-iskola sekondarja mill-1910–1940, kien hemm żieda fil-ħaddiema tas-sengħa, li wasslet għal tnaqqis fil-prezz tax-xogħol tas-sengħa. L-edukazzjoni tal-iskola għolja matul il-perjodu kienet iddisinjata biex tgħammar lill-istudenti b'settijiet ta 'ħiliet meħtieġa biex ikunu jistgħu jwettqu fuq ix-xogħol. Fil-fatt, hija differenti mill-edukazzjoni preżenti tal-iskola sekondarja, li hija meqjusa bħala stepping-stone biex takkwista kulleġġ u gradi avvanzati. Dan it-tnaqqis fil-pagi kkawża perjodu ta 'kompressjoni u tnaqqis fl-inugwaljanza bejn ħaddiema tas-sengħa u dawk mhux kwalifikati. L-edukazzjoni hija importanti ħafna għat-tkabbir tal-ekonomija, madankollu l-inugwaljanza edukattiva fil-ġeneru tinfluwenza wkoll lejn l-ekonomija. LagerLof u Galor iddikjaraw li l-inugwaljanza bejn is-sessi fl-edukazzjoni tista 'tirriżulta għal tkabbir ekonomiku baxx, u kontinwa l-inugwaljanza bejn is-sessi fl-edukazzjoni, u b'hekk toħloq nassa tal-faqar. Huwa ssuġġerit li vojt kbir fl-edukazzjoni maskili u femminili jista 'jindika ritard u għalhekk jista' jkun assoċjat ma 'tkabbir ekonomiku aktar baxx, li jista' jispjega għaliex hemm inugwaljanza ekonomika bejn il-pajjiżi.</v>
      </c>
    </row>
    <row r="10858" ht="15.75" customHeight="1">
      <c r="A10858" s="2" t="s">
        <v>10858</v>
      </c>
      <c r="B10858" s="2" t="str">
        <f>IFERROR(__xludf.DUMMYFUNCTION("GOOGLETRANSLATE(A10858, ""en"", ""mt"")"),"Waħda minn sebgħa mill-ispeċijiet ta 'l-għasafar tad-dinja tgħix fejn?")</f>
        <v>Waħda minn sebgħa mill-ispeċijiet ta 'l-għasafar tad-dinja tgħix fejn?</v>
      </c>
    </row>
    <row r="10859" ht="15.75" customHeight="1">
      <c r="A10859" s="2" t="s">
        <v>10859</v>
      </c>
      <c r="B10859" s="2" t="str">
        <f>IFERROR(__xludf.DUMMYFUNCTION("GOOGLETRANSLATE(A10859, ""en"", ""mt"")"),"Min ċaħad indiċi ta 'problemi tas-saħħa u soċjali?")</f>
        <v>Min ċaħad indiċi ta 'problemi tas-saħħa u soċjali?</v>
      </c>
    </row>
    <row r="10860" ht="15.75" customHeight="1">
      <c r="A10860" s="2" t="s">
        <v>10860</v>
      </c>
      <c r="B10860" s="2" t="str">
        <f>IFERROR(__xludf.DUMMYFUNCTION("GOOGLETRANSLATE(A10860, ""en"", ""mt"")"),"F'liema sena ġie stabbilit l-Imperu Ruman tal-Lvant?")</f>
        <v>F'liema sena ġie stabbilit l-Imperu Ruman tal-Lvant?</v>
      </c>
    </row>
    <row r="10861" ht="15.75" customHeight="1">
      <c r="A10861" s="2" t="s">
        <v>10861</v>
      </c>
      <c r="B10861" s="2" t="str">
        <f>IFERROR(__xludf.DUMMYFUNCTION("GOOGLETRANSLATE(A10861, ""en"", ""mt"")"),"X'inhuma żewġ fatturi li għamluha diffiċli għall-kolonisti biex il-foresta tal-Amażonja tibqa 'ħajja?")</f>
        <v>X'inhuma żewġ fatturi li għamluha diffiċli għall-kolonisti biex il-foresta tal-Amażonja tibqa 'ħajja?</v>
      </c>
    </row>
    <row r="10862" ht="15.75" customHeight="1">
      <c r="A10862" s="2" t="s">
        <v>10862</v>
      </c>
      <c r="B10862" s="2" t="str">
        <f>IFERROR(__xludf.DUMMYFUNCTION("GOOGLETRANSLATE(A10862, ""en"", ""mt"")"),"X'tip ta 'klima għandu Jacksonville?")</f>
        <v>X'tip ta 'klima għandu Jacksonville?</v>
      </c>
    </row>
    <row r="10863" ht="15.75" customHeight="1">
      <c r="A10863" s="2" t="s">
        <v>10863</v>
      </c>
      <c r="B10863" s="2" t="str">
        <f>IFERROR(__xludf.DUMMYFUNCTION("GOOGLETRANSLATE(A10863, ""en"", ""mt"")"),"Kif inħolqu xi inugwaljanzi ekonomiċi moderni?")</f>
        <v>Kif inħolqu xi inugwaljanzi ekonomiċi moderni?</v>
      </c>
    </row>
    <row r="10864" ht="15.75" customHeight="1">
      <c r="A10864" s="2" t="s">
        <v>10864</v>
      </c>
      <c r="B10864" s="2" t="str">
        <f>IFERROR(__xludf.DUMMYFUNCTION("GOOGLETRANSLATE(A10864, ""en"", ""mt"")"),"Kemm 'il bogħod minn Varsavja l-ambjent tax-Xmara Vistula jinbidel b'mod notevoli?")</f>
        <v>Kemm 'il bogħod minn Varsavja l-ambjent tax-Xmara Vistula jinbidel b'mod notevoli?</v>
      </c>
    </row>
    <row r="10865" ht="15.75" customHeight="1">
      <c r="A10865" s="2" t="s">
        <v>10865</v>
      </c>
      <c r="B10865" s="2" t="str">
        <f>IFERROR(__xludf.DUMMYFUNCTION("GOOGLETRANSLATE(A10865, ""en"", ""mt"")"),"ugwaljanza")</f>
        <v>ugwaljanza</v>
      </c>
    </row>
    <row r="10866" ht="15.75" customHeight="1">
      <c r="A10866" s="2" t="s">
        <v>10866</v>
      </c>
      <c r="B10866" s="2" t="str">
        <f>IFERROR(__xludf.DUMMYFUNCTION("GOOGLETRANSLATE(A10866, ""en"", ""mt"")"),"F'disturbi awtoimmuni, is-sistema immunitarja ma tiddistingwix bejn liema tipi ta 'ċelloli?")</f>
        <v>F'disturbi awtoimmuni, is-sistema immunitarja ma tiddistingwix bejn liema tipi ta 'ċelloli?</v>
      </c>
    </row>
    <row r="10867" ht="15.75" customHeight="1">
      <c r="A10867" s="2" t="s">
        <v>10867</v>
      </c>
      <c r="B10867" s="2" t="str">
        <f>IFERROR(__xludf.DUMMYFUNCTION("GOOGLETRANSLATE(A10867, ""en"", ""mt"")"),"diskors")</f>
        <v>diskors</v>
      </c>
    </row>
    <row r="10868" ht="15.75" customHeight="1">
      <c r="A10868" s="2" t="s">
        <v>10868</v>
      </c>
      <c r="B10868" s="2" t="str">
        <f>IFERROR(__xludf.DUMMYFUNCTION("GOOGLETRANSLATE(A10868, ""en"", ""mt"")"),"B'mod partikolari, din in-norma ssir iżgħar meta numru jiġi mmultiplikat b'P, f'kuntrast qawwi mal-valur assolut tas-soltu (imsejjaħ ukoll bħala l-prim infinit). Waqt li tlesti Q (bejn wieħed u ieħor, il-mili tal-lakuni) fir-rigward tal-valur assolut jagħ"&amp;"ti l-qasam tan-numri reali, it-tlestija fir-rigward tan-norma P-ADIC | - | P twassal il-qasam tan-numri P-ADIC. Dawn huma essenzjalment il-modi kollha possibbli biex tlesti Q, mit-teorema ta 'Ostrowski. Ċerti mistoqsijiet aritmetiċi relatati ma 'Q jew akt"&amp;"ar oqsma globali ġenerali jistgħu jiġu trasferiti' l quddiem u lura lejn l-oqsma kompluti (jew lokali). Dan il-prinċipju lokali-globali jerġa 'jissottolinja l-importanza tal-primes għat-teorija tan-numri.")</f>
        <v>B'mod partikolari, din in-norma ssir iżgħar meta numru jiġi mmultiplikat b'P, f'kuntrast qawwi mal-valur assolut tas-soltu (imsejjaħ ukoll bħala l-prim infinit). Waqt li tlesti Q (bejn wieħed u ieħor, il-mili tal-lakuni) fir-rigward tal-valur assolut jagħti l-qasam tan-numri reali, it-tlestija fir-rigward tan-norma P-ADIC | - | P twassal il-qasam tan-numri P-ADIC. Dawn huma essenzjalment il-modi kollha possibbli biex tlesti Q, mit-teorema ta 'Ostrowski. Ċerti mistoqsijiet aritmetiċi relatati ma 'Q jew aktar oqsma globali ġenerali jistgħu jiġu trasferiti' l quddiem u lura lejn l-oqsma kompluti (jew lokali). Dan il-prinċipju lokali-globali jerġa 'jissottolinja l-importanza tal-primes għat-teorija tan-numri.</v>
      </c>
    </row>
    <row r="10869" ht="15.75" customHeight="1">
      <c r="A10869" s="2" t="s">
        <v>10869</v>
      </c>
      <c r="B10869" s="2" t="str">
        <f>IFERROR(__xludf.DUMMYFUNCTION("GOOGLETRANSLATE(A10869, ""en"", ""mt"")"),"Kif ingħataw l-Aħbarijiet tal-Istati Uniti u r-Rapport Dinji kklassifikati f'termini ta 'pożizzjonijiet ta' CEO fl-2011?")</f>
        <v>Kif ingħataw l-Aħbarijiet tal-Istati Uniti u r-Rapport Dinji kklassifikati f'termini ta 'pożizzjonijiet ta' CEO fl-2011?</v>
      </c>
    </row>
    <row r="10870" ht="15.75" customHeight="1">
      <c r="A10870" s="2" t="s">
        <v>10870</v>
      </c>
      <c r="B10870" s="2" t="str">
        <f>IFERROR(__xludf.DUMMYFUNCTION("GOOGLETRANSLATE(A10870, ""en"", ""mt"")"),"Il-Każ tal-Qorti Suprema tal-1978 tal-Fondazzjoni FCC v. Pacifica")</f>
        <v>Il-Każ tal-Qorti Suprema tal-1978 tal-Fondazzjoni FCC v. Pacifica</v>
      </c>
    </row>
    <row r="10871" ht="15.75" customHeight="1">
      <c r="A10871" s="2" t="s">
        <v>10871</v>
      </c>
      <c r="B10871" s="2" t="str">
        <f>IFERROR(__xludf.DUMMYFUNCTION("GOOGLETRANSLATE(A10871, ""en"", ""mt"")"),"Min hi l-kumpanija ewlenija tal-NDS?")</f>
        <v>Min hi l-kumpanija ewlenija tal-NDS?</v>
      </c>
    </row>
    <row r="10872" ht="15.75" customHeight="1">
      <c r="A10872" s="2" t="s">
        <v>10872</v>
      </c>
      <c r="B10872" s="2" t="str">
        <f>IFERROR(__xludf.DUMMYFUNCTION("GOOGLETRANSLATE(A10872, ""en"", ""mt"")"),"F’liema sena William III sar Re tal-Ingilterra?")</f>
        <v>F’liema sena William III sar Re tal-Ingilterra?</v>
      </c>
    </row>
    <row r="10873" ht="15.75" customHeight="1">
      <c r="A10873" s="2" t="s">
        <v>10873</v>
      </c>
      <c r="B10873" s="2" t="str">
        <f>IFERROR(__xludf.DUMMYFUNCTION("GOOGLETRANSLATE(A10873, ""en"", ""mt"")"),"Sankt Goarshausen")</f>
        <v>Sankt Goarshausen</v>
      </c>
    </row>
    <row r="10874" ht="15.75" customHeight="1">
      <c r="A10874" s="2" t="s">
        <v>10874</v>
      </c>
      <c r="B10874" s="2" t="str">
        <f>IFERROR(__xludf.DUMMYFUNCTION("GOOGLETRANSLATE(A10874, ""en"", ""mt"")"),"Liema jegħleb politiku l-Istitut Cato m'għandux?")</f>
        <v>Liema jegħleb politiku l-Istitut Cato m'għandux?</v>
      </c>
    </row>
    <row r="10875" ht="15.75" customHeight="1">
      <c r="A10875" s="2" t="s">
        <v>10875</v>
      </c>
      <c r="B10875" s="2" t="str">
        <f>IFERROR(__xludf.DUMMYFUNCTION("GOOGLETRANSLATE(A10875, ""en"", ""mt"")"),"Għaliex Hutton kien jemmen li l-art kellha tkun ferm iżgħar milli kien jemmen qabel?")</f>
        <v>Għaliex Hutton kien jemmen li l-art kellha tkun ferm iżgħar milli kien jemmen qabel?</v>
      </c>
    </row>
    <row r="10876" ht="15.75" customHeight="1">
      <c r="A10876" s="2" t="s">
        <v>10876</v>
      </c>
      <c r="B10876" s="2" t="str">
        <f>IFERROR(__xludf.DUMMYFUNCTION("GOOGLETRANSLATE(A10876, ""en"", ""mt"")"),"Seklu tmintax")</f>
        <v>Seklu tmintax</v>
      </c>
    </row>
    <row r="10877" ht="15.75" customHeight="1">
      <c r="A10877" s="2" t="s">
        <v>10877</v>
      </c>
      <c r="B10877" s="2" t="str">
        <f>IFERROR(__xludf.DUMMYFUNCTION("GOOGLETRANSLATE(A10877, ""en"", ""mt"")"),"Liema teoremi huma responsabbli biex jiddeterminaw mistoqsijiet dwar ir-rekwiżiti tal-ħin u l-ispazju?")</f>
        <v>Liema teoremi huma responsabbli biex jiddeterminaw mistoqsijiet dwar ir-rekwiżiti tal-ħin u l-ispazju?</v>
      </c>
    </row>
    <row r="10878" ht="15.75" customHeight="1">
      <c r="A10878" s="2" t="s">
        <v>10878</v>
      </c>
      <c r="B10878" s="2" t="str">
        <f>IFERROR(__xludf.DUMMYFUNCTION("GOOGLETRANSLATE(A10878, ""en"", ""mt"")"),"Fuq l-esperiment ta 'Joseph Priestley fuq l-4 ta' Awwissu, 1774?")</f>
        <v>Fuq l-esperiment ta 'Joseph Priestley fuq l-4 ta' Awwissu, 1774?</v>
      </c>
    </row>
    <row r="10879" ht="15.75" customHeight="1">
      <c r="A10879" s="2" t="s">
        <v>10879</v>
      </c>
      <c r="B10879" s="2" t="str">
        <f>IFERROR(__xludf.DUMMYFUNCTION("GOOGLETRANSLATE(A10879, ""en"", ""mt"")"),"Fl-Ewropa hemm spiżeriji qodma li għadhom joperaw f'Dubrovnik, il-Kroazja, li tinsab ġewwa l-monasteru Franġiskan, infetħet fl-1317; u fil-kwadru tal-muniċipju ta 'Tallinn, l-Estonja, li tmur mill-inqas 1422. L-eqdem huwa ddikjarat li ġie stabbilit fl-122"&amp;"1 fil-Knisja ta' Santa Maria Novella f'Firenze, l-Italja, li issa fih mużew tal-fwieħa. L-ispiżerija medjevali ta 'Esteve, li tinsab f'Lívia, enklavi Katalana viċin Puigcerdà, issa wkoll mużew, tmur lura għas-seklu 15, u żżomm Albarellos mis-sekli 16 u 17"&amp;", kotba ta' preskrizzjoni qodma u drogi tal-antikità.")</f>
        <v>Fl-Ewropa hemm spiżeriji qodma li għadhom joperaw f'Dubrovnik, il-Kroazja, li tinsab ġewwa l-monasteru Franġiskan, infetħet fl-1317; u fil-kwadru tal-muniċipju ta 'Tallinn, l-Estonja, li tmur mill-inqas 1422. L-eqdem huwa ddikjarat li ġie stabbilit fl-1221 fil-Knisja ta' Santa Maria Novella f'Firenze, l-Italja, li issa fih mużew tal-fwieħa. L-ispiżerija medjevali ta 'Esteve, li tinsab f'Lívia, enklavi Katalana viċin Puigcerdà, issa wkoll mużew, tmur lura għas-seklu 15, u żżomm Albarellos mis-sekli 16 u 17, kotba ta' preskrizzjoni qodma u drogi tal-antikità.</v>
      </c>
    </row>
    <row r="10880" ht="15.75" customHeight="1">
      <c r="A10880" s="2" t="s">
        <v>10880</v>
      </c>
      <c r="B10880" s="2" t="str">
        <f>IFERROR(__xludf.DUMMYFUNCTION("GOOGLETRANSLATE(A10880, ""en"", ""mt"")"),"Xi jgħid id-dizzjunarju tal-liġi ta 'l-Iswed li r-ribelljoni m'għandhiex għalfejn tkun?")</f>
        <v>Xi jgħid id-dizzjunarju tal-liġi ta 'l-Iswed li r-ribelljoni m'għandhiex għalfejn tkun?</v>
      </c>
    </row>
    <row r="10881" ht="15.75" customHeight="1">
      <c r="A10881" s="2" t="s">
        <v>10881</v>
      </c>
      <c r="B10881" s="2" t="str">
        <f>IFERROR(__xludf.DUMMYFUNCTION("GOOGLETRANSLATE(A10881, ""en"", ""mt"")"),"Aktar minn 50 kilopascals")</f>
        <v>Aktar minn 50 kilopascals</v>
      </c>
    </row>
    <row r="10882" ht="15.75" customHeight="1">
      <c r="A10882" s="2" t="s">
        <v>10882</v>
      </c>
      <c r="B10882" s="2" t="str">
        <f>IFERROR(__xludf.DUMMYFUNCTION("GOOGLETRANSLATE(A10882, ""en"", ""mt"")"),"Kemm ma jdumx biex l-effetti jimmanifestaw bħala bidliet fit-tkabbir ekonomiku?")</f>
        <v>Kemm ma jdumx biex l-effetti jimmanifestaw bħala bidliet fit-tkabbir ekonomiku?</v>
      </c>
    </row>
    <row r="10883" ht="15.75" customHeight="1">
      <c r="A10883" s="2" t="s">
        <v>10883</v>
      </c>
      <c r="B10883" s="2" t="str">
        <f>IFERROR(__xludf.DUMMYFUNCTION("GOOGLETRANSLATE(A10883, ""en"", ""mt"")"),"L-inugwaljanza kif tipprevjeni t-tkabbir?")</f>
        <v>L-inugwaljanza kif tipprevjeni t-tkabbir?</v>
      </c>
    </row>
    <row r="10884" ht="15.75" customHeight="1">
      <c r="A10884" s="2" t="s">
        <v>10884</v>
      </c>
      <c r="B10884" s="2" t="str">
        <f>IFERROR(__xludf.DUMMYFUNCTION("GOOGLETRANSLATE(A10884, ""en"", ""mt"")"),"Awtorità tal-Istati Uniti ta '' New World '")</f>
        <v>Awtorità tal-Istati Uniti ta '' New World '</v>
      </c>
    </row>
    <row r="10885" ht="15.75" customHeight="1">
      <c r="A10885" s="2" t="s">
        <v>10885</v>
      </c>
      <c r="B10885" s="2" t="str">
        <f>IFERROR(__xludf.DUMMYFUNCTION("GOOGLETRANSLATE(A10885, ""en"", ""mt"")"),"Fejn ħareġ l-ilma fil-baċin tal-Amażonja meta miexi lejn il-punent?")</f>
        <v>Fejn ħareġ l-ilma fil-baċin tal-Amażonja meta miexi lejn il-punent?</v>
      </c>
    </row>
    <row r="10886" ht="15.75" customHeight="1">
      <c r="A10886" s="2" t="s">
        <v>10886</v>
      </c>
      <c r="B10886" s="2" t="str">
        <f>IFERROR(__xludf.DUMMYFUNCTION("GOOGLETRANSLATE(A10886, ""en"", ""mt"")"),"Magni ta 'aċċess każwali")</f>
        <v>Magni ta 'aċċess każwali</v>
      </c>
    </row>
    <row r="10887" ht="15.75" customHeight="1">
      <c r="A10887" s="2" t="s">
        <v>10887</v>
      </c>
      <c r="B10887" s="2" t="str">
        <f>IFERROR(__xludf.DUMMYFUNCTION("GOOGLETRANSLATE(A10887, ""en"", ""mt"")"),"Huguenots fil-Killeshandra u l-Kontea ta 'Cavan espandew liema industrija agrikola?")</f>
        <v>Huguenots fil-Killeshandra u l-Kontea ta 'Cavan espandew liema industrija agrikola?</v>
      </c>
    </row>
    <row r="10888" ht="15.75" customHeight="1">
      <c r="A10888" s="2" t="s">
        <v>10888</v>
      </c>
      <c r="B10888" s="2" t="str">
        <f>IFERROR(__xludf.DUMMYFUNCTION("GOOGLETRANSLATE(A10888, ""en"", ""mt"")"),"Meta jtejbu s-soċjetà kollha kemm hi")</f>
        <v>Meta jtejbu s-soċjetà kollha kemm hi</v>
      </c>
    </row>
    <row r="10889" ht="15.75" customHeight="1">
      <c r="A10889" s="2" t="s">
        <v>10889</v>
      </c>
      <c r="B10889" s="2" t="str">
        <f>IFERROR(__xludf.DUMMYFUNCTION("GOOGLETRANSLATE(A10889, ""en"", ""mt"")"),"Lulju")</f>
        <v>Lulju</v>
      </c>
    </row>
    <row r="10890" ht="15.75" customHeight="1">
      <c r="A10890" s="2" t="s">
        <v>10890</v>
      </c>
      <c r="B10890" s="2" t="str">
        <f>IFERROR(__xludf.DUMMYFUNCTION("GOOGLETRANSLATE(A10890, ""en"", ""mt"")"),"X’għamlu Iżrael u s-Sirja biex jevitaw li jkunu mmirati mill-bojkott?")</f>
        <v>X’għamlu Iżrael u s-Sirja biex jevitaw li jkunu mmirati mill-bojkott?</v>
      </c>
    </row>
    <row r="10891" ht="15.75" customHeight="1">
      <c r="A10891" s="2" t="s">
        <v>10891</v>
      </c>
      <c r="B10891" s="2" t="str">
        <f>IFERROR(__xludf.DUMMYFUNCTION("GOOGLETRANSLATE(A10891, ""en"", ""mt"")"),"Liema Ġeneral Brittaniku nnegozja f'Montreal?")</f>
        <v>Liema Ġeneral Brittaniku nnegozja f'Montreal?</v>
      </c>
    </row>
    <row r="10892" ht="15.75" customHeight="1">
      <c r="A10892" s="2" t="s">
        <v>10892</v>
      </c>
      <c r="B10892" s="2" t="str">
        <f>IFERROR(__xludf.DUMMYFUNCTION("GOOGLETRANSLATE(A10892, ""en"", ""mt"")"),"Tkabbir ogħla tal-PGD")</f>
        <v>Tkabbir ogħla tal-PGD</v>
      </c>
    </row>
    <row r="10893" ht="15.75" customHeight="1">
      <c r="A10893" s="2" t="s">
        <v>10893</v>
      </c>
      <c r="B10893" s="2" t="str">
        <f>IFERROR(__xludf.DUMMYFUNCTION("GOOGLETRANSLATE(A10893, ""en"", ""mt"")"),"Minħabba d-densità akbar ta 'ilma kiesaħ")</f>
        <v>Minħabba d-densità akbar ta 'ilma kiesaħ</v>
      </c>
    </row>
    <row r="10894" ht="15.75" customHeight="1">
      <c r="A10894" s="2" t="s">
        <v>10894</v>
      </c>
      <c r="B10894" s="2" t="str">
        <f>IFERROR(__xludf.DUMMYFUNCTION("GOOGLETRANSLATE(A10894, ""en"", ""mt"")")," X'jista 'kkawża li l-foresti tropikali jikbru madwar l-Amerika t'Isfel?")</f>
        <v> X'jista 'kkawża li l-foresti tropikali jikbru madwar l-Amerika t'Isfel?</v>
      </c>
    </row>
    <row r="10895" ht="15.75" customHeight="1">
      <c r="A10895" s="2" t="s">
        <v>10895</v>
      </c>
      <c r="B10895" s="2" t="str">
        <f>IFERROR(__xludf.DUMMYFUNCTION("GOOGLETRANSLATE(A10895, ""en"", ""mt"")"),"X'inhi l-bażi termodinamika tal-magna tal-fwar?")</f>
        <v>X'inhi l-bażi termodinamika tal-magna tal-fwar?</v>
      </c>
    </row>
    <row r="10896" ht="15.75" customHeight="1">
      <c r="A10896" s="2" t="s">
        <v>10896</v>
      </c>
      <c r="B10896" s="2" t="str">
        <f>IFERROR(__xludf.DUMMYFUNCTION("GOOGLETRANSLATE(A10896, ""en"", ""mt"")"),"plug-n-play")</f>
        <v>plug-n-play</v>
      </c>
    </row>
    <row r="10897" ht="15.75" customHeight="1">
      <c r="A10897" s="2" t="s">
        <v>10897</v>
      </c>
      <c r="B10897" s="2" t="str">
        <f>IFERROR(__xludf.DUMMYFUNCTION("GOOGLETRANSLATE(A10897, ""en"", ""mt"")"),"Meta dan il-mexxej ippubblika Bibbja bil-lingwa Franċiża?")</f>
        <v>Meta dan il-mexxej ippubblika Bibbja bil-lingwa Franċiża?</v>
      </c>
    </row>
    <row r="10898" ht="15.75" customHeight="1">
      <c r="A10898" s="2" t="s">
        <v>10898</v>
      </c>
      <c r="B10898" s="2" t="str">
        <f>IFERROR(__xludf.DUMMYFUNCTION("GOOGLETRANSLATE(A10898, ""en"", ""mt"")"),"Min adotta d-duttrini tal-Fuedel tan-Normanni?")</f>
        <v>Min adotta d-duttrini tal-Fuedel tan-Normanni?</v>
      </c>
    </row>
    <row r="10899" ht="15.75" customHeight="1">
      <c r="A10899" s="2" t="s">
        <v>10899</v>
      </c>
      <c r="B10899" s="2" t="str">
        <f>IFERROR(__xludf.DUMMYFUNCTION("GOOGLETRANSLATE(A10899, ""en"", ""mt"")"),"Liema charter ma sarx aspett improtat tal-liġi tal-UE?")</f>
        <v>Liema charter ma sarx aspett improtat tal-liġi tal-UE?</v>
      </c>
    </row>
    <row r="10900" ht="15.75" customHeight="1">
      <c r="A10900" s="2" t="s">
        <v>10900</v>
      </c>
      <c r="B10900" s="2" t="str">
        <f>IFERROR(__xludf.DUMMYFUNCTION("GOOGLETRANSLATE(A10900, ""en"", ""mt"")"),"32 ° C.")</f>
        <v>32 ° C.</v>
      </c>
    </row>
    <row r="10901" ht="15.75" customHeight="1">
      <c r="A10901" s="2" t="s">
        <v>10901</v>
      </c>
      <c r="B10901" s="2" t="str">
        <f>IFERROR(__xludf.DUMMYFUNCTION("GOOGLETRANSLATE(A10901, ""en"", ""mt"")"),"It-tobba tal-Qorti tal-Yuan ġew minn kulturi differenti. Il-fejqan kienu maqsuma fi tobba mhux Mongoljati msejħa Otachi u Shamans tradizzjonali tal-Mongolja. Il-Mongoli kkaratterizzaw tobba Otachi bl-użu tagħhom ta 'rimedji tal-ħxejjex, li kienet distinta"&amp;" mill-kuri spiritwali tax-xamaniżmu Mongoljan. It-tobba rċivew appoġġ uffiċjali mill-gvern tal-Yuan u ngħataw privileġġi legali speċjali. Kublai ħoloq l-Akkademja Imperjali tal-Mediċina biex jimmaniġġja t-trattati mediċi u l-edukazzjoni ta 'tobba ġodda. L"&amp;"-istudjużi Confucian ġew attirati mill-professjoni medika minħabba li żgura dħul għoli u l-etika medika kienet kompatibbli mal-virtujiet Confucian.")</f>
        <v>It-tobba tal-Qorti tal-Yuan ġew minn kulturi differenti. Il-fejqan kienu maqsuma fi tobba mhux Mongoljati msejħa Otachi u Shamans tradizzjonali tal-Mongolja. Il-Mongoli kkaratterizzaw tobba Otachi bl-użu tagħhom ta 'rimedji tal-ħxejjex, li kienet distinta mill-kuri spiritwali tax-xamaniżmu Mongoljan. It-tobba rċivew appoġġ uffiċjali mill-gvern tal-Yuan u ngħataw privileġġi legali speċjali. Kublai ħoloq l-Akkademja Imperjali tal-Mediċina biex jimmaniġġja t-trattati mediċi u l-edukazzjoni ta 'tobba ġodda. L-istudjużi Confucian ġew attirati mill-professjoni medika minħabba li żgura dħul għoli u l-etika medika kienet kompatibbli mal-virtujiet Confucian.</v>
      </c>
    </row>
    <row r="10902" ht="15.75" customHeight="1">
      <c r="A10902" s="2" t="s">
        <v>10902</v>
      </c>
      <c r="B10902" s="2" t="str">
        <f>IFERROR(__xludf.DUMMYFUNCTION("GOOGLETRANSLATE(A10902, ""en"", ""mt"")"),"Superheaters")</f>
        <v>Superheaters</v>
      </c>
    </row>
    <row r="10903" ht="15.75" customHeight="1">
      <c r="A10903" s="2" t="s">
        <v>10903</v>
      </c>
      <c r="B10903" s="2" t="str">
        <f>IFERROR(__xludf.DUMMYFUNCTION("GOOGLETRANSLATE(A10903, ""en"", ""mt"")"),"X'inhuma ż-żewġ faċilitajiet ta 'proċessar fil-viċinat?")</f>
        <v>X'inhuma ż-żewġ faċilitajiet ta 'proċessar fil-viċinat?</v>
      </c>
    </row>
    <row r="10904" ht="15.75" customHeight="1">
      <c r="A10904" s="2" t="s">
        <v>10904</v>
      </c>
      <c r="B10904" s="2" t="str">
        <f>IFERROR(__xludf.DUMMYFUNCTION("GOOGLETRANSLATE(A10904, ""en"", ""mt"")"),"ċivili")</f>
        <v>ċivili</v>
      </c>
    </row>
    <row r="10905" ht="15.75" customHeight="1">
      <c r="A10905" s="2" t="s">
        <v>10905</v>
      </c>
      <c r="B10905" s="2" t="str">
        <f>IFERROR(__xludf.DUMMYFUNCTION("GOOGLETRANSLATE(A10905, ""en"", ""mt"")"),"X'għandhom iċ-ċelloli epiteljali fit-tarf orali?")</f>
        <v>X'għandhom iċ-ċelloli epiteljali fit-tarf orali?</v>
      </c>
    </row>
    <row r="10906" ht="15.75" customHeight="1">
      <c r="A10906" s="2" t="s">
        <v>10906</v>
      </c>
      <c r="B10906" s="2" t="str">
        <f>IFERROR(__xludf.DUMMYFUNCTION("GOOGLETRANSLATE(A10906, ""en"", ""mt"")"),"It-Trattat ta ’Ruma 1957 u t-Trattat ta’ Maastricht 1992 (issa: TFEU)")</f>
        <v>It-Trattat ta ’Ruma 1957 u t-Trattat ta’ Maastricht 1992 (issa: TFEU)</v>
      </c>
    </row>
    <row r="10907" ht="15.75" customHeight="1">
      <c r="A10907" s="2" t="s">
        <v>10907</v>
      </c>
      <c r="B10907" s="2" t="str">
        <f>IFERROR(__xludf.DUMMYFUNCTION("GOOGLETRANSLATE(A10907, ""en"", ""mt"")")," Liema dinastija illeġittima waslet wara l-wan?")</f>
        <v> Liema dinastija illeġittima waslet wara l-wan?</v>
      </c>
    </row>
    <row r="10908" ht="15.75" customHeight="1">
      <c r="A10908" s="2" t="s">
        <v>10908</v>
      </c>
      <c r="B10908" s="2" t="str">
        <f>IFERROR(__xludf.DUMMYFUNCTION("GOOGLETRANSLATE(A10908, ""en"", ""mt"")"),"Kemm hemm kampus tal-Università ta 'Kalifornja?")</f>
        <v>Kemm hemm kampus tal-Università ta 'Kalifornja?</v>
      </c>
    </row>
    <row r="10909" ht="15.75" customHeight="1">
      <c r="A10909" s="2" t="s">
        <v>10909</v>
      </c>
      <c r="B10909" s="2" t="str">
        <f>IFERROR(__xludf.DUMMYFUNCTION("GOOGLETRANSLATE(A10909, ""en"", ""mt"")"),"Kemm kienet l-għajnuna ta 'emerġenza lil Iżrael?")</f>
        <v>Kemm kienet l-għajnuna ta 'emerġenza lil Iżrael?</v>
      </c>
    </row>
    <row r="10910" ht="15.75" customHeight="1">
      <c r="A10910" s="2" t="s">
        <v>10910</v>
      </c>
      <c r="B10910" s="2" t="str">
        <f>IFERROR(__xludf.DUMMYFUNCTION("GOOGLETRANSLATE(A10910, ""en"", ""mt"")"),"monossidu tal-karbonju")</f>
        <v>monossidu tal-karbonju</v>
      </c>
    </row>
    <row r="10911" ht="15.75" customHeight="1">
      <c r="A10911" s="2" t="s">
        <v>10911</v>
      </c>
      <c r="B10911" s="2" t="str">
        <f>IFERROR(__xludf.DUMMYFUNCTION("GOOGLETRANSLATE(A10911, ""en"", ""mt"")"),"Dak li ġie taħt Williams Dominace qabel il-konkwista?")</f>
        <v>Dak li ġie taħt Williams Dominace qabel il-konkwista?</v>
      </c>
    </row>
    <row r="10912" ht="15.75" customHeight="1">
      <c r="A10912" s="2" t="s">
        <v>10912</v>
      </c>
      <c r="B10912" s="2" t="str">
        <f>IFERROR(__xludf.DUMMYFUNCTION("GOOGLETRANSLATE(A10912, ""en"", ""mt"")"),"staġnat")</f>
        <v>staġnat</v>
      </c>
    </row>
    <row r="10913" ht="15.75" customHeight="1">
      <c r="A10913" s="2" t="s">
        <v>10913</v>
      </c>
      <c r="B10913" s="2" t="str">
        <f>IFERROR(__xludf.DUMMYFUNCTION("GOOGLETRANSLATE(A10913, ""en"", ""mt"")"),"Id-delta tar-Rhine-Meuse, l-iktar reġjun naturali importanti tal-Olanda jibda qrib Millingen Aan de Rijn, viċin il-fruntiera Olandiża-Ġermaniża mad-diviżjoni tar-Renu f'Waal u Nederrijn. Peress li r-Renu jikkontribwixxi ħafna mill-ilma, it-terminu iqsar t"&amp;"ar-Rhine Delta huwa komunement użat. Madankollu, dan l-isem jintuża wkoll għad-delta tax-xmara fejn ir-Rhine joħroġ fil-Lag Constance, u għalhekk huwa aktar ċar li ssejjaħ id-delta waħda akbar tar-Rhine-Meus -")</f>
        <v>Id-delta tar-Rhine-Meuse, l-iktar reġjun naturali importanti tal-Olanda jibda qrib Millingen Aan de Rijn, viċin il-fruntiera Olandiża-Ġermaniża mad-diviżjoni tar-Renu f'Waal u Nederrijn. Peress li r-Renu jikkontribwixxi ħafna mill-ilma, it-terminu iqsar tar-Rhine Delta huwa komunement użat. Madankollu, dan l-isem jintuża wkoll għad-delta tax-xmara fejn ir-Rhine joħroġ fil-Lag Constance, u għalhekk huwa aktar ċar li ssejjaħ id-delta waħda akbar tar-Rhine-Meus -</v>
      </c>
    </row>
    <row r="10914" ht="15.75" customHeight="1">
      <c r="A10914" s="2" t="s">
        <v>10914</v>
      </c>
      <c r="B10914" s="2" t="str">
        <f>IFERROR(__xludf.DUMMYFUNCTION("GOOGLETRANSLATE(A10914, ""en"", ""mt"")"),"Kemm jista 'jdum is-Cillia tikber fuq ctenophores?")</f>
        <v>Kemm jista 'jdum is-Cillia tikber fuq ctenophores?</v>
      </c>
    </row>
    <row r="10915" ht="15.75" customHeight="1">
      <c r="A10915" s="2" t="s">
        <v>10915</v>
      </c>
      <c r="B10915" s="2" t="str">
        <f>IFERROR(__xludf.DUMMYFUNCTION("GOOGLETRANSLATE(A10915, ""en"", ""mt"")"),"It-terminu ""fin-Nofsinhar"" ta 'California ġeneralment jirreferi għal kemm mill-iktar kontej tan-Nofsinhar tal-istat?")</f>
        <v>It-terminu "fin-Nofsinhar" ta 'California ġeneralment jirreferi għal kemm mill-iktar kontej tan-Nofsinhar tal-istat?</v>
      </c>
    </row>
    <row r="10916" ht="15.75" customHeight="1">
      <c r="A10916" s="2" t="s">
        <v>10916</v>
      </c>
      <c r="B10916" s="2" t="str">
        <f>IFERROR(__xludf.DUMMYFUNCTION("GOOGLETRANSLATE(A10916, ""en"", ""mt"")"),"X'inhu terminu ieħor għal skejjel preparatorji universitarji?")</f>
        <v>X'inhu terminu ieħor għal skejjel preparatorji universitarji?</v>
      </c>
    </row>
    <row r="10917" ht="15.75" customHeight="1">
      <c r="A10917" s="2" t="s">
        <v>10917</v>
      </c>
      <c r="B10917" s="2" t="str">
        <f>IFERROR(__xludf.DUMMYFUNCTION("GOOGLETRANSLATE(A10917, ""en"", ""mt"")"),"X'inhu 63 grad Celsius il-limitu ta 'creep?")</f>
        <v>X'inhu 63 grad Celsius il-limitu ta 'creep?</v>
      </c>
    </row>
    <row r="10918" ht="15.75" customHeight="1">
      <c r="A10918" s="2" t="s">
        <v>10918</v>
      </c>
      <c r="B10918" s="2" t="str">
        <f>IFERROR(__xludf.DUMMYFUNCTION("GOOGLETRANSLATE(A10918, ""en"", ""mt"")"),"Liema tifqigħa kienet assoċjata mat-truppi fil-gwerra tat-tletin sena?")</f>
        <v>Liema tifqigħa kienet assoċjata mat-truppi fil-gwerra tat-tletin sena?</v>
      </c>
    </row>
    <row r="10919" ht="15.75" customHeight="1">
      <c r="A10919" s="2" t="s">
        <v>10919</v>
      </c>
      <c r="B10919" s="2" t="str">
        <f>IFERROR(__xludf.DUMMYFUNCTION("GOOGLETRANSLATE(A10919, ""en"", ""mt"")"),"eżotermiku")</f>
        <v>eżotermiku</v>
      </c>
    </row>
    <row r="10920" ht="15.75" customHeight="1">
      <c r="A10920" s="2" t="s">
        <v>10920</v>
      </c>
      <c r="B10920" s="2" t="str">
        <f>IFERROR(__xludf.DUMMYFUNCTION("GOOGLETRANSLATE(A10920, ""en"", ""mt"")"),"Ħwawar oħra")</f>
        <v>Ħwawar oħra</v>
      </c>
    </row>
    <row r="10921" ht="15.75" customHeight="1">
      <c r="A10921" s="2" t="s">
        <v>10921</v>
      </c>
      <c r="B10921" s="2" t="str">
        <f>IFERROR(__xludf.DUMMYFUNCTION("GOOGLETRANSLATE(A10921, ""en"", ""mt"")"),"X'jista 'l-Programm ta' Assistenza Nutrizzjonali Supplimentari qatt ma jbiegħ?")</f>
        <v>X'jista 'l-Programm ta' Assistenza Nutrizzjonali Supplimentari qatt ma jbiegħ?</v>
      </c>
    </row>
    <row r="10922" ht="15.75" customHeight="1">
      <c r="A10922" s="2" t="s">
        <v>10922</v>
      </c>
      <c r="B10922" s="2" t="str">
        <f>IFERROR(__xludf.DUMMYFUNCTION("GOOGLETRANSLATE(A10922, ""en"", ""mt"")"),"Kostruzzjoni ta 'dak li r-residenti wasslu biex jimxu mis-subborgi?")</f>
        <v>Kostruzzjoni ta 'dak li r-residenti wasslu biex jimxu mis-subborgi?</v>
      </c>
    </row>
    <row r="10923" ht="15.75" customHeight="1">
      <c r="A10923" s="2" t="s">
        <v>10923</v>
      </c>
      <c r="B10923" s="2" t="str">
        <f>IFERROR(__xludf.DUMMYFUNCTION("GOOGLETRANSLATE(A10923, ""en"", ""mt"")"),"sodda ewlenija")</f>
        <v>sodda ewlenija</v>
      </c>
    </row>
    <row r="10924" ht="15.75" customHeight="1">
      <c r="A10924" s="2" t="s">
        <v>10924</v>
      </c>
      <c r="B10924" s="2" t="str">
        <f>IFERROR(__xludf.DUMMYFUNCTION("GOOGLETRANSLATE(A10924, ""en"", ""mt"")"),"X'inhu eżempju ta 'parassita li uża l-istrateġija ta' varjazzjoni antiġenika biex tevadi l-qerda?")</f>
        <v>X'inhu eżempju ta 'parassita li uża l-istrateġija ta' varjazzjoni antiġenika biex tevadi l-qerda?</v>
      </c>
    </row>
    <row r="10925" ht="15.75" customHeight="1">
      <c r="A10925" s="2" t="s">
        <v>10925</v>
      </c>
      <c r="B10925" s="2" t="str">
        <f>IFERROR(__xludf.DUMMYFUNCTION("GOOGLETRANSLATE(A10925, ""en"", ""mt"")"),"X'jagħmlu ħafna mill-ispiżeriji onlajn?")</f>
        <v>X'jagħmlu ħafna mill-ispiżeriji onlajn?</v>
      </c>
    </row>
    <row r="10926" ht="15.75" customHeight="1">
      <c r="A10926" s="2" t="s">
        <v>10926</v>
      </c>
      <c r="B10926" s="2" t="str">
        <f>IFERROR(__xludf.DUMMYFUNCTION("GOOGLETRANSLATE(A10926, ""en"", ""mt"")"),"Liema qasam tax-xjenza tal-kompjuter huwa kkonċernat primarjament bid-determinazzjoni tal-probabbiltà ta 'jekk problema tistax tissolva jew le bl-użu ta' algoritmi?")</f>
        <v>Liema qasam tax-xjenza tal-kompjuter huwa kkonċernat primarjament bid-determinazzjoni tal-probabbiltà ta 'jekk problema tistax tissolva jew le bl-użu ta' algoritmi?</v>
      </c>
    </row>
    <row r="10927" ht="15.75" customHeight="1">
      <c r="A10927" s="2" t="s">
        <v>10927</v>
      </c>
      <c r="B10927" s="2" t="str">
        <f>IFERROR(__xludf.DUMMYFUNCTION("GOOGLETRANSLATE(A10927, ""en"", ""mt"")"),"50–140 cm")</f>
        <v>50–140 cm</v>
      </c>
    </row>
    <row r="10928" ht="15.75" customHeight="1">
      <c r="A10928" s="2" t="s">
        <v>10928</v>
      </c>
      <c r="B10928" s="2" t="str">
        <f>IFERROR(__xludf.DUMMYFUNCTION("GOOGLETRANSLATE(A10928, ""en"", ""mt"")"),"Sorsi kkonċentrati ħafna ta 'ossiġnu jippromwovu kombustjoni rapida. Perikli tan-nar u ta 'splużjoni jeżistu meta ossidanti u karburanti kkonċentrati jinġiebu viċin; Avveniment ta 'tqabbid, bħal sħana jew xrar, huwa meħtieġ biex jiskatta l-kombustjoni. L-"&amp;"ossiġnu huwa l-ossidant, mhux il-fjuwil, iżda madankollu s-sors ta 'ħafna mill-enerġija kimika rilaxxata fil-kombustjoni. Il-perikli tal-kombustjoni japplikaw ukoll għal komposti ta 'ossiġenu b'potenzjal ossidattiv għoli, bħal perossidi, klorati, nitrati,"&amp;" perklorati, u dikromi minħabba li jistgħu jagħtu ossiġnu għal nar.")</f>
        <v>Sorsi kkonċentrati ħafna ta 'ossiġnu jippromwovu kombustjoni rapida. Perikli tan-nar u ta 'splużjoni jeżistu meta ossidanti u karburanti kkonċentrati jinġiebu viċin; Avveniment ta 'tqabbid, bħal sħana jew xrar, huwa meħtieġ biex jiskatta l-kombustjoni. L-ossiġnu huwa l-ossidant, mhux il-fjuwil, iżda madankollu s-sors ta 'ħafna mill-enerġija kimika rilaxxata fil-kombustjoni. Il-perikli tal-kombustjoni japplikaw ukoll għal komposti ta 'ossiġenu b'potenzjal ossidattiv għoli, bħal perossidi, klorati, nitrati, perklorati, u dikromi minħabba li jistgħu jagħtu ossiġnu għal nar.</v>
      </c>
    </row>
    <row r="10929" ht="15.75" customHeight="1">
      <c r="A10929" s="2" t="s">
        <v>10929</v>
      </c>
      <c r="B10929" s="2" t="str">
        <f>IFERROR(__xludf.DUMMYFUNCTION("GOOGLETRANSLATE(A10929, ""en"", ""mt"")"),"F'liema parti tas-seklu 19 ġew introdotti turbini tal-fwar?")</f>
        <v>F'liema parti tas-seklu 19 ġew introdotti turbini tal-fwar?</v>
      </c>
    </row>
    <row r="10930" ht="15.75" customHeight="1">
      <c r="A10930" s="2" t="s">
        <v>10930</v>
      </c>
      <c r="B10930" s="2" t="str">
        <f>IFERROR(__xludf.DUMMYFUNCTION("GOOGLETRANSLATE(A10930, ""en"", ""mt"")"),"X'inhu l-imperjalizmu kulturali li spiss jissejjaħ?")</f>
        <v>X'inhu l-imperjalizmu kulturali li spiss jissejjaħ?</v>
      </c>
    </row>
    <row r="10931" ht="15.75" customHeight="1">
      <c r="A10931" s="2" t="s">
        <v>10931</v>
      </c>
      <c r="B10931" s="2" t="str">
        <f>IFERROR(__xludf.DUMMYFUNCTION("GOOGLETRANSLATE(A10931, ""en"", ""mt"")"),"45,000 lira")</f>
        <v>45,000 lira</v>
      </c>
    </row>
    <row r="10932" ht="15.75" customHeight="1">
      <c r="A10932" s="2" t="s">
        <v>10932</v>
      </c>
      <c r="B10932" s="2" t="str">
        <f>IFERROR(__xludf.DUMMYFUNCTION("GOOGLETRANSLATE(A10932, ""en"", ""mt"")"),"Magna tat-Turing")</f>
        <v>Magna tat-Turing</v>
      </c>
    </row>
    <row r="10933" ht="15.75" customHeight="1">
      <c r="A10933" s="2" t="s">
        <v>10933</v>
      </c>
      <c r="B10933" s="2" t="str">
        <f>IFERROR(__xludf.DUMMYFUNCTION("GOOGLETRANSLATE(A10933, ""en"", ""mt"")"),"X'kien l-ivvjaġġar tas-sema aktar tard mill-ġdid?")</f>
        <v>X'kien l-ivvjaġġar tas-sema aktar tard mill-ġdid?</v>
      </c>
    </row>
    <row r="10934" ht="15.75" customHeight="1">
      <c r="A10934" s="2" t="s">
        <v>10934</v>
      </c>
      <c r="B10934" s="2" t="str">
        <f>IFERROR(__xludf.DUMMYFUNCTION("GOOGLETRANSLATE(A10934, ""en"", ""mt"")"),"Min hu l-arristokrazija eventwalment serva bħala kruċjati akkaniti?")</f>
        <v>Min hu l-arristokrazija eventwalment serva bħala kruċjati akkaniti?</v>
      </c>
    </row>
    <row r="10935" ht="15.75" customHeight="1">
      <c r="A10935" s="2" t="s">
        <v>10935</v>
      </c>
      <c r="B10935" s="2" t="str">
        <f>IFERROR(__xludf.DUMMYFUNCTION("GOOGLETRANSLATE(A10935, ""en"", ""mt"")"),"Minbarra li jħossu l-lokalità tiegħu, għal xiex hi popolari l-Palm Springs?")</f>
        <v>Minbarra li jħossu l-lokalità tiegħu, għal xiex hi popolari l-Palm Springs?</v>
      </c>
    </row>
    <row r="10936" ht="15.75" customHeight="1">
      <c r="A10936" s="2" t="s">
        <v>10936</v>
      </c>
      <c r="B10936" s="2" t="str">
        <f>IFERROR(__xludf.DUMMYFUNCTION("GOOGLETRANSLATE(A10936, ""en"", ""mt"")"),"Kemm itqal l-ossiġnu 18 minn ossiġnu 16?")</f>
        <v>Kemm itqal l-ossiġnu 18 minn ossiġnu 16?</v>
      </c>
    </row>
    <row r="10937" ht="15.75" customHeight="1">
      <c r="A10937" s="2" t="s">
        <v>10937</v>
      </c>
      <c r="B10937" s="2" t="str">
        <f>IFERROR(__xludf.DUMMYFUNCTION("GOOGLETRANSLATE(A10937, ""en"", ""mt"")"),"Liema xogħol ingħata Kemney fil-GE?")</f>
        <v>Liema xogħol ingħata Kemney fil-GE?</v>
      </c>
    </row>
    <row r="10938" ht="15.75" customHeight="1">
      <c r="A10938" s="2" t="s">
        <v>10938</v>
      </c>
      <c r="B10938" s="2" t="str">
        <f>IFERROR(__xludf.DUMMYFUNCTION("GOOGLETRANSLATE(A10938, ""en"", ""mt"")"),"X'responsabbiltajiet huma l-ispiżjara li jemmnu li qed jieħdu aktar fil-futur?")</f>
        <v>X'responsabbiltajiet huma l-ispiżjara li jemmnu li qed jieħdu aktar fil-futur?</v>
      </c>
    </row>
    <row r="10939" ht="15.75" customHeight="1">
      <c r="A10939" s="2" t="s">
        <v>10939</v>
      </c>
      <c r="B10939" s="2" t="str">
        <f>IFERROR(__xludf.DUMMYFUNCTION("GOOGLETRANSLATE(A10939, ""en"", ""mt"")"),"L-avvanzi li saru fil-Lvant Nofsani fil-Botanika u l-Kimika wasslu l-mediċina fl-Iżlam medjevali sostanzjalment biex tiżviluppa farmakoloġija. Muhammad Ibn Zakarīya Rāzi (Rhazes) (865-915), pereżempju, aġixxa biex jippromwovi l-użi mediċi ta 'komposti kim"&amp;"iċi. Abu al-Qasim al-Zahrawi (abulcasis) (936-1013) pijunier fil-preparazzjoni ta 'mediċini permezz ta' sublimazzjoni u distillazzjoni. Il-libertà tiegħu huwa ta 'interess partikolari, peress li jipprovdi lill-qarrej b'riċetti u jispjega kif iħejji l-'fle"&amp;"s' li minnu ġew aggravati l-mediċini kumplessi li mbagħad jintużaw ġeneralment. Sabur Ibn Sahl (D 869), kien, madankollu, l-ewwel tabib li beda l-farmakopoedija, li jiddeskrivi varjetà kbira ta 'mediċini u rimedji għall-mard. Al-Biruni (973-1050) kiteb wa"&amp;"ħda mill-iktar xogħlijiet Iżlamiċi siewja fuq il-farmakoloġija, intitolata Kitab al-Saydalah (il-Ktieb tad-Drogi), li fih iddettalja l-proprjetajiet tad-drogi u ddeskriva r-rwol tal-ispiżerija u l-funzjonijiet u d-dmirijiet tal-ispiżjar. Avicenna wkoll id"&amp;"deskriviet xejn inqas minn 700 preparazzjoni, il-proprjetajiet tagħhom, modi ta 'azzjoni, u l-indikazzjonijiet tagħhom. Huwa ddedika fil-fatt volum sħiħ għal mediċini sempliċi fil-kanon tal-mediċina. Ta 'impatt kbir kienu wkoll ix-xogħlijiet minn al-Marid"&amp;"ini ta' Bagdad u l-Kajr, u Ibn al-Wafid (1008-1074), it-tnejn li t-tnejn ġew stampati bil-Latin aktar minn ħamsin darba, li jidhru bħala de mediciinis universalibus et partikolaribus minn ""mesue"" l-iżgħar, u l-medicamentis sempliċibus minn 'Abenguefit'."&amp;" Peter ta 'Abano (1250-1316) tradotta u żied suppliment għax-xogħol ta' Al-Maridini taħt it-Titolu de Veneris. Il-kontribuzzjonijiet ta 'Al-Muwaffaq fil-qasam huma wkoll pijunieri. Jgħix fis-seklu 10, huwa kiteb il-pedamenti tal-proprjetajiet veri tar-rim"&amp;"edji, fost oħrajn li jiddeskrivu l-ossidu arsenious, u li kienu midħla tal-aċidu siliku. Huwa għamel distinzjoni ċara bejn il-karbonat tas-sodju u l-karbonat tal-potassju, u ġibed l-attenzjoni għan-natura velenuża tal-komposti tar-ram, speċjalment il-vitr"&amp;"iol tar-ram, u wkoll il-komposti taċ-ċomb. Huwa jiddeskrivi wkoll id-distillazzjoni tal-ilma tal-baħar għax-xorb. [Verifika meħtieġa]")</f>
        <v>L-avvanzi li saru fil-Lvant Nofsani fil-Botanika u l-Kimika wasslu l-mediċina fl-Iżlam medjevali sostanzjalment biex tiżviluppa farmakoloġija. Muhammad Ibn Zakarīya Rāzi (Rhazes) (865-915), pereżempju, aġixxa biex jippromwovi l-użi mediċi ta 'komposti kimiċi. Abu al-Qasim al-Zahrawi (abulcasis) (936-1013) pijunier fil-preparazzjoni ta 'mediċini permezz ta' sublimazzjoni u distillazzjoni. Il-libertà tiegħu huwa ta 'interess partikolari, peress li jipprovdi lill-qarrej b'riċetti u jispjega kif iħejji l-'fles' li minnu ġew aggravati l-mediċini kumplessi li mbagħad jintużaw ġeneralment. Sabur Ibn Sahl (D 869), kien, madankollu, l-ewwel tabib li beda l-farmakopoedija, li jiddeskrivi varjetà kbira ta 'mediċini u rimedji għall-mard. Al-Biruni (973-1050) kiteb waħda mill-iktar xogħlijiet Iżlamiċi siewja fuq il-farmakoloġija, intitolata Kitab al-Saydalah (il-Ktieb tad-Drogi), li fih iddettalja l-proprjetajiet tad-drogi u ddeskriva r-rwol tal-ispiżerija u l-funzjonijiet u d-dmirijiet tal-ispiżjar. Avicenna wkoll iddeskriviet xejn inqas minn 700 preparazzjoni, il-proprjetajiet tagħhom, modi ta 'azzjoni, u l-indikazzjonijiet tagħhom. Huwa ddedika fil-fatt volum sħiħ għal mediċini sempliċi fil-kanon tal-mediċina. Ta 'impatt kbir kienu wkoll ix-xogħlijiet minn al-Maridini ta' Bagdad u l-Kajr, u Ibn al-Wafid (1008-1074), it-tnejn li t-tnejn ġew stampati bil-Latin aktar minn ħamsin darba, li jidhru bħala de mediciinis universalibus et partikolaribus minn "mesue" l-iżgħar, u l-medicamentis sempliċibus minn 'Abenguefit'. Peter ta 'Abano (1250-1316) tradotta u żied suppliment għax-xogħol ta' Al-Maridini taħt it-Titolu de Veneris. Il-kontribuzzjonijiet ta 'Al-Muwaffaq fil-qasam huma wkoll pijunieri. Jgħix fis-seklu 10, huwa kiteb il-pedamenti tal-proprjetajiet veri tar-rimedji, fost oħrajn li jiddeskrivu l-ossidu arsenious, u li kienu midħla tal-aċidu siliku. Huwa għamel distinzjoni ċara bejn il-karbonat tas-sodju u l-karbonat tal-potassju, u ġibed l-attenzjoni għan-natura velenuża tal-komposti tar-ram, speċjalment il-vitriol tar-ram, u wkoll il-komposti taċ-ċomb. Huwa jiddeskrivi wkoll id-distillazzjoni tal-ilma tal-baħar għax-xorb. [Verifika meħtieġa]</v>
      </c>
    </row>
    <row r="10940" ht="15.75" customHeight="1">
      <c r="A10940" s="2" t="s">
        <v>10940</v>
      </c>
      <c r="B10940" s="2" t="str">
        <f>IFERROR(__xludf.DUMMYFUNCTION("GOOGLETRANSLATE(A10940, ""en"", ""mt"")"),"X’għamel Lewis S. Eaton?")</f>
        <v>X’għamel Lewis S. Eaton?</v>
      </c>
    </row>
    <row r="10941" ht="15.75" customHeight="1">
      <c r="A10941" s="2" t="s">
        <v>10941</v>
      </c>
      <c r="B10941" s="2" t="str">
        <f>IFERROR(__xludf.DUMMYFUNCTION("GOOGLETRANSLATE(A10941, ""en"", ""mt"")"),"Liema direzzjoni joħroġ żewġ terzi tar-Renu barra l-Ġermanja?")</f>
        <v>Liema direzzjoni joħroġ żewġ terzi tar-Renu barra l-Ġermanja?</v>
      </c>
    </row>
    <row r="10942" ht="15.75" customHeight="1">
      <c r="A10942" s="2" t="s">
        <v>10942</v>
      </c>
      <c r="B10942" s="2" t="str">
        <f>IFERROR(__xludf.DUMMYFUNCTION("GOOGLETRANSLATE(A10942, ""en"", ""mt"")"),"Il-Beneden Merwede fergħat mill-fergħa tat-tramuntana għal xiex?")</f>
        <v>Il-Beneden Merwede fergħat mill-fergħa tat-tramuntana għal xiex?</v>
      </c>
    </row>
    <row r="10943" ht="15.75" customHeight="1">
      <c r="A10943" s="2" t="s">
        <v>10943</v>
      </c>
      <c r="B10943" s="2" t="str">
        <f>IFERROR(__xludf.DUMMYFUNCTION("GOOGLETRANSLATE(A10943, ""en"", ""mt"")"),"Lupe Mayorga")</f>
        <v>Lupe Mayorga</v>
      </c>
    </row>
    <row r="10944" ht="15.75" customHeight="1">
      <c r="A10944" s="2" t="s">
        <v>10944</v>
      </c>
      <c r="B10944" s="2" t="str">
        <f>IFERROR(__xludf.DUMMYFUNCTION("GOOGLETRANSLATE(A10944, ""en"", ""mt"")"),"Fl-approċċ tal-kapaċitajiet, it-tkabbir u d-dħul huma meqjusa bħala mezz biex jintemm aktar milli?")</f>
        <v>Fl-approċċ tal-kapaċitajiet, it-tkabbir u d-dħul huma meqjusa bħala mezz biex jintemm aktar milli?</v>
      </c>
    </row>
    <row r="10945" ht="15.75" customHeight="1">
      <c r="A10945" s="2" t="s">
        <v>10945</v>
      </c>
      <c r="B10945" s="2" t="str">
        <f>IFERROR(__xludf.DUMMYFUNCTION("GOOGLETRANSLATE(A10945, ""en"", ""mt"")"),"żieda fir-riżultati tas-saħħa tal-pazjent u l-ispejjeż mnaqqsa")</f>
        <v>żieda fir-riżultati tas-saħħa tal-pazjent u l-ispejjeż mnaqqsa</v>
      </c>
    </row>
    <row r="10946" ht="15.75" customHeight="1">
      <c r="A10946" s="2" t="s">
        <v>10946</v>
      </c>
      <c r="B10946" s="2" t="str">
        <f>IFERROR(__xludf.DUMMYFUNCTION("GOOGLETRANSLATE(A10946, ""en"", ""mt"")"),"metamorfosed")</f>
        <v>metamorfosed</v>
      </c>
    </row>
    <row r="10947" ht="15.75" customHeight="1">
      <c r="A10947" s="2" t="s">
        <v>10947</v>
      </c>
      <c r="B10947" s="2" t="str">
        <f>IFERROR(__xludf.DUMMYFUNCTION("GOOGLETRANSLATE(A10947, ""en"", ""mt"")"),"F'liema livell hemm 13% tat-tfal fi skejjel indipendenti Skoċċiżi?")</f>
        <v>F'liema livell hemm 13% tat-tfal fi skejjel indipendenti Skoċċiżi?</v>
      </c>
    </row>
    <row r="10948" ht="15.75" customHeight="1">
      <c r="A10948" s="2" t="s">
        <v>10948</v>
      </c>
      <c r="B10948" s="2" t="str">
        <f>IFERROR(__xludf.DUMMYFUNCTION("GOOGLETRANSLATE(A10948, ""en"", ""mt"")"),"BSkyb")</f>
        <v>BSkyb</v>
      </c>
    </row>
    <row r="10949" ht="15.75" customHeight="1">
      <c r="A10949" s="2" t="s">
        <v>10949</v>
      </c>
      <c r="B10949" s="2" t="str">
        <f>IFERROR(__xludf.DUMMYFUNCTION("GOOGLETRANSLATE(A10949, ""en"", ""mt"")"),"Meta l-O2 beda jakkultura fl-atmosfera?")</f>
        <v>Meta l-O2 beda jakkultura fl-atmosfera?</v>
      </c>
    </row>
    <row r="10950" ht="15.75" customHeight="1">
      <c r="A10950" s="2" t="s">
        <v>10950</v>
      </c>
      <c r="B10950" s="2" t="str">
        <f>IFERROR(__xludf.DUMMYFUNCTION("GOOGLETRANSLATE(A10950, ""en"", ""mt"")"),"Fil-partijiet tan-netwerk tal-kanali interni taħt ir-ringieli tal-moxt")</f>
        <v>Fil-partijiet tan-netwerk tal-kanali interni taħt ir-ringieli tal-moxt</v>
      </c>
    </row>
    <row r="10951" ht="15.75" customHeight="1">
      <c r="A10951" s="2" t="s">
        <v>10951</v>
      </c>
      <c r="B10951" s="2" t="str">
        <f>IFERROR(__xludf.DUMMYFUNCTION("GOOGLETRANSLATE(A10951, ""en"", ""mt"")"),"Albert Einstein ifformula liema liġi?")</f>
        <v>Albert Einstein ifformula liema liġi?</v>
      </c>
    </row>
    <row r="10952" ht="15.75" customHeight="1">
      <c r="A10952" s="2" t="s">
        <v>10952</v>
      </c>
      <c r="B10952" s="2" t="str">
        <f>IFERROR(__xludf.DUMMYFUNCTION("GOOGLETRANSLATE(A10952, ""en"", ""mt"")"),"Il-kapital uman huwa traskurat")</f>
        <v>Il-kapital uman huwa traskurat</v>
      </c>
    </row>
    <row r="10953" ht="15.75" customHeight="1">
      <c r="A10953" s="2" t="s">
        <v>10953</v>
      </c>
      <c r="B10953" s="2" t="str">
        <f>IFERROR(__xludf.DUMMYFUNCTION("GOOGLETRANSLATE(A10953, ""en"", ""mt"")"),"""Rhine-kilometri""")</f>
        <v>"Rhine-kilometri"</v>
      </c>
    </row>
    <row r="10954" ht="15.75" customHeight="1">
      <c r="A10954" s="2" t="s">
        <v>10954</v>
      </c>
      <c r="B10954" s="2" t="str">
        <f>IFERROR(__xludf.DUMMYFUNCTION("GOOGLETRANSLATE(A10954, ""en"", ""mt"")"),"Liema belt, flimkien ma 'Hamilton, Wellington u Christchurch, hija waħda mill-ikbar fi New Zealand?")</f>
        <v>Liema belt, flimkien ma 'Hamilton, Wellington u Christchurch, hija waħda mill-ikbar fi New Zealand?</v>
      </c>
    </row>
    <row r="10955" ht="15.75" customHeight="1">
      <c r="A10955" s="2" t="s">
        <v>10955</v>
      </c>
      <c r="B10955" s="2" t="str">
        <f>IFERROR(__xludf.DUMMYFUNCTION("GOOGLETRANSLATE(A10955, ""en"", ""mt"")"),"Meta Varsavja saret il-kapitali tar-Renju tal-Polonja?")</f>
        <v>Meta Varsavja saret il-kapitali tar-Renju tal-Polonja?</v>
      </c>
    </row>
    <row r="10956" ht="15.75" customHeight="1">
      <c r="A10956" s="2" t="s">
        <v>10956</v>
      </c>
      <c r="B10956" s="2" t="str">
        <f>IFERROR(__xludf.DUMMYFUNCTION("GOOGLETRANSLATE(A10956, ""en"", ""mt"")"),"Meta se jagħlqu l-pjanti tal-manifattura ta 'Ford?")</f>
        <v>Meta se jagħlqu l-pjanti tal-manifattura ta 'Ford?</v>
      </c>
    </row>
    <row r="10957" ht="15.75" customHeight="1">
      <c r="A10957" s="2" t="s">
        <v>10957</v>
      </c>
      <c r="B10957" s="2" t="str">
        <f>IFERROR(__xludf.DUMMYFUNCTION("GOOGLETRANSLATE(A10957, ""en"", ""mt"")"),"Duttrina Monroe")</f>
        <v>Duttrina Monroe</v>
      </c>
    </row>
    <row r="10958" ht="15.75" customHeight="1">
      <c r="A10958" s="2" t="s">
        <v>10958</v>
      </c>
      <c r="B10958" s="2" t="str">
        <f>IFERROR(__xludf.DUMMYFUNCTION("GOOGLETRANSLATE(A10958, ""en"", ""mt"")"),"Min jista 'jipproponi li d-data tal-elezzjoni tkun varjata sa tliet xhur?")</f>
        <v>Min jista 'jipproponi li d-data tal-elezzjoni tkun varjata sa tliet xhur?</v>
      </c>
    </row>
    <row r="10959" ht="15.75" customHeight="1">
      <c r="A10959" s="2" t="s">
        <v>10959</v>
      </c>
      <c r="B10959" s="2" t="str">
        <f>IFERROR(__xludf.DUMMYFUNCTION("GOOGLETRANSLATE(A10959, ""en"", ""mt"")"),"Liema standards ħolqu l-karozzi Amerikani fl-industrija tal-karozzi?")</f>
        <v>Liema standards ħolqu l-karozzi Amerikani fl-industrija tal-karozzi?</v>
      </c>
    </row>
    <row r="10960" ht="15.75" customHeight="1">
      <c r="A10960" s="2" t="s">
        <v>10960</v>
      </c>
      <c r="B10960" s="2" t="str">
        <f>IFERROR(__xludf.DUMMYFUNCTION("GOOGLETRANSLATE(A10960, ""en"", ""mt"")"),"Minn liema viċinat kien qabel Edward Harkness?")</f>
        <v>Minn liema viċinat kien qabel Edward Harkness?</v>
      </c>
    </row>
    <row r="10961" ht="15.75" customHeight="1">
      <c r="A10961" s="2" t="s">
        <v>10961</v>
      </c>
      <c r="B10961" s="2" t="str">
        <f>IFERROR(__xludf.DUMMYFUNCTION("GOOGLETRANSLATE(A10961, ""en"", ""mt"")"),"1.1 × 1011")</f>
        <v>1.1 × 1011</v>
      </c>
    </row>
    <row r="10962" ht="15.75" customHeight="1">
      <c r="A10962" s="2" t="s">
        <v>10962</v>
      </c>
      <c r="B10962" s="2" t="str">
        <f>IFERROR(__xludf.DUMMYFUNCTION("GOOGLETRANSLATE(A10962, ""en"", ""mt"")"),"Ruman")</f>
        <v>Ruman</v>
      </c>
    </row>
    <row r="10963" ht="15.75" customHeight="1">
      <c r="A10963" s="2" t="s">
        <v>10963</v>
      </c>
      <c r="B10963" s="2" t="str">
        <f>IFERROR(__xludf.DUMMYFUNCTION("GOOGLETRANSLATE(A10963, ""en"", ""mt"")"),"sirena")</f>
        <v>sirena</v>
      </c>
    </row>
    <row r="10964" ht="15.75" customHeight="1">
      <c r="A10964" s="2" t="s">
        <v>10964</v>
      </c>
      <c r="B10964" s="2" t="str">
        <f>IFERROR(__xludf.DUMMYFUNCTION("GOOGLETRANSLATE(A10964, ""en"", ""mt"")"),"Fejn jgħix is-surfer professjonali Tony Hawk?")</f>
        <v>Fejn jgħix is-surfer professjonali Tony Hawk?</v>
      </c>
    </row>
    <row r="10965" ht="15.75" customHeight="1">
      <c r="A10965" s="2" t="s">
        <v>10965</v>
      </c>
      <c r="B10965" s="2" t="str">
        <f>IFERROR(__xludf.DUMMYFUNCTION("GOOGLETRANSLATE(A10965, ""en"", ""mt"")"),"Superjorità teknoloġika")</f>
        <v>Superjorità teknoloġika</v>
      </c>
    </row>
    <row r="10966" ht="15.75" customHeight="1">
      <c r="A10966" s="2" t="s">
        <v>10966</v>
      </c>
      <c r="B10966" s="2" t="str">
        <f>IFERROR(__xludf.DUMMYFUNCTION("GOOGLETRANSLATE(A10966, ""en"", ""mt"")"),"Matul ir-rikostruzzjoni u l-età indurata, Jacksonville u l-viċin San Wistin saru resorts popolari tax-xitwa għall-għonja u l-famużi. Il-viżitaturi waslu minn Steamboat u aktar tard bil-ferrovija. Il-President Grover Cleveland attenda l-espożizzjoni sub-tr"&amp;"opikali fil-belt fit-22 ta 'Frar, 1888 waqt il-vjaġġ tiegħu lejn Florida. Dan enfasizza l-viżibbiltà tal-istat bħala post denju għat-turiżmu. It-turiżmu tal-belt, madankollu, ġie ttrattat daqqa kbira fl-aħħar tas-seklu 19 minn tifqigħat tad-deni isfar. Ba"&amp;"rra minn hekk, l-estensjoni tal-Ferrovija tal-Kosta tal-Lvant tal-Florida aktar fin-nofsinhar ġibdet viżitaturi għal żoni oħra. Mill-1893 sal-1938 Jacksonville kien is-sit tas-Suldati Konfederati l-Qadim tal-Florida u l-Baħħara d-dar ma 'ċimiterju fil-qri"&amp;"b.")</f>
        <v>Matul ir-rikostruzzjoni u l-età indurata, Jacksonville u l-viċin San Wistin saru resorts popolari tax-xitwa għall-għonja u l-famużi. Il-viżitaturi waslu minn Steamboat u aktar tard bil-ferrovija. Il-President Grover Cleveland attenda l-espożizzjoni sub-tropikali fil-belt fit-22 ta 'Frar, 1888 waqt il-vjaġġ tiegħu lejn Florida. Dan enfasizza l-viżibbiltà tal-istat bħala post denju għat-turiżmu. It-turiżmu tal-belt, madankollu, ġie ttrattat daqqa kbira fl-aħħar tas-seklu 19 minn tifqigħat tad-deni isfar. Barra minn hekk, l-estensjoni tal-Ferrovija tal-Kosta tal-Lvant tal-Florida aktar fin-nofsinhar ġibdet viżitaturi għal żoni oħra. Mill-1893 sal-1938 Jacksonville kien is-sit tas-Suldati Konfederati l-Qadim tal-Florida u l-Baħħara d-dar ma 'ċimiterju fil-qrib.</v>
      </c>
    </row>
    <row r="10967" ht="15.75" customHeight="1">
      <c r="A10967" s="2" t="s">
        <v>10967</v>
      </c>
      <c r="B10967" s="2" t="str">
        <f>IFERROR(__xludf.DUMMYFUNCTION("GOOGLETRANSLATE(A10967, ""en"", ""mt"")"),"Fuq liema huma r-rati miżjuda ta 'impjieg indipendenti?")</f>
        <v>Fuq liema huma r-rati miżjuda ta 'impjieg indipendenti?</v>
      </c>
    </row>
    <row r="10968" ht="15.75" customHeight="1">
      <c r="A10968" s="2" t="s">
        <v>10968</v>
      </c>
      <c r="B10968" s="2" t="str">
        <f>IFERROR(__xludf.DUMMYFUNCTION("GOOGLETRANSLATE(A10968, ""en"", ""mt"")"),"Liema kummissjoni ġiet iċċensurata fl-1999, u witta t-triq għall-kummissarji biex jabbużaw mill-poter tagħhom?")</f>
        <v>Liema kummissjoni ġiet iċċensurata fl-1999, u witta t-triq għall-kummissarji biex jabbużaw mill-poter tagħhom?</v>
      </c>
    </row>
    <row r="10969" ht="15.75" customHeight="1">
      <c r="A10969" s="2" t="s">
        <v>10969</v>
      </c>
      <c r="B10969" s="2" t="str">
        <f>IFERROR(__xludf.DUMMYFUNCTION("GOOGLETRANSLATE(A10969, ""en"", ""mt"")"),"imġieba kriminalizzata")</f>
        <v>imġieba kriminalizzata</v>
      </c>
    </row>
    <row r="10970" ht="15.75" customHeight="1">
      <c r="A10970" s="2" t="s">
        <v>10970</v>
      </c>
      <c r="B10970" s="2" t="str">
        <f>IFERROR(__xludf.DUMMYFUNCTION("GOOGLETRANSLATE(A10970, ""en"", ""mt"")"),"1,435 mm (4 ft 8 1⁄2 in) Gauge standard")</f>
        <v>1,435 mm (4 ft 8 1⁄2 in) Gauge standard</v>
      </c>
    </row>
    <row r="10971" ht="15.75" customHeight="1">
      <c r="A10971" s="2" t="s">
        <v>10971</v>
      </c>
      <c r="B10971" s="2" t="str">
        <f>IFERROR(__xludf.DUMMYFUNCTION("GOOGLETRANSLATE(A10971, ""en"", ""mt"")"),"Koppla trasparenti magħmula minn ċili twil u immobbli")</f>
        <v>Koppla trasparenti magħmula minn ċili twil u immobbli</v>
      </c>
    </row>
    <row r="10972" ht="15.75" customHeight="1">
      <c r="A10972" s="2" t="s">
        <v>10972</v>
      </c>
      <c r="B10972" s="2" t="str">
        <f>IFERROR(__xludf.DUMMYFUNCTION("GOOGLETRANSLATE(A10972, ""en"", ""mt"")"),"L-iskejjel għolja tilfu l-akkreditazzjoni tagħhom")</f>
        <v>L-iskejjel għolja tilfu l-akkreditazzjoni tagħhom</v>
      </c>
    </row>
    <row r="10973" ht="15.75" customHeight="1">
      <c r="A10973" s="2" t="s">
        <v>10973</v>
      </c>
      <c r="B10973" s="2" t="str">
        <f>IFERROR(__xludf.DUMMYFUNCTION("GOOGLETRANSLATE(A10973, ""en"", ""mt"")"),"Parallel mar-Rhine kanalizzata fil-lag.")</f>
        <v>Parallel mar-Rhine kanalizzata fil-lag.</v>
      </c>
    </row>
    <row r="10974" ht="15.75" customHeight="1">
      <c r="A10974" s="2" t="s">
        <v>10974</v>
      </c>
      <c r="B10974" s="2" t="str">
        <f>IFERROR(__xludf.DUMMYFUNCTION("GOOGLETRANSLATE(A10974, ""en"", ""mt"")"),"Editt ta 'Alès")</f>
        <v>Editt ta 'Alès</v>
      </c>
    </row>
    <row r="10975" ht="15.75" customHeight="1">
      <c r="A10975" s="2" t="s">
        <v>10975</v>
      </c>
      <c r="B10975" s="2" t="str">
        <f>IFERROR(__xludf.DUMMYFUNCTION("GOOGLETRANSLATE(A10975, ""en"", ""mt"")"),"Meta ġie ppubblikat it-tielet rapport ta 'valutazzjoni?")</f>
        <v>Meta ġie ppubblikat it-tielet rapport ta 'valutazzjoni?</v>
      </c>
    </row>
    <row r="10976" ht="15.75" customHeight="1">
      <c r="A10976" s="2" t="s">
        <v>10976</v>
      </c>
      <c r="B10976" s="2" t="str">
        <f>IFERROR(__xludf.DUMMYFUNCTION("GOOGLETRANSLATE(A10976, ""en"", ""mt"")"),"Ħalli l-awtrija ta 'l-Istati Uniti ta' 'New World'")</f>
        <v>Ħalli l-awtrija ta 'l-Istati Uniti ta' 'New World'</v>
      </c>
    </row>
    <row r="10977" ht="15.75" customHeight="1">
      <c r="A10977" s="2" t="s">
        <v>10977</v>
      </c>
      <c r="B10977" s="2" t="str">
        <f>IFERROR(__xludf.DUMMYFUNCTION("GOOGLETRANSLATE(A10977, ""en"", ""mt"")"),"Xi nnota Shrewsbury dwar il-pesta?")</f>
        <v>Xi nnota Shrewsbury dwar il-pesta?</v>
      </c>
    </row>
    <row r="10978" ht="15.75" customHeight="1">
      <c r="A10978" s="2" t="s">
        <v>10978</v>
      </c>
      <c r="B10978" s="2" t="str">
        <f>IFERROR(__xludf.DUMMYFUNCTION("GOOGLETRANSLATE(A10978, ""en"", ""mt"")"),"ġew arrestati immedjatament")</f>
        <v>ġew arrestati immedjatament</v>
      </c>
    </row>
    <row r="10979" ht="15.75" customHeight="1">
      <c r="A10979" s="2" t="s">
        <v>10979</v>
      </c>
      <c r="B10979" s="2" t="str">
        <f>IFERROR(__xludf.DUMMYFUNCTION("GOOGLETRANSLATE(A10979, ""en"", ""mt"")"),"Liema teorija hija t-teżi ta 'Cobham-Edward?")</f>
        <v>Liema teorija hija t-teżi ta 'Cobham-Edward?</v>
      </c>
    </row>
    <row r="10980" ht="15.75" customHeight="1">
      <c r="A10980" s="2" t="s">
        <v>10980</v>
      </c>
      <c r="B10980" s="2" t="str">
        <f>IFERROR(__xludf.DUMMYFUNCTION("GOOGLETRANSLATE(A10980, ""en"", ""mt"")"),"Il-kunċett ta 'inerzja jista' jiġi ġeneralizzat aktar biex jispjega t-tendenza ta 'oġġetti li jkomplu f'ħafna forom differenti ta' moviment kostanti, anke dawk li mhumiex veloċità strettament kostanti. L-inerzja rotazzjonali tal-pjaneta tad-Dinja hija dik"&amp;" li tiffissa l-kostanza tat-tul ta 'ġurnata u t-tul ta' sena. Albert Einstein estenda l-prinċipju ta 'l-inerzja aktar meta spjega li l-oqfsa ta' referenza soġġetti għal aċċellerazzjoni kostanti, bħal dawk li jaqgħu ħielsa lejn oġġett li jxaqilbu, kienu fi"&amp;"żikament ekwivalenti għal frejms ta 'referenza inerzjali. Din hija r-raġuni għaliex, pereżempju, l-astronawti jesperjenzaw piż żejjed meta jkunu fl-orbita tal-waqgħa ħielsa madwar id-Dinja, u għaliex il-liġijiet tal-moviment ta 'Newton huma aktar faċilmen"&amp;"t diskussi f'ambjenti bħal dawn. Jekk astronawt ipoġġi oġġett bil-massa f'nofs l-arja ħdejh innifsu, jibqa 'wieqaf fir-rigward tal-astronawt minħabba l-inerzja tiegħu. Din hija l-istess ħaġa li sseħħ jekk l-astronawt u l-oġġett kienu fi spazju intergalatt"&amp;"iku mingħajr l-ebda forza netta tal-gravità li taġixxi fuq il-qafas ta 'referenza komuni tagħhom. Dan il-prinċipju ta 'ekwivalenza kien wieħed mill-irfid fundamentali għall-iżvilupp tat-teorija ġenerali tar-relatività.")</f>
        <v>Il-kunċett ta 'inerzja jista' jiġi ġeneralizzat aktar biex jispjega t-tendenza ta 'oġġetti li jkomplu f'ħafna forom differenti ta' moviment kostanti, anke dawk li mhumiex veloċità strettament kostanti. L-inerzja rotazzjonali tal-pjaneta tad-Dinja hija dik li tiffissa l-kostanza tat-tul ta 'ġurnata u t-tul ta' sena. Albert Einstein estenda l-prinċipju ta 'l-inerzja aktar meta spjega li l-oqfsa ta' referenza soġġetti għal aċċellerazzjoni kostanti, bħal dawk li jaqgħu ħielsa lejn oġġett li jxaqilbu, kienu fiżikament ekwivalenti għal frejms ta 'referenza inerzjali. Din hija r-raġuni għaliex, pereżempju, l-astronawti jesperjenzaw piż żejjed meta jkunu fl-orbita tal-waqgħa ħielsa madwar id-Dinja, u għaliex il-liġijiet tal-moviment ta 'Newton huma aktar faċilment diskussi f'ambjenti bħal dawn. Jekk astronawt ipoġġi oġġett bil-massa f'nofs l-arja ħdejh innifsu, jibqa 'wieqaf fir-rigward tal-astronawt minħabba l-inerzja tiegħu. Din hija l-istess ħaġa li sseħħ jekk l-astronawt u l-oġġett kienu fi spazju intergalattiku mingħajr l-ebda forza netta tal-gravità li taġixxi fuq il-qafas ta 'referenza komuni tagħhom. Dan il-prinċipju ta 'ekwivalenza kien wieħed mill-irfid fundamentali għall-iżvilupp tat-teorija ġenerali tar-relatività.</v>
      </c>
    </row>
    <row r="10981" ht="15.75" customHeight="1">
      <c r="A10981" s="2" t="s">
        <v>10981</v>
      </c>
      <c r="B10981" s="2" t="str">
        <f>IFERROR(__xludf.DUMMYFUNCTION("GOOGLETRANSLATE(A10981, ""en"", ""mt"")"),"Sorsi riveduti mill-pari")</f>
        <v>Sorsi riveduti mill-pari</v>
      </c>
    </row>
    <row r="10982" ht="15.75" customHeight="1">
      <c r="A10982" s="2" t="s">
        <v>10982</v>
      </c>
      <c r="B10982" s="2" t="str">
        <f>IFERROR(__xludf.DUMMYFUNCTION("GOOGLETRANSLATE(A10982, ""en"", ""mt"")"),"Liema spiżjara x'aktarx ifittxu edukazzjoni addizzjonali wara skola tal-ispiżerija?")</f>
        <v>Liema spiżjara x'aktarx ifittxu edukazzjoni addizzjonali wara skola tal-ispiżerija?</v>
      </c>
    </row>
    <row r="10983" ht="15.75" customHeight="1">
      <c r="A10983" s="2" t="s">
        <v>10983</v>
      </c>
      <c r="B10983" s="2" t="str">
        <f>IFERROR(__xludf.DUMMYFUNCTION("GOOGLETRANSLATE(A10983, ""en"", ""mt"")"),"klijent magħruf")</f>
        <v>klijent magħruf</v>
      </c>
    </row>
    <row r="10984" ht="15.75" customHeight="1">
      <c r="A10984" s="2" t="s">
        <v>10984</v>
      </c>
      <c r="B10984" s="2" t="str">
        <f>IFERROR(__xludf.DUMMYFUNCTION("GOOGLETRANSLATE(A10984, ""en"", ""mt"")"),"Meta Triq Fulton saret id-distrett finanzjarju ewlieni?")</f>
        <v>Meta Triq Fulton saret id-distrett finanzjarju ewlieni?</v>
      </c>
    </row>
    <row r="10985" ht="15.75" customHeight="1">
      <c r="A10985" s="2" t="s">
        <v>10985</v>
      </c>
      <c r="B10985" s="2" t="str">
        <f>IFERROR(__xludf.DUMMYFUNCTION("GOOGLETRANSLATE(A10985, ""en"", ""mt"")"),"Kif huma appoġġjati l-ispjegazzjonijiet?")</f>
        <v>Kif huma appoġġjati l-ispjegazzjonijiet?</v>
      </c>
    </row>
    <row r="10986" ht="15.75" customHeight="1">
      <c r="A10986" s="2" t="s">
        <v>10986</v>
      </c>
      <c r="B10986" s="2" t="str">
        <f>IFERROR(__xludf.DUMMYFUNCTION("GOOGLETRANSLATE(A10986, ""en"", ""mt"")"),"Liema data ġiet affermata mill-IPCC?")</f>
        <v>Liema data ġiet affermata mill-IPCC?</v>
      </c>
    </row>
    <row r="10987" ht="15.75" customHeight="1">
      <c r="A10987" s="2" t="s">
        <v>10987</v>
      </c>
      <c r="B10987" s="2" t="str">
        <f>IFERROR(__xludf.DUMMYFUNCTION("GOOGLETRANSLATE(A10987, ""en"", ""mt"")"),"Għaliex għandha tiġi evitata d-diżubbidjenza mill-pubbliku ġenerali?")</f>
        <v>Għaliex għandha tiġi evitata d-diżubbidjenza mill-pubbliku ġenerali?</v>
      </c>
    </row>
    <row r="10988" ht="15.75" customHeight="1">
      <c r="A10988" s="2" t="s">
        <v>10988</v>
      </c>
      <c r="B10988" s="2" t="str">
        <f>IFERROR(__xludf.DUMMYFUNCTION("GOOGLETRANSLATE(A10988, ""en"", ""mt"")"),"Il-kunċett ""forza""")</f>
        <v>Il-kunċett "forza"</v>
      </c>
    </row>
    <row r="10989" ht="15.75" customHeight="1">
      <c r="A10989" s="2" t="s">
        <v>10989</v>
      </c>
      <c r="B10989" s="2" t="str">
        <f>IFERROR(__xludf.DUMMYFUNCTION("GOOGLETRANSLATE(A10989, ""en"", ""mt"")"),"Ħdejn fejn fil-kontinent huwa maħsub li l-baċin tal-Amażonja jinqasam?")</f>
        <v>Ħdejn fejn fil-kontinent huwa maħsub li l-baċin tal-Amażonja jinqasam?</v>
      </c>
    </row>
    <row r="10990" ht="15.75" customHeight="1">
      <c r="A10990" s="2" t="s">
        <v>10990</v>
      </c>
      <c r="B10990" s="2" t="str">
        <f>IFERROR(__xludf.DUMMYFUNCTION("GOOGLETRANSLATE(A10990, ""en"", ""mt"")"),"Liema forma tal-ġisem għandha l-aboral?")</f>
        <v>Liema forma tal-ġisem għandha l-aboral?</v>
      </c>
    </row>
    <row r="10991" ht="15.75" customHeight="1">
      <c r="A10991" s="2" t="s">
        <v>10991</v>
      </c>
      <c r="B10991" s="2" t="str">
        <f>IFERROR(__xludf.DUMMYFUNCTION("GOOGLETRANSLATE(A10991, ""en"", ""mt"")"),"l-ossidant")</f>
        <v>l-ossidant</v>
      </c>
    </row>
    <row r="10992" ht="15.75" customHeight="1">
      <c r="A10992" s="2" t="s">
        <v>10992</v>
      </c>
      <c r="B10992" s="2" t="str">
        <f>IFERROR(__xludf.DUMMYFUNCTION("GOOGLETRANSLATE(A10992, ""en"", ""mt"")"),"Sonia Shankman School Orthogenic")</f>
        <v>Sonia Shankman School Orthogenic</v>
      </c>
    </row>
    <row r="10993" ht="15.75" customHeight="1">
      <c r="A10993" s="2" t="s">
        <v>10993</v>
      </c>
      <c r="B10993" s="2" t="str">
        <f>IFERROR(__xludf.DUMMYFUNCTION("GOOGLETRANSLATE(A10993, ""en"", ""mt"")"),"Kumitati obbligatorji")</f>
        <v>Kumitati obbligatorji</v>
      </c>
    </row>
    <row r="10994" ht="15.75" customHeight="1">
      <c r="A10994" s="2" t="s">
        <v>10994</v>
      </c>
      <c r="B10994" s="2" t="str">
        <f>IFERROR(__xludf.DUMMYFUNCTION("GOOGLETRANSLATE(A10994, ""en"", ""mt"")"),"ħamrija moderna")</f>
        <v>ħamrija moderna</v>
      </c>
    </row>
    <row r="10995" ht="15.75" customHeight="1">
      <c r="A10995" s="2" t="s">
        <v>10995</v>
      </c>
      <c r="B10995" s="2" t="str">
        <f>IFERROR(__xludf.DUMMYFUNCTION("GOOGLETRANSLATE(A10995, ""en"", ""mt"")"),"X'inhuma t-theddid ewlieni li qed tiffaċċja l-Amazon Rainforest fis-seklu attwali?")</f>
        <v>X'inhuma t-theddid ewlieni li qed tiffaċċja l-Amazon Rainforest fis-seklu attwali?</v>
      </c>
    </row>
    <row r="10996" ht="15.75" customHeight="1">
      <c r="A10996" s="2" t="s">
        <v>10996</v>
      </c>
      <c r="B10996" s="2" t="str">
        <f>IFERROR(__xludf.DUMMYFUNCTION("GOOGLETRANSLATE(A10996, ""en"", ""mt"")"),"n &lt;p &lt;2n - 2")</f>
        <v>n &lt;p &lt;2n - 2</v>
      </c>
    </row>
    <row r="10997" ht="15.75" customHeight="1">
      <c r="A10997" s="2" t="s">
        <v>10997</v>
      </c>
      <c r="B10997" s="2" t="str">
        <f>IFERROR(__xludf.DUMMYFUNCTION("GOOGLETRANSLATE(A10997, ""en"", ""mt"")"),"Min mexxa l-Expedition Kolonjali Huguenot ta 'l-Amerika ta' Fuq?")</f>
        <v>Min mexxa l-Expedition Kolonjali Huguenot ta 'l-Amerika ta' Fuq?</v>
      </c>
    </row>
    <row r="10998" ht="15.75" customHeight="1">
      <c r="A10998" s="2" t="s">
        <v>10998</v>
      </c>
      <c r="B10998" s="2" t="str">
        <f>IFERROR(__xludf.DUMMYFUNCTION("GOOGLETRANSLATE(A10998, ""en"", ""mt"")"),"Kemm-il darba l-plankton għandhom bżonn jitimgħu?")</f>
        <v>Kemm-il darba l-plankton għandhom bżonn jitimgħu?</v>
      </c>
    </row>
    <row r="10999" ht="15.75" customHeight="1">
      <c r="A10999" s="2" t="s">
        <v>10999</v>
      </c>
      <c r="B10999" s="2" t="str">
        <f>IFERROR(__xludf.DUMMYFUNCTION("GOOGLETRANSLATE(A10999, ""en"", ""mt"")"),"maltempata")</f>
        <v>maltempata</v>
      </c>
    </row>
    <row r="11000" ht="15.75" customHeight="1">
      <c r="A11000" s="2" t="s">
        <v>11000</v>
      </c>
      <c r="B11000" s="2" t="str">
        <f>IFERROR(__xludf.DUMMYFUNCTION("GOOGLETRANSLATE(A11000, ""en"", ""mt"")"),"Ekonomikament")</f>
        <v>Ekonomikament</v>
      </c>
    </row>
    <row r="11001" ht="15.75" customHeight="1">
      <c r="A11001" s="2" t="s">
        <v>11001</v>
      </c>
      <c r="B11001" s="2" t="str">
        <f>IFERROR(__xludf.DUMMYFUNCTION("GOOGLETRANSLATE(A11001, ""en"", ""mt"")"),"136,000 kilometru kwadru")</f>
        <v>136,000 kilometru kwadru</v>
      </c>
    </row>
    <row r="11002" ht="15.75" customHeight="1">
      <c r="A11002" s="2" t="s">
        <v>11002</v>
      </c>
      <c r="B11002" s="2" t="str">
        <f>IFERROR(__xludf.DUMMYFUNCTION("GOOGLETRANSLATE(A11002, ""en"", ""mt"")"),"Id-ditti kapitalisti għal xiex ma jissostitwixxux tagħmir għal analiżi Marxjana?")</f>
        <v>Id-ditti kapitalisti għal xiex ma jissostitwixxux tagħmir għal analiżi Marxjana?</v>
      </c>
    </row>
    <row r="11003" ht="15.75" customHeight="1">
      <c r="A11003" s="2" t="s">
        <v>11003</v>
      </c>
      <c r="B11003" s="2" t="str">
        <f>IFERROR(__xludf.DUMMYFUNCTION("GOOGLETRANSLATE(A11003, ""en"", ""mt"")")," Min mexxa difiża Mongoljana fuq id-dinastija tal-kanzunetta?")</f>
        <v> Min mexxa difiża Mongoljana fuq id-dinastija tal-kanzunetta?</v>
      </c>
    </row>
    <row r="11004" ht="15.75" customHeight="1">
      <c r="A11004" s="2" t="s">
        <v>11004</v>
      </c>
      <c r="B11004" s="2" t="str">
        <f>IFERROR(__xludf.DUMMYFUNCTION("GOOGLETRANSLATE(A11004, ""en"", ""mt"")"),"Għal liema stati ma kinux responsabbli fl-Artikolu 34?")</f>
        <v>Għal liema stati ma kinux responsabbli fl-Artikolu 34?</v>
      </c>
    </row>
    <row r="11005" ht="15.75" customHeight="1">
      <c r="A11005" s="2" t="s">
        <v>11005</v>
      </c>
      <c r="B11005" s="2" t="str">
        <f>IFERROR(__xludf.DUMMYFUNCTION("GOOGLETRANSLATE(A11005, ""en"", ""mt"")"),"Apoptożi rapida")</f>
        <v>Apoptożi rapida</v>
      </c>
    </row>
    <row r="11006" ht="15.75" customHeight="1">
      <c r="A11006" s="2" t="s">
        <v>11006</v>
      </c>
      <c r="B11006" s="2" t="str">
        <f>IFERROR(__xludf.DUMMYFUNCTION("GOOGLETRANSLATE(A11006, ""en"", ""mt"")")," Ir-regola kolonjali ma tkunx ikkunsidrata bħala tip ta 'imperjalizmu?")</f>
        <v> Ir-regola kolonjali ma tkunx ikkunsidrata bħala tip ta 'imperjalizmu?</v>
      </c>
    </row>
    <row r="11007" ht="15.75" customHeight="1">
      <c r="A11007" s="2" t="s">
        <v>11007</v>
      </c>
      <c r="B11007" s="2" t="str">
        <f>IFERROR(__xludf.DUMMYFUNCTION("GOOGLETRANSLATE(A11007, ""en"", ""mt"")"),"F’liema sena l-magna ta ’Savery kienet tippompja f’minjiera?")</f>
        <v>F’liema sena l-magna ta ’Savery kienet tippompja f’minjiera?</v>
      </c>
    </row>
    <row r="11008" ht="15.75" customHeight="1">
      <c r="A11008" s="2" t="s">
        <v>11008</v>
      </c>
      <c r="B11008" s="2" t="str">
        <f>IFERROR(__xludf.DUMMYFUNCTION("GOOGLETRANSLATE(A11008, ""en"", ""mt"")"),"Mocama")</f>
        <v>Mocama</v>
      </c>
    </row>
    <row r="11009" ht="15.75" customHeight="1">
      <c r="A11009" s="2" t="s">
        <v>11009</v>
      </c>
      <c r="B11009" s="2" t="str">
        <f>IFERROR(__xludf.DUMMYFUNCTION("GOOGLETRANSLATE(A11009, ""en"", ""mt"")"),"Fuq liema kampus tal-Woods Hole jinsab iċ-Ċentru Nazzjonali tar-Riċerka dwar l-Opinjoni?")</f>
        <v>Fuq liema kampus tal-Woods Hole jinsab iċ-Ċentru Nazzjonali tar-Riċerka dwar l-Opinjoni?</v>
      </c>
    </row>
    <row r="11010" ht="15.75" customHeight="1">
      <c r="A11010" s="2" t="s">
        <v>11010</v>
      </c>
      <c r="B11010" s="2" t="str">
        <f>IFERROR(__xludf.DUMMYFUNCTION("GOOGLETRANSLATE(A11010, ""en"", ""mt"")"),"Studju tal-1999 sab li 100 km² ta 'foresta tropikali fihom kemm pjanti ħajjin?")</f>
        <v>Studju tal-1999 sab li 100 km² ta 'foresta tropikali fihom kemm pjanti ħajjin?</v>
      </c>
    </row>
    <row r="11011" ht="15.75" customHeight="1">
      <c r="A11011" s="2" t="s">
        <v>11011</v>
      </c>
      <c r="B11011" s="2" t="str">
        <f>IFERROR(__xludf.DUMMYFUNCTION("GOOGLETRANSLATE(A11011, ""en"", ""mt"")"),"Tagħmir ta 'sigurtà xieraq bħal arnessi u guardrails u proċeduri bħall-iżgurar tas-slielem u l-ispezzjoni tal-armar")</f>
        <v>Tagħmir ta 'sigurtà xieraq bħal arnessi u guardrails u proċeduri bħall-iżgurar tas-slielem u l-ispezzjoni tal-armar</v>
      </c>
    </row>
    <row r="11012" ht="15.75" customHeight="1">
      <c r="A11012" s="2" t="s">
        <v>11012</v>
      </c>
      <c r="B11012" s="2" t="str">
        <f>IFERROR(__xludf.DUMMYFUNCTION("GOOGLETRANSLATE(A11012, ""en"", ""mt"")"),"~ 8,000 sena ilu")</f>
        <v>~ 8,000 sena ilu</v>
      </c>
    </row>
    <row r="11013" ht="15.75" customHeight="1">
      <c r="A11013" s="2" t="s">
        <v>11013</v>
      </c>
      <c r="B11013" s="2" t="str">
        <f>IFERROR(__xludf.DUMMYFUNCTION("GOOGLETRANSLATE(A11013, ""en"", ""mt"")"),"Torri tal-Ilma")</f>
        <v>Torri tal-Ilma</v>
      </c>
    </row>
    <row r="11014" ht="15.75" customHeight="1">
      <c r="A11014" s="2" t="s">
        <v>11014</v>
      </c>
      <c r="B11014" s="2" t="str">
        <f>IFERROR(__xludf.DUMMYFUNCTION("GOOGLETRANSLATE(A11014, ""en"", ""mt"")"),"Min ippubblika l-mappa ġeoloġika ta 'William Smith?")</f>
        <v>Min ippubblika l-mappa ġeoloġika ta 'William Smith?</v>
      </c>
    </row>
    <row r="11015" ht="15.75" customHeight="1">
      <c r="A11015" s="2" t="s">
        <v>11015</v>
      </c>
      <c r="B11015" s="2" t="str">
        <f>IFERROR(__xludf.DUMMYFUNCTION("GOOGLETRANSLATE(A11015, ""en"", ""mt"")"),"15 ° C (59 ° F)")</f>
        <v>15 ° C (59 ° F)</v>
      </c>
    </row>
    <row r="11016" ht="15.75" customHeight="1">
      <c r="A11016" s="2" t="s">
        <v>11016</v>
      </c>
      <c r="B11016" s="2" t="str">
        <f>IFERROR(__xludf.DUMMYFUNCTION("GOOGLETRANSLATE(A11016, ""en"", ""mt"")"),"X'tip ta 'arkitettura huwa l-palazz ta' erba 'twieqi eżempju impressjonanti ta'?")</f>
        <v>X'tip ta 'arkitettura huwa l-palazz ta' erba 'twieqi eżempju impressjonanti ta'?</v>
      </c>
    </row>
    <row r="11017" ht="15.75" customHeight="1">
      <c r="A11017" s="2" t="s">
        <v>11017</v>
      </c>
      <c r="B11017" s="2" t="str">
        <f>IFERROR(__xludf.DUMMYFUNCTION("GOOGLETRANSLATE(A11017, ""en"", ""mt"")"),"4")</f>
        <v>4</v>
      </c>
    </row>
    <row r="11018" ht="15.75" customHeight="1">
      <c r="A11018" s="2" t="s">
        <v>11018</v>
      </c>
      <c r="B11018" s="2" t="str">
        <f>IFERROR(__xludf.DUMMYFUNCTION("GOOGLETRANSLATE(A11018, ""en"", ""mt"")"),"Kif ma bdietx il-gwerra?")</f>
        <v>Kif ma bdietx il-gwerra?</v>
      </c>
    </row>
    <row r="11019" ht="15.75" customHeight="1">
      <c r="A11019" s="2" t="s">
        <v>11019</v>
      </c>
      <c r="B11019" s="2" t="str">
        <f>IFERROR(__xludf.DUMMYFUNCTION("GOOGLETRANSLATE(A11019, ""en"", ""mt"")"),"Ċelloli tal-memorja b'ħajja twila jistgħu jiftakru inkontri preċedenti ma 'xiex?")</f>
        <v>Ċelloli tal-memorja b'ħajja twila jistgħu jiftakru inkontri preċedenti ma 'xiex?</v>
      </c>
    </row>
    <row r="11020" ht="15.75" customHeight="1">
      <c r="A11020" s="2" t="s">
        <v>11020</v>
      </c>
      <c r="B11020" s="2" t="str">
        <f>IFERROR(__xludf.DUMMYFUNCTION("GOOGLETRANSLATE(A11020, ""en"", ""mt"")"),"Motivazzjonijiet orjentati lejn il-kisba")</f>
        <v>Motivazzjonijiet orjentati lejn il-kisba</v>
      </c>
    </row>
    <row r="11021" ht="15.75" customHeight="1">
      <c r="A11021" s="2" t="s">
        <v>11021</v>
      </c>
      <c r="B11021" s="2" t="str">
        <f>IFERROR(__xludf.DUMMYFUNCTION("GOOGLETRANSLATE(A11021, ""en"", ""mt"")"),"Kemm hemm formazzjonijiet ġeomorfoloġiċi fuq Varsavja?")</f>
        <v>Kemm hemm formazzjonijiet ġeomorfoloġiċi fuq Varsavja?</v>
      </c>
    </row>
    <row r="11022" ht="15.75" customHeight="1">
      <c r="A11022" s="2" t="s">
        <v>11022</v>
      </c>
      <c r="B11022" s="2" t="str">
        <f>IFERROR(__xludf.DUMMYFUNCTION("GOOGLETRANSLATE(A11022, ""en"", ""mt"")"),"X’tippreżentat ir-Royal Society of Edinburgh fl-1785?")</f>
        <v>X’tippreżentat ir-Royal Society of Edinburgh fl-1785?</v>
      </c>
    </row>
    <row r="11023" ht="15.75" customHeight="1">
      <c r="A11023" s="2" t="s">
        <v>11023</v>
      </c>
      <c r="B11023" s="2" t="str">
        <f>IFERROR(__xludf.DUMMYFUNCTION("GOOGLETRANSLATE(A11023, ""en"", ""mt"")"),"Studenti fl-Università ta ’Chicago jmexxu aktar minn 400 klabb u organizzazzjonijiet magħrufa bħala organizzazzjonijiet ta’ studenti rikonoxxuti (RSOs). Dawn jinkludu gruppi kulturali u reliġjużi, klabbs u timijiet akkademiċi, u organizzazzjonijiet ta 'in"&amp;"teress komuni. Gruppi extra-kurrikulari notevoli jinkludu t-tim tal-Università ta 'Chicago College Bowl, li rebaħ 118-il tournaments u 15-il kampjonat nazzjonali, li jwasslu ż-żewġ kategoriji internazzjonalment. Il-mudell kompetittiv tal-università tat-ti"&amp;"m tan-Nazzjonijiet Uniti kien l-aqwa tim ikklassifikat fl-Amerika ta ’Fuq fl-2013-14 u fl-2014-2015. Fost l-RSOs notevoli hemm l-itwal films tal-films tal-istudenti li jmexxu kontinwament in-nazzjon, Kumitat Organizzazzjoni għall-Università ta 'Chicago Sc"&amp;"avenger Hunt, il-gazzetta studenti darbtejn fil-ġimgħa The Chicago Maroon, il-gazzetta tal-istudenti alternattivi ta' kull ġimgħa South Side Weekly, it-tieni l-eqdem tan-nazzjon kontinwament ġiri kontinwament Studenti Improvisational Theatre Troupe Off-Of"&amp;"f Campus, u l-istazzjon tar-radju tal-università WHPK.")</f>
        <v>Studenti fl-Università ta ’Chicago jmexxu aktar minn 400 klabb u organizzazzjonijiet magħrufa bħala organizzazzjonijiet ta’ studenti rikonoxxuti (RSOs). Dawn jinkludu gruppi kulturali u reliġjużi, klabbs u timijiet akkademiċi, u organizzazzjonijiet ta 'interess komuni. Gruppi extra-kurrikulari notevoli jinkludu t-tim tal-Università ta 'Chicago College Bowl, li rebaħ 118-il tournaments u 15-il kampjonat nazzjonali, li jwasslu ż-żewġ kategoriji internazzjonalment. Il-mudell kompetittiv tal-università tat-tim tan-Nazzjonijiet Uniti kien l-aqwa tim ikklassifikat fl-Amerika ta ’Fuq fl-2013-14 u fl-2014-2015. Fost l-RSOs notevoli hemm l-itwal films tal-films tal-istudenti li jmexxu kontinwament in-nazzjon, Kumitat Organizzazzjoni għall-Università ta 'Chicago Scavenger Hunt, il-gazzetta studenti darbtejn fil-ġimgħa The Chicago Maroon, il-gazzetta tal-istudenti alternattivi ta' kull ġimgħa South Side Weekly, it-tieni l-eqdem tan-nazzjon kontinwament ġiri kontinwament Studenti Improvisational Theatre Troupe Off-Off Campus, u l-istazzjon tar-radju tal-università WHPK.</v>
      </c>
    </row>
    <row r="11024" ht="15.75" customHeight="1">
      <c r="A11024" s="2" t="s">
        <v>11024</v>
      </c>
      <c r="B11024" s="2" t="str">
        <f>IFERROR(__xludf.DUMMYFUNCTION("GOOGLETRANSLATE(A11024, ""en"", ""mt"")"),"perjodu ta 'kompressjoni")</f>
        <v>perjodu ta 'kompressjoni</v>
      </c>
    </row>
    <row r="11025" ht="15.75" customHeight="1">
      <c r="A11025" s="2" t="s">
        <v>11025</v>
      </c>
      <c r="B11025" s="2" t="str">
        <f>IFERROR(__xludf.DUMMYFUNCTION("GOOGLETRANSLATE(A11025, ""en"", ""mt"")"),"Predeċessuri oħra tal-Knisja Riformata kienu jinkludu l-Kattoliċi Rumani favur ir-Riforma u Gallikana, bħal Jacques Lefevre (c. 1455-1536). Il-Gallikani kisbu fil-qosor l-indipendenza għall-Knisja Franċiża, fuq il-prinċipju li r-reliġjon ta ’Franza ma set"&amp;"għetx tkun ikkontrollata mill-Isqof ta’ Ruma, poter barrani. Matul ir-Riforma Protestanta, Lefevre, professur fl-Università ta ’Pariġi, ippubblika t-traduzzjoni Franċiża tiegħu tat-Testment il-Ġdid fl-1523, segwit mill-Bibbja kollha bil-lingwa Franċiża fl"&amp;"-1530. William Farel kien student ta’ Lefevre li kompla jsir Mexxej tar-Riforma Żvizzera, li stabbilixxa gvern Protestant f'Ġinevra. Jean Cauvin (John Calvin), student ieħor fl-Università ta ’Pariġi, ikkonverta wkoll għall-Protestantiżmu. Ferm wara li s-s"&amp;"etta ġiet imrażżna minn Franġisku I, il-Waldensians Franċiżi li fadal, imbagħad l-aktar fir-reġjun ta ’Luberon, fittex li jingħaqad ma’ William Farel, Calvin u r-Riforma, u Olivetan ippubblika Bibbja Franċiża għalihom. Il-konfessjoni Franċiża tal-1559 tur"&amp;"i influwenza deċiżament kalvinistika. F’xi żmien bejn l-1550 u l-1580, il-membri tal-Knisja Riformata fi Franza ġew magħrufa komunement bħala Huguenots. [Ċitazzjoni meħtieġa]")</f>
        <v>Predeċessuri oħra tal-Knisja Riformata kienu jinkludu l-Kattoliċi Rumani favur ir-Riforma u Gallikana, bħal Jacques Lefevre (c. 1455-1536). Il-Gallikani kisbu fil-qosor l-indipendenza għall-Knisja Franċiża, fuq il-prinċipju li r-reliġjon ta ’Franza ma setgħetx tkun ikkontrollata mill-Isqof ta’ Ruma, poter barrani. Matul ir-Riforma Protestanta, Lefevre, professur fl-Università ta ’Pariġi, ippubblika t-traduzzjoni Franċiża tiegħu tat-Testment il-Ġdid fl-1523, segwit mill-Bibbja kollha bil-lingwa Franċiża fl-1530. William Farel kien student ta’ Lefevre li kompla jsir Mexxej tar-Riforma Żvizzera, li stabbilixxa gvern Protestant f'Ġinevra. Jean Cauvin (John Calvin), student ieħor fl-Università ta ’Pariġi, ikkonverta wkoll għall-Protestantiżmu. Ferm wara li s-setta ġiet imrażżna minn Franġisku I, il-Waldensians Franċiżi li fadal, imbagħad l-aktar fir-reġjun ta ’Luberon, fittex li jingħaqad ma’ William Farel, Calvin u r-Riforma, u Olivetan ippubblika Bibbja Franċiża għalihom. Il-konfessjoni Franċiża tal-1559 turi influwenza deċiżament kalvinistika. F’xi żmien bejn l-1550 u l-1580, il-membri tal-Knisja Riformata fi Franza ġew magħrufa komunement bħala Huguenots. [Ċitazzjoni meħtieġa]</v>
      </c>
    </row>
    <row r="11026" ht="15.75" customHeight="1">
      <c r="A11026" s="2" t="s">
        <v>11026</v>
      </c>
      <c r="B11026" s="2" t="str">
        <f>IFERROR(__xludf.DUMMYFUNCTION("GOOGLETRANSLATE(A11026, ""en"", ""mt"")"),"Xiri ta 'waqfien wieħed")</f>
        <v>Xiri ta 'waqfien wieħed</v>
      </c>
    </row>
    <row r="11027" ht="15.75" customHeight="1">
      <c r="A11027" s="2" t="s">
        <v>11027</v>
      </c>
      <c r="B11027" s="2" t="str">
        <f>IFERROR(__xludf.DUMMYFUNCTION("GOOGLETRANSLATE(A11027, ""en"", ""mt"")"),"Importaturi paralleli")</f>
        <v>Importaturi paralleli</v>
      </c>
    </row>
    <row r="11028" ht="15.75" customHeight="1">
      <c r="A11028" s="2" t="s">
        <v>11028</v>
      </c>
      <c r="B11028" s="2" t="str">
        <f>IFERROR(__xludf.DUMMYFUNCTION("GOOGLETRANSLATE(A11028, ""en"", ""mt"")"),"L-ormoni tas-sess femminili huma immunostimulaturi ta 'liema risponsi immuni?")</f>
        <v>L-ormoni tas-sess femminili huma immunostimulaturi ta 'liema risponsi immuni?</v>
      </c>
    </row>
    <row r="11029" ht="15.75" customHeight="1">
      <c r="A11029" s="2" t="s">
        <v>11029</v>
      </c>
      <c r="B11029" s="2" t="str">
        <f>IFERROR(__xludf.DUMMYFUNCTION("GOOGLETRANSLATE(A11029, ""en"", ""mt"")"),"X’ma jibbilanċja l-gvern ta ’Kublai?")</f>
        <v>X’ma jibbilanċja l-gvern ta ’Kublai?</v>
      </c>
    </row>
    <row r="11030" ht="15.75" customHeight="1">
      <c r="A11030" s="2" t="s">
        <v>11030</v>
      </c>
      <c r="B11030" s="2" t="str">
        <f>IFERROR(__xludf.DUMMYFUNCTION("GOOGLETRANSLATE(A11030, ""en"", ""mt"")"),"radikalizza l-moviment Iżlamista")</f>
        <v>radikalizza l-moviment Iżlamista</v>
      </c>
    </row>
    <row r="11031" ht="15.75" customHeight="1">
      <c r="A11031" s="2" t="s">
        <v>11031</v>
      </c>
      <c r="B11031" s="2" t="str">
        <f>IFERROR(__xludf.DUMMYFUNCTION("GOOGLETRANSLATE(A11031, ""en"", ""mt"")"),"Kemm hija twila l-Ġermanja?")</f>
        <v>Kemm hija twila l-Ġermanja?</v>
      </c>
    </row>
    <row r="11032" ht="15.75" customHeight="1">
      <c r="A11032" s="2" t="s">
        <v>11032</v>
      </c>
      <c r="B11032" s="2" t="str">
        <f>IFERROR(__xludf.DUMMYFUNCTION("GOOGLETRANSLATE(A11032, ""en"", ""mt"")"),"ilma tax-xorb")</f>
        <v>ilma tax-xorb</v>
      </c>
    </row>
    <row r="11033" ht="15.75" customHeight="1">
      <c r="A11033" s="2" t="s">
        <v>11033</v>
      </c>
      <c r="B11033" s="2" t="str">
        <f>IFERROR(__xludf.DUMMYFUNCTION("GOOGLETRANSLATE(A11033, ""en"", ""mt"")"),"Ħafna mill-forzi fl-univers huma bbażati fuq kemm interazzjonijiet fundamentali?")</f>
        <v>Ħafna mill-forzi fl-univers huma bbażati fuq kemm interazzjonijiet fundamentali?</v>
      </c>
    </row>
    <row r="11034" ht="15.75" customHeight="1">
      <c r="A11034" s="2" t="s">
        <v>11034</v>
      </c>
      <c r="B11034" s="2" t="str">
        <f>IFERROR(__xludf.DUMMYFUNCTION("GOOGLETRANSLATE(A11034, ""en"", ""mt"")"),"X'inhu eżempju ta 'problema li tistrieħ fil-klassi tas-sempliċità NP?")</f>
        <v>X'inhu eżempju ta 'problema li tistrieħ fil-klassi tas-sempliċità NP?</v>
      </c>
    </row>
    <row r="11035" ht="15.75" customHeight="1">
      <c r="A11035" s="2" t="s">
        <v>11035</v>
      </c>
      <c r="B11035" s="2" t="str">
        <f>IFERROR(__xludf.DUMMYFUNCTION("GOOGLETRANSLATE(A11035, ""en"", ""mt"")"),"Artikolu 30")</f>
        <v>Artikolu 30</v>
      </c>
    </row>
    <row r="11036" ht="15.75" customHeight="1">
      <c r="A11036" s="2" t="s">
        <v>11036</v>
      </c>
      <c r="B11036" s="2" t="str">
        <f>IFERROR(__xludf.DUMMYFUNCTION("GOOGLETRANSLATE(A11036, ""en"", ""mt"")"),"Liema strutturi tal-proġett jgħinu lis-sid fl-integrazzjoni?")</f>
        <v>Liema strutturi tal-proġett jgħinu lis-sid fl-integrazzjoni?</v>
      </c>
    </row>
    <row r="11037" ht="15.75" customHeight="1">
      <c r="A11037" s="2" t="s">
        <v>11037</v>
      </c>
      <c r="B11037" s="2" t="str">
        <f>IFERROR(__xludf.DUMMYFUNCTION("GOOGLETRANSLATE(A11037, ""en"", ""mt"")"),"Meta s-sena ġie ffirmat it-Trattat Maastrich?")</f>
        <v>Meta s-sena ġie ffirmat it-Trattat Maastrich?</v>
      </c>
    </row>
    <row r="11038" ht="15.75" customHeight="1">
      <c r="A11038" s="2" t="s">
        <v>11038</v>
      </c>
      <c r="B11038" s="2" t="str">
        <f>IFERROR(__xludf.DUMMYFUNCTION("GOOGLETRANSLATE(A11038, ""en"", ""mt"")"),"ħmistax")</f>
        <v>ħmistax</v>
      </c>
    </row>
    <row r="11039" ht="15.75" customHeight="1">
      <c r="A11039" s="2" t="s">
        <v>11039</v>
      </c>
      <c r="B11039" s="2" t="str">
        <f>IFERROR(__xludf.DUMMYFUNCTION("GOOGLETRANSLATE(A11039, ""en"", ""mt"")"),"Teorija tal-kumplessità tal-komputazzjoni")</f>
        <v>Teorija tal-kumplessità tal-komputazzjoni</v>
      </c>
    </row>
    <row r="11040" ht="15.75" customHeight="1">
      <c r="A11040" s="2" t="s">
        <v>11040</v>
      </c>
      <c r="B11040" s="2" t="str">
        <f>IFERROR(__xludf.DUMMYFUNCTION("GOOGLETRANSLATE(A11040, ""en"", ""mt"")"),"Franza stabbiliet lil Montpellier f'liema sena?")</f>
        <v>Franza stabbiliet lil Montpellier f'liema sena?</v>
      </c>
    </row>
    <row r="11041" ht="15.75" customHeight="1">
      <c r="A11041" s="2" t="s">
        <v>11041</v>
      </c>
      <c r="B11041" s="2" t="str">
        <f>IFERROR(__xludf.DUMMYFUNCTION("GOOGLETRANSLATE(A11041, ""en"", ""mt"")"),"Il-blat tal-qoxra tad-Dinja")</f>
        <v>Il-blat tal-qoxra tad-Dinja</v>
      </c>
    </row>
    <row r="11042" ht="15.75" customHeight="1">
      <c r="A11042" s="2" t="s">
        <v>11042</v>
      </c>
      <c r="B11042" s="2" t="str">
        <f>IFERROR(__xludf.DUMMYFUNCTION("GOOGLETRANSLATE(A11042, ""en"", ""mt"")"),"Liema partit kellu rebħa fl-elezzjoni tar-Renju Unit tal-2015?")</f>
        <v>Liema partit kellu rebħa fl-elezzjoni tar-Renju Unit tal-2015?</v>
      </c>
    </row>
    <row r="11043" ht="15.75" customHeight="1">
      <c r="A11043" s="2" t="s">
        <v>11043</v>
      </c>
      <c r="B11043" s="2" t="str">
        <f>IFERROR(__xludf.DUMMYFUNCTION("GOOGLETRANSLATE(A11043, ""en"", ""mt"")"),"Reġistrazzjoni tar-Residenza")</f>
        <v>Reġistrazzjoni tar-Residenza</v>
      </c>
    </row>
    <row r="11044" ht="15.75" customHeight="1">
      <c r="A11044" s="2" t="s">
        <v>11044</v>
      </c>
      <c r="B11044" s="2" t="str">
        <f>IFERROR(__xludf.DUMMYFUNCTION("GOOGLETRANSLATE(A11044, ""en"", ""mt"")"),"X'numru l-Griegi bikrija ma kkunsidrawx bħala numru veru?")</f>
        <v>X'numru l-Griegi bikrija ma kkunsidrawx bħala numru veru?</v>
      </c>
    </row>
    <row r="11045" ht="15.75" customHeight="1">
      <c r="A11045" s="2" t="s">
        <v>11045</v>
      </c>
      <c r="B11045" s="2" t="str">
        <f>IFERROR(__xludf.DUMMYFUNCTION("GOOGLETRANSLATE(A11045, ""en"", ""mt"")"),"Paul Revere")</f>
        <v>Paul Revere</v>
      </c>
    </row>
    <row r="11046" ht="15.75" customHeight="1">
      <c r="A11046" s="2" t="s">
        <v>11046</v>
      </c>
      <c r="B11046" s="2" t="str">
        <f>IFERROR(__xludf.DUMMYFUNCTION("GOOGLETRANSLATE(A11046, ""en"", ""mt"")"),"Forza elettromanjetika unifikata")</f>
        <v>Forza elettromanjetika unifikata</v>
      </c>
    </row>
    <row r="11047" ht="15.75" customHeight="1">
      <c r="A11047" s="2" t="s">
        <v>11047</v>
      </c>
      <c r="B11047" s="2" t="str">
        <f>IFERROR(__xludf.DUMMYFUNCTION("GOOGLETRANSLATE(A11047, ""en"", ""mt"")"),"Mhux rivoluzzjonarju")</f>
        <v>Mhux rivoluzzjonarju</v>
      </c>
    </row>
    <row r="11048" ht="15.75" customHeight="1">
      <c r="A11048" s="2" t="s">
        <v>11048</v>
      </c>
      <c r="B11048" s="2" t="str">
        <f>IFERROR(__xludf.DUMMYFUNCTION("GOOGLETRANSLATE(A11048, ""en"", ""mt"")"),"Kif tinnegozja l-amministrazzjoni Nixon mal-pajjiżi mhux koperattivi?")</f>
        <v>Kif tinnegozja l-amministrazzjoni Nixon mal-pajjiżi mhux koperattivi?</v>
      </c>
    </row>
    <row r="11049" ht="15.75" customHeight="1">
      <c r="A11049" s="2" t="s">
        <v>11049</v>
      </c>
      <c r="B11049" s="2" t="str">
        <f>IFERROR(__xludf.DUMMYFUNCTION("GOOGLETRANSLATE(A11049, ""en"", ""mt"")"),"X'sejjaħ Polo il-Kapitali tal-Yuan?")</f>
        <v>X'sejjaħ Polo il-Kapitali tal-Yuan?</v>
      </c>
    </row>
    <row r="11050" ht="15.75" customHeight="1">
      <c r="A11050" s="2" t="s">
        <v>11050</v>
      </c>
      <c r="B11050" s="2" t="str">
        <f>IFERROR(__xludf.DUMMYFUNCTION("GOOGLETRANSLATE(A11050, ""en"", ""mt"")"),"X'tip ta 'unità għandha t-tendenza li tbiddel il-volum tagħha?")</f>
        <v>X'tip ta 'unità għandha t-tendenza li tbiddel il-volum tagħha?</v>
      </c>
    </row>
    <row r="11051" ht="15.75" customHeight="1">
      <c r="A11051" s="2" t="s">
        <v>11051</v>
      </c>
      <c r="B11051" s="2" t="str">
        <f>IFERROR(__xludf.DUMMYFUNCTION("GOOGLETRANSLATE(A11051, ""en"", ""mt"")"),"Id-diżubbidjenti ċivili għażlu ħafna tipi differenti ta 'x'tip ta' mġieba?")</f>
        <v>Id-diżubbidjenti ċivili għażlu ħafna tipi differenti ta 'x'tip ta' mġieba?</v>
      </c>
    </row>
    <row r="11052" ht="15.75" customHeight="1">
      <c r="A11052" s="2" t="s">
        <v>11052</v>
      </c>
      <c r="B11052" s="2" t="str">
        <f>IFERROR(__xludf.DUMMYFUNCTION("GOOGLETRANSLATE(A11052, ""en"", ""mt"")"),"1720 f'Marsilja.")</f>
        <v>1720 f'Marsilja.</v>
      </c>
    </row>
    <row r="11053" ht="15.75" customHeight="1">
      <c r="A11053" s="2" t="s">
        <v>11053</v>
      </c>
      <c r="B11053" s="2" t="str">
        <f>IFERROR(__xludf.DUMMYFUNCTION("GOOGLETRANSLATE(A11053, ""en"", ""mt"")"),"Il-litosfera timxi fuq liema mantell n-teorija tat-tektonika tal-pjanċa?")</f>
        <v>Il-litosfera timxi fuq liema mantell n-teorija tat-tektonika tal-pjanċa?</v>
      </c>
    </row>
    <row r="11054" ht="15.75" customHeight="1">
      <c r="A11054" s="2" t="s">
        <v>11054</v>
      </c>
      <c r="B11054" s="2" t="str">
        <f>IFERROR(__xludf.DUMMYFUNCTION("GOOGLETRANSLATE(A11054, ""en"", ""mt"")"),"X’qal il-Qorti tal-Ġustizzja li Steymann kienet intitolata?")</f>
        <v>X’qal il-Qorti tal-Ġustizzja li Steymann kienet intitolata?</v>
      </c>
    </row>
    <row r="11055" ht="15.75" customHeight="1">
      <c r="A11055" s="2" t="s">
        <v>11055</v>
      </c>
      <c r="B11055" s="2" t="str">
        <f>IFERROR(__xludf.DUMMYFUNCTION("GOOGLETRANSLATE(A11055, ""en"", ""mt"")"),"Rotta tal-Istat 168 ras fil-punent ta 'xiex?")</f>
        <v>Rotta tal-Istat 168 ras fil-punent ta 'xiex?</v>
      </c>
    </row>
    <row r="11056" ht="15.75" customHeight="1">
      <c r="A11056" s="2" t="s">
        <v>11056</v>
      </c>
      <c r="B11056" s="2" t="str">
        <f>IFERROR(__xludf.DUMMYFUNCTION("GOOGLETRANSLATE(A11056, ""en"", ""mt"")"),"Meta Tamera żżewweġ lil kompożitur?")</f>
        <v>Meta Tamera żżewweġ lil kompożitur?</v>
      </c>
    </row>
    <row r="11057" ht="15.75" customHeight="1">
      <c r="A11057" s="2" t="s">
        <v>11057</v>
      </c>
      <c r="B11057" s="2" t="str">
        <f>IFERROR(__xludf.DUMMYFUNCTION("GOOGLETRANSLATE(A11057, ""en"", ""mt"")"),"Fażi ta 'setup")</f>
        <v>Fażi ta 'setup</v>
      </c>
    </row>
    <row r="11058" ht="15.75" customHeight="1">
      <c r="A11058" s="2" t="s">
        <v>11058</v>
      </c>
      <c r="B11058" s="2" t="str">
        <f>IFERROR(__xludf.DUMMYFUNCTION("GOOGLETRANSLATE(A11058, ""en"", ""mt"")"),"Auckland")</f>
        <v>Auckland</v>
      </c>
    </row>
    <row r="11059" ht="15.75" customHeight="1">
      <c r="A11059" s="2" t="s">
        <v>11059</v>
      </c>
      <c r="B11059" s="2" t="str">
        <f>IFERROR(__xludf.DUMMYFUNCTION("GOOGLETRANSLATE(A11059, ""en"", ""mt"")"),"X'inhi ħaġa waħda li ċ-ċili m'għandhomx?")</f>
        <v>X'inhi ħaġa waħda li ċ-ċili m'għandhomx?</v>
      </c>
    </row>
    <row r="11060" ht="15.75" customHeight="1">
      <c r="A11060" s="2" t="s">
        <v>11060</v>
      </c>
      <c r="B11060" s="2" t="str">
        <f>IFERROR(__xludf.DUMMYFUNCTION("GOOGLETRANSLATE(A11060, ""en"", ""mt"")"),"Awwissu 1992")</f>
        <v>Awwissu 1992</v>
      </c>
    </row>
    <row r="11061" ht="15.75" customHeight="1">
      <c r="A11061" s="2" t="s">
        <v>11061</v>
      </c>
      <c r="B11061" s="2" t="str">
        <f>IFERROR(__xludf.DUMMYFUNCTION("GOOGLETRANSLATE(A11061, ""en"", ""mt"")"),"ftit appoġġ")</f>
        <v>ftit appoġġ</v>
      </c>
    </row>
    <row r="11062" ht="15.75" customHeight="1">
      <c r="A11062" s="2" t="s">
        <v>11062</v>
      </c>
      <c r="B11062" s="2" t="str">
        <f>IFERROR(__xludf.DUMMYFUNCTION("GOOGLETRANSLATE(A11062, ""en"", ""mt"")"),"F'liema stil kienu ddisinjati blokki residenzjali tal-massa mibnija?")</f>
        <v>F'liema stil kienu ddisinjati blokki residenzjali tal-massa mibnija?</v>
      </c>
    </row>
    <row r="11063" ht="15.75" customHeight="1">
      <c r="A11063" s="2" t="s">
        <v>11063</v>
      </c>
      <c r="B11063" s="2" t="str">
        <f>IFERROR(__xludf.DUMMYFUNCTION("GOOGLETRANSLATE(A11063, ""en"", ""mt"")"),"Il-Gwerer Franċiżi tar-Reliġjon fis-seklu 16 u r-Rivoluzzjoni Franċiża fit-18-il sena qerdu ħafna minn dak li kien jeżisti fil-mod tal-fdal arkitettoniku u artistiku ta 'din il-kreattività Norman. L-ewwel, bil-vjolenza tagħhom, ikkawżaw il-qerda ta 'ħafna"&amp;" edifici Norman; Din tal-aħħar, bl-attakk tagħha fuq ir-reliġjon, ikkawżat il-qerda bi skop ta 'oġġetti reliġjużi ta' kull tip, u d-destabilizzazzjoni tas-soċjetà tagħha rriżultat f'tagna rampanti.")</f>
        <v>Il-Gwerer Franċiżi tar-Reliġjon fis-seklu 16 u r-Rivoluzzjoni Franċiża fit-18-il sena qerdu ħafna minn dak li kien jeżisti fil-mod tal-fdal arkitettoniku u artistiku ta 'din il-kreattività Norman. L-ewwel, bil-vjolenza tagħhom, ikkawżaw il-qerda ta 'ħafna edifici Norman; Din tal-aħħar, bl-attakk tagħha fuq ir-reliġjon, ikkawżat il-qerda bi skop ta 'oġġetti reliġjużi ta' kull tip, u d-destabilizzazzjoni tas-soċjetà tagħha rriżultat f'tagna rampanti.</v>
      </c>
    </row>
    <row r="11064" ht="15.75" customHeight="1">
      <c r="A11064" s="2" t="s">
        <v>11064</v>
      </c>
      <c r="B11064" s="2" t="str">
        <f>IFERROR(__xludf.DUMMYFUNCTION("GOOGLETRANSLATE(A11064, ""en"", ""mt"")"),"Att dwar l-Iskejjel tal-Afrika t'Isfel")</f>
        <v>Att dwar l-Iskejjel tal-Afrika t'Isfel</v>
      </c>
    </row>
    <row r="11065" ht="15.75" customHeight="1">
      <c r="A11065" s="2" t="s">
        <v>11065</v>
      </c>
      <c r="B11065" s="2" t="str">
        <f>IFERROR(__xludf.DUMMYFUNCTION("GOOGLETRANSLATE(A11065, ""en"", ""mt"")"),"Battalja ta 'Bạch ằng")</f>
        <v>Battalja ta 'Bạch ằng</v>
      </c>
    </row>
    <row r="11066" ht="15.75" customHeight="1">
      <c r="A11066" s="2" t="s">
        <v>11066</v>
      </c>
      <c r="B11066" s="2" t="str">
        <f>IFERROR(__xludf.DUMMYFUNCTION("GOOGLETRANSLATE(A11066, ""en"", ""mt"")"),"Hans Tanzler")</f>
        <v>Hans Tanzler</v>
      </c>
    </row>
    <row r="11067" ht="15.75" customHeight="1">
      <c r="A11067" s="2" t="s">
        <v>11067</v>
      </c>
      <c r="B11067" s="2" t="str">
        <f>IFERROR(__xludf.DUMMYFUNCTION("GOOGLETRANSLATE(A11067, ""en"", ""mt"")"),"X'tip ta 'sforz ta' konservazzjoni qed tiġbed l-attenzjoni fl-Amażonja?")</f>
        <v>X'tip ta 'sforz ta' konservazzjoni qed tiġbed l-attenzjoni fl-Amażonja?</v>
      </c>
    </row>
    <row r="11068" ht="15.75" customHeight="1">
      <c r="A11068" s="2" t="s">
        <v>11068</v>
      </c>
      <c r="B11068" s="2" t="str">
        <f>IFERROR(__xludf.DUMMYFUNCTION("GOOGLETRANSLATE(A11068, ""en"", ""mt"")"),"Kemm-il stazzjon televiżiv u tar-radju s-servizz diġitali ħassar?")</f>
        <v>Kemm-il stazzjon televiżiv u tar-radju s-servizz diġitali ħassar?</v>
      </c>
    </row>
    <row r="11069" ht="15.75" customHeight="1">
      <c r="A11069" s="2" t="s">
        <v>11069</v>
      </c>
      <c r="B11069" s="2" t="str">
        <f>IFERROR(__xludf.DUMMYFUNCTION("GOOGLETRANSLATE(A11069, ""en"", ""mt"")"),"1993")</f>
        <v>1993</v>
      </c>
    </row>
    <row r="11070" ht="15.75" customHeight="1">
      <c r="A11070" s="2" t="s">
        <v>11070</v>
      </c>
      <c r="B11070" s="2" t="str">
        <f>IFERROR(__xludf.DUMMYFUNCTION("GOOGLETRANSLATE(A11070, ""en"", ""mt"")"),"gwida")</f>
        <v>gwida</v>
      </c>
    </row>
    <row r="11071" ht="15.75" customHeight="1">
      <c r="A11071" s="2" t="s">
        <v>11071</v>
      </c>
      <c r="B11071" s="2" t="str">
        <f>IFERROR(__xludf.DUMMYFUNCTION("GOOGLETRANSLATE(A11071, ""en"", ""mt"")"),"acupuncture, moxibustion, dijanjosi tal-polz, u diversi mediċini tal-ħxejjex u elixirs")</f>
        <v>acupuncture, moxibustion, dijanjosi tal-polz, u diversi mediċini tal-ħxejjex u elixirs</v>
      </c>
    </row>
    <row r="11072" ht="15.75" customHeight="1">
      <c r="A11072" s="2" t="s">
        <v>11072</v>
      </c>
      <c r="B11072" s="2" t="str">
        <f>IFERROR(__xludf.DUMMYFUNCTION("GOOGLETRANSLATE(A11072, ""en"", ""mt"")"),"X'għamel il-kunflitt li galvanizza lill-Musulmani madwar id-dinja?")</f>
        <v>X'għamel il-kunflitt li galvanizza lill-Musulmani madwar id-dinja?</v>
      </c>
    </row>
    <row r="11073" ht="15.75" customHeight="1">
      <c r="A11073" s="2" t="s">
        <v>11073</v>
      </c>
      <c r="B11073" s="2" t="str">
        <f>IFERROR(__xludf.DUMMYFUNCTION("GOOGLETRANSLATE(A11073, ""en"", ""mt"")"),"Harvard - Yale Regatta preċedenti ""Il-Logħba"" minn kemm snin?")</f>
        <v>Harvard - Yale Regatta preċedenti "Il-Logħba" minn kemm snin?</v>
      </c>
    </row>
    <row r="11074" ht="15.75" customHeight="1">
      <c r="A11074" s="2" t="s">
        <v>11074</v>
      </c>
      <c r="B11074" s="2" t="str">
        <f>IFERROR(__xludf.DUMMYFUNCTION("GOOGLETRANSLATE(A11074, ""en"", ""mt"")"),"superjuri")</f>
        <v>superjuri</v>
      </c>
    </row>
    <row r="11075" ht="15.75" customHeight="1">
      <c r="A11075" s="2" t="s">
        <v>11075</v>
      </c>
      <c r="B11075" s="2" t="str">
        <f>IFERROR(__xludf.DUMMYFUNCTION("GOOGLETRANSLATE(A11075, ""en"", ""mt"")"),"Membri ta 'liema organizzazzjonijiet huma skwalifikati milli joqogħdu fl-SP bħala MSPs eletti?")</f>
        <v>Membri ta 'liema organizzazzjonijiet huma skwalifikati milli joqogħdu fl-SP bħala MSPs eletti?</v>
      </c>
    </row>
    <row r="11076" ht="15.75" customHeight="1">
      <c r="A11076" s="2" t="s">
        <v>11076</v>
      </c>
      <c r="B11076" s="2" t="str">
        <f>IFERROR(__xludf.DUMMYFUNCTION("GOOGLETRANSLATE(A11076, ""en"", ""mt"")"),"X'tip ta 'interpretazzjoni tal-Iżlam jippromwovi s-Salafiżmu?")</f>
        <v>X'tip ta 'interpretazzjoni tal-Iżlam jippromwovi s-Salafiżmu?</v>
      </c>
    </row>
    <row r="11077" ht="15.75" customHeight="1">
      <c r="A11077" s="2" t="s">
        <v>11077</v>
      </c>
      <c r="B11077" s="2" t="str">
        <f>IFERROR(__xludf.DUMMYFUNCTION("GOOGLETRANSLATE(A11077, ""en"", ""mt"")"),"Liema pajjiż kellu karigi ta 'kummerċ fl-Indja wara l-Gran Brittanja?")</f>
        <v>Liema pajjiż kellu karigi ta 'kummerċ fl-Indja wara l-Gran Brittanja?</v>
      </c>
    </row>
    <row r="11078" ht="15.75" customHeight="1">
      <c r="A11078" s="2" t="s">
        <v>11078</v>
      </c>
      <c r="B11078" s="2" t="str">
        <f>IFERROR(__xludf.DUMMYFUNCTION("GOOGLETRANSLATE(A11078, ""en"", ""mt"")"),"""Il-kelma"" imperu ""ġejja mill-kelma Latina Imperium; li għalih l-eqreb ekwivalenti Ingliż modern jista 'jkun"" sovranità "", jew sempliċement"" regola "". L-akbar distinzjoni ta 'imperu hija permezz tal-ammont ta' art li nazzjon ħakem u espandiet. Il-p"&amp;"oter politiku kiber mill-art li qed jirbħu, madankollu l-aspetti kulturali u ekonomiċi iffjorixxew permezz tar-rotot tal-baħar u tal-kummerċ. Distinzjoni dwar l-imperi hija ""li għalkemm l-imperi politiċi nbnew l-aktar permezz ta 'espansjoni fuq l-art, l-"&amp;"influwenzi ekonomiċi u kulturali jinfirxu mill-inqas daqs il-baħar"". Uħud mill-aspetti ewlenin tal-kummerċ li marru barranin kienu jikkonsistu minn annimali u prodotti tal-pjanti. L-imperi Ewropej fl-Asja u l-Afrika ""ġew meqjusa bħala l-forom klassiċi t"&amp;"a 'l-imperjalizmu: u tabilħaqq ħafna kotba dwar is-suġġett jillimitaw ruħhom għall-imperi Ewropej tal-baħar"". L-espansjoni Ewropea kkawżat li d-dinja tinqasam minn kif in-nazzjon żviluppat u li qed jiżviluppa huma deskritti permezz tat-teorija tas-sistem"&amp;"i dinjija. Iż-żewġ reġjuni ewlenin huma l-qalba u l-periferija. Il-qalba tikkonsisti f'oqsma għoljin ta 'dħul u profitt; Il-periferija tinsab fuq in-naħa opposta tal-ispettru li jikkonsisti f'żoni ta 'dħul baxx u profitt. Dawn it-teoriji kritiċi tal-ġeopo"&amp;"litika wasslu għal diskussjoni miżjuda dwar it-tifsira u l-impatt tal-imperjalizmu fuq id-dinja post-kolonjali moderna. Il-mexxej Russu Lenin issuġġerixxa li ""l-imperjalizmu kien l-ogħla forma ta 'kapitaliżmu, fejn qal li l-imperjalizmu żviluppa wara l-k"&amp;"olonjaliżmu, u kien distint mill-kolonjaliżmu mill-kapitaliżmu tal-monopolju"". Din l-idea minn Lenin tenfasizza kemm l-ordni tad-dinja politika ġdida ġdida saret fl-era moderna tagħna. Il-ġeopolitika issa tiffoka fuq l-istati li jsiru atturi ekonomiċi ew"&amp;"lenin fis-suq; Xi stati llum huma meqjusa bħala imperi minħabba l-awtorità politika u ekonomika tagħhom fuq nazzjonijiet oħra.")</f>
        <v>"Il-kelma" imperu "ġejja mill-kelma Latina Imperium; li għalih l-eqreb ekwivalenti Ingliż modern jista 'jkun" sovranità ", jew sempliċement" regola ". L-akbar distinzjoni ta 'imperu hija permezz tal-ammont ta' art li nazzjon ħakem u espandiet. Il-poter politiku kiber mill-art li qed jirbħu, madankollu l-aspetti kulturali u ekonomiċi iffjorixxew permezz tar-rotot tal-baħar u tal-kummerċ. Distinzjoni dwar l-imperi hija "li għalkemm l-imperi politiċi nbnew l-aktar permezz ta 'espansjoni fuq l-art, l-influwenzi ekonomiċi u kulturali jinfirxu mill-inqas daqs il-baħar". Uħud mill-aspetti ewlenin tal-kummerċ li marru barranin kienu jikkonsistu minn annimali u prodotti tal-pjanti. L-imperi Ewropej fl-Asja u l-Afrika "ġew meqjusa bħala l-forom klassiċi ta 'l-imperjalizmu: u tabilħaqq ħafna kotba dwar is-suġġett jillimitaw ruħhom għall-imperi Ewropej tal-baħar". L-espansjoni Ewropea kkawżat li d-dinja tinqasam minn kif in-nazzjon żviluppat u li qed jiżviluppa huma deskritti permezz tat-teorija tas-sistemi dinjija. Iż-żewġ reġjuni ewlenin huma l-qalba u l-periferija. Il-qalba tikkonsisti f'oqsma għoljin ta 'dħul u profitt; Il-periferija tinsab fuq in-naħa opposta tal-ispettru li jikkonsisti f'żoni ta 'dħul baxx u profitt. Dawn it-teoriji kritiċi tal-ġeopolitika wasslu għal diskussjoni miżjuda dwar it-tifsira u l-impatt tal-imperjalizmu fuq id-dinja post-kolonjali moderna. Il-mexxej Russu Lenin issuġġerixxa li "l-imperjalizmu kien l-ogħla forma ta 'kapitaliżmu, fejn qal li l-imperjalizmu żviluppa wara l-kolonjaliżmu, u kien distint mill-kolonjaliżmu mill-kapitaliżmu tal-monopolju". Din l-idea minn Lenin tenfasizza kemm l-ordni tad-dinja politika ġdida ġdida saret fl-era moderna tagħna. Il-ġeopolitika issa tiffoka fuq l-istati li jsiru atturi ekonomiċi ewlenin fis-suq; Xi stati llum huma meqjusa bħala imperi minħabba l-awtorità politika u ekonomika tagħhom fuq nazzjonijiet oħra.</v>
      </c>
    </row>
    <row r="11079" ht="15.75" customHeight="1">
      <c r="A11079" s="2" t="s">
        <v>11079</v>
      </c>
      <c r="B11079" s="2" t="str">
        <f>IFERROR(__xludf.DUMMYFUNCTION("GOOGLETRANSLATE(A11079, ""en"", ""mt"")"),"Liema forma għandhom primes razzjonali kumplessi?")</f>
        <v>Liema forma għandhom primes razzjonali kumplessi?</v>
      </c>
    </row>
    <row r="11080" ht="15.75" customHeight="1">
      <c r="A11080" s="2" t="s">
        <v>11080</v>
      </c>
      <c r="B11080" s="2" t="str">
        <f>IFERROR(__xludf.DUMMYFUNCTION("GOOGLETRANSLATE(A11080, ""en"", ""mt"")"),"X'kien l-isem tal-istadium li fihom it-timijiet lagħbu?")</f>
        <v>X'kien l-isem tal-istadium li fihom it-timijiet lagħbu?</v>
      </c>
    </row>
    <row r="11081" ht="15.75" customHeight="1">
      <c r="A11081" s="2" t="s">
        <v>11081</v>
      </c>
      <c r="B11081" s="2" t="str">
        <f>IFERROR(__xludf.DUMMYFUNCTION("GOOGLETRANSLATE(A11081, ""en"", ""mt"")"),"Iż-żona ta 'San Bernardino-Riverside żżomm id-distretti tan-negozju ta' Downtown San Bernardino, Business / Ċentru Finanzjarju tal-Ospitalità, belt universitarja li jinsabu f'San Bernardino u fil-belt ta 'Riverside.")</f>
        <v>Iż-żona ta 'San Bernardino-Riverside żżomm id-distretti tan-negozju ta' Downtown San Bernardino, Business / Ċentru Finanzjarju tal-Ospitalità, belt universitarja li jinsabu f'San Bernardino u fil-belt ta 'Riverside.</v>
      </c>
    </row>
    <row r="11082" ht="15.75" customHeight="1">
      <c r="A11082" s="2" t="s">
        <v>11082</v>
      </c>
      <c r="B11082" s="2" t="str">
        <f>IFERROR(__xludf.DUMMYFUNCTION("GOOGLETRANSLATE(A11082, ""en"", ""mt"")"),"X'jagħmel l-Artikolu 102 li ma jipprojbixxix?")</f>
        <v>X'jagħmel l-Artikolu 102 li ma jipprojbixxix?</v>
      </c>
    </row>
    <row r="11083" ht="15.75" customHeight="1">
      <c r="A11083" s="2" t="s">
        <v>11083</v>
      </c>
      <c r="B11083" s="2" t="str">
        <f>IFERROR(__xludf.DUMMYFUNCTION("GOOGLETRANSLATE(A11083, ""en"", ""mt"")"),"X’kellimew ħafna nies fil-Lega ta ’Augsburg bħala l-ewwel lingwa tagħhom?")</f>
        <v>X’kellimew ħafna nies fil-Lega ta ’Augsburg bħala l-ewwel lingwa tagħhom?</v>
      </c>
    </row>
    <row r="11084" ht="15.75" customHeight="1">
      <c r="A11084" s="2" t="s">
        <v>11084</v>
      </c>
      <c r="B11084" s="2" t="str">
        <f>IFERROR(__xludf.DUMMYFUNCTION("GOOGLETRANSLATE(A11084, ""en"", ""mt"")"),"Madwar 90,790")</f>
        <v>Madwar 90,790</v>
      </c>
    </row>
    <row r="11085" ht="15.75" customHeight="1">
      <c r="A11085" s="2" t="s">
        <v>11085</v>
      </c>
      <c r="B11085" s="2" t="str">
        <f>IFERROR(__xludf.DUMMYFUNCTION("GOOGLETRANSLATE(A11085, ""en"", ""mt"")"),"L-Ewwel Emenda")</f>
        <v>L-Ewwel Emenda</v>
      </c>
    </row>
    <row r="11086" ht="15.75" customHeight="1">
      <c r="A11086" s="2" t="s">
        <v>11086</v>
      </c>
      <c r="B11086" s="2" t="str">
        <f>IFERROR(__xludf.DUMMYFUNCTION("GOOGLETRANSLATE(A11086, ""en"", ""mt"")"),"Liema netwerk kien iddisinjat mill-Franċiżi")</f>
        <v>Liema netwerk kien iddisinjat mill-Franċiżi</v>
      </c>
    </row>
    <row r="11087" ht="15.75" customHeight="1">
      <c r="A11087" s="2" t="s">
        <v>11087</v>
      </c>
      <c r="B11087" s="2" t="str">
        <f>IFERROR(__xludf.DUMMYFUNCTION("GOOGLETRANSLATE(A11087, ""en"", ""mt"")"),"Ippjana l-proċeduri fiżiċi, u tintegra dawk il-proċeduri mal-partijiet l-oħra")</f>
        <v>Ippjana l-proċeduri fiżiċi, u tintegra dawk il-proċeduri mal-partijiet l-oħra</v>
      </c>
    </row>
    <row r="11088" ht="15.75" customHeight="1">
      <c r="A11088" s="2" t="s">
        <v>11088</v>
      </c>
      <c r="B11088" s="2" t="str">
        <f>IFERROR(__xludf.DUMMYFUNCTION("GOOGLETRANSLATE(A11088, ""en"", ""mt"")"),"ir-rapport uffiċjali")</f>
        <v>ir-rapport uffiċjali</v>
      </c>
    </row>
    <row r="11089" ht="15.75" customHeight="1">
      <c r="A11089" s="2" t="s">
        <v>11089</v>
      </c>
      <c r="B11089" s="2" t="str">
        <f>IFERROR(__xludf.DUMMYFUNCTION("GOOGLETRANSLATE(A11089, ""en"", ""mt"")"),"X'inhu t-terminu Irlandiż għal skejjel privati?")</f>
        <v>X'inhu t-terminu Irlandiż għal skejjel privati?</v>
      </c>
    </row>
    <row r="11090" ht="15.75" customHeight="1">
      <c r="A11090" s="2" t="s">
        <v>11090</v>
      </c>
      <c r="B11090" s="2" t="str">
        <f>IFERROR(__xludf.DUMMYFUNCTION("GOOGLETRANSLATE(A11090, ""en"", ""mt"")"),"L-Afrika tat-Tramuntana u tal-Punent")</f>
        <v>L-Afrika tat-Tramuntana u tal-Punent</v>
      </c>
    </row>
    <row r="11091" ht="15.75" customHeight="1">
      <c r="A11091" s="2" t="s">
        <v>11091</v>
      </c>
      <c r="B11091" s="2" t="str">
        <f>IFERROR(__xludf.DUMMYFUNCTION("GOOGLETRANSLATE(A11091, ""en"", ""mt"")"),"X'inhuma l-lewkoċiti l-ewwel driegħ ta '?")</f>
        <v>X'inhuma l-lewkoċiti l-ewwel driegħ ta '?</v>
      </c>
    </row>
    <row r="11092" ht="15.75" customHeight="1">
      <c r="A11092" s="2" t="s">
        <v>11092</v>
      </c>
      <c r="B11092" s="2" t="str">
        <f>IFERROR(__xludf.DUMMYFUNCTION("GOOGLETRANSLATE(A11092, ""en"", ""mt"")"),"Petitcodiac fl-1755 u fi Bloody Creek qrib Annapolis Royal fl-1757")</f>
        <v>Petitcodiac fl-1755 u fi Bloody Creek qrib Annapolis Royal fl-1757</v>
      </c>
    </row>
    <row r="11093" ht="15.75" customHeight="1">
      <c r="A11093" s="2" t="s">
        <v>11093</v>
      </c>
      <c r="B11093" s="2" t="str">
        <f>IFERROR(__xludf.DUMMYFUNCTION("GOOGLETRANSLATE(A11093, ""en"", ""mt"")"),"Liema sena Dick Sullivan ippubblika studju fuq settijiet rudimentarji?")</f>
        <v>Liema sena Dick Sullivan ippubblika studju fuq settijiet rudimentarji?</v>
      </c>
    </row>
    <row r="11094" ht="15.75" customHeight="1">
      <c r="A11094" s="2" t="s">
        <v>11094</v>
      </c>
      <c r="B11094" s="2" t="str">
        <f>IFERROR(__xludf.DUMMYFUNCTION("GOOGLETRANSLATE(A11094, ""en"", ""mt"")"),"X'inhu t-tieni port tal-kontejners l-aktar traffikuż fl-Istati Uniti?")</f>
        <v>X'inhu t-tieni port tal-kontejners l-aktar traffikuż fl-Istati Uniti?</v>
      </c>
    </row>
    <row r="11095" ht="15.75" customHeight="1">
      <c r="A11095" s="2" t="s">
        <v>11095</v>
      </c>
      <c r="B11095" s="2" t="str">
        <f>IFERROR(__xludf.DUMMYFUNCTION("GOOGLETRANSLATE(A11095, ""en"", ""mt"")"),"Meta rtira għal formazzjoni interna?")</f>
        <v>Meta rtira għal formazzjoni interna?</v>
      </c>
    </row>
    <row r="11096" ht="15.75" customHeight="1">
      <c r="A11096" s="2" t="s">
        <v>11096</v>
      </c>
      <c r="B11096" s="2" t="str">
        <f>IFERROR(__xludf.DUMMYFUNCTION("GOOGLETRANSLATE(A11096, ""en"", ""mt"")"),"X'inhu l-proċess li bih is-sistema immuni adatta hija evadata mill-qbid ta 'epitopi mhux essenzjali msejħa?")</f>
        <v>X'inhu l-proċess li bih is-sistema immuni adatta hija evadata mill-qbid ta 'epitopi mhux essenzjali msejħa?</v>
      </c>
    </row>
    <row r="11097" ht="15.75" customHeight="1">
      <c r="A11097" s="2" t="s">
        <v>11097</v>
      </c>
      <c r="B11097" s="2" t="str">
        <f>IFERROR(__xludf.DUMMYFUNCTION("GOOGLETRANSLATE(A11097, ""en"", ""mt"")"),"Kriptografija taċ-ċavetta pubblika")</f>
        <v>Kriptografija taċ-ċavetta pubblika</v>
      </c>
    </row>
    <row r="11098" ht="15.75" customHeight="1">
      <c r="A11098" s="2" t="s">
        <v>11098</v>
      </c>
      <c r="B11098" s="2" t="str">
        <f>IFERROR(__xludf.DUMMYFUNCTION("GOOGLETRANSLATE(A11098, ""en"", ""mt"")"),"Teorija tat-tiġrijiet")</f>
        <v>Teorija tat-tiġrijiet</v>
      </c>
    </row>
    <row r="11099" ht="15.75" customHeight="1">
      <c r="A11099" s="2" t="s">
        <v>11099</v>
      </c>
      <c r="B11099" s="2" t="str">
        <f>IFERROR(__xludf.DUMMYFUNCTION("GOOGLETRANSLATE(A11099, ""en"", ""mt"")"),"Liema statura kellha l-ispiżjara fil-qorti imperjali pre-Heian?")</f>
        <v>Liema statura kellha l-ispiżjara fil-qorti imperjali pre-Heian?</v>
      </c>
    </row>
    <row r="11100" ht="15.75" customHeight="1">
      <c r="A11100" s="2" t="s">
        <v>11100</v>
      </c>
      <c r="B11100" s="2" t="str">
        <f>IFERROR(__xludf.DUMMYFUNCTION("GOOGLETRANSLATE(A11100, ""en"", ""mt"")"),"X'kien l-isem tal-imgħallem ta 'Watt?")</f>
        <v>X'kien l-isem tal-imgħallem ta 'Watt?</v>
      </c>
    </row>
    <row r="11101" ht="15.75" customHeight="1">
      <c r="A11101" s="2" t="s">
        <v>11101</v>
      </c>
      <c r="B11101" s="2" t="str">
        <f>IFERROR(__xludf.DUMMYFUNCTION("GOOGLETRANSLATE(A11101, ""en"", ""mt"")"),"kombinazzjoni ta 'ermafroditiżmu u riproduzzjoni bikrija")</f>
        <v>kombinazzjoni ta 'ermafroditiżmu u riproduzzjoni bikrija</v>
      </c>
    </row>
    <row r="11102" ht="15.75" customHeight="1">
      <c r="A11102" s="2" t="s">
        <v>11102</v>
      </c>
      <c r="B11102" s="2" t="str">
        <f>IFERROR(__xludf.DUMMYFUNCTION("GOOGLETRANSLATE(A11102, ""en"", ""mt"")"),"Min ma jistax jopera l-ispiżeriji tal-internet?")</f>
        <v>Min ma jistax jopera l-ispiżeriji tal-internet?</v>
      </c>
    </row>
    <row r="11103" ht="15.75" customHeight="1">
      <c r="A11103" s="2" t="s">
        <v>11103</v>
      </c>
      <c r="B11103" s="2" t="str">
        <f>IFERROR(__xludf.DUMMYFUNCTION("GOOGLETRANSLATE(A11103, ""en"", ""mt"")"),"Liema gżejjer huma tal-kosta tal-Asja?")</f>
        <v>Liema gżejjer huma tal-kosta tal-Asja?</v>
      </c>
    </row>
    <row r="11104" ht="15.75" customHeight="1">
      <c r="A11104" s="2" t="s">
        <v>11104</v>
      </c>
      <c r="B11104" s="2" t="str">
        <f>IFERROR(__xludf.DUMMYFUNCTION("GOOGLETRANSLATE(A11104, ""en"", ""mt"")"),"Il-moviment kliniku tal-ispiżerija inizjalment beda ġewwa sptarijiet u kliniċi")</f>
        <v>Il-moviment kliniku tal-ispiżerija inizjalment beda ġewwa sptarijiet u kliniċi</v>
      </c>
    </row>
    <row r="11105" ht="15.75" customHeight="1">
      <c r="A11105" s="2" t="s">
        <v>11105</v>
      </c>
      <c r="B11105" s="2" t="str">
        <f>IFERROR(__xludf.DUMMYFUNCTION("GOOGLETRANSLATE(A11105, ""en"", ""mt"")"),"Għal-Liberali, id-diżappunt ewlieni kien xiex?")</f>
        <v>Għal-Liberali, id-diżappunt ewlieni kien xiex?</v>
      </c>
    </row>
    <row r="11106" ht="15.75" customHeight="1">
      <c r="A11106" s="2" t="s">
        <v>11106</v>
      </c>
      <c r="B11106" s="2" t="str">
        <f>IFERROR(__xludf.DUMMYFUNCTION("GOOGLETRANSLATE(A11106, ""en"", ""mt"")"),"X'inhuma żewġ molekuli anti-infjammatorji li l-quċċata matul is-sigħat imqajmin?")</f>
        <v>X'inhuma żewġ molekuli anti-infjammatorji li l-quċċata matul is-sigħat imqajmin?</v>
      </c>
    </row>
    <row r="11107" ht="15.75" customHeight="1">
      <c r="A11107" s="2" t="s">
        <v>11107</v>
      </c>
      <c r="B11107" s="2" t="str">
        <f>IFERROR(__xludf.DUMMYFUNCTION("GOOGLETRANSLATE(A11107, ""en"", ""mt"")"),"Liema nuqqas ta 'qbil kellhom Montcalm u l-Indjani?")</f>
        <v>Liema nuqqas ta 'qbil kellhom Montcalm u l-Indjani?</v>
      </c>
    </row>
    <row r="11108" ht="15.75" customHeight="1">
      <c r="A11108" s="2" t="s">
        <v>11108</v>
      </c>
      <c r="B11108" s="2" t="str">
        <f>IFERROR(__xludf.DUMMYFUNCTION("GOOGLETRANSLATE(A11108, ""en"", ""mt"")"),"X'ħeġġiġhom iż-żjarat ta 'John Paul II fl-1973 u fl-1989?")</f>
        <v>X'ħeġġiġhom iż-żjarat ta 'John Paul II fl-1973 u fl-1989?</v>
      </c>
    </row>
    <row r="11109" ht="15.75" customHeight="1">
      <c r="A11109" s="2" t="s">
        <v>11109</v>
      </c>
      <c r="B11109" s="2" t="str">
        <f>IFERROR(__xludf.DUMMYFUNCTION("GOOGLETRANSLATE(A11109, ""en"", ""mt"")"),"7,000,000 kilometru kwadru")</f>
        <v>7,000,000 kilometru kwadru</v>
      </c>
    </row>
    <row r="11110" ht="15.75" customHeight="1">
      <c r="A11110" s="2" t="s">
        <v>11110</v>
      </c>
      <c r="B11110" s="2" t="str">
        <f>IFERROR(__xludf.DUMMYFUNCTION("GOOGLETRANSLATE(A11110, ""en"", ""mt"")"),"Liema deċiżjoni ta 'kodifikazzjoni teħtieġ li tittieħed sabiex tiġi ddeterminata definizzjoni mhux eżatta tal-lingwa formali?")</f>
        <v>Liema deċiżjoni ta 'kodifikazzjoni teħtieġ li tittieħed sabiex tiġi ddeterminata definizzjoni mhux eżatta tal-lingwa formali?</v>
      </c>
    </row>
    <row r="11111" ht="15.75" customHeight="1">
      <c r="A11111" s="2" t="s">
        <v>11111</v>
      </c>
      <c r="B11111" s="2" t="str">
        <f>IFERROR(__xludf.DUMMYFUNCTION("GOOGLETRANSLATE(A11111, ""en"", ""mt"")"),"Integers Gaussjani")</f>
        <v>Integers Gaussjani</v>
      </c>
    </row>
    <row r="11112" ht="15.75" customHeight="1">
      <c r="A11112" s="2" t="s">
        <v>11112</v>
      </c>
      <c r="B11112" s="2" t="str">
        <f>IFERROR(__xludf.DUMMYFUNCTION("GOOGLETRANSLATE(A11112, ""en"", ""mt"")"),"Min kiteb ""l-għeluq tal-gwerra t-tajba""?")</f>
        <v>Min kiteb "l-għeluq tal-gwerra t-tajba"?</v>
      </c>
    </row>
    <row r="11113" ht="15.75" customHeight="1">
      <c r="A11113" s="2" t="s">
        <v>11113</v>
      </c>
      <c r="B11113" s="2" t="str">
        <f>IFERROR(__xludf.DUMMYFUNCTION("GOOGLETRANSLATE(A11113, ""en"", ""mt"")"),"24%")</f>
        <v>24%</v>
      </c>
    </row>
    <row r="11114" ht="15.75" customHeight="1">
      <c r="A11114" s="2" t="s">
        <v>11114</v>
      </c>
      <c r="B11114" s="2" t="str">
        <f>IFERROR(__xludf.DUMMYFUNCTION("GOOGLETRANSLATE(A11114, ""en"", ""mt"")"),"Min aċċetta l-argumenti tal-gvern Ġermaniż li l-miżura tas-saħħa pubblika protetta proporzjonali?")</f>
        <v>Min aċċetta l-argumenti tal-gvern Ġermaniż li l-miżura tas-saħħa pubblika protetta proporzjonali?</v>
      </c>
    </row>
    <row r="11115" ht="15.75" customHeight="1">
      <c r="A11115" s="2" t="s">
        <v>11115</v>
      </c>
      <c r="B11115" s="2" t="str">
        <f>IFERROR(__xludf.DUMMYFUNCTION("GOOGLETRANSLATE(A11115, ""en"", ""mt"")"),"Għal xiex iwasslu l-elementi tal-ħin ħażin?")</f>
        <v>Għal xiex iwasslu l-elementi tal-ħin ħażin?</v>
      </c>
    </row>
    <row r="11116" ht="15.75" customHeight="1">
      <c r="A11116" s="2" t="s">
        <v>11116</v>
      </c>
      <c r="B11116" s="2" t="str">
        <f>IFERROR(__xludf.DUMMYFUNCTION("GOOGLETRANSLATE(A11116, ""en"", ""mt"")"),"F'liema sena ġie revokat l-editt ta 'Nantes?")</f>
        <v>F'liema sena ġie revokat l-editt ta 'Nantes?</v>
      </c>
    </row>
    <row r="11117" ht="15.75" customHeight="1">
      <c r="A11117" s="2" t="s">
        <v>11117</v>
      </c>
      <c r="B11117" s="2" t="str">
        <f>IFERROR(__xludf.DUMMYFUNCTION("GOOGLETRANSLATE(A11117, ""en"", ""mt"")"),"Ir-riċetturi tar-rikonoxximent tal-mudelli jirrikonoxxu komponenti preżenti fi gruppi wesgħin ta 'xiex?")</f>
        <v>Ir-riċetturi tar-rikonoxximent tal-mudelli jirrikonoxxu komponenti preżenti fi gruppi wesgħin ta 'xiex?</v>
      </c>
    </row>
    <row r="11118" ht="15.75" customHeight="1">
      <c r="A11118" s="2" t="s">
        <v>11118</v>
      </c>
      <c r="B11118" s="2" t="str">
        <f>IFERROR(__xludf.DUMMYFUNCTION("GOOGLETRANSLATE(A11118, ""en"", ""mt"")"),"Meta tgħallem ta 'partit li jwaqqaf Franċiż fiż-żona, x'għamel Washington?")</f>
        <v>Meta tgħallem ta 'partit li jwaqqaf Franċiż fiż-żona, x'għamel Washington?</v>
      </c>
    </row>
    <row r="11119" ht="15.75" customHeight="1">
      <c r="A11119" s="2" t="s">
        <v>11119</v>
      </c>
      <c r="B11119" s="2" t="str">
        <f>IFERROR(__xludf.DUMMYFUNCTION("GOOGLETRANSLATE(A11119, ""en"", ""mt"")"),"X'inhu s-sors tas-sħana tas-soltu għall-ilma jagħli fil-proċess industrijali?")</f>
        <v>X'inhu s-sors tas-sħana tas-soltu għall-ilma jagħli fil-proċess industrijali?</v>
      </c>
    </row>
    <row r="11120" ht="15.75" customHeight="1">
      <c r="A11120" s="2" t="s">
        <v>11120</v>
      </c>
      <c r="B11120" s="2" t="str">
        <f>IFERROR(__xludf.DUMMYFUNCTION("GOOGLETRANSLATE(A11120, ""en"", ""mt"")"),"88")</f>
        <v>88</v>
      </c>
    </row>
    <row r="11121" ht="15.75" customHeight="1">
      <c r="A11121" s="2" t="s">
        <v>11121</v>
      </c>
      <c r="B11121" s="2" t="str">
        <f>IFERROR(__xludf.DUMMYFUNCTION("GOOGLETRANSLATE(A11121, ""en"", ""mt"")"),"X'kien ivvintat fl-1880 li rrevoluzzjona l-gwerra?")</f>
        <v>X'kien ivvintat fl-1880 li rrevoluzzjona l-gwerra?</v>
      </c>
    </row>
    <row r="11122" ht="15.75" customHeight="1">
      <c r="A11122" s="2" t="s">
        <v>11122</v>
      </c>
      <c r="B11122" s="2" t="str">
        <f>IFERROR(__xludf.DUMMYFUNCTION("GOOGLETRANSLATE(A11122, ""en"", ""mt"")"),"F’liema sena l-Protestant ħakem f’Montpellier b’mod effettiv waqa ’?")</f>
        <v>F’liema sena l-Protestant ħakem f’Montpellier b’mod effettiv waqa ’?</v>
      </c>
    </row>
    <row r="11123" ht="15.75" customHeight="1">
      <c r="A11123" s="2" t="s">
        <v>11123</v>
      </c>
      <c r="B11123" s="2" t="str">
        <f>IFERROR(__xludf.DUMMYFUNCTION("GOOGLETRANSLATE(A11123, ""en"", ""mt"")"),"71")</f>
        <v>71</v>
      </c>
    </row>
    <row r="11124" ht="15.75" customHeight="1">
      <c r="A11124" s="2" t="s">
        <v>11124</v>
      </c>
      <c r="B11124" s="2" t="str">
        <f>IFERROR(__xludf.DUMMYFUNCTION("GOOGLETRANSLATE(A11124, ""en"", ""mt"")"),"erbat ijiem")</f>
        <v>erbat ijiem</v>
      </c>
    </row>
    <row r="11125" ht="15.75" customHeight="1">
      <c r="A11125" s="2" t="s">
        <v>11125</v>
      </c>
      <c r="B11125" s="2" t="str">
        <f>IFERROR(__xludf.DUMMYFUNCTION("GOOGLETRANSLATE(A11125, ""en"", ""mt"")"),"għaxra")</f>
        <v>għaxra</v>
      </c>
    </row>
    <row r="11126" ht="15.75" customHeight="1">
      <c r="A11126" s="2" t="s">
        <v>11126</v>
      </c>
      <c r="B11126" s="2" t="str">
        <f>IFERROR(__xludf.DUMMYFUNCTION("GOOGLETRANSLATE(A11126, ""en"", ""mt"")"),"X'jikkawża estensjoni tal-blat?")</f>
        <v>X'jikkawża estensjoni tal-blat?</v>
      </c>
    </row>
    <row r="11127" ht="15.75" customHeight="1">
      <c r="A11127" s="2" t="s">
        <v>11127</v>
      </c>
      <c r="B11127" s="2" t="str">
        <f>IFERROR(__xludf.DUMMYFUNCTION("GOOGLETRANSLATE(A11127, ""en"", ""mt"")"),"L-editt ipproteġi l-Kattoliċi billi jiskoraġġixxi xiex?")</f>
        <v>L-editt ipproteġi l-Kattoliċi billi jiskoraġġixxi xiex?</v>
      </c>
    </row>
    <row r="11128" ht="15.75" customHeight="1">
      <c r="A11128" s="2" t="s">
        <v>11128</v>
      </c>
      <c r="B11128" s="2" t="str">
        <f>IFERROR(__xludf.DUMMYFUNCTION("GOOGLETRANSLATE(A11128, ""en"", ""mt"")"),"Xmara Trout")</f>
        <v>Xmara Trout</v>
      </c>
    </row>
    <row r="11129" ht="15.75" customHeight="1">
      <c r="A11129" s="2" t="s">
        <v>11129</v>
      </c>
      <c r="B11129" s="2" t="str">
        <f>IFERROR(__xludf.DUMMYFUNCTION("GOOGLETRANSLATE(A11129, ""en"", ""mt"")"),"Wara l-1945, dak li kkontesta l-Imperu Franċiż?")</f>
        <v>Wara l-1945, dak li kkontesta l-Imperu Franċiż?</v>
      </c>
    </row>
    <row r="11130" ht="15.75" customHeight="1">
      <c r="A11130" s="2" t="s">
        <v>11130</v>
      </c>
      <c r="B11130" s="2" t="str">
        <f>IFERROR(__xludf.DUMMYFUNCTION("GOOGLETRANSLATE(A11130, ""en"", ""mt"")"),"授時暦")</f>
        <v>授時暦</v>
      </c>
    </row>
    <row r="11131" ht="15.75" customHeight="1">
      <c r="A11131" s="2" t="s">
        <v>11131</v>
      </c>
      <c r="B11131" s="2" t="str">
        <f>IFERROR(__xludf.DUMMYFUNCTION("GOOGLETRANSLATE(A11131, ""en"", ""mt"")"),"X'inhu magħruf Varsavja bħala fil-Karpazja?")</f>
        <v>X'inhu magħruf Varsavja bħala fil-Karpazja?</v>
      </c>
    </row>
    <row r="11132" ht="15.75" customHeight="1">
      <c r="A11132" s="2" t="s">
        <v>11132</v>
      </c>
      <c r="B11132" s="2" t="str">
        <f>IFERROR(__xludf.DUMMYFUNCTION("GOOGLETRANSLATE(A11132, ""en"", ""mt"")"),"1890")</f>
        <v>1890</v>
      </c>
    </row>
    <row r="11133" ht="15.75" customHeight="1">
      <c r="A11133" s="2" t="s">
        <v>11133</v>
      </c>
      <c r="B11133" s="2" t="str">
        <f>IFERROR(__xludf.DUMMYFUNCTION("GOOGLETRANSLATE(A11133, ""en"", ""mt"")"),"li jinvolvu kunjardi orogeniċi")</f>
        <v>li jinvolvu kunjardi orogeniċi</v>
      </c>
    </row>
    <row r="11134" ht="15.75" customHeight="1">
      <c r="A11134" s="2" t="s">
        <v>11134</v>
      </c>
      <c r="B11134" s="2" t="str">
        <f>IFERROR(__xludf.DUMMYFUNCTION("GOOGLETRANSLATE(A11134, ""en"", ""mt"")"),"Suspettat qed jitkellem ma 'investigaturi kriminali")</f>
        <v>Suspettat qed jitkellem ma 'investigaturi kriminali</v>
      </c>
    </row>
    <row r="11135" ht="15.75" customHeight="1">
      <c r="A11135" s="2" t="s">
        <v>11135</v>
      </c>
      <c r="B11135" s="2" t="str">
        <f>IFERROR(__xludf.DUMMYFUNCTION("GOOGLETRANSLATE(A11135, ""en"", ""mt"")"),"Liema jegħleb politiku għandu l-Istitut Cato?")</f>
        <v>Liema jegħleb politiku għandu l-Istitut Cato?</v>
      </c>
    </row>
    <row r="11136" ht="15.75" customHeight="1">
      <c r="A11136" s="2" t="s">
        <v>11136</v>
      </c>
      <c r="B11136" s="2" t="str">
        <f>IFERROR(__xludf.DUMMYFUNCTION("GOOGLETRANSLATE(A11136, ""en"", ""mt"")"),"Is-sieq tal-arblu")</f>
        <v>Is-sieq tal-arblu</v>
      </c>
    </row>
    <row r="11137" ht="15.75" customHeight="1">
      <c r="A11137" s="2" t="s">
        <v>11137</v>
      </c>
      <c r="B11137" s="2" t="str">
        <f>IFERROR(__xludf.DUMMYFUNCTION("GOOGLETRANSLATE(A11137, ""en"", ""mt"")"),"Liema tim tal-MSL huwa min-Nofsinhar ta 'California?")</f>
        <v>Liema tim tal-MSL huwa min-Nofsinhar ta 'California?</v>
      </c>
    </row>
    <row r="11138" ht="15.75" customHeight="1">
      <c r="A11138" s="2" t="s">
        <v>11138</v>
      </c>
      <c r="B11138" s="2" t="str">
        <f>IFERROR(__xludf.DUMMYFUNCTION("GOOGLETRANSLATE(A11138, ""en"", ""mt"")"),"F'liema sena l-Huguenots Franċiżi abbandunaw l-ewwel post imbiegħed tagħhom fl-Amerika ta 'Fuq?")</f>
        <v>F'liema sena l-Huguenots Franċiżi abbandunaw l-ewwel post imbiegħed tagħhom fl-Amerika ta 'Fuq?</v>
      </c>
    </row>
    <row r="11139" ht="15.75" customHeight="1">
      <c r="A11139" s="2" t="s">
        <v>11139</v>
      </c>
      <c r="B11139" s="2" t="str">
        <f>IFERROR(__xludf.DUMMYFUNCTION("GOOGLETRANSLATE(A11139, ""en"", ""mt"")"),"X’qassar ix-Xmara Rhine?")</f>
        <v>X’qassar ix-Xmara Rhine?</v>
      </c>
    </row>
    <row r="11140" ht="15.75" customHeight="1">
      <c r="A11140" s="2" t="s">
        <v>11140</v>
      </c>
      <c r="B11140" s="2" t="str">
        <f>IFERROR(__xludf.DUMMYFUNCTION("GOOGLETRANSLATE(A11140, ""en"", ""mt"")"),"Kemm ċittadini f'kunflitt f'impass kostituzzjonali?")</f>
        <v>Kemm ċittadini f'kunflitt f'impass kostituzzjonali?</v>
      </c>
    </row>
    <row r="11141" ht="15.75" customHeight="1">
      <c r="A11141" s="2" t="s">
        <v>11141</v>
      </c>
      <c r="B11141" s="2" t="str">
        <f>IFERROR(__xludf.DUMMYFUNCTION("GOOGLETRANSLATE(A11141, ""en"", ""mt"")"),"$ 4.093 miljun")</f>
        <v>$ 4.093 miljun</v>
      </c>
    </row>
    <row r="11142" ht="15.75" customHeight="1">
      <c r="A11142" s="2" t="s">
        <v>11142</v>
      </c>
      <c r="B11142" s="2" t="str">
        <f>IFERROR(__xludf.DUMMYFUNCTION("GOOGLETRANSLATE(A11142, ""en"", ""mt"")"),"Tymnet ħadem ma 'xiex?")</f>
        <v>Tymnet ħadem ma 'xiex?</v>
      </c>
    </row>
    <row r="11143" ht="15.75" customHeight="1">
      <c r="A11143" s="2" t="s">
        <v>11143</v>
      </c>
      <c r="B11143" s="2" t="str">
        <f>IFERROR(__xludf.DUMMYFUNCTION("GOOGLETRANSLATE(A11143, ""en"", ""mt"")"),"Kif kienet tissejjaħ l-epidemija tal-pesta Justinian?")</f>
        <v>Kif kienet tissejjaħ l-epidemija tal-pesta Justinian?</v>
      </c>
    </row>
    <row r="11144" ht="15.75" customHeight="1">
      <c r="A11144" s="2" t="s">
        <v>11144</v>
      </c>
      <c r="B11144" s="2" t="str">
        <f>IFERROR(__xludf.DUMMYFUNCTION("GOOGLETRANSLATE(A11144, ""en"", ""mt"")"),"Liema kumitat jikkorrispondi ma 'dipartiment wieħed jew aktar fil-gvern Spanjol?")</f>
        <v>Liema kumitat jikkorrispondi ma 'dipartiment wieħed jew aktar fil-gvern Spanjol?</v>
      </c>
    </row>
    <row r="11145" ht="15.75" customHeight="1">
      <c r="A11145" s="2" t="s">
        <v>11145</v>
      </c>
      <c r="B11145" s="2" t="str">
        <f>IFERROR(__xludf.DUMMYFUNCTION("GOOGLETRANSLATE(A11145, ""en"", ""mt"")"),"X'inhi l-funzjoni li jispeċjalizzaw ċelloli li jinsabu fil-moħħ?")</f>
        <v>X'inhi l-funzjoni li jispeċjalizzaw ċelloli li jinsabu fil-moħħ?</v>
      </c>
    </row>
    <row r="11146" ht="15.75" customHeight="1">
      <c r="A11146" s="2" t="s">
        <v>11146</v>
      </c>
      <c r="B11146" s="2" t="str">
        <f>IFERROR(__xludf.DUMMYFUNCTION("GOOGLETRANSLATE(A11146, ""en"", ""mt"")"),"X'inhi problema partikolari fil-bijoloġija li tibbenefika mid-determinazzjoni ta 'dak p = np?")</f>
        <v>X'inhi problema partikolari fil-bijoloġija li tibbenefika mid-determinazzjoni ta 'dak p = np?</v>
      </c>
    </row>
    <row r="11147" ht="15.75" customHeight="1">
      <c r="A11147" s="2" t="s">
        <v>11147</v>
      </c>
      <c r="B11147" s="2" t="str">
        <f>IFERROR(__xludf.DUMMYFUNCTION("GOOGLETRANSLATE(A11147, ""en"", ""mt"")"),"Id-Deutsce Bundespost xtara x'tip ta 'interface jidher li jħobb?")</f>
        <v>Id-Deutsce Bundespost xtara x'tip ta 'interface jidher li jħobb?</v>
      </c>
    </row>
    <row r="11148" ht="15.75" customHeight="1">
      <c r="A11148" s="2" t="s">
        <v>11148</v>
      </c>
      <c r="B11148" s="2" t="str">
        <f>IFERROR(__xludf.DUMMYFUNCTION("GOOGLETRANSLATE(A11148, ""en"", ""mt"")"),"dirett")</f>
        <v>dirett</v>
      </c>
    </row>
    <row r="11149" ht="15.75" customHeight="1">
      <c r="A11149" s="2" t="s">
        <v>11149</v>
      </c>
      <c r="B11149" s="2" t="str">
        <f>IFERROR(__xludf.DUMMYFUNCTION("GOOGLETRANSLATE(A11149, ""en"", ""mt"")"),"36% tad-djar")</f>
        <v>36% tad-djar</v>
      </c>
    </row>
    <row r="11150" ht="15.75" customHeight="1">
      <c r="A11150" s="2" t="s">
        <v>11150</v>
      </c>
      <c r="B11150" s="2" t="str">
        <f>IFERROR(__xludf.DUMMYFUNCTION("GOOGLETRANSLATE(A11150, ""en"", ""mt"")"),"Min kien il-Viċi President fl-1962?")</f>
        <v>Min kien il-Viċi President fl-1962?</v>
      </c>
    </row>
    <row r="11151" ht="15.75" customHeight="1">
      <c r="A11151" s="2" t="s">
        <v>11151</v>
      </c>
      <c r="B11151" s="2" t="str">
        <f>IFERROR(__xludf.DUMMYFUNCTION("GOOGLETRANSLATE(A11151, ""en"", ""mt"")"),"netwerk nazzjonali")</f>
        <v>netwerk nazzjonali</v>
      </c>
    </row>
    <row r="11152" ht="15.75" customHeight="1">
      <c r="A11152" s="2" t="s">
        <v>11152</v>
      </c>
      <c r="B11152" s="2" t="str">
        <f>IFERROR(__xludf.DUMMYFUNCTION("GOOGLETRANSLATE(A11152, ""en"", ""mt"")"),"Min ressaq il-qorti tiegħu minn Kraków għal Varsavja fl-1596?")</f>
        <v>Min ressaq il-qorti tiegħu minn Kraków għal Varsavja fl-1596?</v>
      </c>
    </row>
    <row r="11153" ht="15.75" customHeight="1">
      <c r="A11153" s="2" t="s">
        <v>11153</v>
      </c>
      <c r="B11153" s="2" t="str">
        <f>IFERROR(__xludf.DUMMYFUNCTION("GOOGLETRANSLATE(A11153, ""en"", ""mt"")"),"Meta bdiet il-vjolenza fil-gwerra?")</f>
        <v>Meta bdiet il-vjolenza fil-gwerra?</v>
      </c>
    </row>
    <row r="11154" ht="15.75" customHeight="1">
      <c r="A11154" s="2" t="s">
        <v>11154</v>
      </c>
      <c r="B11154" s="2" t="str">
        <f>IFERROR(__xludf.DUMMYFUNCTION("GOOGLETRANSLATE(A11154, ""en"", ""mt"")"),"−11.7 ° C (10.9 ° F)")</f>
        <v>−11.7 ° C (10.9 ° F)</v>
      </c>
    </row>
    <row r="11155" ht="15.75" customHeight="1">
      <c r="A11155" s="2" t="s">
        <v>11155</v>
      </c>
      <c r="B11155" s="2" t="str">
        <f>IFERROR(__xludf.DUMMYFUNCTION("GOOGLETRANSLATE(A11155, ""en"", ""mt"")"),"Fred Singer")</f>
        <v>Fred Singer</v>
      </c>
    </row>
    <row r="11156" ht="15.75" customHeight="1">
      <c r="A11156" s="2" t="s">
        <v>11156</v>
      </c>
      <c r="B11156" s="2" t="str">
        <f>IFERROR(__xludf.DUMMYFUNCTION("GOOGLETRANSLATE(A11156, ""en"", ""mt"")"),"X'inhu pajjiż wieħed li ġie ssuġġerit għall-importazzjoni ta 'mediċini?")</f>
        <v>X'inhu pajjiż wieħed li ġie ssuġġerit għall-importazzjoni ta 'mediċini?</v>
      </c>
    </row>
    <row r="11157" ht="15.75" customHeight="1">
      <c r="A11157" s="2" t="s">
        <v>11157</v>
      </c>
      <c r="B11157" s="2" t="str">
        <f>IFERROR(__xludf.DUMMYFUNCTION("GOOGLETRANSLATE(A11157, ""en"", ""mt"")"),"Fuq kampus ta '358-acre (145 ha)")</f>
        <v>Fuq kampus ta '358-acre (145 ha)</v>
      </c>
    </row>
    <row r="11158" ht="15.75" customHeight="1">
      <c r="A11158" s="2" t="s">
        <v>11158</v>
      </c>
      <c r="B11158" s="2" t="str">
        <f>IFERROR(__xludf.DUMMYFUNCTION("GOOGLETRANSLATE(A11158, ""en"", ""mt"")"),"deformazzjonijiet")</f>
        <v>deformazzjonijiet</v>
      </c>
    </row>
    <row r="11159" ht="15.75" customHeight="1">
      <c r="A11159" s="2" t="s">
        <v>11159</v>
      </c>
      <c r="B11159" s="2" t="str">
        <f>IFERROR(__xludf.DUMMYFUNCTION("GOOGLETRANSLATE(A11159, ""en"", ""mt"")"),"Fit-8 ta 'Frar 2007")</f>
        <v>Fit-8 ta 'Frar 2007</v>
      </c>
    </row>
    <row r="11160" ht="15.75" customHeight="1">
      <c r="A11160" s="2" t="s">
        <v>11160</v>
      </c>
      <c r="B11160" s="2" t="str">
        <f>IFERROR(__xludf.DUMMYFUNCTION("GOOGLETRANSLATE(A11160, ""en"", ""mt"")"),"L-isferi kollha tal-ħajja.")</f>
        <v>L-isferi kollha tal-ħajja.</v>
      </c>
    </row>
    <row r="11161" ht="15.75" customHeight="1">
      <c r="A11161" s="2" t="s">
        <v>11161</v>
      </c>
      <c r="B11161" s="2" t="str">
        <f>IFERROR(__xludf.DUMMYFUNCTION("GOOGLETRANSLATE(A11161, ""en"", ""mt"")"),"Wara l-Università ta 'Ann Arbor u Wayne State University, li kienet it-tielet università li tlesti t-Triad?")</f>
        <v>Wara l-Università ta 'Ann Arbor u Wayne State University, li kienet it-tielet università li tlesti t-Triad?</v>
      </c>
    </row>
    <row r="11162" ht="15.75" customHeight="1">
      <c r="A11162" s="2" t="s">
        <v>11162</v>
      </c>
      <c r="B11162" s="2" t="str">
        <f>IFERROR(__xludf.DUMMYFUNCTION("GOOGLETRANSLATE(A11162, ""en"", ""mt"")"),"X'jifhmu li jisseparaw il-moderati progressivi tal-Iżlam?")</f>
        <v>X'jifhmu li jisseparaw il-moderati progressivi tal-Iżlam?</v>
      </c>
    </row>
    <row r="11163" ht="15.75" customHeight="1">
      <c r="A11163" s="2" t="s">
        <v>11163</v>
      </c>
      <c r="B11163" s="2" t="str">
        <f>IFERROR(__xludf.DUMMYFUNCTION("GOOGLETRANSLATE(A11163, ""en"", ""mt"")"),"Fit-3 ta 'Mejju, 1901, id-downtown Jacksonville kien maħruq minn nar li beda bħala nar tal-kċina. Moss Spanjol f'fabbrika tas-saqqu fil-viċin ġie maħkum malajr fil-fjammi u jippermetti li n-nar jinfirex malajr. Fi tmien sigħat biss, ħakmu 146 blokka tal-b"&amp;"elt, meqruda aktar minn 2,000 bini, ħallew madwar 10,000 bla dar u qatlu 7 residenti. Il-monument Konfederat fil-Park Hemming kien wieħed mill-uniċi postijiet familjari li jgħix in-nar. Il-Gvernatur Jennings jiddikjara l-liġi marzjali u bagħat lill-milizj"&amp;"a tal-istat biex iżżomm l-ordni. Fis-17 ta 'Mejju reġgħet bdiet l-Awtorità Muniċipali f'Jacksonville. Jingħad li l-glow mill-fjammi jista 'jidher f'Savannah, il-Ġeorġja, u l-plumes tad-duħħan li dehru f'Raleigh, North Carolina. Magħruf bħala ""Nar il-Kbir"&amp;" ta 'l-1901"", kien wieħed mill-agħar diżastri fl-istorja ta' Florida u l-akbar nar urban fix-xlokk ta 'l-Istati Uniti. Il-Perit Henry John Klutho kien figura primarja fir-rikostruzzjoni tal-belt. L-ewwel struttura b'ħafna stejjer mibnija minn Klutho kien"&amp;"et il-bini Dyal-Upchurch fl-1902. Il-bini ta 'St James, mibni fuq is-sit preċedenti tal-lukanda St James li nħaraq, inbena fl-1912 bħala l-kisba ta' Klutho.")</f>
        <v>Fit-3 ta 'Mejju, 1901, id-downtown Jacksonville kien maħruq minn nar li beda bħala nar tal-kċina. Moss Spanjol f'fabbrika tas-saqqu fil-viċin ġie maħkum malajr fil-fjammi u jippermetti li n-nar jinfirex malajr. Fi tmien sigħat biss, ħakmu 146 blokka tal-belt, meqruda aktar minn 2,000 bini, ħallew madwar 10,000 bla dar u qatlu 7 residenti. Il-monument Konfederat fil-Park Hemming kien wieħed mill-uniċi postijiet familjari li jgħix in-nar. Il-Gvernatur Jennings jiddikjara l-liġi marzjali u bagħat lill-milizja tal-istat biex iżżomm l-ordni. Fis-17 ta 'Mejju reġgħet bdiet l-Awtorità Muniċipali f'Jacksonville. Jingħad li l-glow mill-fjammi jista 'jidher f'Savannah, il-Ġeorġja, u l-plumes tad-duħħan li dehru f'Raleigh, North Carolina. Magħruf bħala "Nar il-Kbir ta 'l-1901", kien wieħed mill-agħar diżastri fl-istorja ta' Florida u l-akbar nar urban fix-xlokk ta 'l-Istati Uniti. Il-Perit Henry John Klutho kien figura primarja fir-rikostruzzjoni tal-belt. L-ewwel struttura b'ħafna stejjer mibnija minn Klutho kienet il-bini Dyal-Upchurch fl-1902. Il-bini ta 'St James, mibni fuq is-sit preċedenti tal-lukanda St James li nħaraq, inbena fl-1912 bħala l-kisba ta' Klutho.</v>
      </c>
    </row>
    <row r="11164" ht="15.75" customHeight="1">
      <c r="A11164" s="2" t="s">
        <v>11164</v>
      </c>
      <c r="B11164" s="2" t="str">
        <f>IFERROR(__xludf.DUMMYFUNCTION("GOOGLETRANSLATE(A11164, ""en"", ""mt"")"),"Hemm iktar nies foqra fl-Istati Uniti u fl-Ewropa tal-Punent milli fiċ-Ċina")</f>
        <v>Hemm iktar nies foqra fl-Istati Uniti u fl-Ewropa tal-Punent milli fiċ-Ċina</v>
      </c>
    </row>
    <row r="11165" ht="15.75" customHeight="1">
      <c r="A11165" s="2" t="s">
        <v>11165</v>
      </c>
      <c r="B11165" s="2" t="str">
        <f>IFERROR(__xludf.DUMMYFUNCTION("GOOGLETRANSLATE(A11165, ""en"", ""mt"")"),"Liema kwantitajiet fiżiċi m'għandhomx direzzjoni?")</f>
        <v>Liema kwantitajiet fiżiċi m'għandhomx direzzjoni?</v>
      </c>
    </row>
    <row r="11166" ht="15.75" customHeight="1">
      <c r="A11166" s="2" t="s">
        <v>11166</v>
      </c>
      <c r="B11166" s="2" t="str">
        <f>IFERROR(__xludf.DUMMYFUNCTION("GOOGLETRANSLATE(A11166, ""en"", ""mt"")"),"Liema molekuli huma rikonoxxuti bħala barranin mis-sistema immuni?")</f>
        <v>Liema molekuli huma rikonoxxuti bħala barranin mis-sistema immuni?</v>
      </c>
    </row>
    <row r="11167" ht="15.75" customHeight="1">
      <c r="A11167" s="2" t="s">
        <v>11167</v>
      </c>
      <c r="B11167" s="2" t="str">
        <f>IFERROR(__xludf.DUMMYFUNCTION("GOOGLETRANSLATE(A11167, ""en"", ""mt"")"),"Kemm kien hemm Huguenots fl-1598?")</f>
        <v>Kemm kien hemm Huguenots fl-1598?</v>
      </c>
    </row>
    <row r="11168" ht="15.75" customHeight="1">
      <c r="A11168" s="2" t="s">
        <v>11168</v>
      </c>
      <c r="B11168" s="2" t="str">
        <f>IFERROR(__xludf.DUMMYFUNCTION("GOOGLETRANSLATE(A11168, ""en"", ""mt"")"),"Daqs tal-input")</f>
        <v>Daqs tal-input</v>
      </c>
    </row>
    <row r="11169" ht="15.75" customHeight="1">
      <c r="A11169" s="2" t="s">
        <v>11169</v>
      </c>
      <c r="B11169" s="2" t="str">
        <f>IFERROR(__xludf.DUMMYFUNCTION("GOOGLETRANSLATE(A11169, ""en"", ""mt"")"),"X'inhu l-isem tas-sistema tal-ferrovija ta 'Los Angeles?")</f>
        <v>X'inhu l-isem tas-sistema tal-ferrovija ta 'Los Angeles?</v>
      </c>
    </row>
    <row r="11170" ht="15.75" customHeight="1">
      <c r="A11170" s="2" t="s">
        <v>11170</v>
      </c>
      <c r="B11170" s="2" t="str">
        <f>IFERROR(__xludf.DUMMYFUNCTION("GOOGLETRANSLATE(A11170, ""en"", ""mt"")"),"Kif qabbel ir-rapport tal-IPCC tal-2001 mar-realtà fuq il-livelli tal-baħar?")</f>
        <v>Kif qabbel ir-rapport tal-IPCC tal-2001 mar-realtà fuq il-livelli tal-baħar?</v>
      </c>
    </row>
    <row r="11171" ht="15.75" customHeight="1">
      <c r="A11171" s="2" t="s">
        <v>11171</v>
      </c>
      <c r="B11171" s="2" t="str">
        <f>IFERROR(__xludf.DUMMYFUNCTION("GOOGLETRANSLATE(A11171, ""en"", ""mt"")"),"Wied tard-glaċjali")</f>
        <v>Wied tard-glaċjali</v>
      </c>
    </row>
    <row r="11172" ht="15.75" customHeight="1">
      <c r="A11172" s="2" t="s">
        <v>11172</v>
      </c>
      <c r="B11172" s="2" t="str">
        <f>IFERROR(__xludf.DUMMYFUNCTION("GOOGLETRANSLATE(A11172, ""en"", ""mt"")"),"Minn fejn ġejjin ħafna studenti fl-Iskola Groton?")</f>
        <v>Minn fejn ġejjin ħafna studenti fl-Iskola Groton?</v>
      </c>
    </row>
    <row r="11173" ht="15.75" customHeight="1">
      <c r="A11173" s="2" t="s">
        <v>11173</v>
      </c>
      <c r="B11173" s="2" t="str">
        <f>IFERROR(__xludf.DUMMYFUNCTION("GOOGLETRANSLATE(A11173, ""en"", ""mt"")"),"X'inhi l-kwittanza medja tal-Moselle għar-Renu?")</f>
        <v>X'inhi l-kwittanza medja tal-Moselle għar-Renu?</v>
      </c>
    </row>
    <row r="11174" ht="15.75" customHeight="1">
      <c r="A11174" s="2" t="s">
        <v>11174</v>
      </c>
      <c r="B11174" s="2" t="str">
        <f>IFERROR(__xludf.DUMMYFUNCTION("GOOGLETRANSLATE(A11174, ""en"", ""mt"")"),"L-ormoni tal-irqad ibiddlu l-bilanċ taċ-ċitokina għal liema ċitokina?")</f>
        <v>L-ormoni tal-irqad ibiddlu l-bilanċ taċ-ċitokina għal liema ċitokina?</v>
      </c>
    </row>
    <row r="11175" ht="15.75" customHeight="1">
      <c r="A11175" s="2" t="s">
        <v>11175</v>
      </c>
      <c r="B11175" s="2" t="str">
        <f>IFERROR(__xludf.DUMMYFUNCTION("GOOGLETRANSLATE(A11175, ""en"", ""mt"")"),"Monitoraġġ tal-laboratorju, konsulenza dwar l-aderenza, u tassisti lill-pazjenti bi strateġiji ta 'l-ispejjeż meħtieġa biex jiksbu l-mediċini ta' speċjalità għaljin tagħhom")</f>
        <v>Monitoraġġ tal-laboratorju, konsulenza dwar l-aderenza, u tassisti lill-pazjenti bi strateġiji ta 'l-ispejjeż meħtieġa biex jiksbu l-mediċini ta' speċjalità għaljin tagħhom</v>
      </c>
    </row>
    <row r="11176" ht="15.75" customHeight="1">
      <c r="A11176" s="2" t="s">
        <v>11176</v>
      </c>
      <c r="B11176" s="2" t="str">
        <f>IFERROR(__xludf.DUMMYFUNCTION("GOOGLETRANSLATE(A11176, ""en"", ""mt"")"),"Taħt 0 ° C (32 ° F)")</f>
        <v>Taħt 0 ° C (32 ° F)</v>
      </c>
    </row>
    <row r="11177" ht="15.75" customHeight="1">
      <c r="A11177" s="2" t="s">
        <v>11177</v>
      </c>
      <c r="B11177" s="2" t="str">
        <f>IFERROR(__xludf.DUMMYFUNCTION("GOOGLETRANSLATE(A11177, ""en"", ""mt"")"),"X'kien elenkat il-Pjazza tas-Suq ta 'Varsavja bħal fl-1980?")</f>
        <v>X'kien elenkat il-Pjazza tas-Suq ta 'Varsavja bħal fl-1980?</v>
      </c>
    </row>
    <row r="11178" ht="15.75" customHeight="1">
      <c r="A11178" s="2" t="s">
        <v>11178</v>
      </c>
      <c r="B11178" s="2" t="str">
        <f>IFERROR(__xludf.DUMMYFUNCTION("GOOGLETRANSLATE(A11178, ""en"", ""mt"")"),"turbina")</f>
        <v>turbina</v>
      </c>
    </row>
    <row r="11179" ht="15.75" customHeight="1">
      <c r="A11179" s="2" t="s">
        <v>11179</v>
      </c>
      <c r="B11179" s="2" t="str">
        <f>IFERROR(__xludf.DUMMYFUNCTION("GOOGLETRANSLATE(A11179, ""en"", ""mt"")"),"Min japplika l-liġi tal-Unjoni Ewropea?")</f>
        <v>Min japplika l-liġi tal-Unjoni Ewropea?</v>
      </c>
    </row>
    <row r="11180" ht="15.75" customHeight="1">
      <c r="A11180" s="2" t="s">
        <v>11180</v>
      </c>
      <c r="B11180" s="2" t="str">
        <f>IFERROR(__xludf.DUMMYFUNCTION("GOOGLETRANSLATE(A11180, ""en"", ""mt"")"),"analogu u numeriku")</f>
        <v>analogu u numeriku</v>
      </c>
    </row>
    <row r="11181" ht="15.75" customHeight="1">
      <c r="A11181" s="2" t="s">
        <v>11181</v>
      </c>
      <c r="B11181" s="2" t="str">
        <f>IFERROR(__xludf.DUMMYFUNCTION("GOOGLETRANSLATE(A11181, ""en"", ""mt"")"),"X'ordna l-Ambaxxatur Brittaniku Lord Cromer minħabba l-inkwiet tiegħu dwar l-azzjonijiet ta 'nofs il-Lvant?")</f>
        <v>X'ordna l-Ambaxxatur Brittaniku Lord Cromer minħabba l-inkwiet tiegħu dwar l-azzjonijiet ta 'nofs il-Lvant?</v>
      </c>
    </row>
    <row r="11182" ht="15.75" customHeight="1">
      <c r="A11182" s="2" t="s">
        <v>11182</v>
      </c>
      <c r="B11182" s="2" t="str">
        <f>IFERROR(__xludf.DUMMYFUNCTION("GOOGLETRANSLATE(A11182, ""en"", ""mt"")"),"Fejn huma tipikament il-kontijiet ġestati fl-istadju 1?")</f>
        <v>Fejn huma tipikament il-kontijiet ġestati fl-istadju 1?</v>
      </c>
    </row>
    <row r="11183" ht="15.75" customHeight="1">
      <c r="A11183" s="2" t="s">
        <v>11183</v>
      </c>
      <c r="B11183" s="2" t="str">
        <f>IFERROR(__xludf.DUMMYFUNCTION("GOOGLETRANSLATE(A11183, ""en"", ""mt"")"),"Dwar liema sena ġiet ivvintata l-magna atmosferika?")</f>
        <v>Dwar liema sena ġiet ivvintata l-magna atmosferika?</v>
      </c>
    </row>
    <row r="11184" ht="15.75" customHeight="1">
      <c r="A11184" s="2" t="s">
        <v>11184</v>
      </c>
      <c r="B11184" s="2" t="str">
        <f>IFERROR(__xludf.DUMMYFUNCTION("GOOGLETRANSLATE(A11184, ""en"", ""mt"")"),"5 pm")</f>
        <v>5 pm</v>
      </c>
    </row>
    <row r="11185" ht="15.75" customHeight="1">
      <c r="A11185" s="2" t="s">
        <v>11185</v>
      </c>
      <c r="B11185" s="2" t="str">
        <f>IFERROR(__xludf.DUMMYFUNCTION("GOOGLETRANSLATE(A11185, ""en"", ""mt"")"),"Liema pajjiż ir-Rhine tbattal?")</f>
        <v>Liema pajjiż ir-Rhine tbattal?</v>
      </c>
    </row>
    <row r="11186" ht="15.75" customHeight="1">
      <c r="A11186" s="2" t="s">
        <v>11186</v>
      </c>
      <c r="B11186" s="2" t="str">
        <f>IFERROR(__xludf.DUMMYFUNCTION("GOOGLETRANSLATE(A11186, ""en"", ""mt"")"),"Sierra Sky Park")</f>
        <v>Sierra Sky Park</v>
      </c>
    </row>
    <row r="11187" ht="15.75" customHeight="1">
      <c r="A11187" s="2" t="s">
        <v>11187</v>
      </c>
      <c r="B11187" s="2" t="str">
        <f>IFERROR(__xludf.DUMMYFUNCTION("GOOGLETRANSLATE(A11187, ""en"", ""mt"")"),"L-imħallef żied is-sentenza tagħha")</f>
        <v>L-imħallef żied is-sentenza tagħha</v>
      </c>
    </row>
    <row r="11188" ht="15.75" customHeight="1">
      <c r="A11188" s="2" t="s">
        <v>11188</v>
      </c>
      <c r="B11188" s="2" t="str">
        <f>IFERROR(__xludf.DUMMYFUNCTION("GOOGLETRANSLATE(A11188, ""en"", ""mt"")"),"Kemm skejjel privati ​​jeżistu fi New Zealand f'April 2014?")</f>
        <v>Kemm skejjel privati ​​jeżistu fi New Zealand f'April 2014?</v>
      </c>
    </row>
    <row r="11189" ht="15.75" customHeight="1">
      <c r="A11189" s="2" t="s">
        <v>11189</v>
      </c>
      <c r="B11189" s="2" t="str">
        <f>IFERROR(__xludf.DUMMYFUNCTION("GOOGLETRANSLATE(A11189, ""en"", ""mt"")"),"34 miljun")</f>
        <v>34 miljun</v>
      </c>
    </row>
    <row r="11190" ht="15.75" customHeight="1">
      <c r="A11190" s="2" t="s">
        <v>11190</v>
      </c>
      <c r="B11190" s="2" t="str">
        <f>IFERROR(__xludf.DUMMYFUNCTION("GOOGLETRANSLATE(A11190, ""en"", ""mt"")"),"Liema fergħa tal-UE kellha l-iktar influwenza fuq l-iżvilupp tal-liġi tal-UE?")</f>
        <v>Liema fergħa tal-UE kellha l-iktar influwenza fuq l-iżvilupp tal-liġi tal-UE?</v>
      </c>
    </row>
    <row r="11191" ht="15.75" customHeight="1">
      <c r="A11191" s="2" t="s">
        <v>11191</v>
      </c>
      <c r="B11191" s="2" t="str">
        <f>IFERROR(__xludf.DUMMYFUNCTION("GOOGLETRANSLATE(A11191, ""en"", ""mt"")"),"Kemm diviżjonijiet ta 'riċerka tal-gradwati jikkonsistu fl-Università ta' tagħlim ogħla?")</f>
        <v>Kemm diviżjonijiet ta 'riċerka tal-gradwati jikkonsistu fl-Università ta' tagħlim ogħla?</v>
      </c>
    </row>
    <row r="11192" ht="15.75" customHeight="1">
      <c r="A11192" s="2" t="s">
        <v>11192</v>
      </c>
      <c r="B11192" s="2" t="str">
        <f>IFERROR(__xludf.DUMMYFUNCTION("GOOGLETRANSLATE(A11192, ""en"", ""mt"")"),"Meta l-università bdiet ikollha programm ta 'grad ta' baċellerat fiċ-ċinema u l-istudji tal-midja?")</f>
        <v>Meta l-università bdiet ikollha programm ta 'grad ta' baċellerat fiċ-ċinema u l-istudji tal-midja?</v>
      </c>
    </row>
    <row r="11193" ht="15.75" customHeight="1">
      <c r="A11193" s="2" t="s">
        <v>11193</v>
      </c>
      <c r="B11193" s="2" t="str">
        <f>IFERROR(__xludf.DUMMYFUNCTION("GOOGLETRANSLATE(A11193, ""en"", ""mt"")"),"Liema reliġjon kienu n-Normanni")</f>
        <v>Liema reliġjon kienu n-Normanni</v>
      </c>
    </row>
    <row r="11194" ht="15.75" customHeight="1">
      <c r="A11194" s="2" t="s">
        <v>11194</v>
      </c>
      <c r="B11194" s="2" t="str">
        <f>IFERROR(__xludf.DUMMYFUNCTION("GOOGLETRANSLATE(A11194, ""en"", ""mt"")"),"Taħt liema liġi huwa determinat il-valur ta 'ħaddiem?")</f>
        <v>Taħt liema liġi huwa determinat il-valur ta 'ħaddiem?</v>
      </c>
    </row>
    <row r="11195" ht="15.75" customHeight="1">
      <c r="A11195" s="2" t="s">
        <v>11195</v>
      </c>
      <c r="B11195" s="2" t="str">
        <f>IFERROR(__xludf.DUMMYFUNCTION("GOOGLETRANSLATE(A11195, ""en"", ""mt"")")," Liema mexxej Ċiniż Han ċaħad il-Mongoli?")</f>
        <v> Liema mexxej Ċiniż Han ċaħad il-Mongoli?</v>
      </c>
    </row>
    <row r="11196" ht="15.75" customHeight="1">
      <c r="A11196" s="2" t="s">
        <v>11196</v>
      </c>
      <c r="B11196" s="2" t="str">
        <f>IFERROR(__xludf.DUMMYFUNCTION("GOOGLETRANSLATE(A11196, ""en"", ""mt"")"),"Dħul rilevanti aħjar")</f>
        <v>Dħul rilevanti aħjar</v>
      </c>
    </row>
    <row r="11197" ht="15.75" customHeight="1">
      <c r="A11197" s="2" t="s">
        <v>11197</v>
      </c>
      <c r="B11197" s="2" t="str">
        <f>IFERROR(__xludf.DUMMYFUNCTION("GOOGLETRANSLATE(A11197, ""en"", ""mt"")"),"Bħala forza strutturali")</f>
        <v>Bħala forza strutturali</v>
      </c>
    </row>
    <row r="11198" ht="15.75" customHeight="1">
      <c r="A11198" s="2" t="s">
        <v>11198</v>
      </c>
      <c r="B11198" s="2" t="str">
        <f>IFERROR(__xludf.DUMMYFUNCTION("GOOGLETRANSLATE(A11198, ""en"", ""mt"")"),"Liema ekwazzjoni huwa t-torque rigward il-veloċità?")</f>
        <v>Liema ekwazzjoni huwa t-torque rigward il-veloċità?</v>
      </c>
    </row>
    <row r="11199" ht="15.75" customHeight="1">
      <c r="A11199" s="2" t="s">
        <v>11199</v>
      </c>
      <c r="B11199" s="2" t="str">
        <f>IFERROR(__xludf.DUMMYFUNCTION("GOOGLETRANSLATE(A11199, ""en"", ""mt"")"),"Jacksonville")</f>
        <v>Jacksonville</v>
      </c>
    </row>
    <row r="11200" ht="15.75" customHeight="1">
      <c r="A11200" s="2" t="s">
        <v>11200</v>
      </c>
      <c r="B11200" s="2" t="str">
        <f>IFERROR(__xludf.DUMMYFUNCTION("GOOGLETRANSLATE(A11200, ""en"", ""mt"")"),"L-Ewwel Gwerra Dinjija")</f>
        <v>L-Ewwel Gwerra Dinjija</v>
      </c>
    </row>
    <row r="11201" ht="15.75" customHeight="1">
      <c r="A11201" s="2" t="s">
        <v>11201</v>
      </c>
      <c r="B11201" s="2" t="str">
        <f>IFERROR(__xludf.DUMMYFUNCTION("GOOGLETRANSLATE(A11201, ""en"", ""mt"")"),"3.62")</f>
        <v>3.62</v>
      </c>
    </row>
    <row r="11202" ht="15.75" customHeight="1">
      <c r="A11202" s="2" t="s">
        <v>11202</v>
      </c>
      <c r="B11202" s="2" t="str">
        <f>IFERROR(__xludf.DUMMYFUNCTION("GOOGLETRANSLATE(A11202, ""en"", ""mt"")"),"X'tip ta 'barriera ma tipproteġix l-organiżmi mill-infezzjoni?")</f>
        <v>X'tip ta 'barriera ma tipproteġix l-organiżmi mill-infezzjoni?</v>
      </c>
    </row>
    <row r="11203" ht="15.75" customHeight="1">
      <c r="A11203" s="2" t="s">
        <v>11203</v>
      </c>
      <c r="B11203" s="2" t="str">
        <f>IFERROR(__xludf.DUMMYFUNCTION("GOOGLETRANSLATE(A11203, ""en"", ""mt"")"),"Minn fejn imxew Kublai l-kapitali Mongolja?")</f>
        <v>Minn fejn imxew Kublai l-kapitali Mongolja?</v>
      </c>
    </row>
    <row r="11204" ht="15.75" customHeight="1">
      <c r="A11204" s="2" t="s">
        <v>11204</v>
      </c>
      <c r="B11204" s="2" t="str">
        <f>IFERROR(__xludf.DUMMYFUNCTION("GOOGLETRANSLATE(A11204, ""en"", ""mt"")"),"X'inhu terminu ieħor għat-tqassir tal-avveniment tad-dħul?")</f>
        <v>X'inhu terminu ieħor għat-tqassir tal-avveniment tad-dħul?</v>
      </c>
    </row>
    <row r="11205" ht="15.75" customHeight="1">
      <c r="A11205" s="2" t="s">
        <v>11205</v>
      </c>
      <c r="B11205" s="2" t="str">
        <f>IFERROR(__xludf.DUMMYFUNCTION("GOOGLETRANSLATE(A11205, ""en"", ""mt"")"),"Minbarra d-distrett tan-negozju ċentrali ewlieni tiegħu, fejn jinsabu l-maġġoranza tad-distretti tan-negozju ta 'San Diego?")</f>
        <v>Minbarra d-distrett tan-negozju ċentrali ewlieni tiegħu, fejn jinsabu l-maġġoranza tad-distretti tan-negozju ta 'San Diego?</v>
      </c>
    </row>
    <row r="11206" ht="15.75" customHeight="1">
      <c r="A11206" s="2" t="s">
        <v>11206</v>
      </c>
      <c r="B11206" s="2" t="str">
        <f>IFERROR(__xludf.DUMMYFUNCTION("GOOGLETRANSLATE(A11206, ""en"", ""mt"")"),"Mongke Khan meta sar Khan kbir?")</f>
        <v>Mongke Khan meta sar Khan kbir?</v>
      </c>
    </row>
    <row r="11207" ht="15.75" customHeight="1">
      <c r="A11207" s="2" t="s">
        <v>11207</v>
      </c>
      <c r="B11207" s="2" t="str">
        <f>IFERROR(__xludf.DUMMYFUNCTION("GOOGLETRANSLATE(A11207, ""en"", ""mt"")"),"Fejn kien jinsab l-ewwel ġnien?")</f>
        <v>Fejn kien jinsab l-ewwel ġnien?</v>
      </c>
    </row>
    <row r="11208" ht="15.75" customHeight="1">
      <c r="A11208" s="2" t="s">
        <v>11208</v>
      </c>
      <c r="B11208" s="2" t="str">
        <f>IFERROR(__xludf.DUMMYFUNCTION("GOOGLETRANSLATE(A11208, ""en"", ""mt"")"),"Min jiġbor il-kontribuzzjonijiet tal-awturi?")</f>
        <v>Min jiġbor il-kontribuzzjonijiet tal-awturi?</v>
      </c>
    </row>
    <row r="11209" ht="15.75" customHeight="1">
      <c r="A11209" s="2" t="s">
        <v>11209</v>
      </c>
      <c r="B11209" s="2" t="str">
        <f>IFERROR(__xludf.DUMMYFUNCTION("GOOGLETRANSLATE(A11209, ""en"", ""mt"")"),"X'inhu rari fix-Xlokk ta 'l-istat?")</f>
        <v>X'inhu rari fix-Xlokk ta 'l-istat?</v>
      </c>
    </row>
    <row r="11210" ht="15.75" customHeight="1">
      <c r="A11210" s="2" t="s">
        <v>11210</v>
      </c>
      <c r="B11210" s="2" t="str">
        <f>IFERROR(__xludf.DUMMYFUNCTION("GOOGLETRANSLATE(A11210, ""en"", ""mt"")"),"Ftit qatriet")</f>
        <v>Ftit qatriet</v>
      </c>
    </row>
    <row r="11211" ht="15.75" customHeight="1">
      <c r="A11211" s="2" t="s">
        <v>11211</v>
      </c>
      <c r="B11211" s="2" t="str">
        <f>IFERROR(__xludf.DUMMYFUNCTION("GOOGLETRANSLATE(A11211, ""en"", ""mt"")"),"1802")</f>
        <v>1802</v>
      </c>
    </row>
    <row r="11212" ht="15.75" customHeight="1">
      <c r="A11212" s="2" t="s">
        <v>11212</v>
      </c>
      <c r="B11212" s="2" t="str">
        <f>IFERROR(__xludf.DUMMYFUNCTION("GOOGLETRANSLATE(A11212, ""en"", ""mt"")"),"Uighurs tar-Renju ta 'Qocho")</f>
        <v>Uighurs tar-Renju ta 'Qocho</v>
      </c>
    </row>
    <row r="11213" ht="15.75" customHeight="1">
      <c r="A11213" s="2" t="s">
        <v>11213</v>
      </c>
      <c r="B11213" s="2" t="str">
        <f>IFERROR(__xludf.DUMMYFUNCTION("GOOGLETRANSLATE(A11213, ""en"", ""mt"")"),"Meta ġie miktub l-esej minn attivisti moderni?")</f>
        <v>Meta ġie miktub l-esej minn attivisti moderni?</v>
      </c>
    </row>
    <row r="11214" ht="15.75" customHeight="1">
      <c r="A11214" s="2" t="s">
        <v>11214</v>
      </c>
      <c r="B11214" s="2" t="str">
        <f>IFERROR(__xludf.DUMMYFUNCTION("GOOGLETRANSLATE(A11214, ""en"", ""mt"")"),"X'ingħaqad ma 'Nixon fl-20 ta' Ottubru, 1973?")</f>
        <v>X'ingħaqad ma 'Nixon fl-20 ta' Ottubru, 1973?</v>
      </c>
    </row>
    <row r="11215" ht="15.75" customHeight="1">
      <c r="A11215" s="2" t="s">
        <v>11215</v>
      </c>
      <c r="B11215" s="2" t="str">
        <f>IFERROR(__xludf.DUMMYFUNCTION("GOOGLETRANSLATE(A11215, ""en"", ""mt"")"),"Rebeljoni Ċivili")</f>
        <v>Rebeljoni Ċivili</v>
      </c>
    </row>
    <row r="11216" ht="15.75" customHeight="1">
      <c r="A11216" s="2" t="s">
        <v>11216</v>
      </c>
      <c r="B11216" s="2" t="str">
        <f>IFERROR(__xludf.DUMMYFUNCTION("GOOGLETRANSLATE(A11216, ""en"", ""mt"")"),"Meta ġew żviluppati t-teoriji li jissuġġerixxu inugwaljanza jista 'jkollu xi effett pożittiv fuq l-iżvilupp ekonomiku?")</f>
        <v>Meta ġew żviluppati t-teoriji li jissuġġerixxu inugwaljanza jista 'jkollu xi effett pożittiv fuq l-iżvilupp ekonomiku?</v>
      </c>
    </row>
    <row r="11217" ht="15.75" customHeight="1">
      <c r="A11217" s="2" t="s">
        <v>11217</v>
      </c>
      <c r="B11217" s="2" t="str">
        <f>IFERROR(__xludf.DUMMYFUNCTION("GOOGLETRANSLATE(A11217, ""en"", ""mt"")"),"Subborgi mhux inkorporati")</f>
        <v>Subborgi mhux inkorporati</v>
      </c>
    </row>
    <row r="11218" ht="15.75" customHeight="1">
      <c r="A11218" s="2" t="s">
        <v>11218</v>
      </c>
      <c r="B11218" s="2" t="str">
        <f>IFERROR(__xludf.DUMMYFUNCTION("GOOGLETRANSLATE(A11218, ""en"", ""mt"")"),"X'kienu s-snin sentejn regolamenti li kienu f'kunflitt ma 'liġi Taljana li joriġinaw fil-każ spa ta' simmenthal?")</f>
        <v>X'kienu s-snin sentejn regolamenti li kienu f'kunflitt ma 'liġi Taljana li joriġinaw fil-każ spa ta' simmenthal?</v>
      </c>
    </row>
    <row r="11219" ht="15.75" customHeight="1">
      <c r="A11219" s="2" t="s">
        <v>11219</v>
      </c>
      <c r="B11219" s="2" t="str">
        <f>IFERROR(__xludf.DUMMYFUNCTION("GOOGLETRANSLATE(A11219, ""en"", ""mt"")"),"Meta Watt spiċċa l-iżvilupp tat-titjib tiegħu għal ċilindri tal-magna?")</f>
        <v>Meta Watt spiċċa l-iżvilupp tat-titjib tiegħu għal ċilindri tal-magna?</v>
      </c>
    </row>
    <row r="11220" ht="15.75" customHeight="1">
      <c r="A11220" s="2" t="s">
        <v>11220</v>
      </c>
      <c r="B11220" s="2" t="str">
        <f>IFERROR(__xludf.DUMMYFUNCTION("GOOGLETRANSLATE(A11220, ""en"", ""mt"")"),"X'inhu eżempju ta 'kejl fi ħdan klassi ta' kumplessità li toħloq sett ikbar ta 'problemi jekk il-limiti jkunu rilassati?")</f>
        <v>X'inhu eżempju ta 'kejl fi ħdan klassi ta' kumplessità li toħloq sett ikbar ta 'problemi jekk il-limiti jkunu rilassati?</v>
      </c>
    </row>
    <row r="11221" ht="15.75" customHeight="1">
      <c r="A11221" s="2" t="s">
        <v>11221</v>
      </c>
      <c r="B11221" s="2" t="str">
        <f>IFERROR(__xludf.DUMMYFUNCTION("GOOGLETRANSLATE(A11221, ""en"", ""mt"")"),"L-antiġeni jorbtu ma 'dak li jġib tweġiba tas-sistema immuni?")</f>
        <v>L-antiġeni jorbtu ma 'dak li jġib tweġiba tas-sistema immuni?</v>
      </c>
    </row>
    <row r="11222" ht="15.75" customHeight="1">
      <c r="A11222" s="2" t="s">
        <v>11222</v>
      </c>
      <c r="B11222" s="2" t="str">
        <f>IFERROR(__xludf.DUMMYFUNCTION("GOOGLETRANSLATE(A11222, ""en"", ""mt"")"),"ħames sa għaxar snin")</f>
        <v>ħames sa għaxar snin</v>
      </c>
    </row>
    <row r="11223" ht="15.75" customHeight="1">
      <c r="A11223" s="2" t="s">
        <v>11223</v>
      </c>
      <c r="B11223" s="2" t="str">
        <f>IFERROR(__xludf.DUMMYFUNCTION("GOOGLETRANSLATE(A11223, ""en"", ""mt"")"),"M'hemm l-ebda soluzzjoni magħrufa fil-ħin polinomjali")</f>
        <v>M'hemm l-ebda soluzzjoni magħrufa fil-ħin polinomjali</v>
      </c>
    </row>
    <row r="11224" ht="15.75" customHeight="1">
      <c r="A11224" s="2" t="s">
        <v>11224</v>
      </c>
      <c r="B11224" s="2" t="str">
        <f>IFERROR(__xludf.DUMMYFUNCTION("GOOGLETRANSLATE(A11224, ""en"", ""mt"")"),"Liema persentaġġ tal-popolazzjoni tal-vot mhux eliġibbli ma vvotatx?")</f>
        <v>Liema persentaġġ tal-popolazzjoni tal-vot mhux eliġibbli ma vvotatx?</v>
      </c>
    </row>
    <row r="11225" ht="15.75" customHeight="1">
      <c r="A11225" s="2" t="s">
        <v>11225</v>
      </c>
      <c r="B11225" s="2" t="str">
        <f>IFERROR(__xludf.DUMMYFUNCTION("GOOGLETRANSLATE(A11225, ""en"", ""mt"")"),"awtomatikament devolut")</f>
        <v>awtomatikament devolut</v>
      </c>
    </row>
    <row r="11226" ht="15.75" customHeight="1">
      <c r="A11226" s="2" t="s">
        <v>11226</v>
      </c>
      <c r="B11226" s="2" t="str">
        <f>IFERROR(__xludf.DUMMYFUNCTION("GOOGLETRANSLATE(A11226, ""en"", ""mt"")"),"Dipartiment tal-Affarijiet tal-Istat")</f>
        <v>Dipartiment tal-Affarijiet tal-Istat</v>
      </c>
    </row>
    <row r="11227" ht="15.75" customHeight="1">
      <c r="A11227" s="2" t="s">
        <v>11227</v>
      </c>
      <c r="B11227" s="2" t="str">
        <f>IFERROR(__xludf.DUMMYFUNCTION("GOOGLETRANSLATE(A11227, ""en"", ""mt"")"),"X'inhu t-tul ta 'Hoek van Holland imkejjel konvenzjonalment?")</f>
        <v>X'inhu t-tul ta 'Hoek van Holland imkejjel konvenzjonalment?</v>
      </c>
    </row>
    <row r="11228" ht="15.75" customHeight="1">
      <c r="A11228" s="2" t="s">
        <v>11228</v>
      </c>
      <c r="B11228" s="2" t="str">
        <f>IFERROR(__xludf.DUMMYFUNCTION("GOOGLETRANSLATE(A11228, ""en"", ""mt"")"),"Melanocytes")</f>
        <v>Melanocytes</v>
      </c>
    </row>
    <row r="11229" ht="15.75" customHeight="1">
      <c r="A11229" s="2" t="s">
        <v>11229</v>
      </c>
      <c r="B11229" s="2" t="str">
        <f>IFERROR(__xludf.DUMMYFUNCTION("GOOGLETRANSLATE(A11229, ""en"", ""mt"")"),"X'kienet Ban Ki-moon is-Segretarju Ġenerali ta '?")</f>
        <v>X'kienet Ban Ki-moon is-Segretarju Ġenerali ta '?</v>
      </c>
    </row>
    <row r="11230" ht="15.75" customHeight="1">
      <c r="A11230" s="2" t="s">
        <v>11230</v>
      </c>
      <c r="B11230" s="2" t="str">
        <f>IFERROR(__xludf.DUMMYFUNCTION("GOOGLETRANSLATE(A11230, ""en"", ""mt"")"),"Friefet il-lejl tal-vampire")</f>
        <v>Friefet il-lejl tal-vampire</v>
      </c>
    </row>
    <row r="11231" ht="15.75" customHeight="1">
      <c r="A11231" s="2" t="s">
        <v>11231</v>
      </c>
      <c r="B11231" s="2" t="str">
        <f>IFERROR(__xludf.DUMMYFUNCTION("GOOGLETRANSLATE(A11231, ""en"", ""mt"")"),"elementi irreducibbli")</f>
        <v>elementi irreducibbli</v>
      </c>
    </row>
    <row r="11232" ht="15.75" customHeight="1">
      <c r="A11232" s="2" t="s">
        <v>11232</v>
      </c>
      <c r="B11232" s="2" t="str">
        <f>IFERROR(__xludf.DUMMYFUNCTION("GOOGLETRANSLATE(A11232, ""en"", ""mt"")"),"Liema perċentwali kienet iż-żieda tal-prodotti agrikoli mill-2004?")</f>
        <v>Liema perċentwali kienet iż-żieda tal-prodotti agrikoli mill-2004?</v>
      </c>
    </row>
    <row r="11233" ht="15.75" customHeight="1">
      <c r="A11233" s="2" t="s">
        <v>11233</v>
      </c>
      <c r="B11233" s="2" t="str">
        <f>IFERROR(__xludf.DUMMYFUNCTION("GOOGLETRANSLATE(A11233, ""en"", ""mt"")"),"Minħabba s-saħħa tal-forzi Franċiżi fi Louisbourg, x’għamel Loudoun?")</f>
        <v>Minħabba s-saħħa tal-forzi Franċiżi fi Louisbourg, x’għamel Loudoun?</v>
      </c>
    </row>
    <row r="11234" ht="15.75" customHeight="1">
      <c r="A11234" s="2" t="s">
        <v>11234</v>
      </c>
      <c r="B11234" s="2" t="str">
        <f>IFERROR(__xludf.DUMMYFUNCTION("GOOGLETRANSLATE(A11234, ""en"", ""mt"")"),"Kemm Afrikani nġiebu fl-Istati Uniti waqt il-kummerċ tal-iskjavi?")</f>
        <v>Kemm Afrikani nġiebu fl-Istati Uniti waqt il-kummerċ tal-iskjavi?</v>
      </c>
    </row>
    <row r="11235" ht="15.75" customHeight="1">
      <c r="A11235" s="2" t="s">
        <v>11235</v>
      </c>
      <c r="B11235" s="2" t="str">
        <f>IFERROR(__xludf.DUMMYFUNCTION("GOOGLETRANSLATE(A11235, ""en"", ""mt"")"),"Intbagħat sitt reġimenti lejn Franza Ġdida taħt il-kmand tal-Baruni Dieskau fl-1755.")</f>
        <v>Intbagħat sitt reġimenti lejn Franza Ġdida taħt il-kmand tal-Baruni Dieskau fl-1755.</v>
      </c>
    </row>
    <row r="11236" ht="15.75" customHeight="1">
      <c r="A11236" s="2" t="s">
        <v>11236</v>
      </c>
      <c r="B11236" s="2" t="str">
        <f>IFERROR(__xludf.DUMMYFUNCTION("GOOGLETRANSLATE(A11236, ""en"", ""mt"")"),"Fejn baqgħu truppi Amerikani stazzjonati wara t-telfa ta 'Saddam?")</f>
        <v>Fejn baqgħu truppi Amerikani stazzjonati wara t-telfa ta 'Saddam?</v>
      </c>
    </row>
    <row r="11237" ht="15.75" customHeight="1">
      <c r="A11237" s="2" t="s">
        <v>11237</v>
      </c>
      <c r="B11237" s="2" t="str">
        <f>IFERROR(__xludf.DUMMYFUNCTION("GOOGLETRANSLATE(A11237, ""en"", ""mt"")"),"Għal xiex ma kienx il-Lvant Nofsani?")</f>
        <v>Għal xiex ma kienx il-Lvant Nofsani?</v>
      </c>
    </row>
    <row r="11238" ht="15.75" customHeight="1">
      <c r="A11238" s="2" t="s">
        <v>11238</v>
      </c>
      <c r="B11238" s="2" t="str">
        <f>IFERROR(__xludf.DUMMYFUNCTION("GOOGLETRANSLATE(A11238, ""en"", ""mt"")"),"Għaliex l-Uighurs kienu kklassifikati ogħla mill-Mongoli?")</f>
        <v>Għaliex l-Uighurs kienu kklassifikati ogħla mill-Mongoli?</v>
      </c>
    </row>
    <row r="11239" ht="15.75" customHeight="1">
      <c r="A11239" s="2" t="s">
        <v>11239</v>
      </c>
      <c r="B11239" s="2" t="str">
        <f>IFERROR(__xludf.DUMMYFUNCTION("GOOGLETRANSLATE(A11239, ""en"", ""mt"")"),"l-ogħla 'effiċjenza soċjali'")</f>
        <v>l-ogħla 'effiċjenza soċjali'</v>
      </c>
    </row>
    <row r="11240" ht="15.75" customHeight="1">
      <c r="A11240" s="2" t="s">
        <v>11240</v>
      </c>
      <c r="B11240" s="2" t="str">
        <f>IFERROR(__xludf.DUMMYFUNCTION("GOOGLETRANSLATE(A11240, ""en"", ""mt"")"),"Liema astronawt tan-NASA huwa wkoll membru tal-alumni tal-università?")</f>
        <v>Liema astronawt tan-NASA huwa wkoll membru tal-alumni tal-università?</v>
      </c>
    </row>
    <row r="11241" ht="15.75" customHeight="1">
      <c r="A11241" s="2" t="s">
        <v>11241</v>
      </c>
      <c r="B11241" s="2" t="str">
        <f>IFERROR(__xludf.DUMMYFUNCTION("GOOGLETRANSLATE(A11241, ""en"", ""mt"")")," L-okkupazzjoni ta 'min tal-Kuwajt il-militari tal-Iraq kien ifittex li jtemm?")</f>
        <v> L-okkupazzjoni ta 'min tal-Kuwajt il-militari tal-Iraq kien ifittex li jtemm?</v>
      </c>
    </row>
    <row r="11242" ht="15.75" customHeight="1">
      <c r="A11242" s="2" t="s">
        <v>11242</v>
      </c>
      <c r="B11242" s="2" t="str">
        <f>IFERROR(__xludf.DUMMYFUNCTION("GOOGLETRANSLATE(A11242, ""en"", ""mt"")"),"input")</f>
        <v>input</v>
      </c>
    </row>
    <row r="11243" ht="15.75" customHeight="1">
      <c r="A11243" s="2" t="s">
        <v>11243</v>
      </c>
      <c r="B11243" s="2" t="str">
        <f>IFERROR(__xludf.DUMMYFUNCTION("GOOGLETRANSLATE(A11243, ""en"", ""mt"")"),"Għalkemm is-seklu 21")</f>
        <v>Għalkemm is-seklu 21</v>
      </c>
    </row>
    <row r="11244" ht="15.75" customHeight="1">
      <c r="A11244" s="2" t="s">
        <v>11244</v>
      </c>
      <c r="B11244" s="2" t="str">
        <f>IFERROR(__xludf.DUMMYFUNCTION("GOOGLETRANSLATE(A11244, ""en"", ""mt"")"),"Liema karta seminali kienet miktuba minn Juris Hartmanis u Richard Stearns fl-1975?")</f>
        <v>Liema karta seminali kienet miktuba minn Juris Hartmanis u Richard Stearns fl-1975?</v>
      </c>
    </row>
    <row r="11245" ht="15.75" customHeight="1">
      <c r="A11245" s="2" t="s">
        <v>11245</v>
      </c>
      <c r="B11245" s="2" t="str">
        <f>IFERROR(__xludf.DUMMYFUNCTION("GOOGLETRANSLATE(A11245, ""en"", ""mt"")"),"Kif ħadmet id-dinastija Tran?")</f>
        <v>Kif ħadmet id-dinastija Tran?</v>
      </c>
    </row>
    <row r="11246" ht="15.75" customHeight="1">
      <c r="A11246" s="2" t="s">
        <v>11246</v>
      </c>
      <c r="B11246" s="2" t="str">
        <f>IFERROR(__xludf.DUMMYFUNCTION("GOOGLETRANSLATE(A11246, ""en"", ""mt"")"),"kombustjoni")</f>
        <v>kombustjoni</v>
      </c>
    </row>
    <row r="11247" ht="15.75" customHeight="1">
      <c r="A11247" s="2" t="s">
        <v>11247</v>
      </c>
      <c r="B11247" s="2" t="str">
        <f>IFERROR(__xludf.DUMMYFUNCTION("GOOGLETRANSLATE(A11247, ""en"", ""mt"")"),"Liema rwol ieħor jevitaw ħafna spiżjara?")</f>
        <v>Liema rwol ieħor jevitaw ħafna spiżjara?</v>
      </c>
    </row>
    <row r="11248" ht="15.75" customHeight="1">
      <c r="A11248" s="2" t="s">
        <v>11248</v>
      </c>
      <c r="B11248" s="2" t="str">
        <f>IFERROR(__xludf.DUMMYFUNCTION("GOOGLETRANSLATE(A11248, ""en"", ""mt"")"),"F'liema qasam kien ibbażat ir-rapport tal-1995?")</f>
        <v>F'liema qasam kien ibbażat ir-rapport tal-1995?</v>
      </c>
    </row>
    <row r="11249" ht="15.75" customHeight="1">
      <c r="A11249" s="2" t="s">
        <v>11249</v>
      </c>
      <c r="B11249" s="2" t="str">
        <f>IFERROR(__xludf.DUMMYFUNCTION("GOOGLETRANSLATE(A11249, ""en"", ""mt"")")," X’sar validu fl-aħħar tas-sekli 19 u 20?")</f>
        <v> X’sar validu fl-aħħar tas-sekli 19 u 20?</v>
      </c>
    </row>
    <row r="11250" ht="15.75" customHeight="1">
      <c r="A11250" s="2" t="s">
        <v>11250</v>
      </c>
      <c r="B11250" s="2" t="str">
        <f>IFERROR(__xludf.DUMMYFUNCTION("GOOGLETRANSLATE(A11250, ""en"", ""mt"")"),"""zip"" il-ħalq jingħalaq")</f>
        <v>"zip" il-ħalq jingħalaq</v>
      </c>
    </row>
    <row r="11251" ht="15.75" customHeight="1">
      <c r="A11251" s="2" t="s">
        <v>11251</v>
      </c>
      <c r="B11251" s="2" t="str">
        <f>IFERROR(__xludf.DUMMYFUNCTION("GOOGLETRANSLATE(A11251, ""en"", ""mt"")"),"B’liema isem hija dik il-knisja Huguenot illum magħrufa llum?")</f>
        <v>B’liema isem hija dik il-knisja Huguenot illum magħrufa llum?</v>
      </c>
    </row>
    <row r="11252" ht="15.75" customHeight="1">
      <c r="A11252" s="2" t="s">
        <v>11252</v>
      </c>
      <c r="B11252" s="2" t="str">
        <f>IFERROR(__xludf.DUMMYFUNCTION("GOOGLETRANSLATE(A11252, ""en"", ""mt"")"),"Fejn kien l-ewwel soluzzjoni f'Canberra?")</f>
        <v>Fejn kien l-ewwel soluzzjoni f'Canberra?</v>
      </c>
    </row>
    <row r="11253" ht="15.75" customHeight="1">
      <c r="A11253" s="2" t="s">
        <v>11253</v>
      </c>
      <c r="B11253" s="2" t="str">
        <f>IFERROR(__xludf.DUMMYFUNCTION("GOOGLETRANSLATE(A11253, ""en"", ""mt"")")," Mohammad Iqbal kien liema tip ta 'għadu għall-istat tal-Pakistan?")</f>
        <v> Mohammad Iqbal kien liema tip ta 'għadu għall-istat tal-Pakistan?</v>
      </c>
    </row>
    <row r="11254" ht="15.75" customHeight="1">
      <c r="A11254" s="2" t="s">
        <v>11254</v>
      </c>
      <c r="B11254" s="2" t="str">
        <f>IFERROR(__xludf.DUMMYFUNCTION("GOOGLETRANSLATE(A11254, ""en"", ""mt"")")," L-Iżlamisti ta 'min appoġġjaw ir-reġim Sawdi tal-benesseri?")</f>
        <v> L-Iżlamisti ta 'min appoġġjaw ir-reġim Sawdi tal-benesseri?</v>
      </c>
    </row>
    <row r="11255" ht="15.75" customHeight="1">
      <c r="A11255" s="2" t="s">
        <v>11255</v>
      </c>
      <c r="B11255" s="2" t="str">
        <f>IFERROR(__xludf.DUMMYFUNCTION("GOOGLETRANSLATE(A11255, ""en"", ""mt"")"),"X'inhu l-input ta 'miżura partikolari assoċjata mat-teorija A?")</f>
        <v>X'inhu l-input ta 'miżura partikolari assoċjata mat-teorija A?</v>
      </c>
    </row>
    <row r="11256" ht="15.75" customHeight="1">
      <c r="A11256" s="2" t="s">
        <v>11256</v>
      </c>
      <c r="B11256" s="2" t="str">
        <f>IFERROR(__xludf.DUMMYFUNCTION("GOOGLETRANSLATE(A11256, ""en"", ""mt"")"),"X'kien konfuż fi ħdan KPN?")</f>
        <v>X'kien konfuż fi ħdan KPN?</v>
      </c>
    </row>
    <row r="11257" ht="15.75" customHeight="1">
      <c r="A11257" s="2" t="s">
        <v>11257</v>
      </c>
      <c r="B11257" s="2" t="str">
        <f>IFERROR(__xludf.DUMMYFUNCTION("GOOGLETRANSLATE(A11257, ""en"", ""mt"")"),"""Southwest Fresno""")</f>
        <v>"Southwest Fresno"</v>
      </c>
    </row>
    <row r="11258" ht="15.75" customHeight="1">
      <c r="A11258" s="2" t="s">
        <v>11258</v>
      </c>
      <c r="B11258" s="2" t="str">
        <f>IFERROR(__xludf.DUMMYFUNCTION("GOOGLETRANSLATE(A11258, ""en"", ""mt"")"),"Dominanza politika u monetarja")</f>
        <v>Dominanza politika u monetarja</v>
      </c>
    </row>
    <row r="11259" ht="15.75" customHeight="1">
      <c r="A11259" s="2" t="s">
        <v>11259</v>
      </c>
      <c r="B11259" s="2" t="str">
        <f>IFERROR(__xludf.DUMMYFUNCTION("GOOGLETRANSLATE(A11259, ""en"", ""mt"")"),"l-iktar b'popolazzjoni densa")</f>
        <v>l-iktar b'popolazzjoni densa</v>
      </c>
    </row>
    <row r="11260" ht="15.75" customHeight="1">
      <c r="A11260" s="2" t="s">
        <v>11260</v>
      </c>
      <c r="B11260" s="2" t="str">
        <f>IFERROR(__xludf.DUMMYFUNCTION("GOOGLETRANSLATE(A11260, ""en"", ""mt"")"),"Jazdów")</f>
        <v>Jazdów</v>
      </c>
    </row>
    <row r="11261" ht="15.75" customHeight="1">
      <c r="A11261" s="2" t="s">
        <v>11261</v>
      </c>
      <c r="B11261" s="2" t="str">
        <f>IFERROR(__xludf.DUMMYFUNCTION("GOOGLETRANSLATE(A11261, ""en"", ""mt"")"),"abbonament ta 'kull xahar")</f>
        <v>abbonament ta 'kull xahar</v>
      </c>
    </row>
    <row r="11262" ht="15.75" customHeight="1">
      <c r="A11262" s="2" t="s">
        <v>11262</v>
      </c>
      <c r="B11262" s="2" t="str">
        <f>IFERROR(__xludf.DUMMYFUNCTION("GOOGLETRANSLATE(A11262, ""en"", ""mt"")"),"Knisja Episkopali Manakin")</f>
        <v>Knisja Episkopali Manakin</v>
      </c>
    </row>
    <row r="11263" ht="15.75" customHeight="1">
      <c r="A11263" s="2" t="s">
        <v>11263</v>
      </c>
      <c r="B11263" s="2" t="str">
        <f>IFERROR(__xludf.DUMMYFUNCTION("GOOGLETRANSLATE(A11263, ""en"", ""mt"")"),"12 ta 'Diċembru")</f>
        <v>12 ta 'Diċembru</v>
      </c>
    </row>
    <row r="11264" ht="15.75" customHeight="1">
      <c r="A11264" s="2" t="s">
        <v>11264</v>
      </c>
      <c r="B11264" s="2" t="str">
        <f>IFERROR(__xludf.DUMMYFUNCTION("GOOGLETRANSLATE(A11264, ""en"", ""mt"")"),"22,338,618")</f>
        <v>22,338,618</v>
      </c>
    </row>
    <row r="11265" ht="15.75" customHeight="1">
      <c r="A11265" s="2" t="s">
        <v>11265</v>
      </c>
      <c r="B11265" s="2" t="str">
        <f>IFERROR(__xludf.DUMMYFUNCTION("GOOGLETRANSLATE(A11265, ""en"", ""mt"")"),"meħtieġa")</f>
        <v>meħtieġa</v>
      </c>
    </row>
    <row r="11266" ht="15.75" customHeight="1">
      <c r="A11266" s="2" t="s">
        <v>11266</v>
      </c>
      <c r="B11266" s="2" t="str">
        <f>IFERROR(__xludf.DUMMYFUNCTION("GOOGLETRANSLATE(A11266, ""en"", ""mt"")"),"Liema figuri ewlenin rivoluzzjonarji futuri pparteċipaw f'dan l-attakk?")</f>
        <v>Liema figuri ewlenin rivoluzzjonarji futuri pparteċipaw f'dan l-attakk?</v>
      </c>
    </row>
    <row r="11267" ht="15.75" customHeight="1">
      <c r="A11267" s="2" t="s">
        <v>11267</v>
      </c>
      <c r="B11267" s="2" t="str">
        <f>IFERROR(__xludf.DUMMYFUNCTION("GOOGLETRANSLATE(A11267, ""en"", ""mt"")"),"X'karattru manjetiku għandu triplet o2?")</f>
        <v>X'karattru manjetiku għandu triplet o2?</v>
      </c>
    </row>
    <row r="11268" ht="15.75" customHeight="1">
      <c r="A11268" s="2" t="s">
        <v>11268</v>
      </c>
      <c r="B11268" s="2" t="str">
        <f>IFERROR(__xludf.DUMMYFUNCTION("GOOGLETRANSLATE(A11268, ""en"", ""mt"")"),"Liema grupp rarament se jmexxi skola pubblika?")</f>
        <v>Liema grupp rarament se jmexxi skola pubblika?</v>
      </c>
    </row>
    <row r="11269" ht="15.75" customHeight="1">
      <c r="A11269" s="2" t="s">
        <v>11269</v>
      </c>
      <c r="B11269" s="2" t="str">
        <f>IFERROR(__xludf.DUMMYFUNCTION("GOOGLETRANSLATE(A11269, ""en"", ""mt"")"),"Istitut Orjentali")</f>
        <v>Istitut Orjentali</v>
      </c>
    </row>
    <row r="11270" ht="15.75" customHeight="1">
      <c r="A11270" s="2" t="s">
        <v>11270</v>
      </c>
      <c r="B11270" s="2" t="str">
        <f>IFERROR(__xludf.DUMMYFUNCTION("GOOGLETRANSLATE(A11270, ""en"", ""mt"")"),"Il-Liġi Kapitali Minima tad-Danimarka")</f>
        <v>Il-Liġi Kapitali Minima tad-Danimarka</v>
      </c>
    </row>
    <row r="11271" ht="15.75" customHeight="1">
      <c r="A11271" s="2" t="s">
        <v>11271</v>
      </c>
      <c r="B11271" s="2" t="str">
        <f>IFERROR(__xludf.DUMMYFUNCTION("GOOGLETRANSLATE(A11271, ""en"", ""mt"")"),"Battalja ta 'Cedar Creek")</f>
        <v>Battalja ta 'Cedar Creek</v>
      </c>
    </row>
    <row r="11272" ht="15.75" customHeight="1">
      <c r="A11272" s="2" t="s">
        <v>11272</v>
      </c>
      <c r="B11272" s="2" t="str">
        <f>IFERROR(__xludf.DUMMYFUNCTION("GOOGLETRANSLATE(A11272, ""en"", ""mt"")"),"Dwar liema karatteristika tat-temp iridu l-paleoklimatologi?")</f>
        <v>Dwar liema karatteristika tat-temp iridu l-paleoklimatologi?</v>
      </c>
    </row>
    <row r="11273" ht="15.75" customHeight="1">
      <c r="A11273" s="2" t="s">
        <v>11273</v>
      </c>
      <c r="B11273" s="2" t="str">
        <f>IFERROR(__xludf.DUMMYFUNCTION("GOOGLETRANSLATE(A11273, ""en"", ""mt"")"),"Wara dibattitu ġenerali dwar il-forma finali tal-abbozz")</f>
        <v>Wara dibattitu ġenerali dwar il-forma finali tal-abbozz</v>
      </c>
    </row>
    <row r="11274" ht="15.75" customHeight="1">
      <c r="A11274" s="2" t="s">
        <v>11274</v>
      </c>
      <c r="B11274" s="2" t="str">
        <f>IFERROR(__xludf.DUMMYFUNCTION("GOOGLETRANSLATE(A11274, ""en"", ""mt"")"),"14")</f>
        <v>14</v>
      </c>
    </row>
    <row r="11275" ht="15.75" customHeight="1">
      <c r="A11275" s="2" t="s">
        <v>11275</v>
      </c>
      <c r="B11275" s="2" t="str">
        <f>IFERROR(__xludf.DUMMYFUNCTION("GOOGLETRANSLATE(A11275, ""en"", ""mt"")"),"Liema kummissjoni ma rriżenjax minkejja li ffaċċjat allegazzjonijiet ta 'korruzzjoni?")</f>
        <v>Liema kummissjoni ma rriżenjax minkejja li ffaċċjat allegazzjonijiet ta 'korruzzjoni?</v>
      </c>
    </row>
    <row r="11276" ht="15.75" customHeight="1">
      <c r="A11276" s="2" t="s">
        <v>11276</v>
      </c>
      <c r="B11276" s="2" t="str">
        <f>IFERROR(__xludf.DUMMYFUNCTION("GOOGLETRANSLATE(A11276, ""en"", ""mt"")"),"aċidu gastriku")</f>
        <v>aċidu gastriku</v>
      </c>
    </row>
    <row r="11277" ht="15.75" customHeight="1">
      <c r="A11277" s="2" t="s">
        <v>11277</v>
      </c>
      <c r="B11277" s="2" t="str">
        <f>IFERROR(__xludf.DUMMYFUNCTION("GOOGLETRANSLATE(A11277, ""en"", ""mt"")"),"Multilaterali")</f>
        <v>Multilaterali</v>
      </c>
    </row>
    <row r="11278" ht="15.75" customHeight="1">
      <c r="A11278" s="2" t="s">
        <v>11278</v>
      </c>
      <c r="B11278" s="2" t="str">
        <f>IFERROR(__xludf.DUMMYFUNCTION("GOOGLETRANSLATE(A11278, ""en"", ""mt"")"),"Kemm-il darba jinżammu l-elezzjonijiet għas-sindku?")</f>
        <v>Kemm-il darba jinżammu l-elezzjonijiet għas-sindku?</v>
      </c>
    </row>
    <row r="11279" ht="15.75" customHeight="1">
      <c r="A11279" s="2" t="s">
        <v>11279</v>
      </c>
      <c r="B11279" s="2" t="str">
        <f>IFERROR(__xludf.DUMMYFUNCTION("GOOGLETRANSLATE(A11279, ""en"", ""mt"")"),"William is-siekta")</f>
        <v>William is-siekta</v>
      </c>
    </row>
    <row r="11280" ht="15.75" customHeight="1">
      <c r="A11280" s="2" t="s">
        <v>11280</v>
      </c>
      <c r="B11280" s="2" t="str">
        <f>IFERROR(__xludf.DUMMYFUNCTION("GOOGLETRANSLATE(A11280, ""en"", ""mt"")"),"Liema qrati hija l-inqas liġi tal-UE?")</f>
        <v>Liema qrati hija l-inqas liġi tal-UE?</v>
      </c>
    </row>
    <row r="11281" ht="15.75" customHeight="1">
      <c r="A11281" s="2" t="s">
        <v>11281</v>
      </c>
      <c r="B11281" s="2" t="str">
        <f>IFERROR(__xludf.DUMMYFUNCTION("GOOGLETRANSLATE(A11281, ""en"", ""mt"")"),"Anke qabel ma rritorna Washington, Dinwiddie kienet bagħtet kumpanija ta '40 irġiel taħt William Trent sa dak il-punt, fejn fix-xhur bikrin tal-1754 huma bdew il-kostruzzjoni ta 'fort żgħir maħżun. Il-Gvernatur Duquesne bagħat forzi Franċiżi addizzjonali "&amp;"taħt Claude-Pierre Pecaudy de Contrecœur biex ittaffi lil Saint-Pierre matul l-istess perjodu, u Contrecœur mexxa 500 irġiel fin-nofsinhar minn Fort Venango fil-5 ta 'April, 1754. Meta dawn il-forzi waslu fil-forti fis-16 ta' April, Contrecœur Ġenerożamen"&amp;"t ippermetta li l-kumpanija żgħira ta 'Trent tirtira. Huwa xtara l-għodod tal-kostruzzjoni tagħhom biex ikomplu jibnu dak li sar Fort Duquesne.")</f>
        <v>Anke qabel ma rritorna Washington, Dinwiddie kienet bagħtet kumpanija ta '40 irġiel taħt William Trent sa dak il-punt, fejn fix-xhur bikrin tal-1754 huma bdew il-kostruzzjoni ta 'fort żgħir maħżun. Il-Gvernatur Duquesne bagħat forzi Franċiżi addizzjonali taħt Claude-Pierre Pecaudy de Contrecœur biex ittaffi lil Saint-Pierre matul l-istess perjodu, u Contrecœur mexxa 500 irġiel fin-nofsinhar minn Fort Venango fil-5 ta 'April, 1754. Meta dawn il-forzi waslu fil-forti fis-16 ta' April, Contrecœur Ġenerożament ippermetta li l-kumpanija żgħira ta 'Trent tirtira. Huwa xtara l-għodod tal-kostruzzjoni tagħhom biex ikomplu jibnu dak li sar Fort Duquesne.</v>
      </c>
    </row>
    <row r="11282" ht="15.75" customHeight="1">
      <c r="A11282" s="2" t="s">
        <v>11282</v>
      </c>
      <c r="B11282" s="2" t="str">
        <f>IFERROR(__xludf.DUMMYFUNCTION("GOOGLETRANSLATE(A11282, ""en"", ""mt"")"),"Test tal-Primalità Fermat")</f>
        <v>Test tal-Primalità Fermat</v>
      </c>
    </row>
    <row r="11283" ht="15.75" customHeight="1">
      <c r="A11283" s="2" t="s">
        <v>11283</v>
      </c>
      <c r="B11283" s="2" t="str">
        <f>IFERROR(__xludf.DUMMYFUNCTION("GOOGLETRANSLATE(A11283, ""en"", ""mt"")"),"Min hu t-12-il Prim Ministru tal-Polonja?")</f>
        <v>Min hu t-12-il Prim Ministru tal-Polonja?</v>
      </c>
    </row>
    <row r="11284" ht="15.75" customHeight="1">
      <c r="A11284" s="2" t="s">
        <v>11284</v>
      </c>
      <c r="B11284" s="2" t="str">
        <f>IFERROR(__xludf.DUMMYFUNCTION("GOOGLETRANSLATE(A11284, ""en"", ""mt"")"),"Liema teorema tista 'tiġi ssimplifikata mat-teorema ta' Lasker-Noether?")</f>
        <v>Liema teorema tista 'tiġi ssimplifikata mat-teorema ta' Lasker-Noether?</v>
      </c>
    </row>
    <row r="11285" ht="15.75" customHeight="1">
      <c r="A11285" s="2" t="s">
        <v>11285</v>
      </c>
      <c r="B11285" s="2" t="str">
        <f>IFERROR(__xludf.DUMMYFUNCTION("GOOGLETRANSLATE(A11285, ""en"", ""mt"")"),"L-imperjalizmu tal-Punent qassam il-globu skont liema teorija?")</f>
        <v>L-imperjalizmu tal-Punent qassam il-globu skont liema teorija?</v>
      </c>
    </row>
    <row r="11286" ht="15.75" customHeight="1">
      <c r="A11286" s="2" t="s">
        <v>11286</v>
      </c>
      <c r="B11286" s="2" t="str">
        <f>IFERROR(__xludf.DUMMYFUNCTION("GOOGLETRANSLATE(A11286, ""en"", ""mt"")"),"F'liema sena beda Hoek van Holland proġetti ta 'kanalizzazzjoni?")</f>
        <v>F'liema sena beda Hoek van Holland proġetti ta 'kanalizzazzjoni?</v>
      </c>
    </row>
    <row r="11287" ht="15.75" customHeight="1">
      <c r="A11287" s="2" t="s">
        <v>11287</v>
      </c>
      <c r="B11287" s="2" t="str">
        <f>IFERROR(__xludf.DUMMYFUNCTION("GOOGLETRANSLATE(A11287, ""en"", ""mt"")"),"Min qal Davies dwar ix-xogħol ta 'Baran?")</f>
        <v>Min qal Davies dwar ix-xogħol ta 'Baran?</v>
      </c>
    </row>
    <row r="11288" ht="15.75" customHeight="1">
      <c r="A11288" s="2" t="s">
        <v>11288</v>
      </c>
      <c r="B11288" s="2" t="str">
        <f>IFERROR(__xludf.DUMMYFUNCTION("GOOGLETRANSLATE(A11288, ""en"", ""mt"")"),"X'inhuma l-patoġeni li jivvjaġġaw mill-ġisem li qed ifittxu fagoċiti?")</f>
        <v>X'inhuma l-patoġeni li jivvjaġġaw mill-ġisem li qed ifittxu fagoċiti?</v>
      </c>
    </row>
    <row r="11289" ht="15.75" customHeight="1">
      <c r="A11289" s="2" t="s">
        <v>11289</v>
      </c>
      <c r="B11289" s="2" t="str">
        <f>IFERROR(__xludf.DUMMYFUNCTION("GOOGLETRANSLATE(A11289, ""en"", ""mt"")"),"dmir")</f>
        <v>dmir</v>
      </c>
    </row>
    <row r="11290" ht="15.75" customHeight="1">
      <c r="A11290" s="2" t="s">
        <v>11290</v>
      </c>
      <c r="B11290" s="2" t="str">
        <f>IFERROR(__xludf.DUMMYFUNCTION("GOOGLETRANSLATE(A11290, ""en"", ""mt"")"),"X'inhu essenzjali għall-eżekuzzjoni b'suċċess ta 'proġett?")</f>
        <v>X'inhu essenzjali għall-eżekuzzjoni b'suċċess ta 'proġett?</v>
      </c>
    </row>
    <row r="11291" ht="15.75" customHeight="1">
      <c r="A11291" s="2" t="s">
        <v>11291</v>
      </c>
      <c r="B11291" s="2" t="str">
        <f>IFERROR(__xludf.DUMMYFUNCTION("GOOGLETRANSLATE(A11291, ""en"", ""mt"")"),"X'inhu l-adattament proto-Ġermaniku tal-isem tar-Renu?")</f>
        <v>X'inhu l-adattament proto-Ġermaniku tal-isem tar-Renu?</v>
      </c>
    </row>
    <row r="11292" ht="15.75" customHeight="1">
      <c r="A11292" s="2" t="s">
        <v>11292</v>
      </c>
      <c r="B11292" s="2" t="str">
        <f>IFERROR(__xludf.DUMMYFUNCTION("GOOGLETRANSLATE(A11292, ""en"", ""mt"")")," Fejn kien iċ-ċentru tal-kummerċ inqas popolari għall-Imperu Ottoman?")</f>
        <v> Fejn kien iċ-ċentru tal-kummerċ inqas popolari għall-Imperu Ottoman?</v>
      </c>
    </row>
    <row r="11293" ht="15.75" customHeight="1">
      <c r="A11293" s="2" t="s">
        <v>11293</v>
      </c>
      <c r="B11293" s="2" t="str">
        <f>IFERROR(__xludf.DUMMYFUNCTION("GOOGLETRANSLATE(A11293, ""en"", ""mt"")"),"Għal xiex huwa responsabbli l-awtur ewlieni wieħed?")</f>
        <v>Għal xiex huwa responsabbli l-awtur ewlieni wieħed?</v>
      </c>
    </row>
    <row r="11294" ht="15.75" customHeight="1">
      <c r="A11294" s="2" t="s">
        <v>11294</v>
      </c>
      <c r="B11294" s="2" t="str">
        <f>IFERROR(__xludf.DUMMYFUNCTION("GOOGLETRANSLATE(A11294, ""en"", ""mt"")"),"X'inhu l-istadju għall-mertu rwol f'NSFNET")</f>
        <v>X'inhu l-istadju għall-mertu rwol f'NSFNET</v>
      </c>
    </row>
    <row r="11295" ht="15.75" customHeight="1">
      <c r="A11295" s="2" t="s">
        <v>11295</v>
      </c>
      <c r="B11295" s="2" t="str">
        <f>IFERROR(__xludf.DUMMYFUNCTION("GOOGLETRANSLATE(A11295, ""en"", ""mt"")"),"aritmetika")</f>
        <v>aritmetika</v>
      </c>
    </row>
    <row r="11296" ht="15.75" customHeight="1">
      <c r="A11296" s="2" t="s">
        <v>11296</v>
      </c>
      <c r="B11296" s="2" t="str">
        <f>IFERROR(__xludf.DUMMYFUNCTION("GOOGLETRANSLATE(A11296, ""en"", ""mt"")"),"Nofs it-300,000 abitant ta 'Napli'")</f>
        <v>Nofs it-300,000 abitant ta 'Napli'</v>
      </c>
    </row>
    <row r="11297" ht="15.75" customHeight="1">
      <c r="A11297" s="2" t="s">
        <v>11297</v>
      </c>
      <c r="B11297" s="2" t="str">
        <f>IFERROR(__xludf.DUMMYFUNCTION("GOOGLETRANSLATE(A11297, ""en"", ""mt"")"),"Meta Richard II ħarab lejn in-Normandija?")</f>
        <v>Meta Richard II ħarab lejn in-Normandija?</v>
      </c>
    </row>
    <row r="11298" ht="15.75" customHeight="1">
      <c r="A11298" s="2" t="s">
        <v>11298</v>
      </c>
      <c r="B11298" s="2" t="str">
        <f>IFERROR(__xludf.DUMMYFUNCTION("GOOGLETRANSLATE(A11298, ""en"", ""mt"")"),"X'inhi t-temperatura fl-ogħla porzjon tal-firxa tal-muntanji fix-xitwa?")</f>
        <v>X'inhi t-temperatura fl-ogħla porzjon tal-firxa tal-muntanji fix-xitwa?</v>
      </c>
    </row>
    <row r="11299" ht="15.75" customHeight="1">
      <c r="A11299" s="2" t="s">
        <v>11299</v>
      </c>
      <c r="B11299" s="2" t="str">
        <f>IFERROR(__xludf.DUMMYFUNCTION("GOOGLETRANSLATE(A11299, ""en"", ""mt"")"),"Min ma jistax iħallas lill-ispiżjara Awstraljani talli għamlu reviżjonijiet tal-mediċini tad-dar?")</f>
        <v>Min ma jistax iħallas lill-ispiżjara Awstraljani talli għamlu reviżjonijiet tal-mediċini tad-dar?</v>
      </c>
    </row>
    <row r="11300" ht="15.75" customHeight="1">
      <c r="A11300" s="2" t="s">
        <v>11300</v>
      </c>
      <c r="B11300" s="2" t="str">
        <f>IFERROR(__xludf.DUMMYFUNCTION("GOOGLETRANSLATE(A11300, ""en"", ""mt"")"),"Meta l-inugwaljanza politika hija iżgħar, hemm aktar skart u tniġġis?")</f>
        <v>Meta l-inugwaljanza politika hija iżgħar, hemm aktar skart u tniġġis?</v>
      </c>
    </row>
    <row r="11301" ht="15.75" customHeight="1">
      <c r="A11301" s="2" t="s">
        <v>11301</v>
      </c>
      <c r="B11301" s="2" t="str">
        <f>IFERROR(__xludf.DUMMYFUNCTION("GOOGLETRANSLATE(A11301, ""en"", ""mt"")"),"Il-kumitati fil-Parlament Skoċċiż huma aktar dgħajfa allura f'sistemi oħra għaliex?")</f>
        <v>Il-kumitati fil-Parlament Skoċċiż huma aktar dgħajfa allura f'sistemi oħra għaliex?</v>
      </c>
    </row>
    <row r="11302" ht="15.75" customHeight="1">
      <c r="A11302" s="2" t="s">
        <v>11302</v>
      </c>
      <c r="B11302" s="2" t="str">
        <f>IFERROR(__xludf.DUMMYFUNCTION("GOOGLETRANSLATE(A11302, ""en"", ""mt"")"),"Fl-Ewropa, it-Teatru tal-Amerika ta ’Fuq tas-seba’ snin tal-gwerra ġeneralment ma jingħatax isem separat. Il-kunflitt internazzjonali kollu huwa magħruf bħala l-gwerra tas-seba 'snin. ""Seba 'Snin"" tirreferi għal avvenimenti fl-Ewropa, mid-dikjarazzjoni "&amp;"uffiċjali tal-gwerra fl-1756 għall-iffirmar tat-Trattat ta' Paċi fl-1763. Dawn id-dati ma jikkorrispondux mal-ġlied fuq l-Amerika ta 'Fuq, fejn il-ġlied bejn iż-żewġ poteri kolonjali kien Konkluż fil-biċċa l-kbira f’sitt snin, mill-battalja ta ’Jumonville"&amp;" Glen fl-1754 sal-qbid ta’ Montreal fl-1760.")</f>
        <v>Fl-Ewropa, it-Teatru tal-Amerika ta ’Fuq tas-seba’ snin tal-gwerra ġeneralment ma jingħatax isem separat. Il-kunflitt internazzjonali kollu huwa magħruf bħala l-gwerra tas-seba 'snin. "Seba 'Snin" tirreferi għal avvenimenti fl-Ewropa, mid-dikjarazzjoni uffiċjali tal-gwerra fl-1756 għall-iffirmar tat-Trattat ta' Paċi fl-1763. Dawn id-dati ma jikkorrispondux mal-ġlied fuq l-Amerika ta 'Fuq, fejn il-ġlied bejn iż-żewġ poteri kolonjali kien Konkluż fil-biċċa l-kbira f’sitt snin, mill-battalja ta ’Jumonville Glen fl-1754 sal-qbid ta’ Montreal fl-1760.</v>
      </c>
    </row>
    <row r="11303" ht="15.75" customHeight="1">
      <c r="A11303" s="2" t="s">
        <v>11303</v>
      </c>
      <c r="B11303" s="2" t="str">
        <f>IFERROR(__xludf.DUMMYFUNCTION("GOOGLETRANSLATE(A11303, ""en"", ""mt"")"),"Ftit wara li n-Normanni bdew jidħlu fl-Italja, huma daħlu fl-Imperu Biżantin u mbagħad l-Armenja, jiġġieldu kontra l-Pechenegs, il-Bulgars, u speċjalment it-Torok Seljuk. Il-merċenarji Norman ġew imħeġġa l-ewwel biex jidħlu fin-nofsinhar mill-Lombardi bie"&amp;"x jaġixxu kontra l-Biżantini, iżda malajr ġġieldu fis-servizz Biżantin fi Sqallija. Kienu prominenti flimkien mal-kontinġenti Varangian u Lombard fil-kampanja Sqallija ta 'George Maniaces fl-1038-40. Hemm dibattitu jekk in-Normanni fis-servizz Grieg fil-f"&amp;"att kinux mill-Italja Norman, u issa jidher li x'aktarx ftit ġew minn hemm. Mhuwiex magħruf ukoll kemm mill-Franki "", kif sejħilhom il-Biżantini, kienu Normanni u mhux Franċiżi oħra.")</f>
        <v>Ftit wara li n-Normanni bdew jidħlu fl-Italja, huma daħlu fl-Imperu Biżantin u mbagħad l-Armenja, jiġġieldu kontra l-Pechenegs, il-Bulgars, u speċjalment it-Torok Seljuk. Il-merċenarji Norman ġew imħeġġa l-ewwel biex jidħlu fin-nofsinhar mill-Lombardi biex jaġixxu kontra l-Biżantini, iżda malajr ġġieldu fis-servizz Biżantin fi Sqallija. Kienu prominenti flimkien mal-kontinġenti Varangian u Lombard fil-kampanja Sqallija ta 'George Maniaces fl-1038-40. Hemm dibattitu jekk in-Normanni fis-servizz Grieg fil-fatt kinux mill-Italja Norman, u issa jidher li x'aktarx ftit ġew minn hemm. Mhuwiex magħruf ukoll kemm mill-Franki ", kif sejħilhom il-Biżantini, kienu Normanni u mhux Franċiżi oħra.</v>
      </c>
    </row>
    <row r="11304" ht="15.75" customHeight="1">
      <c r="A11304" s="2" t="s">
        <v>11304</v>
      </c>
      <c r="B11304" s="2" t="str">
        <f>IFERROR(__xludf.DUMMYFUNCTION("GOOGLETRANSLATE(A11304, ""en"", ""mt"")")," Fejn HT irnexxielu jiġbed kolp ta 'stat fl-1974?")</f>
        <v> Fejn HT irnexxielu jiġbed kolp ta 'stat fl-1974?</v>
      </c>
    </row>
    <row r="11305" ht="15.75" customHeight="1">
      <c r="A11305" s="2" t="s">
        <v>11305</v>
      </c>
      <c r="B11305" s="2" t="str">
        <f>IFERROR(__xludf.DUMMYFUNCTION("GOOGLETRANSLATE(A11305, ""en"", ""mt"")")," Meta twieled Al-Banna?")</f>
        <v> Meta twieled Al-Banna?</v>
      </c>
    </row>
    <row r="11306" ht="15.75" customHeight="1">
      <c r="A11306" s="2" t="s">
        <v>11306</v>
      </c>
      <c r="B11306" s="2" t="str">
        <f>IFERROR(__xludf.DUMMYFUNCTION("GOOGLETRANSLATE(A11306, ""en"", ""mt"")"),"30.0%")</f>
        <v>30.0%</v>
      </c>
    </row>
    <row r="11307" ht="15.75" customHeight="1">
      <c r="A11307" s="2" t="s">
        <v>11307</v>
      </c>
      <c r="B11307" s="2" t="str">
        <f>IFERROR(__xludf.DUMMYFUNCTION("GOOGLETRANSLATE(A11307, ""en"", ""mt"")"),"Liema perċentwali tal-popolazzjoni ta 'Varsavja kienet Lhudija fl-1897?")</f>
        <v>Liema perċentwali tal-popolazzjoni ta 'Varsavja kienet Lhudija fl-1897?</v>
      </c>
    </row>
    <row r="11308" ht="15.75" customHeight="1">
      <c r="A11308" s="2" t="s">
        <v>11308</v>
      </c>
      <c r="B11308" s="2" t="str">
        <f>IFERROR(__xludf.DUMMYFUNCTION("GOOGLETRANSLATE(A11308, ""en"", ""mt"")"),"Pons fi Franza")</f>
        <v>Pons fi Franza</v>
      </c>
    </row>
    <row r="11309" ht="15.75" customHeight="1">
      <c r="A11309" s="2" t="s">
        <v>11309</v>
      </c>
      <c r="B11309" s="2" t="str">
        <f>IFERROR(__xludf.DUMMYFUNCTION("GOOGLETRANSLATE(A11309, ""en"", ""mt"")"),"Meta Ġwanni ta 'Londra wasal jgħix f'Cambridge?")</f>
        <v>Meta Ġwanni ta 'Londra wasal jgħix f'Cambridge?</v>
      </c>
    </row>
    <row r="11310" ht="15.75" customHeight="1">
      <c r="A11310" s="2" t="s">
        <v>11310</v>
      </c>
      <c r="B11310" s="2" t="str">
        <f>IFERROR(__xludf.DUMMYFUNCTION("GOOGLETRANSLATE(A11310, ""en"", ""mt"")"),"Kif ġew stabbiliti netwerks ta 'żona mhux lokali stabbiliti ma' AppleTalk?")</f>
        <v>Kif ġew stabbiliti netwerks ta 'żona mhux lokali stabbiliti ma' AppleTalk?</v>
      </c>
    </row>
    <row r="11311" ht="15.75" customHeight="1">
      <c r="A11311" s="2" t="s">
        <v>11311</v>
      </c>
      <c r="B11311" s="2" t="str">
        <f>IFERROR(__xludf.DUMMYFUNCTION("GOOGLETRANSLATE(A11311, ""en"", ""mt"")"),"Ċentru Stubhub")</f>
        <v>Ċentru Stubhub</v>
      </c>
    </row>
    <row r="11312" ht="15.75" customHeight="1">
      <c r="A11312" s="2" t="s">
        <v>11312</v>
      </c>
      <c r="B11312" s="2" t="str">
        <f>IFERROR(__xludf.DUMMYFUNCTION("GOOGLETRANSLATE(A11312, ""en"", ""mt"")"),"Pjanijiet tal-Gwerra Ingliża")</f>
        <v>Pjanijiet tal-Gwerra Ingliża</v>
      </c>
    </row>
    <row r="11313" ht="15.75" customHeight="1">
      <c r="A11313" s="2" t="s">
        <v>11313</v>
      </c>
      <c r="B11313" s="2" t="str">
        <f>IFERROR(__xludf.DUMMYFUNCTION("GOOGLETRANSLATE(A11313, ""en"", ""mt"")"),"Stati ta 'mard kroniku u kumpless")</f>
        <v>Stati ta 'mard kroniku u kumpless</v>
      </c>
    </row>
    <row r="11314" ht="15.75" customHeight="1">
      <c r="A11314" s="2" t="s">
        <v>11314</v>
      </c>
      <c r="B11314" s="2" t="str">
        <f>IFERROR(__xludf.DUMMYFUNCTION("GOOGLETRANSLATE(A11314, ""en"", ""mt"")"),"Kemm kien hemm Huguenots fil-Fort Caroline?")</f>
        <v>Kemm kien hemm Huguenots fil-Fort Caroline?</v>
      </c>
    </row>
    <row r="11315" ht="15.75" customHeight="1">
      <c r="A11315" s="2" t="s">
        <v>11315</v>
      </c>
      <c r="B11315" s="2" t="str">
        <f>IFERROR(__xludf.DUMMYFUNCTION("GOOGLETRANSLATE(A11315, ""en"", ""mt"")"),"Kif differenti l-iskejjel privati ​​fil-bqija tad-dinja huma differenti mill-Irlanda?")</f>
        <v>Kif differenti l-iskejjel privati ​​fil-bqija tad-dinja huma differenti mill-Irlanda?</v>
      </c>
    </row>
    <row r="11316" ht="15.75" customHeight="1">
      <c r="A11316" s="2" t="s">
        <v>11316</v>
      </c>
      <c r="B11316" s="2" t="str">
        <f>IFERROR(__xludf.DUMMYFUNCTION("GOOGLETRANSLATE(A11316, ""en"", ""mt"")"),"X'inhu l-livell ta 'inugwaljanza f'pajjiżi żviluppati żejda?")</f>
        <v>X'inhu l-livell ta 'inugwaljanza f'pajjiżi żviluppati żejda?</v>
      </c>
    </row>
    <row r="11317" ht="15.75" customHeight="1">
      <c r="A11317" s="2" t="s">
        <v>11317</v>
      </c>
      <c r="B11317" s="2" t="str">
        <f>IFERROR(__xludf.DUMMYFUNCTION("GOOGLETRANSLATE(A11317, ""en"", ""mt"")"),"fagoċiti")</f>
        <v>fagoċiti</v>
      </c>
    </row>
    <row r="11318" ht="15.75" customHeight="1">
      <c r="A11318" s="2" t="s">
        <v>11318</v>
      </c>
      <c r="B11318" s="2" t="str">
        <f>IFERROR(__xludf.DUMMYFUNCTION("GOOGLETRANSLATE(A11318, ""en"", ""mt"")"),"Sal-1796")</f>
        <v>Sal-1796</v>
      </c>
    </row>
    <row r="11319" ht="15.75" customHeight="1">
      <c r="A11319" s="2" t="s">
        <v>11319</v>
      </c>
      <c r="B11319" s="2" t="str">
        <f>IFERROR(__xludf.DUMMYFUNCTION("GOOGLETRANSLATE(A11319, ""en"", ""mt"")"),"X'kien il-persentaġġ ta 'Ġermaniżi li jattendu skejjel għolja privati ​​fl-2008?")</f>
        <v>X'kien il-persentaġġ ta 'Ġermaniżi li jattendu skejjel għolja privati ​​fl-2008?</v>
      </c>
    </row>
    <row r="11320" ht="15.75" customHeight="1">
      <c r="A11320" s="2" t="s">
        <v>11320</v>
      </c>
      <c r="B11320" s="2" t="str">
        <f>IFERROR(__xludf.DUMMYFUNCTION("GOOGLETRANSLATE(A11320, ""en"", ""mt"")"),"28,000")</f>
        <v>28,000</v>
      </c>
    </row>
    <row r="11321" ht="15.75" customHeight="1">
      <c r="A11321" s="2" t="s">
        <v>11321</v>
      </c>
      <c r="B11321" s="2" t="str">
        <f>IFERROR(__xludf.DUMMYFUNCTION("GOOGLETRANSLATE(A11321, ""en"", ""mt"")"),"Partiċelli tal-punt idealizzati")</f>
        <v>Partiċelli tal-punt idealizzati</v>
      </c>
    </row>
    <row r="11322" ht="15.75" customHeight="1">
      <c r="A11322" s="2" t="s">
        <v>11322</v>
      </c>
      <c r="B11322" s="2" t="str">
        <f>IFERROR(__xludf.DUMMYFUNCTION("GOOGLETRANSLATE(A11322, ""en"", ""mt"")"),"X'inhu operat mill-Grupp tal-Kulleġġi Akkademiċi f'Wanganui?")</f>
        <v>X'inhu operat mill-Grupp tal-Kulleġġi Akkademiċi f'Wanganui?</v>
      </c>
    </row>
    <row r="11323" ht="15.75" customHeight="1">
      <c r="A11323" s="2" t="s">
        <v>11323</v>
      </c>
      <c r="B11323" s="2" t="str">
        <f>IFERROR(__xludf.DUMMYFUNCTION("GOOGLETRANSLATE(A11323, ""en"", ""mt"")"),"F'liema pajjiż kostitwenti tar-Renju Unit jinsab Trevithick?")</f>
        <v>F'liema pajjiż kostitwenti tar-Renju Unit jinsab Trevithick?</v>
      </c>
    </row>
    <row r="11324" ht="15.75" customHeight="1">
      <c r="A11324" s="2" t="s">
        <v>11324</v>
      </c>
      <c r="B11324" s="2" t="str">
        <f>IFERROR(__xludf.DUMMYFUNCTION("GOOGLETRANSLATE(A11324, ""en"", ""mt"")"),"It-tobba Ċiniżi nġiebu flimkien kampanji militari mill-Mongoli")</f>
        <v>It-tobba Ċiniżi nġiebu flimkien kampanji militari mill-Mongoli</v>
      </c>
    </row>
    <row r="11325" ht="15.75" customHeight="1">
      <c r="A11325" s="2" t="s">
        <v>11325</v>
      </c>
      <c r="B11325" s="2" t="str">
        <f>IFERROR(__xludf.DUMMYFUNCTION("GOOGLETRANSLATE(A11325, ""en"", ""mt"")"),"ribelli / oppożizzjoni xellugija / komunista / nazzjonalista")</f>
        <v>ribelli / oppożizzjoni xellugija / komunista / nazzjonalista</v>
      </c>
    </row>
    <row r="11326" ht="15.75" customHeight="1">
      <c r="A11326" s="2" t="s">
        <v>11326</v>
      </c>
      <c r="B11326" s="2" t="str">
        <f>IFERROR(__xludf.DUMMYFUNCTION("GOOGLETRANSLATE(A11326, ""en"", ""mt"")")," X'tip ta 'interpretazzjoni tal-Iżlam jiskoraġġixxi s-salafiżmu?")</f>
        <v> X'tip ta 'interpretazzjoni tal-Iżlam jiskoraġġixxi s-salafiżmu?</v>
      </c>
    </row>
    <row r="11327" ht="15.75" customHeight="1">
      <c r="A11327" s="2" t="s">
        <v>11327</v>
      </c>
      <c r="B11327" s="2" t="str">
        <f>IFERROR(__xludf.DUMMYFUNCTION("GOOGLETRANSLATE(A11327, ""en"", ""mt"")"),"Jekk wieħed jassumi li T tirrappreżenta polinomju f'T (n), x'inhu t-terminu mogħti lill-algoritmu korrispondenti?")</f>
        <v>Jekk wieħed jassumi li T tirrappreżenta polinomju f'T (n), x'inhu t-terminu mogħti lill-algoritmu korrispondenti?</v>
      </c>
    </row>
    <row r="11328" ht="15.75" customHeight="1">
      <c r="A11328" s="2" t="s">
        <v>11328</v>
      </c>
      <c r="B11328" s="2" t="str">
        <f>IFERROR(__xludf.DUMMYFUNCTION("GOOGLETRANSLATE(A11328, ""en"", ""mt"")"),"X'jiġri meta n-negozju jħallas il-ħaddiema tagħhom?")</f>
        <v>X'jiġri meta n-negozju jħallas il-ħaddiema tagħhom?</v>
      </c>
    </row>
    <row r="11329" ht="15.75" customHeight="1">
      <c r="A11329" s="2" t="s">
        <v>11329</v>
      </c>
      <c r="B11329" s="2" t="str">
        <f>IFERROR(__xludf.DUMMYFUNCTION("GOOGLETRANSLATE(A11329, ""en"", ""mt"")"),"Meta evolvew l-organiżmi fotosintetiċi fid-dinja?")</f>
        <v>Meta evolvew l-organiżmi fotosintetiċi fid-dinja?</v>
      </c>
    </row>
    <row r="11330" ht="15.75" customHeight="1">
      <c r="A11330" s="2" t="s">
        <v>11330</v>
      </c>
      <c r="B11330" s="2" t="str">
        <f>IFERROR(__xludf.DUMMYFUNCTION("GOOGLETRANSLATE(A11330, ""en"", ""mt"")"),"F'liema stat tinsab l-akbar soċjetà Huguenot?")</f>
        <v>F'liema stat tinsab l-akbar soċjetà Huguenot?</v>
      </c>
    </row>
    <row r="11331" ht="15.75" customHeight="1">
      <c r="A11331" s="2" t="s">
        <v>11331</v>
      </c>
      <c r="B11331" s="2" t="str">
        <f>IFERROR(__xludf.DUMMYFUNCTION("GOOGLETRANSLATE(A11331, ""en"", ""mt"")"),"Kemm huwa twil il-pont ċentrali?")</f>
        <v>Kemm huwa twil il-pont ċentrali?</v>
      </c>
    </row>
    <row r="11332" ht="15.75" customHeight="1">
      <c r="A11332" s="2" t="s">
        <v>11332</v>
      </c>
      <c r="B11332" s="2" t="str">
        <f>IFERROR(__xludf.DUMMYFUNCTION("GOOGLETRANSLATE(A11332, ""en"", ""mt"")"),"Quicksort")</f>
        <v>Quicksort</v>
      </c>
    </row>
    <row r="11333" ht="15.75" customHeight="1">
      <c r="A11333" s="2" t="s">
        <v>11333</v>
      </c>
      <c r="B11333" s="2" t="str">
        <f>IFERROR(__xludf.DUMMYFUNCTION("GOOGLETRANSLATE(A11333, ""en"", ""mt"")"),"X’jipprevjenu livelli għoljin ta ’inugwaljanza li jipprevjenu lil hinn mill-prosperità ekonomika?")</f>
        <v>X’jipprevjenu livelli għoljin ta ’inugwaljanza li jipprevjenu lil hinn mill-prosperità ekonomika?</v>
      </c>
    </row>
    <row r="11334" ht="15.75" customHeight="1">
      <c r="A11334" s="2" t="s">
        <v>11334</v>
      </c>
      <c r="B11334" s="2" t="str">
        <f>IFERROR(__xludf.DUMMYFUNCTION("GOOGLETRANSLATE(A11334, ""en"", ""mt"")"),"Liema klassi hija l-iktar komunement mhux attribwita għall-problema tal-isomorfiżmu tal-graff minkejja d-determinazzjoni definittiva?")</f>
        <v>Liema klassi hija l-iktar komunement mhux attribwita għall-problema tal-isomorfiżmu tal-graff minkejja d-determinazzjoni definittiva?</v>
      </c>
    </row>
    <row r="11335" ht="15.75" customHeight="1">
      <c r="A11335" s="2" t="s">
        <v>11335</v>
      </c>
      <c r="B11335" s="2" t="str">
        <f>IFERROR(__xludf.DUMMYFUNCTION("GOOGLETRANSLATE(A11335, ""en"", ""mt"")"),"X'inhuma l-peptidi antimikrobiċi li evolvew bħala difiża immuni fl-ewkarioti msejħa?")</f>
        <v>X'inhuma l-peptidi antimikrobiċi li evolvew bħala difiża immuni fl-ewkarioti msejħa?</v>
      </c>
    </row>
    <row r="11336" ht="15.75" customHeight="1">
      <c r="A11336" s="2" t="s">
        <v>11336</v>
      </c>
      <c r="B11336" s="2" t="str">
        <f>IFERROR(__xludf.DUMMYFUNCTION("GOOGLETRANSLATE(A11336, ""en"", ""mt"")"),"priża planktonika sospiża")</f>
        <v>priża planktonika sospiża</v>
      </c>
    </row>
    <row r="11337" ht="15.75" customHeight="1">
      <c r="A11337" s="2" t="s">
        <v>11337</v>
      </c>
      <c r="B11337" s="2" t="str">
        <f>IFERROR(__xludf.DUMMYFUNCTION("GOOGLETRANSLATE(A11337, ""en"", ""mt"")"),"is-servizzi kliniċi li l-ispiżjara jistgħu jipprovdu għall-pazjenti tagħhom")</f>
        <v>is-servizzi kliniċi li l-ispiżjara jistgħu jipprovdu għall-pazjenti tagħhom</v>
      </c>
    </row>
    <row r="11338" ht="15.75" customHeight="1">
      <c r="A11338" s="2" t="s">
        <v>11338</v>
      </c>
      <c r="B11338" s="2" t="str">
        <f>IFERROR(__xludf.DUMMYFUNCTION("GOOGLETRANSLATE(A11338, ""en"", ""mt"")"),"X'inhu kunċett importanti fil-kristallizzazzjoni?")</f>
        <v>X'inhu kunċett importanti fil-kristallizzazzjoni?</v>
      </c>
    </row>
    <row r="11339" ht="15.75" customHeight="1">
      <c r="A11339" s="2" t="s">
        <v>11339</v>
      </c>
      <c r="B11339" s="2" t="str">
        <f>IFERROR(__xludf.DUMMYFUNCTION("GOOGLETRANSLATE(A11339, ""en"", ""mt"")"),"Is-Soċjetà ta ’Ġesù")</f>
        <v>Is-Soċjetà ta ’Ġesù</v>
      </c>
    </row>
    <row r="11340" ht="15.75" customHeight="1">
      <c r="A11340" s="2" t="s">
        <v>11340</v>
      </c>
      <c r="B11340" s="2" t="str">
        <f>IFERROR(__xludf.DUMMYFUNCTION("GOOGLETRANSLATE(A11340, ""en"", ""mt"")"),"F'liema belt hija l-aħħar kongregazzjoni Huguenot fl-Istati Uniti?")</f>
        <v>F'liema belt hija l-aħħar kongregazzjoni Huguenot fl-Istati Uniti?</v>
      </c>
    </row>
    <row r="11341" ht="15.75" customHeight="1">
      <c r="A11341" s="2" t="s">
        <v>11341</v>
      </c>
      <c r="B11341" s="2" t="str">
        <f>IFERROR(__xludf.DUMMYFUNCTION("GOOGLETRANSLATE(A11341, ""en"", ""mt"")"),"X'inhu r-rekord baxx għal Lulju?")</f>
        <v>X'inhu r-rekord baxx għal Lulju?</v>
      </c>
    </row>
    <row r="11342" ht="15.75" customHeight="1">
      <c r="A11342" s="2" t="s">
        <v>11342</v>
      </c>
      <c r="B11342" s="2" t="str">
        <f>IFERROR(__xludf.DUMMYFUNCTION("GOOGLETRANSLATE(A11342, ""en"", ""mt"")"),"Kemm kien inqas il-Baħar tat-Tramuntana fl-aħħar fażi kiesħa milli hu llum?")</f>
        <v>Kemm kien inqas il-Baħar tat-Tramuntana fl-aħħar fażi kiesħa milli hu llum?</v>
      </c>
    </row>
    <row r="11343" ht="15.75" customHeight="1">
      <c r="A11343" s="2" t="s">
        <v>11343</v>
      </c>
      <c r="B11343" s="2" t="str">
        <f>IFERROR(__xludf.DUMMYFUNCTION("GOOGLETRANSLATE(A11343, ""en"", ""mt"")"),"Liema perċentwali ta 'sigħat ta' dawl hemm f'Diċembru?")</f>
        <v>Liema perċentwali ta 'sigħat ta' dawl hemm f'Diċembru?</v>
      </c>
    </row>
    <row r="11344" ht="15.75" customHeight="1">
      <c r="A11344" s="2" t="s">
        <v>11344</v>
      </c>
      <c r="B11344" s="2" t="str">
        <f>IFERROR(__xludf.DUMMYFUNCTION("GOOGLETRANSLATE(A11344, ""en"", ""mt"")"),"effikaċja ta 'reġimi ta' trattament")</f>
        <v>effikaċja ta 'reġimi ta' trattament</v>
      </c>
    </row>
    <row r="11345" ht="15.75" customHeight="1">
      <c r="A11345" s="2" t="s">
        <v>11345</v>
      </c>
      <c r="B11345" s="2" t="str">
        <f>IFERROR(__xludf.DUMMYFUNCTION("GOOGLETRANSLATE(A11345, ""en"", ""mt"")"),"X'inhuma l-ambjentalisti mħassba dwar li ġew rilaxxati mir-reġjun tal-Amażonja?")</f>
        <v>X'inhuma l-ambjentalisti mħassba dwar li ġew rilaxxati mir-reġjun tal-Amażonja?</v>
      </c>
    </row>
    <row r="11346" ht="15.75" customHeight="1">
      <c r="A11346" s="2" t="s">
        <v>11346</v>
      </c>
      <c r="B11346" s="2" t="str">
        <f>IFERROR(__xludf.DUMMYFUNCTION("GOOGLETRANSLATE(A11346, ""en"", ""mt"")"),"titlob vjaġġ bir-ritorn mis-siti kollha f'Milan li t-tul totali tiegħu huwa l-aktar 10 km")</f>
        <v>titlob vjaġġ bir-ritorn mis-siti kollha f'Milan li t-tul totali tiegħu huwa l-aktar 10 km</v>
      </c>
    </row>
    <row r="11347" ht="15.75" customHeight="1">
      <c r="A11347" s="2" t="s">
        <v>11347</v>
      </c>
      <c r="B11347" s="2" t="str">
        <f>IFERROR(__xludf.DUMMYFUNCTION("GOOGLETRANSLATE(A11347, ""en"", ""mt"")"),"Min induna li l-effetti tal-gravità jistgħu jiġu osservati b'mod differenti f'distanzi iżgħar?")</f>
        <v>Min induna li l-effetti tal-gravità jistgħu jiġu osservati b'mod differenti f'distanzi iżgħar?</v>
      </c>
    </row>
    <row r="11348" ht="15.75" customHeight="1">
      <c r="A11348" s="2" t="s">
        <v>11348</v>
      </c>
      <c r="B11348" s="2" t="str">
        <f>IFERROR(__xludf.DUMMYFUNCTION("GOOGLETRANSLATE(A11348, ""en"", ""mt"")"),"Il-klima aktar mxarrba setgħet ippermettiet li l-foresta tropikali tinfirex madwar il-kontinent.")</f>
        <v>Il-klima aktar mxarrba setgħet ippermettiet li l-foresta tropikali tinfirex madwar il-kontinent.</v>
      </c>
    </row>
    <row r="11349" ht="15.75" customHeight="1">
      <c r="A11349" s="2" t="s">
        <v>11349</v>
      </c>
      <c r="B11349" s="2" t="str">
        <f>IFERROR(__xludf.DUMMYFUNCTION("GOOGLETRANSLATE(A11349, ""en"", ""mt"")"),"Universitajiet privati")</f>
        <v>Universitajiet privati</v>
      </c>
    </row>
    <row r="11350" ht="15.75" customHeight="1">
      <c r="A11350" s="2" t="s">
        <v>11350</v>
      </c>
      <c r="B11350" s="2" t="str">
        <f>IFERROR(__xludf.DUMMYFUNCTION("GOOGLETRANSLATE(A11350, ""en"", ""mt"")"),"peptidi awto")</f>
        <v>peptidi awto</v>
      </c>
    </row>
    <row r="11351" ht="15.75" customHeight="1">
      <c r="A11351" s="2" t="s">
        <v>11351</v>
      </c>
      <c r="B11351" s="2" t="str">
        <f>IFERROR(__xludf.DUMMYFUNCTION("GOOGLETRANSLATE(A11351, ""en"", ""mt"")"),"kompletament uman")</f>
        <v>kompletament uman</v>
      </c>
    </row>
    <row r="11352" ht="15.75" customHeight="1">
      <c r="A11352" s="2" t="s">
        <v>11352</v>
      </c>
      <c r="B11352" s="2" t="str">
        <f>IFERROR(__xludf.DUMMYFUNCTION("GOOGLETRANSLATE(A11352, ""en"", ""mt"")"),"X'jiġri l-oqbra iżolati, spazjati barra mill-vittmi tal-pesta?")</f>
        <v>X'jiġri l-oqbra iżolati, spazjati barra mill-vittmi tal-pesta?</v>
      </c>
    </row>
    <row r="11353" ht="15.75" customHeight="1">
      <c r="A11353" s="2" t="s">
        <v>11353</v>
      </c>
      <c r="B11353" s="2" t="str">
        <f>IFERROR(__xludf.DUMMYFUNCTION("GOOGLETRANSLATE(A11353, ""en"", ""mt"")"),"Liema baċin ġie ffurmat meta żdied il-Muntanji Andes?")</f>
        <v>Liema baċin ġie ffurmat meta żdied il-Muntanji Andes?</v>
      </c>
    </row>
    <row r="11354" ht="15.75" customHeight="1">
      <c r="A11354" s="2" t="s">
        <v>11354</v>
      </c>
      <c r="B11354" s="2" t="str">
        <f>IFERROR(__xludf.DUMMYFUNCTION("GOOGLETRANSLATE(A11354, ""en"", ""mt"")"),"Xi jfisser Sacramento bl-Ispanjol?")</f>
        <v>Xi jfisser Sacramento bl-Ispanjol?</v>
      </c>
    </row>
    <row r="11355" ht="15.75" customHeight="1">
      <c r="A11355" s="2" t="s">
        <v>11355</v>
      </c>
      <c r="B11355" s="2" t="str">
        <f>IFERROR(__xludf.DUMMYFUNCTION("GOOGLETRANSLATE(A11355, ""en"", ""mt"")"),"Downtown Fresno")</f>
        <v>Downtown Fresno</v>
      </c>
    </row>
    <row r="11356" ht="15.75" customHeight="1">
      <c r="A11356" s="2" t="s">
        <v>11356</v>
      </c>
      <c r="B11356" s="2" t="str">
        <f>IFERROR(__xludf.DUMMYFUNCTION("GOOGLETRANSLATE(A11356, ""en"", ""mt"")"),"Liema perċentwali tal-popolazzjoni tal-Polonja kienet Protestanti fl-1901?")</f>
        <v>Liema perċentwali tal-popolazzjoni tal-Polonja kienet Protestanti fl-1901?</v>
      </c>
    </row>
    <row r="11357" ht="15.75" customHeight="1">
      <c r="A11357" s="2" t="s">
        <v>11357</v>
      </c>
      <c r="B11357" s="2" t="str">
        <f>IFERROR(__xludf.DUMMYFUNCTION("GOOGLETRANSLATE(A11357, ""en"", ""mt"")"),"Kemm iqisu lilhom infushom bħala Huguenots illum barra Franza?")</f>
        <v>Kemm iqisu lilhom infushom bħala Huguenots illum barra Franza?</v>
      </c>
    </row>
    <row r="11358" ht="15.75" customHeight="1">
      <c r="A11358" s="2" t="s">
        <v>11358</v>
      </c>
      <c r="B11358" s="2" t="str">
        <f>IFERROR(__xludf.DUMMYFUNCTION("GOOGLETRANSLATE(A11358, ""en"", ""mt"")"),"il-ftuħ tal-ostilitajiet")</f>
        <v>il-ftuħ tal-ostilitajiet</v>
      </c>
    </row>
    <row r="11359" ht="15.75" customHeight="1">
      <c r="A11359" s="2" t="s">
        <v>11359</v>
      </c>
      <c r="B11359" s="2" t="str">
        <f>IFERROR(__xludf.DUMMYFUNCTION("GOOGLETRANSLATE(A11359, ""en"", ""mt"")"),"Madwar 0.9%")</f>
        <v>Madwar 0.9%</v>
      </c>
    </row>
    <row r="11360" ht="15.75" customHeight="1">
      <c r="A11360" s="2" t="s">
        <v>11360</v>
      </c>
      <c r="B11360" s="2" t="str">
        <f>IFERROR(__xludf.DUMMYFUNCTION("GOOGLETRANSLATE(A11360, ""en"", ""mt"")"),"Newcastle")</f>
        <v>Newcastle</v>
      </c>
    </row>
    <row r="11361" ht="15.75" customHeight="1">
      <c r="A11361" s="2" t="s">
        <v>11361</v>
      </c>
      <c r="B11361" s="2" t="str">
        <f>IFERROR(__xludf.DUMMYFUNCTION("GOOGLETRANSLATE(A11361, ""en"", ""mt"")"),"temperaturi li huma kesħin wisq fl-Ewropa tat-Tramuntana għas-sopravivenza tal-briegħed")</f>
        <v>temperaturi li huma kesħin wisq fl-Ewropa tat-Tramuntana għas-sopravivenza tal-briegħed</v>
      </c>
    </row>
    <row r="11362" ht="15.75" customHeight="1">
      <c r="A11362" s="2" t="s">
        <v>11362</v>
      </c>
      <c r="B11362" s="2" t="str">
        <f>IFERROR(__xludf.DUMMYFUNCTION("GOOGLETRANSLATE(A11362, ""en"", ""mt"")"),"X'tipi ta 'skejjel huma l-iktar ErgänZungsschulen?")</f>
        <v>X'tipi ta 'skejjel huma l-iktar ErgänZungsschulen?</v>
      </c>
    </row>
    <row r="11363" ht="15.75" customHeight="1">
      <c r="A11363" s="2" t="s">
        <v>11363</v>
      </c>
      <c r="B11363" s="2" t="str">
        <f>IFERROR(__xludf.DUMMYFUNCTION("GOOGLETRANSLATE(A11363, ""en"", ""mt"")"),"X’s-Sirja ddeċidiet li l-prezz taż-żejt għandu jkun wara l-attakk?")</f>
        <v>X’s-Sirja ddeċidiet li l-prezz taż-żejt għandu jkun wara l-attakk?</v>
      </c>
    </row>
    <row r="11364" ht="15.75" customHeight="1">
      <c r="A11364" s="2" t="s">
        <v>11364</v>
      </c>
      <c r="B11364" s="2" t="str">
        <f>IFERROR(__xludf.DUMMYFUNCTION("GOOGLETRANSLATE(A11364, ""en"", ""mt"")"),"F’liema sena l-ewwel sena kienet teħtieġ li t-tfal jiġu edukati fl-iskejjel?")</f>
        <v>F’liema sena l-ewwel sena kienet teħtieġ li t-tfal jiġu edukati fl-iskejjel?</v>
      </c>
    </row>
    <row r="11365" ht="15.75" customHeight="1">
      <c r="A11365" s="2" t="s">
        <v>11365</v>
      </c>
      <c r="B11365" s="2" t="str">
        <f>IFERROR(__xludf.DUMMYFUNCTION("GOOGLETRANSLATE(A11365, ""en"", ""mt"")"),"Liema ilma għandu ilmijiet ħodor kesħin?")</f>
        <v>Liema ilma għandu ilmijiet ħodor kesħin?</v>
      </c>
    </row>
    <row r="11366" ht="15.75" customHeight="1">
      <c r="A11366" s="2" t="s">
        <v>11366</v>
      </c>
      <c r="B11366" s="2" t="str">
        <f>IFERROR(__xludf.DUMMYFUNCTION("GOOGLETRANSLATE(A11366, ""en"", ""mt"")"),"Kemm seħħew avulsjonijiet fl-aħħar 6000 yeas?")</f>
        <v>Kemm seħħew avulsjonijiet fl-aħħar 6000 yeas?</v>
      </c>
    </row>
    <row r="11367" ht="15.75" customHeight="1">
      <c r="A11367" s="2" t="s">
        <v>11367</v>
      </c>
      <c r="B11367" s="2" t="str">
        <f>IFERROR(__xludf.DUMMYFUNCTION("GOOGLETRANSLATE(A11367, ""en"", ""mt"")"),"X'inhu inqas kieku kien hemm inqas nies?")</f>
        <v>X'inhu inqas kieku kien hemm inqas nies?</v>
      </c>
    </row>
    <row r="11368" ht="15.75" customHeight="1">
      <c r="A11368" s="2" t="s">
        <v>11368</v>
      </c>
      <c r="B11368" s="2" t="str">
        <f>IFERROR(__xludf.DUMMYFUNCTION("GOOGLETRANSLATE(A11368, ""en"", ""mt"")"),"X'tip ta 'arkitettura hija rappreżentata fit-Torri ta' San Ġwann?")</f>
        <v>X'tip ta 'arkitettura hija rappreżentata fit-Torri ta' San Ġwann?</v>
      </c>
    </row>
    <row r="11369" ht="15.75" customHeight="1">
      <c r="A11369" s="2" t="s">
        <v>11369</v>
      </c>
      <c r="B11369" s="2" t="str">
        <f>IFERROR(__xludf.DUMMYFUNCTION("GOOGLETRANSLATE(A11369, ""en"", ""mt"")"),"X’wassal għall-ħtieġa għal trattati prinċipali li spiċċaw jiffurmaw l-UE?")</f>
        <v>X’wassal għall-ħtieġa għal trattati prinċipali li spiċċaw jiffurmaw l-UE?</v>
      </c>
    </row>
    <row r="11370" ht="15.75" customHeight="1">
      <c r="A11370" s="2" t="s">
        <v>11370</v>
      </c>
      <c r="B11370" s="2" t="str">
        <f>IFERROR(__xludf.DUMMYFUNCTION("GOOGLETRANSLATE(A11370, ""en"", ""mt"")"),"Fil-fehma ta 'Galileo, l-isfera terrestri kien fiha kemm elementi?")</f>
        <v>Fil-fehma ta 'Galileo, l-isfera terrestri kien fiha kemm elementi?</v>
      </c>
    </row>
    <row r="11371" ht="15.75" customHeight="1">
      <c r="A11371" s="2" t="s">
        <v>11371</v>
      </c>
      <c r="B11371" s="2" t="str">
        <f>IFERROR(__xludf.DUMMYFUNCTION("GOOGLETRANSLATE(A11371, ""en"", ""mt"")"),"Terminu ieħor għal elementi fuq id-djagonali?")</f>
        <v>Terminu ieħor għal elementi fuq id-djagonali?</v>
      </c>
    </row>
    <row r="11372" ht="15.75" customHeight="1">
      <c r="A11372" s="2" t="s">
        <v>11372</v>
      </c>
      <c r="B11372" s="2" t="str">
        <f>IFERROR(__xludf.DUMMYFUNCTION("GOOGLETRANSLATE(A11372, ""en"", ""mt"")"),"sid")</f>
        <v>sid</v>
      </c>
    </row>
    <row r="11373" ht="15.75" customHeight="1">
      <c r="A11373" s="2" t="s">
        <v>11373</v>
      </c>
      <c r="B11373" s="2" t="str">
        <f>IFERROR(__xludf.DUMMYFUNCTION("GOOGLETRANSLATE(A11373, ""en"", ""mt"")"),"Li skopra li l-kampi elettriċi u manjetiċi jistgħu jkunu ""konxji minnu nnifsu""")</f>
        <v>Li skopra li l-kampi elettriċi u manjetiċi jistgħu jkunu "konxji minnu nnifsu"</v>
      </c>
    </row>
    <row r="11374" ht="15.75" customHeight="1">
      <c r="A11374" s="2" t="s">
        <v>11374</v>
      </c>
      <c r="B11374" s="2" t="str">
        <f>IFERROR(__xludf.DUMMYFUNCTION("GOOGLETRANSLATE(A11374, ""en"", ""mt"")"),"X'jista 'jidher bejn hadrons?")</f>
        <v>X'jista 'jidher bejn hadrons?</v>
      </c>
    </row>
    <row r="11375" ht="15.75" customHeight="1">
      <c r="A11375" s="2" t="s">
        <v>11375</v>
      </c>
      <c r="B11375" s="2" t="str">
        <f>IFERROR(__xludf.DUMMYFUNCTION("GOOGLETRANSLATE(A11375, ""en"", ""mt"")"),"Little Hugos, jew dawk li jridu lil Hugo")</f>
        <v>Little Hugos, jew dawk li jridu lil Hugo</v>
      </c>
    </row>
    <row r="11376" ht="15.75" customHeight="1">
      <c r="A11376" s="2" t="s">
        <v>11376</v>
      </c>
      <c r="B11376" s="2" t="str">
        <f>IFERROR(__xludf.DUMMYFUNCTION("GOOGLETRANSLATE(A11376, ""en"", ""mt"")"),"Il-laqgħa tal-Assemblea Ġenerali tal-Knisja")</f>
        <v>Il-laqgħa tal-Assemblea Ġenerali tal-Knisja</v>
      </c>
    </row>
    <row r="11377" ht="15.75" customHeight="1">
      <c r="A11377" s="2" t="s">
        <v>11377</v>
      </c>
      <c r="B11377" s="2" t="str">
        <f>IFERROR(__xludf.DUMMYFUNCTION("GOOGLETRANSLATE(A11377, ""en"", ""mt"")"),"Kif iddefinixxa l-Los Angeles Times fin-Nofsinhar ta ’California fl-1909?")</f>
        <v>Kif iddefinixxa l-Los Angeles Times fin-Nofsinhar ta ’California fl-1909?</v>
      </c>
    </row>
    <row r="11378" ht="15.75" customHeight="1">
      <c r="A11378" s="2" t="s">
        <v>11378</v>
      </c>
      <c r="B11378" s="2" t="str">
        <f>IFERROR(__xludf.DUMMYFUNCTION("GOOGLETRANSLATE(A11378, ""en"", ""mt"")"),"rwol prinċipali")</f>
        <v>rwol prinċipali</v>
      </c>
    </row>
    <row r="11379" ht="15.75" customHeight="1">
      <c r="A11379" s="2" t="s">
        <v>11379</v>
      </c>
      <c r="B11379" s="2" t="str">
        <f>IFERROR(__xludf.DUMMYFUNCTION("GOOGLETRANSLATE(A11379, ""en"", ""mt"")"),"Interazzjoni Fundamentali tal-Elettroweak.")</f>
        <v>Interazzjoni Fundamentali tal-Elettroweak.</v>
      </c>
    </row>
    <row r="11380" ht="15.75" customHeight="1">
      <c r="A11380" s="2" t="s">
        <v>11380</v>
      </c>
      <c r="B11380" s="2" t="str">
        <f>IFERROR(__xludf.DUMMYFUNCTION("GOOGLETRANSLATE(A11380, ""en"", ""mt"")"),"Liema professjoni saru bosta gradwati ta 'Cambridge fl-1643?")</f>
        <v>Liema professjoni saru bosta gradwati ta 'Cambridge fl-1643?</v>
      </c>
    </row>
    <row r="11381" ht="15.75" customHeight="1">
      <c r="A11381" s="2" t="s">
        <v>11381</v>
      </c>
      <c r="B11381" s="2" t="str">
        <f>IFERROR(__xludf.DUMMYFUNCTION("GOOGLETRANSLATE(A11381, ""en"", ""mt"")"),"F'taxxa progressiva, dak li jiżdied hekk kif jiżdied l-ammont ta 'bażi ​​taxxabbli?")</f>
        <v>F'taxxa progressiva, dak li jiżdied hekk kif jiżdied l-ammont ta 'bażi ​​taxxabbli?</v>
      </c>
    </row>
    <row r="11382" ht="15.75" customHeight="1">
      <c r="A11382" s="2" t="s">
        <v>11382</v>
      </c>
      <c r="B11382" s="2" t="str">
        <f>IFERROR(__xludf.DUMMYFUNCTION("GOOGLETRANSLATE(A11382, ""en"", ""mt"")"),"Patoġenesi intraċellulari")</f>
        <v>Patoġenesi intraċellulari</v>
      </c>
    </row>
    <row r="11383" ht="15.75" customHeight="1">
      <c r="A11383" s="2" t="s">
        <v>11383</v>
      </c>
      <c r="B11383" s="2" t="str">
        <f>IFERROR(__xludf.DUMMYFUNCTION("GOOGLETRANSLATE(A11383, ""en"", ""mt"")"),"Iffissat")</f>
        <v>Iffissat</v>
      </c>
    </row>
    <row r="11384" ht="15.75" customHeight="1">
      <c r="A11384" s="2" t="s">
        <v>11384</v>
      </c>
      <c r="B11384" s="2" t="str">
        <f>IFERROR(__xludf.DUMMYFUNCTION("GOOGLETRANSLATE(A11384, ""en"", ""mt"")"),"Liema prattika Lhudija pprojbixxa l-wan?")</f>
        <v>Liema prattika Lhudija pprojbixxa l-wan?</v>
      </c>
    </row>
    <row r="11385" ht="15.75" customHeight="1">
      <c r="A11385" s="2" t="s">
        <v>11385</v>
      </c>
      <c r="B11385" s="2" t="str">
        <f>IFERROR(__xludf.DUMMYFUNCTION("GOOGLETRANSLATE(A11385, ""en"", ""mt"")"),"biex jgħinu jsaħħu t-talbiet territorjali tagħhom")</f>
        <v>biex jgħinu jsaħħu t-talbiet territorjali tagħhom</v>
      </c>
    </row>
    <row r="11386" ht="15.75" customHeight="1">
      <c r="A11386" s="2" t="s">
        <v>11386</v>
      </c>
      <c r="B11386" s="2" t="str">
        <f>IFERROR(__xludf.DUMMYFUNCTION("GOOGLETRANSLATE(A11386, ""en"", ""mt"")"),"Kemm tiġi kkunsmata temperatura mill-pompa waqt li l-fluwidu tax-xogħol jiġi kkondensat?")</f>
        <v>Kemm tiġi kkunsmata temperatura mill-pompa waqt li l-fluwidu tax-xogħol jiġi kkondensat?</v>
      </c>
    </row>
    <row r="11387" ht="15.75" customHeight="1">
      <c r="A11387" s="2" t="s">
        <v>11387</v>
      </c>
      <c r="B11387" s="2" t="str">
        <f>IFERROR(__xludf.DUMMYFUNCTION("GOOGLETRANSLATE(A11387, ""en"", ""mt"")"),"Meta BSKYB iddeċieda li jieqaf jagħti lil DigiBoxes b'xejn?")</f>
        <v>Meta BSKYB iddeċieda li jieqaf jagħti lil DigiBoxes b'xejn?</v>
      </c>
    </row>
    <row r="11388" ht="15.75" customHeight="1">
      <c r="A11388" s="2" t="s">
        <v>11388</v>
      </c>
      <c r="B11388" s="2" t="str">
        <f>IFERROR(__xludf.DUMMYFUNCTION("GOOGLETRANSLATE(A11388, ""en"", ""mt"")"),"4,097.9")</f>
        <v>4,097.9</v>
      </c>
    </row>
    <row r="11389" ht="15.75" customHeight="1">
      <c r="A11389" s="2" t="s">
        <v>11389</v>
      </c>
      <c r="B11389" s="2" t="str">
        <f>IFERROR(__xludf.DUMMYFUNCTION("GOOGLETRANSLATE(A11389, ""en"", ""mt"")"),"Xi ħaġa li hija meqjusa bħala żball mhux fundamentali hija t-twemmin li forza hija meħtieġa biex iżżomm xiex?")</f>
        <v>Xi ħaġa li hija meqjusa bħala żball mhux fundamentali hija t-twemmin li forza hija meħtieġa biex iżżomm xiex?</v>
      </c>
    </row>
    <row r="11390" ht="15.75" customHeight="1">
      <c r="A11390" s="2" t="s">
        <v>11390</v>
      </c>
      <c r="B11390" s="2" t="str">
        <f>IFERROR(__xludf.DUMMYFUNCTION("GOOGLETRANSLATE(A11390, ""en"", ""mt"")"),"Il-Librerija Regenstein")</f>
        <v>Il-Librerija Regenstein</v>
      </c>
    </row>
    <row r="11391" ht="15.75" customHeight="1">
      <c r="A11391" s="2" t="s">
        <v>11391</v>
      </c>
      <c r="B11391" s="2" t="str">
        <f>IFERROR(__xludf.DUMMYFUNCTION("GOOGLETRANSLATE(A11391, ""en"", ""mt"")"),"Meta mqabbel ma 'elementi oħra, kemm huwa abbundanti l-ossiġnu?")</f>
        <v>Meta mqabbel ma 'elementi oħra, kemm huwa abbundanti l-ossiġnu?</v>
      </c>
    </row>
    <row r="11392" ht="15.75" customHeight="1">
      <c r="A11392" s="2" t="s">
        <v>11392</v>
      </c>
      <c r="B11392" s="2" t="str">
        <f>IFERROR(__xludf.DUMMYFUNCTION("GOOGLETRANSLATE(A11392, ""en"", ""mt"")"),"Immunizzazzjoni")</f>
        <v>Immunizzazzjoni</v>
      </c>
    </row>
    <row r="11393" ht="15.75" customHeight="1">
      <c r="A11393" s="2" t="s">
        <v>11393</v>
      </c>
      <c r="B11393" s="2" t="str">
        <f>IFERROR(__xludf.DUMMYFUNCTION("GOOGLETRANSLATE(A11393, ""en"", ""mt"")"),"L-ewwel imperu Ingliż kien ibbażat fuq il-merkantiliżmu, u kien jinvolvi kolonji u azjendi primarjament fl-Amerika ta ’Fuq, il-Karibew, u l-Indja. It-tkabbir tagħha ġie mreġġa ’lura mit-telf tal-kolonji Amerikani fl-1776. Il-Gran Brittanja għamlet qligħ f"&amp;"l-Indja, l-Awstralja, u fil-kostruzzjoni ta’ imperu ekonomiku informali permezz tal-kontroll tal-kummerċ u l-finanzi fl-Amerika Latina wara l-indipendenza tal-kolonji Spanjoli u Portugiżi madwar l-1820. Fis-snin 1840, il-Gran Brittanja kienet adottat poli"&amp;"tika ta 'suċċess kbir ta' kummerċ ħieles li tatha dominanza fil-kummerċ ta 'ħafna mid-dinja. Wara li tilfet l-ewwel imperu tagħha lill-Amerikani, il-Gran Brittanja mbagħad dawret l-attenzjoni lejn l-Asja, l-Afrika, u l-Paċifiku. Wara t-telfa ta 'Napoleoni"&amp;"c France fl-1815, il-Gran Brittanja gawdiet seklu ta' dominanza kważi mhux ikkontestata u espandiet l-azjendi imperjali tagħha madwar id-dinja. Żieda fil-gradi ta 'awtonomija interna ingħataw lill-kolonji ta' kolonizzaturi bojod tagħha fis-seklu 20.")</f>
        <v>L-ewwel imperu Ingliż kien ibbażat fuq il-merkantiliżmu, u kien jinvolvi kolonji u azjendi primarjament fl-Amerika ta ’Fuq, il-Karibew, u l-Indja. It-tkabbir tagħha ġie mreġġa ’lura mit-telf tal-kolonji Amerikani fl-1776. Il-Gran Brittanja għamlet qligħ fl-Indja, l-Awstralja, u fil-kostruzzjoni ta’ imperu ekonomiku informali permezz tal-kontroll tal-kummerċ u l-finanzi fl-Amerika Latina wara l-indipendenza tal-kolonji Spanjoli u Portugiżi madwar l-1820. Fis-snin 1840, il-Gran Brittanja kienet adottat politika ta 'suċċess kbir ta' kummerċ ħieles li tatha dominanza fil-kummerċ ta 'ħafna mid-dinja. Wara li tilfet l-ewwel imperu tagħha lill-Amerikani, il-Gran Brittanja mbagħad dawret l-attenzjoni lejn l-Asja, l-Afrika, u l-Paċifiku. Wara t-telfa ta 'Napoleonic France fl-1815, il-Gran Brittanja gawdiet seklu ta' dominanza kważi mhux ikkontestata u espandiet l-azjendi imperjali tagħha madwar id-dinja. Żieda fil-gradi ta 'awtonomija interna ingħataw lill-kolonji ta' kolonizzaturi bojod tagħha fis-seklu 20.</v>
      </c>
    </row>
    <row r="11394" ht="15.75" customHeight="1">
      <c r="A11394" s="2" t="s">
        <v>11394</v>
      </c>
      <c r="B11394" s="2" t="str">
        <f>IFERROR(__xludf.DUMMYFUNCTION("GOOGLETRANSLATE(A11394, ""en"", ""mt"")"),"X'kienet imsejħa l-Università ta 'l-Istat ta' Kalifornja?")</f>
        <v>X'kienet imsejħa l-Università ta 'l-Istat ta' Kalifornja?</v>
      </c>
    </row>
    <row r="11395" ht="15.75" customHeight="1">
      <c r="A11395" s="2" t="s">
        <v>11395</v>
      </c>
      <c r="B11395" s="2" t="str">
        <f>IFERROR(__xludf.DUMMYFUNCTION("GOOGLETRANSLATE(A11395, ""en"", ""mt"")"),"90% sa 93%")</f>
        <v>90% sa 93%</v>
      </c>
    </row>
    <row r="11396" ht="15.75" customHeight="1">
      <c r="A11396" s="2" t="s">
        <v>11396</v>
      </c>
      <c r="B11396" s="2" t="str">
        <f>IFERROR(__xludf.DUMMYFUNCTION("GOOGLETRANSLATE(A11396, ""en"", ""mt"")"),"In-nixfa tal-2010 kellha tlieta kif żdiedet il-veġetazzjoni?")</f>
        <v>In-nixfa tal-2010 kellha tlieta kif żdiedet il-veġetazzjoni?</v>
      </c>
    </row>
    <row r="11397" ht="15.75" customHeight="1">
      <c r="A11397" s="2" t="s">
        <v>11397</v>
      </c>
      <c r="B11397" s="2" t="str">
        <f>IFERROR(__xludf.DUMMYFUNCTION("GOOGLETRANSLATE(A11397, ""en"", ""mt"")"),"il-bażi flared distintiva tagħha")</f>
        <v>il-bażi flared distintiva tagħha</v>
      </c>
    </row>
    <row r="11398" ht="15.75" customHeight="1">
      <c r="A11398" s="2" t="s">
        <v>11398</v>
      </c>
      <c r="B11398" s="2" t="str">
        <f>IFERROR(__xludf.DUMMYFUNCTION("GOOGLETRANSLATE(A11398, ""en"", ""mt"")"),"X’kienu l-pjanijiet Ingliżi kontra l-Franċiż?")</f>
        <v>X’kienu l-pjanijiet Ingliżi kontra l-Franċiż?</v>
      </c>
    </row>
    <row r="11399" ht="15.75" customHeight="1">
      <c r="A11399" s="2" t="s">
        <v>11399</v>
      </c>
      <c r="B11399" s="2" t="str">
        <f>IFERROR(__xludf.DUMMYFUNCTION("GOOGLETRANSLATE(A11399, ""en"", ""mt"")"),"Liema lingwa ħadet post il-lingwa Gallo-Romance?")</f>
        <v>Liema lingwa ħadet post il-lingwa Gallo-Romance?</v>
      </c>
    </row>
    <row r="11400" ht="15.75" customHeight="1">
      <c r="A11400" s="2" t="s">
        <v>11400</v>
      </c>
      <c r="B11400" s="2" t="str">
        <f>IFERROR(__xludf.DUMMYFUNCTION("GOOGLETRANSLATE(A11400, ""en"", ""mt"")"),"Liema rapport għandu l-problema ta 'nuqqas ta' kunfidenza xjentifika?")</f>
        <v>Liema rapport għandu l-problema ta 'nuqqas ta' kunfidenza xjentifika?</v>
      </c>
    </row>
    <row r="11401" ht="15.75" customHeight="1">
      <c r="A11401" s="2" t="s">
        <v>11401</v>
      </c>
      <c r="B11401" s="2" t="str">
        <f>IFERROR(__xludf.DUMMYFUNCTION("GOOGLETRANSLATE(A11401, ""en"", ""mt"")"),"sit-ins")</f>
        <v>sit-ins</v>
      </c>
    </row>
    <row r="11402" ht="15.75" customHeight="1">
      <c r="A11402" s="2" t="s">
        <v>11402</v>
      </c>
      <c r="B11402" s="2" t="str">
        <f>IFERROR(__xludf.DUMMYFUNCTION("GOOGLETRANSLATE(A11402, ""en"", ""mt"")"),"Tensor tal-istress")</f>
        <v>Tensor tal-istress</v>
      </c>
    </row>
    <row r="11403" ht="15.75" customHeight="1">
      <c r="A11403" s="2" t="s">
        <v>11403</v>
      </c>
      <c r="B11403" s="2" t="str">
        <f>IFERROR(__xludf.DUMMYFUNCTION("GOOGLETRANSLATE(A11403, ""en"", ""mt"")"),"It-Trattat ta 'Lisbona tal-2007 irrikonoxxa b'mod espliċitu d-drittijiet fundamentali billi pprovda fl-Artikolu 6 (1) li ""l-Unjoni tirrikonoxxi d-drittijiet, il-libertajiet u l-prinċipji stabbiliti fil-Karta tad-Drittijiet Fundamentali tal-Unjoni Ewropea"&amp;" tas-7 ta' Diċembru 2000, kif adottat fi Strasburgu fit-12 Diċembru 2007, li għandu jkollu l-istess valur legali bħat-trattati. "" Għalhekk, il-karta tad-drittijiet fundamentali tal-Unjoni Ewropea saret parti integrali tal-liġi tal-Unjoni Ewropea, li tikk"&amp;"odifika d-drittijiet fundamentali li qabel kienu meqjusa bħala prinċipji ġenerali tal-liġi tal-Unjoni Ewropea. Fil-fatt, wara t-Trattat ta 'Lisbona, il-Karta u l-Konvenzjoni issa jeżistu skont il-liġi tal-Unjoni Ewropea, għalkemm l-ewwel hija infurzata mi"&amp;"ll-Qorti Ewropea tal-Ġustizzja fir-rigward tal-miżuri tal-Unjoni Ewropea, u dan tal-aħħar mill-Qorti Ewropea tad-Drittijiet tal-Bniedem Fir-rigward ta 'miżuri mill-Istati Membri.")</f>
        <v>It-Trattat ta 'Lisbona tal-2007 irrikonoxxa b'mod espliċitu d-drittijiet fundamentali billi pprovda fl-Artikolu 6 (1) li "l-Unjoni tirrikonoxxi d-drittijiet, il-libertajiet u l-prinċipji stabbiliti fil-Karta tad-Drittijiet Fundamentali tal-Unjoni Ewropea tas-7 ta' Diċembru 2000, kif adottat fi Strasburgu fit-12 Diċembru 2007, li għandu jkollu l-istess valur legali bħat-trattati. " Għalhekk, il-karta tad-drittijiet fundamentali tal-Unjoni Ewropea saret parti integrali tal-liġi tal-Unjoni Ewropea, li tikkodifika d-drittijiet fundamentali li qabel kienu meqjusa bħala prinċipji ġenerali tal-liġi tal-Unjoni Ewropea. Fil-fatt, wara t-Trattat ta 'Lisbona, il-Karta u l-Konvenzjoni issa jeżistu skont il-liġi tal-Unjoni Ewropea, għalkemm l-ewwel hija infurzata mill-Qorti Ewropea tal-Ġustizzja fir-rigward tal-miżuri tal-Unjoni Ewropea, u dan tal-aħħar mill-Qorti Ewropea tad-Drittijiet tal-Bniedem Fir-rigward ta 'miżuri mill-Istati Membri.</v>
      </c>
    </row>
    <row r="11404" ht="15.75" customHeight="1">
      <c r="A11404" s="2" t="s">
        <v>11404</v>
      </c>
      <c r="B11404" s="2" t="str">
        <f>IFERROR(__xludf.DUMMYFUNCTION("GOOGLETRANSLATE(A11404, ""en"", ""mt"")"),"żieda fil-livelli tad-dħul tal-proprjetà")</f>
        <v>żieda fil-livelli tad-dħul tal-proprjetà</v>
      </c>
    </row>
    <row r="11405" ht="15.75" customHeight="1">
      <c r="A11405" s="2" t="s">
        <v>11405</v>
      </c>
      <c r="B11405" s="2" t="str">
        <f>IFERROR(__xludf.DUMMYFUNCTION("GOOGLETRANSLATE(A11405, ""en"", ""mt"")"),"Skond it-teorija tal-konċentrazzjoni tal-ġid, liema vantaġġ għandhom is-sinjur fl-akkumulazzjoni ta 'ġid ġdid?")</f>
        <v>Skond it-teorija tal-konċentrazzjoni tal-ġid, liema vantaġġ għandhom is-sinjur fl-akkumulazzjoni ta 'ġid ġdid?</v>
      </c>
    </row>
    <row r="11406" ht="15.75" customHeight="1">
      <c r="A11406" s="2" t="s">
        <v>11406</v>
      </c>
      <c r="B11406" s="2" t="str">
        <f>IFERROR(__xludf.DUMMYFUNCTION("GOOGLETRANSLATE(A11406, ""en"", ""mt"")"),"in-nuqqas ta ’statistika affidabbli minn dan il-perjodu")</f>
        <v>in-nuqqas ta ’statistika affidabbli minn dan il-perjodu</v>
      </c>
    </row>
    <row r="11407" ht="15.75" customHeight="1">
      <c r="A11407" s="2" t="s">
        <v>11407</v>
      </c>
      <c r="B11407" s="2" t="str">
        <f>IFERROR(__xludf.DUMMYFUNCTION("GOOGLETRANSLATE(A11407, ""en"", ""mt"")"),"Liema qasam tax-xjenza tal-kompjuter janalizza r-rekwiżiti tar-riżorsi ta 'algoritmu speċifiku iżolat għalih innifsu fi problema partikolari?")</f>
        <v>Liema qasam tax-xjenza tal-kompjuter janalizza r-rekwiżiti tar-riżorsi ta 'algoritmu speċifiku iżolat għalih innifsu fi problema partikolari?</v>
      </c>
    </row>
    <row r="11408" ht="15.75" customHeight="1">
      <c r="A11408" s="2" t="s">
        <v>11408</v>
      </c>
      <c r="B11408" s="2" t="str">
        <f>IFERROR(__xludf.DUMMYFUNCTION("GOOGLETRANSLATE(A11408, ""en"", ""mt"")"),"25m nies")</f>
        <v>25m nies</v>
      </c>
    </row>
    <row r="11409" ht="15.75" customHeight="1">
      <c r="A11409" s="2" t="s">
        <v>11409</v>
      </c>
      <c r="B11409" s="2" t="str">
        <f>IFERROR(__xludf.DUMMYFUNCTION("GOOGLETRANSLATE(A11409, ""en"", ""mt"")"),"Tymnet kien jikkonsisti minn netwerk privat kbir li appoġġa lil min?")</f>
        <v>Tymnet kien jikkonsisti minn netwerk privat kbir li appoġġa lil min?</v>
      </c>
    </row>
    <row r="11410" ht="15.75" customHeight="1">
      <c r="A11410" s="2" t="s">
        <v>11410</v>
      </c>
      <c r="B11410" s="2" t="str">
        <f>IFERROR(__xludf.DUMMYFUNCTION("GOOGLETRANSLATE(A11410, ""en"", ""mt"")"),"Fil-bijosfera tad-dinja, l-arja, il-baħar u l-art")</f>
        <v>Fil-bijosfera tad-dinja, l-arja, il-baħar u l-art</v>
      </c>
    </row>
    <row r="11411" ht="15.75" customHeight="1">
      <c r="A11411" s="2" t="s">
        <v>11411</v>
      </c>
      <c r="B11411" s="2" t="str">
        <f>IFERROR(__xludf.DUMMYFUNCTION("GOOGLETRANSLATE(A11411, ""en"", ""mt"")"),"Kemm nies ħadmu ma 'Barack Obama li huma mill-Iżvezja?")</f>
        <v>Kemm nies ħadmu ma 'Barack Obama li huma mill-Iżvezja?</v>
      </c>
    </row>
    <row r="11412" ht="15.75" customHeight="1">
      <c r="A11412" s="2" t="s">
        <v>11412</v>
      </c>
      <c r="B11412" s="2" t="str">
        <f>IFERROR(__xludf.DUMMYFUNCTION("GOOGLETRANSLATE(A11412, ""en"", ""mt"")")," Fejn fl-Asja Ċentrali ma mxietx iċ-Ċiniżi Han?")</f>
        <v> Fejn fl-Asja Ċentrali ma mxietx iċ-Ċiniżi Han?</v>
      </c>
    </row>
    <row r="11413" ht="15.75" customHeight="1">
      <c r="A11413" s="2" t="s">
        <v>11413</v>
      </c>
      <c r="B11413" s="2" t="str">
        <f>IFERROR(__xludf.DUMMYFUNCTION("GOOGLETRANSLATE(A11413, ""en"", ""mt"")"),"X’troda Sybilla ta ’Normandija fl-Iskozja?")</f>
        <v>X’troda Sybilla ta ’Normandija fl-Iskozja?</v>
      </c>
    </row>
    <row r="11414" ht="15.75" customHeight="1">
      <c r="A11414" s="2" t="s">
        <v>11414</v>
      </c>
      <c r="B11414" s="2" t="str">
        <f>IFERROR(__xludf.DUMMYFUNCTION("GOOGLETRANSLATE(A11414, ""en"", ""mt"")"),"Fejn hi dar tal-palm bi pjanti subtropiċi mid-dinja kollha għall-wiri?")</f>
        <v>Fejn hi dar tal-palm bi pjanti subtropiċi mid-dinja kollha għall-wiri?</v>
      </c>
    </row>
    <row r="11415" ht="15.75" customHeight="1">
      <c r="A11415" s="2" t="s">
        <v>11415</v>
      </c>
      <c r="B11415" s="2" t="str">
        <f>IFERROR(__xludf.DUMMYFUNCTION("GOOGLETRANSLATE(A11415, ""en"", ""mt"")"),"sistema magħluqa ta 'partiċelli")</f>
        <v>sistema magħluqa ta 'partiċelli</v>
      </c>
    </row>
    <row r="11416" ht="15.75" customHeight="1">
      <c r="A11416" s="2" t="s">
        <v>11416</v>
      </c>
      <c r="B11416" s="2" t="str">
        <f>IFERROR(__xludf.DUMMYFUNCTION("GOOGLETRANSLATE(A11416, ""en"", ""mt"")"),"Frazzjoni Eġizzjana")</f>
        <v>Frazzjoni Eġizzjana</v>
      </c>
    </row>
    <row r="11417" ht="15.75" customHeight="1">
      <c r="A11417" s="2" t="s">
        <v>11417</v>
      </c>
      <c r="B11417" s="2" t="str">
        <f>IFERROR(__xludf.DUMMYFUNCTION("GOOGLETRANSLATE(A11417, ""en"", ""mt"")"),"Skond it-teorema ta 'Gluga, liema perjodu 1 / P dejjem jassumi li P huwa prim li mhux 2 jew 5?")</f>
        <v>Skond it-teorema ta 'Gluga, liema perjodu 1 / P dejjem jassumi li P huwa prim li mhux 2 jew 5?</v>
      </c>
    </row>
    <row r="11418" ht="15.75" customHeight="1">
      <c r="A11418" s="2" t="s">
        <v>11418</v>
      </c>
      <c r="B11418" s="2" t="str">
        <f>IFERROR(__xludf.DUMMYFUNCTION("GOOGLETRANSLATE(A11418, ""en"", ""mt"")"),"Il-forza ta 'espedizzjoni ta' Céloron kienet tikkonsisti f'madwar 200 truppa de la Marine u 30 Indjan. L-ispedizzjoni kienet tkopri madwar 3,000 mil (4,800 km) bejn Ġunju u Novembru 1749. Hija telgħet is-San Lawrenz, kompliet tul ix-xatt tat-tramuntana ta"&amp;"l-Lag Ontario, qasmet il-portage f'Niagara, u segwiet ix-xatt tan-Nofsinhar tal-Lag Erie. Fil-Chautauqua Portage (ħdejn il-lum Barċellona, ​​New York), l-ispedizzjoni marret lejn il-passaġġ lejn ix-Xmara Allegheny, li segwiet għas-sit tal-lum Pittsburgh. "&amp;"Hemm Céloron midfun pjanċi taċ-ċomb imnaqqxa bit-talba Franċiża lill-pajjiż ta ’Ohio. Kull meta ltaqa 'ma' negozjanti Ingliżi jew negozji tal-pil, Céloron għarrafhom bit-talbiet Franċiżi fit-territorju u qalilhom biex jitilqu.")</f>
        <v>Il-forza ta 'espedizzjoni ta' Céloron kienet tikkonsisti f'madwar 200 truppa de la Marine u 30 Indjan. L-ispedizzjoni kienet tkopri madwar 3,000 mil (4,800 km) bejn Ġunju u Novembru 1749. Hija telgħet is-San Lawrenz, kompliet tul ix-xatt tat-tramuntana tal-Lag Ontario, qasmet il-portage f'Niagara, u segwiet ix-xatt tan-Nofsinhar tal-Lag Erie. Fil-Chautauqua Portage (ħdejn il-lum Barċellona, ​​New York), l-ispedizzjoni marret lejn il-passaġġ lejn ix-Xmara Allegheny, li segwiet għas-sit tal-lum Pittsburgh. Hemm Céloron midfun pjanċi taċ-ċomb imnaqqxa bit-talba Franċiża lill-pajjiż ta ’Ohio. Kull meta ltaqa 'ma' negozjanti Ingliżi jew negozji tal-pil, Céloron għarrafhom bit-talbiet Franċiżi fit-territorju u qalilhom biex jitilqu.</v>
      </c>
    </row>
    <row r="11419" ht="15.75" customHeight="1">
      <c r="A11419" s="2" t="s">
        <v>11419</v>
      </c>
      <c r="B11419" s="2" t="str">
        <f>IFERROR(__xludf.DUMMYFUNCTION("GOOGLETRANSLATE(A11419, ""en"", ""mt"")"),"np≡N (mod p) għal kwalunkwe n jekk p huwa numru ewlieni")</f>
        <v>np≡N (mod p) għal kwalunkwe n jekk p huwa numru ewlieni</v>
      </c>
    </row>
    <row r="11420" ht="15.75" customHeight="1">
      <c r="A11420" s="2" t="s">
        <v>11420</v>
      </c>
      <c r="B11420" s="2" t="str">
        <f>IFERROR(__xludf.DUMMYFUNCTION("GOOGLETRANSLATE(A11420, ""en"", ""mt"")"),"kbir")</f>
        <v>kbir</v>
      </c>
    </row>
    <row r="11421" ht="15.75" customHeight="1">
      <c r="A11421" s="2" t="s">
        <v>11421</v>
      </c>
      <c r="B11421" s="2" t="str">
        <f>IFERROR(__xludf.DUMMYFUNCTION("GOOGLETRANSLATE(A11421, ""en"", ""mt"")"),"Il-Leġislatura tal-Unjoni Amerikana hija prinċipalment minn xiex?")</f>
        <v>Il-Leġislatura tal-Unjoni Amerikana hija prinċipalment minn xiex?</v>
      </c>
    </row>
    <row r="11422" ht="15.75" customHeight="1">
      <c r="A11422" s="2" t="s">
        <v>11422</v>
      </c>
      <c r="B11422" s="2" t="str">
        <f>IFERROR(__xludf.DUMMYFUNCTION("GOOGLETRANSLATE(A11422, ""en"", ""mt"")"),"l-iktar siġġijiet fl-assemblea leġiżlattiva")</f>
        <v>l-iktar siġġijiet fl-assemblea leġiżlattiva</v>
      </c>
    </row>
    <row r="11423" ht="15.75" customHeight="1">
      <c r="A11423" s="2" t="s">
        <v>11423</v>
      </c>
      <c r="B11423" s="2" t="str">
        <f>IFERROR(__xludf.DUMMYFUNCTION("GOOGLETRANSLATE(A11423, ""en"", ""mt"")"),"X’għamel Heath in-Norveġja biex tagħmel matul ix-xitwa?")</f>
        <v>X’għamel Heath in-Norveġja biex tagħmel matul ix-xitwa?</v>
      </c>
    </row>
    <row r="11424" ht="15.75" customHeight="1">
      <c r="A11424" s="2" t="s">
        <v>11424</v>
      </c>
      <c r="B11424" s="2" t="str">
        <f>IFERROR(__xludf.DUMMYFUNCTION("GOOGLETRANSLATE(A11424, ""en"", ""mt"")"),"Min l-Istati Uniti pprovdew għajnuna lil, biex jiġġieldu kontra l-Unjoni Sovjetika?")</f>
        <v>Min l-Istati Uniti pprovdew għajnuna lil, biex jiġġieldu kontra l-Unjoni Sovjetika?</v>
      </c>
    </row>
    <row r="11425" ht="15.75" customHeight="1">
      <c r="A11425" s="2" t="s">
        <v>11425</v>
      </c>
      <c r="B11425" s="2" t="str">
        <f>IFERROR(__xludf.DUMMYFUNCTION("GOOGLETRANSLATE(A11425, ""en"", ""mt"")"),"Liema reġjun juża t-terminu 'skejjel privati' biex jirreferi għall-universitajiet?")</f>
        <v>Liema reġjun juża t-terminu 'skejjel privati' biex jirreferi għall-universitajiet?</v>
      </c>
    </row>
    <row r="11426" ht="15.75" customHeight="1">
      <c r="A11426" s="2" t="s">
        <v>11426</v>
      </c>
      <c r="B11426" s="2" t="str">
        <f>IFERROR(__xludf.DUMMYFUNCTION("GOOGLETRANSLATE(A11426, ""en"", ""mt"")"),"Il-popolazzjoni tal-far ma kinitx biżżejjed")</f>
        <v>Il-popolazzjoni tal-far ma kinitx biżżejjed</v>
      </c>
    </row>
    <row r="11427" ht="15.75" customHeight="1">
      <c r="A11427" s="2" t="s">
        <v>11427</v>
      </c>
      <c r="B11427" s="2" t="str">
        <f>IFERROR(__xludf.DUMMYFUNCTION("GOOGLETRANSLATE(A11427, ""en"", ""mt"")"),"X'jagħmlu r-rosettes ciliary biex jibnu bl-ingrossa u jżidu d-densità?")</f>
        <v>X'jagħmlu r-rosettes ciliary biex jibnu bl-ingrossa u jżidu d-densità?</v>
      </c>
    </row>
    <row r="11428" ht="15.75" customHeight="1">
      <c r="A11428" s="2" t="s">
        <v>11428</v>
      </c>
      <c r="B11428" s="2" t="str">
        <f>IFERROR(__xludf.DUMMYFUNCTION("GOOGLETRANSLATE(A11428, ""en"", ""mt"")"),"Meta seħħet l-attività tal-pittura fil-palazzi u l-knejjes fl-għexieren ta 'snin ta' wara?")</f>
        <v>Meta seħħet l-attività tal-pittura fil-palazzi u l-knejjes fl-għexieren ta 'snin ta' wara?</v>
      </c>
    </row>
    <row r="11429" ht="15.75" customHeight="1">
      <c r="A11429" s="2" t="s">
        <v>11429</v>
      </c>
      <c r="B11429" s="2" t="str">
        <f>IFERROR(__xludf.DUMMYFUNCTION("GOOGLETRANSLATE(A11429, ""en"", ""mt"")")," Meta kienu jeżistu t-tmien ministeri?")</f>
        <v> Meta kienu jeżistu t-tmien ministeri?</v>
      </c>
    </row>
    <row r="11430" ht="15.75" customHeight="1">
      <c r="A11430" s="2" t="s">
        <v>11430</v>
      </c>
      <c r="B11430" s="2" t="str">
        <f>IFERROR(__xludf.DUMMYFUNCTION("GOOGLETRANSLATE(A11430, ""en"", ""mt"")"),"Liema komposti fihom ossiġnu?")</f>
        <v>Liema komposti fihom ossiġnu?</v>
      </c>
    </row>
    <row r="11431" ht="15.75" customHeight="1">
      <c r="A11431" s="2" t="s">
        <v>11431</v>
      </c>
      <c r="B11431" s="2" t="str">
        <f>IFERROR(__xludf.DUMMYFUNCTION("GOOGLETRANSLATE(A11431, ""en"", ""mt"")"),"Minn xiex kienet il-Klassifikata ta 'Varsavja s-7?")</f>
        <v>Minn xiex kienet il-Klassifikata ta 'Varsavja s-7?</v>
      </c>
    </row>
    <row r="11432" ht="15.75" customHeight="1">
      <c r="A11432" s="2" t="s">
        <v>11432</v>
      </c>
      <c r="B11432" s="2" t="str">
        <f>IFERROR(__xludf.DUMMYFUNCTION("GOOGLETRANSLATE(A11432, ""en"", ""mt"")"),"Xi jridu jifhmu bijostratigrafiċi dwar il-klima tal-passat?")</f>
        <v>Xi jridu jifhmu bijostratigrafiċi dwar il-klima tal-passat?</v>
      </c>
    </row>
    <row r="11433" ht="15.75" customHeight="1">
      <c r="A11433" s="2" t="s">
        <v>11433</v>
      </c>
      <c r="B11433" s="2" t="str">
        <f>IFERROR(__xludf.DUMMYFUNCTION("GOOGLETRANSLATE(A11433, ""en"", ""mt"")"),"X'kienet il-professjoni ta 'John Boyle?")</f>
        <v>X'kienet il-professjoni ta 'John Boyle?</v>
      </c>
    </row>
    <row r="11434" ht="15.75" customHeight="1">
      <c r="A11434" s="2" t="s">
        <v>11434</v>
      </c>
      <c r="B11434" s="2" t="str">
        <f>IFERROR(__xludf.DUMMYFUNCTION("GOOGLETRANSLATE(A11434, ""en"", ""mt"")"),"Konkwista fuq żona")</f>
        <v>Konkwista fuq żona</v>
      </c>
    </row>
    <row r="11435" ht="15.75" customHeight="1">
      <c r="A11435" s="2" t="s">
        <v>11435</v>
      </c>
      <c r="B11435" s="2" t="str">
        <f>IFERROR(__xludf.DUMMYFUNCTION("GOOGLETRANSLATE(A11435, ""en"", ""mt"")"),"Liberalizzazzjoni tal-Kummerċ")</f>
        <v>Liberalizzazzjoni tal-Kummerċ</v>
      </c>
    </row>
    <row r="11436" ht="15.75" customHeight="1">
      <c r="A11436" s="2" t="s">
        <v>11436</v>
      </c>
      <c r="B11436" s="2" t="str">
        <f>IFERROR(__xludf.DUMMYFUNCTION("GOOGLETRANSLATE(A11436, ""en"", ""mt"")"),"reliġjon mill-politika")</f>
        <v>reliġjon mill-politika</v>
      </c>
    </row>
    <row r="11437" ht="15.75" customHeight="1">
      <c r="A11437" s="2" t="s">
        <v>11437</v>
      </c>
      <c r="B11437" s="2" t="str">
        <f>IFERROR(__xludf.DUMMYFUNCTION("GOOGLETRANSLATE(A11437, ""en"", ""mt"")"),"X'ġara minn blat sedimentarju, vulkaniku u intrużiv fil-Grand Canyon?")</f>
        <v>X'ġara minn blat sedimentarju, vulkaniku u intrużiv fil-Grand Canyon?</v>
      </c>
    </row>
    <row r="11438" ht="15.75" customHeight="1">
      <c r="A11438" s="2" t="s">
        <v>11438</v>
      </c>
      <c r="B11438" s="2" t="str">
        <f>IFERROR(__xludf.DUMMYFUNCTION("GOOGLETRANSLATE(A11438, ""en"", ""mt"")"),"Foresta ta 'Broadleaf niedja")</f>
        <v>Foresta ta 'Broadleaf niedja</v>
      </c>
    </row>
    <row r="11439" ht="15.75" customHeight="1">
      <c r="A11439" s="2" t="s">
        <v>11439</v>
      </c>
      <c r="B11439" s="2" t="str">
        <f>IFERROR(__xludf.DUMMYFUNCTION("GOOGLETRANSLATE(A11439, ""en"", ""mt"")"),"Min żviluppa l-ewwel apparat kummerċjali li jaħdem bil-fwar?")</f>
        <v>Min żviluppa l-ewwel apparat kummerċjali li jaħdem bil-fwar?</v>
      </c>
    </row>
    <row r="11440" ht="15.75" customHeight="1">
      <c r="A11440" s="2" t="s">
        <v>11440</v>
      </c>
      <c r="B11440" s="2" t="str">
        <f>IFERROR(__xludf.DUMMYFUNCTION("GOOGLETRANSLATE(A11440, ""en"", ""mt"")"),"687 u 760 nm")</f>
        <v>687 u 760 nm</v>
      </c>
    </row>
    <row r="11441" ht="15.75" customHeight="1">
      <c r="A11441" s="2" t="s">
        <v>11441</v>
      </c>
      <c r="B11441" s="2" t="str">
        <f>IFERROR(__xludf.DUMMYFUNCTION("GOOGLETRANSLATE(A11441, ""en"", ""mt"")"),"il-Paċifiku t'Isfel")</f>
        <v>il-Paċifiku t'Isfel</v>
      </c>
    </row>
    <row r="11442" ht="15.75" customHeight="1">
      <c r="A11442" s="2" t="s">
        <v>11442</v>
      </c>
      <c r="B11442" s="2" t="str">
        <f>IFERROR(__xludf.DUMMYFUNCTION("GOOGLETRANSLATE(A11442, ""en"", ""mt"")"),"Janet Gray")</f>
        <v>Janet Gray</v>
      </c>
    </row>
    <row r="11443" ht="15.75" customHeight="1">
      <c r="A11443" s="2" t="s">
        <v>11443</v>
      </c>
      <c r="B11443" s="2" t="str">
        <f>IFERROR(__xludf.DUMMYFUNCTION("GOOGLETRANSLATE(A11443, ""en"", ""mt"")"),"Armat")</f>
        <v>Armat</v>
      </c>
    </row>
    <row r="11444" ht="15.75" customHeight="1">
      <c r="A11444" s="2" t="s">
        <v>11444</v>
      </c>
      <c r="B11444" s="2" t="str">
        <f>IFERROR(__xludf.DUMMYFUNCTION("GOOGLETRANSLATE(A11444, ""en"", ""mt"")"),"kuntrattur ewlieni")</f>
        <v>kuntrattur ewlieni</v>
      </c>
    </row>
    <row r="11445" ht="15.75" customHeight="1">
      <c r="A11445" s="2" t="s">
        <v>11445</v>
      </c>
      <c r="B11445" s="2" t="str">
        <f>IFERROR(__xludf.DUMMYFUNCTION("GOOGLETRANSLATE(A11445, ""en"", ""mt"")"),"Kemm hemm mekkaniżmi magna tal-fwar tipika biex iżżomm il-piż tar-rebbiegħa milli jkollok għoli wisq?")</f>
        <v>Kemm hemm mekkaniżmi magna tal-fwar tipika biex iżżomm il-piż tar-rebbiegħa milli jkollok għoli wisq?</v>
      </c>
    </row>
    <row r="11446" ht="15.75" customHeight="1">
      <c r="A11446" s="2" t="s">
        <v>11446</v>
      </c>
      <c r="B11446" s="2" t="str">
        <f>IFERROR(__xludf.DUMMYFUNCTION("GOOGLETRANSLATE(A11446, ""en"", ""mt"")"),"B'għarfien modern dwar il-mekkanika kwantistika u t-teknoloġija li jistgħu jaċċeleraw il-partiċelli viċin il-veloċità tad-dawl, il-fiżika tal-partikuli fasslet mudell standard biex tiddeskrivi forzi bejn partiċelli iżgħar mill-atomi. Il-mudell standard ib"&amp;"assar li partiċelli skambjati msejħa bosons tal-gauge huma l-mezzi fundamentali li bihom il-forzi jiġu emessi u assorbiti. Erba 'interazzjonijiet ewlenin huma magħrufa biss: f'ordni ta' saħħa li tonqos, huma: b'saħħithom, elettromanjetiċi, dgħajfa, u grav"&amp;"itazzjonali. huma espressjonijiet ta 'interazzjoni elettroweak aktar fundamentali.")</f>
        <v>B'għarfien modern dwar il-mekkanika kwantistika u t-teknoloġija li jistgħu jaċċeleraw il-partiċelli viċin il-veloċità tad-dawl, il-fiżika tal-partikuli fasslet mudell standard biex tiddeskrivi forzi bejn partiċelli iżgħar mill-atomi. Il-mudell standard ibassar li partiċelli skambjati msejħa bosons tal-gauge huma l-mezzi fundamentali li bihom il-forzi jiġu emessi u assorbiti. Erba 'interazzjonijiet ewlenin huma magħrufa biss: f'ordni ta' saħħa li tonqos, huma: b'saħħithom, elettromanjetiċi, dgħajfa, u gravitazzjonali. huma espressjonijiet ta 'interazzjoni elettroweak aktar fundamentali.</v>
      </c>
    </row>
    <row r="11447" ht="15.75" customHeight="1">
      <c r="A11447" s="2" t="s">
        <v>11447</v>
      </c>
      <c r="B11447" s="2" t="str">
        <f>IFERROR(__xludf.DUMMYFUNCTION("GOOGLETRANSLATE(A11447, ""en"", ""mt"")"),"Għal xiex il-petroloġisti jużaw mikroprobi elettroniċi fil-laboratorju?")</f>
        <v>Għal xiex il-petroloġisti jużaw mikroprobi elettroniċi fil-laboratorju?</v>
      </c>
    </row>
    <row r="11448" ht="15.75" customHeight="1">
      <c r="A11448" s="2" t="s">
        <v>11448</v>
      </c>
      <c r="B11448" s="2" t="str">
        <f>IFERROR(__xludf.DUMMYFUNCTION("GOOGLETRANSLATE(A11448, ""en"", ""mt"")"),"Prince Wonjong")</f>
        <v>Prince Wonjong</v>
      </c>
    </row>
    <row r="11449" ht="15.75" customHeight="1">
      <c r="A11449" s="2" t="s">
        <v>11449</v>
      </c>
      <c r="B11449" s="2" t="str">
        <f>IFERROR(__xludf.DUMMYFUNCTION("GOOGLETRANSLATE(A11449, ""en"", ""mt"")"),"Min kien l-ewwel Huguenot li jasal fil-Kap tat-Tama Tajba?")</f>
        <v>Min kien l-ewwel Huguenot li jasal fil-Kap tat-Tama Tajba?</v>
      </c>
    </row>
    <row r="11450" ht="15.75" customHeight="1">
      <c r="A11450" s="2" t="s">
        <v>11450</v>
      </c>
      <c r="B11450" s="2" t="str">
        <f>IFERROR(__xludf.DUMMYFUNCTION("GOOGLETRANSLATE(A11450, ""en"", ""mt"")"),"X'inhu mrażżan bil-lieva fil-parti ta 'fuq ta' bojler?")</f>
        <v>X'inhu mrażżan bil-lieva fil-parti ta 'fuq ta' bojler?</v>
      </c>
    </row>
    <row r="11451" ht="15.75" customHeight="1">
      <c r="A11451" s="2" t="s">
        <v>11451</v>
      </c>
      <c r="B11451" s="2" t="str">
        <f>IFERROR(__xludf.DUMMYFUNCTION("GOOGLETRANSLATE(A11451, ""en"", ""mt"")"),"Liema grupp għandu żewġ saffi ta 'ċelloli b'saff tan-nofs ta' mesoglea?")</f>
        <v>Liema grupp għandu żewġ saffi ta 'ċelloli b'saff tan-nofs ta' mesoglea?</v>
      </c>
    </row>
    <row r="11452" ht="15.75" customHeight="1">
      <c r="A11452" s="2" t="s">
        <v>11452</v>
      </c>
      <c r="B11452" s="2" t="str">
        <f>IFERROR(__xludf.DUMMYFUNCTION("GOOGLETRANSLATE(A11452, ""en"", ""mt"")"),"Edukazzjoni mifruxa")</f>
        <v>Edukazzjoni mifruxa</v>
      </c>
    </row>
    <row r="11453" ht="15.75" customHeight="1">
      <c r="A11453" s="2" t="s">
        <v>11453</v>
      </c>
      <c r="B11453" s="2" t="str">
        <f>IFERROR(__xludf.DUMMYFUNCTION("GOOGLETRANSLATE(A11453, ""en"", ""mt"")"),"1712")</f>
        <v>1712</v>
      </c>
    </row>
    <row r="11454" ht="15.75" customHeight="1">
      <c r="A11454" s="2" t="s">
        <v>11454</v>
      </c>
      <c r="B11454" s="2" t="str">
        <f>IFERROR(__xludf.DUMMYFUNCTION("GOOGLETRANSLATE(A11454, ""en"", ""mt"")"),"Liema huwa iktar għali, formali, jew l-imperjalizmu informali?")</f>
        <v>Liema huwa iktar għali, formali, jew l-imperjalizmu informali?</v>
      </c>
    </row>
    <row r="11455" ht="15.75" customHeight="1">
      <c r="A11455" s="2" t="s">
        <v>11455</v>
      </c>
      <c r="B11455" s="2" t="str">
        <f>IFERROR(__xludf.DUMMYFUNCTION("GOOGLETRANSLATE(A11455, ""en"", ""mt"")"),"Min qal li nies involuti fis-sitwazzjoni tal-ożonu kellhom ""fehim aħjar tal-injoranza u l-inċertezzi xjentifiċi""?")</f>
        <v>Min qal li nies involuti fis-sitwazzjoni tal-ożonu kellhom "fehim aħjar tal-injoranza u l-inċertezzi xjentifiċi"?</v>
      </c>
    </row>
    <row r="11456" ht="15.75" customHeight="1">
      <c r="A11456" s="2" t="s">
        <v>11456</v>
      </c>
      <c r="B11456" s="2" t="str">
        <f>IFERROR(__xludf.DUMMYFUNCTION("GOOGLETRANSLATE(A11456, ""en"", ""mt"")"),"Liema kumpanija moderna ilha taħdem b'mod partikolari fuq magna tal-fwar billi tuża materjali moderni?")</f>
        <v>Liema kumpanija moderna ilha taħdem b'mod partikolari fuq magna tal-fwar billi tuża materjali moderni?</v>
      </c>
    </row>
    <row r="11457" ht="15.75" customHeight="1">
      <c r="A11457" s="2" t="s">
        <v>11457</v>
      </c>
      <c r="B11457" s="2" t="str">
        <f>IFERROR(__xludf.DUMMYFUNCTION("GOOGLETRANSLATE(A11457, ""en"", ""mt"")"),"Iż-żoni tal-foresta tqila huma viżibbli għall-għajn minn fejn?")</f>
        <v>Iż-żoni tal-foresta tqila huma viżibbli għall-għajn minn fejn?</v>
      </c>
    </row>
    <row r="11458" ht="15.75" customHeight="1">
      <c r="A11458" s="2" t="s">
        <v>11458</v>
      </c>
      <c r="B11458" s="2" t="str">
        <f>IFERROR(__xludf.DUMMYFUNCTION("GOOGLETRANSLATE(A11458, ""en"", ""mt"")"),"mhux neċessarjament it-tajjeb")</f>
        <v>mhux neċessarjament it-tajjeb</v>
      </c>
    </row>
    <row r="11459" ht="15.75" customHeight="1">
      <c r="A11459" s="2" t="s">
        <v>11459</v>
      </c>
      <c r="B11459" s="2" t="str">
        <f>IFERROR(__xludf.DUMMYFUNCTION("GOOGLETRANSLATE(A11459, ""en"", ""mt"")"),"Fil-Battalja ta ’Hastings")</f>
        <v>Fil-Battalja ta ’Hastings</v>
      </c>
    </row>
    <row r="11460" ht="15.75" customHeight="1">
      <c r="A11460" s="2" t="s">
        <v>11460</v>
      </c>
      <c r="B11460" s="2" t="str">
        <f>IFERROR(__xludf.DUMMYFUNCTION("GOOGLETRANSLATE(A11460, ""en"", ""mt"")"),"Xokkijiet ekonomiċi u politiċi vjolenti")</f>
        <v>Xokkijiet ekonomiċi u politiċi vjolenti</v>
      </c>
    </row>
    <row r="11461" ht="15.75" customHeight="1">
      <c r="A11461" s="2" t="s">
        <v>11461</v>
      </c>
      <c r="B11461" s="2" t="str">
        <f>IFERROR(__xludf.DUMMYFUNCTION("GOOGLETRANSLATE(A11461, ""en"", ""mt"")"),"X'jistgħu juru l-komponenti tal-matriċi dwar kif il-magma flussi?")</f>
        <v>X'jistgħu juru l-komponenti tal-matriċi dwar kif il-magma flussi?</v>
      </c>
    </row>
    <row r="11462" ht="15.75" customHeight="1">
      <c r="A11462" s="2" t="s">
        <v>11462</v>
      </c>
      <c r="B11462" s="2" t="str">
        <f>IFERROR(__xludf.DUMMYFUNCTION("GOOGLETRANSLATE(A11462, ""en"", ""mt"")")," Min ċaħad in-Nong Shu?")</f>
        <v> Min ċaħad in-Nong Shu?</v>
      </c>
    </row>
    <row r="11463" ht="15.75" customHeight="1">
      <c r="A11463" s="2" t="s">
        <v>11463</v>
      </c>
      <c r="B11463" s="2" t="str">
        <f>IFERROR(__xludf.DUMMYFUNCTION("GOOGLETRANSLATE(A11463, ""en"", ""mt"")"),"Fejn kompliet id-dinastija tal-kanzunetta tikkawża problemi għal Kublai?")</f>
        <v>Fejn kompliet id-dinastija tal-kanzunetta tikkawża problemi għal Kublai?</v>
      </c>
    </row>
    <row r="11464" ht="15.75" customHeight="1">
      <c r="A11464" s="2" t="s">
        <v>11464</v>
      </c>
      <c r="B11464" s="2" t="str">
        <f>IFERROR(__xludf.DUMMYFUNCTION("GOOGLETRANSLATE(A11464, ""en"", ""mt"")"),"pitturi")</f>
        <v>pitturi</v>
      </c>
    </row>
    <row r="11465" ht="15.75" customHeight="1">
      <c r="A11465" s="2" t="s">
        <v>11465</v>
      </c>
      <c r="B11465" s="2" t="str">
        <f>IFERROR(__xludf.DUMMYFUNCTION("GOOGLETRANSLATE(A11465, ""en"", ""mt"")"),"Jekk huma klassijiet distinti jew ugwali")</f>
        <v>Jekk huma klassijiet distinti jew ugwali</v>
      </c>
    </row>
    <row r="11466" ht="15.75" customHeight="1">
      <c r="A11466" s="2" t="s">
        <v>11466</v>
      </c>
      <c r="B11466" s="2" t="str">
        <f>IFERROR(__xludf.DUMMYFUNCTION("GOOGLETRANSLATE(A11466, ""en"", ""mt"")"),"Fuq liema spettaklu għamel Bill Aiken huwa d-debutt tat-televiżjoni?")</f>
        <v>Fuq liema spettaklu għamel Bill Aiken huwa d-debutt tat-televiżjoni?</v>
      </c>
    </row>
    <row r="11467" ht="15.75" customHeight="1">
      <c r="A11467" s="2" t="s">
        <v>11467</v>
      </c>
      <c r="B11467" s="2" t="str">
        <f>IFERROR(__xludf.DUMMYFUNCTION("GOOGLETRANSLATE(A11467, ""en"", ""mt"")"),"X'kienet imwettqa d-diżubbidjenza ċivili fis-sit tat-test?")</f>
        <v>X'kienet imwettqa d-diżubbidjenza ċivili fis-sit tat-test?</v>
      </c>
    </row>
    <row r="11468" ht="15.75" customHeight="1">
      <c r="A11468" s="2" t="s">
        <v>11468</v>
      </c>
      <c r="B11468" s="2" t="str">
        <f>IFERROR(__xludf.DUMMYFUNCTION("GOOGLETRANSLATE(A11468, ""en"", ""mt"")"),"Ir-regola informali ġeneralment tiswa inqas")</f>
        <v>Ir-regola informali ġeneralment tiswa inqas</v>
      </c>
    </row>
    <row r="11469" ht="15.75" customHeight="1">
      <c r="A11469" s="2" t="s">
        <v>11469</v>
      </c>
      <c r="B11469" s="2" t="str">
        <f>IFERROR(__xludf.DUMMYFUNCTION("GOOGLETRANSLATE(A11469, ""en"", ""mt"")"),"Il-Parlament tipikament joqgħod minn Frar sa tard?")</f>
        <v>Il-Parlament tipikament joqgħod minn Frar sa tard?</v>
      </c>
    </row>
    <row r="11470" ht="15.75" customHeight="1">
      <c r="A11470" s="2" t="s">
        <v>11470</v>
      </c>
      <c r="B11470" s="2" t="str">
        <f>IFERROR(__xludf.DUMMYFUNCTION("GOOGLETRANSLATE(A11470, ""en"", ""mt"")"),"ma jistax jinkiteb bħala prodott ta 'żewġ elementi taċ-ċirku li mhumiex unitajiet")</f>
        <v>ma jistax jinkiteb bħala prodott ta 'żewġ elementi taċ-ċirku li mhumiex unitajiet</v>
      </c>
    </row>
    <row r="11471" ht="15.75" customHeight="1">
      <c r="A11471" s="2" t="s">
        <v>11471</v>
      </c>
      <c r="B11471" s="2" t="str">
        <f>IFERROR(__xludf.DUMMYFUNCTION("GOOGLETRANSLATE(A11471, ""en"", ""mt"")"),"X'taħseb li tagħmel ix-xejra 9 +3 ta 'cilia?")</f>
        <v>X'taħseb li tagħmel ix-xejra 9 +3 ta 'cilia?</v>
      </c>
    </row>
    <row r="11472" ht="15.75" customHeight="1">
      <c r="A11472" s="2" t="s">
        <v>11472</v>
      </c>
      <c r="B11472" s="2" t="str">
        <f>IFERROR(__xludf.DUMMYFUNCTION("GOOGLETRANSLATE(A11472, ""en"", ""mt"")"),"Xlokk")</f>
        <v>Xlokk</v>
      </c>
    </row>
    <row r="11473" ht="15.75" customHeight="1">
      <c r="A11473" s="2" t="s">
        <v>11473</v>
      </c>
      <c r="B11473" s="2" t="str">
        <f>IFERROR(__xludf.DUMMYFUNCTION("GOOGLETRANSLATE(A11473, ""en"", ""mt"")"),"Kif iqabblu r-riżultati akkademiċi fl-iskejjel tal-Mudell Ċ ta 'qabel ma' skejjel oħra?")</f>
        <v>Kif iqabblu r-riżultati akkademiċi fl-iskejjel tal-Mudell Ċ ta 'qabel ma' skejjel oħra?</v>
      </c>
    </row>
    <row r="11474" ht="15.75" customHeight="1">
      <c r="A11474" s="2" t="s">
        <v>11474</v>
      </c>
      <c r="B11474" s="2" t="str">
        <f>IFERROR(__xludf.DUMMYFUNCTION("GOOGLETRANSLATE(A11474, ""en"", ""mt"")"),"X'kienet il-popolazzjoni tar-repubblika Olandiża qabel din l-emigrazzjoni?")</f>
        <v>X'kienet il-popolazzjoni tar-repubblika Olandiża qabel din l-emigrazzjoni?</v>
      </c>
    </row>
    <row r="11475" ht="15.75" customHeight="1">
      <c r="A11475" s="2" t="s">
        <v>11475</v>
      </c>
      <c r="B11475" s="2" t="str">
        <f>IFERROR(__xludf.DUMMYFUNCTION("GOOGLETRANSLATE(A11475, ""en"", ""mt"")"),"In-Netwerk tad-Dejta Qaleb Pubbliku Mħaddem mill-PTT Telecom Olandiż")</f>
        <v>In-Netwerk tad-Dejta Qaleb Pubbliku Mħaddem mill-PTT Telecom Olandiż</v>
      </c>
    </row>
    <row r="11476" ht="15.75" customHeight="1">
      <c r="A11476" s="2" t="s">
        <v>11476</v>
      </c>
      <c r="B11476" s="2" t="str">
        <f>IFERROR(__xludf.DUMMYFUNCTION("GOOGLETRANSLATE(A11476, ""en"", ""mt"")"),"X'inhi l-espressjoni użata biex tidentifika kwalunkwe serje partikolari ta 'problemi li kapaċi tissolva fiż-żmien fuq magna tat-Turing deterministika?")</f>
        <v>X'inhi l-espressjoni użata biex tidentifika kwalunkwe serje partikolari ta 'problemi li kapaċi tissolva fiż-żmien fuq magna tat-Turing deterministika?</v>
      </c>
    </row>
    <row r="11477" ht="15.75" customHeight="1">
      <c r="A11477" s="2" t="s">
        <v>11477</v>
      </c>
      <c r="B11477" s="2" t="str">
        <f>IFERROR(__xludf.DUMMYFUNCTION("GOOGLETRANSLATE(A11477, ""en"", ""mt"")"),"Min argumenta li l-USSR kienet stess saret poter imperjalista?")</f>
        <v>Min argumenta li l-USSR kienet stess saret poter imperjalista?</v>
      </c>
    </row>
    <row r="11478" ht="15.75" customHeight="1">
      <c r="A11478" s="2" t="s">
        <v>11478</v>
      </c>
      <c r="B11478" s="2" t="str">
        <f>IFERROR(__xludf.DUMMYFUNCTION("GOOGLETRANSLATE(A11478, ""en"", ""mt"")"),"Organizzazzjoni ta 'Pajjiżi Esportanti tal-Petrolju Għarab")</f>
        <v>Organizzazzjoni ta 'Pajjiżi Esportanti tal-Petrolju Għarab</v>
      </c>
    </row>
    <row r="11479" ht="15.75" customHeight="1">
      <c r="A11479" s="2" t="s">
        <v>11479</v>
      </c>
      <c r="B11479" s="2" t="str">
        <f>IFERROR(__xludf.DUMMYFUNCTION("GOOGLETRANSLATE(A11479, ""en"", ""mt"")"),"trade unions, banek, u universitajiet privati")</f>
        <v>trade unions, banek, u universitajiet privati</v>
      </c>
    </row>
    <row r="11480" ht="15.75" customHeight="1">
      <c r="A11480" s="2" t="s">
        <v>11480</v>
      </c>
      <c r="B11480" s="2" t="str">
        <f>IFERROR(__xludf.DUMMYFUNCTION("GOOGLETRANSLATE(A11480, ""en"", ""mt"")"),"Miasto Stołeczne Warszawa")</f>
        <v>Miasto Stołeczne Warszawa</v>
      </c>
    </row>
    <row r="11481" ht="15.75" customHeight="1">
      <c r="A11481" s="2" t="s">
        <v>11481</v>
      </c>
      <c r="B11481" s="2" t="str">
        <f>IFERROR(__xludf.DUMMYFUNCTION("GOOGLETRANSLATE(A11481, ""en"", ""mt"")"),"Assent Royal")</f>
        <v>Assent Royal</v>
      </c>
    </row>
    <row r="11482" ht="15.75" customHeight="1">
      <c r="A11482" s="2" t="s">
        <v>11482</v>
      </c>
      <c r="B11482" s="2" t="str">
        <f>IFERROR(__xludf.DUMMYFUNCTION("GOOGLETRANSLATE(A11482, ""en"", ""mt"")"),"X’jibdu l-Franċiżi ftit qabel ma jitilfu Florida?")</f>
        <v>X’jibdu l-Franċiżi ftit qabel ma jitilfu Florida?</v>
      </c>
    </row>
    <row r="11483" ht="15.75" customHeight="1">
      <c r="A11483" s="2" t="s">
        <v>11483</v>
      </c>
      <c r="B11483" s="2" t="str">
        <f>IFERROR(__xludf.DUMMYFUNCTION("GOOGLETRANSLATE(A11483, ""en"", ""mt"")")," Meta l-aħħar l-iktar Marxisti jitolbu l-imperjalizmu bħala estensjoni tal-kapitaliżmu għandu l-għeruq tiegħu")</f>
        <v> Meta l-aħħar l-iktar Marxisti jitolbu l-imperjalizmu bħala estensjoni tal-kapitaliżmu għandu l-għeruq tiegħu</v>
      </c>
    </row>
    <row r="11484" ht="15.75" customHeight="1">
      <c r="A11484" s="2" t="s">
        <v>11484</v>
      </c>
      <c r="B11484" s="2" t="str">
        <f>IFERROR(__xludf.DUMMYFUNCTION("GOOGLETRANSLATE(A11484, ""en"", ""mt"")"),"L-iskoperta tal-gass fil-Baħar tat-Tramuntana rriżultat f'liema?")</f>
        <v>L-iskoperta tal-gass fil-Baħar tat-Tramuntana rriżultat f'liema?</v>
      </c>
    </row>
    <row r="11485" ht="15.75" customHeight="1">
      <c r="A11485" s="2" t="s">
        <v>11485</v>
      </c>
      <c r="B11485" s="2" t="str">
        <f>IFERROR(__xludf.DUMMYFUNCTION("GOOGLETRANSLATE(A11485, ""en"", ""mt"")"),"ir-rieda tal-politiċi elite")</f>
        <v>ir-rieda tal-politiċi elite</v>
      </c>
    </row>
    <row r="11486" ht="15.75" customHeight="1">
      <c r="A11486" s="2" t="s">
        <v>11486</v>
      </c>
      <c r="B11486" s="2" t="str">
        <f>IFERROR(__xludf.DUMMYFUNCTION("GOOGLETRANSLATE(A11486, ""en"", ""mt"")"),"Ir-Rebbiegħa tal-1329")</f>
        <v>Ir-Rebbiegħa tal-1329</v>
      </c>
    </row>
    <row r="11487" ht="15.75" customHeight="1">
      <c r="A11487" s="2" t="s">
        <v>11487</v>
      </c>
      <c r="B11487" s="2" t="str">
        <f>IFERROR(__xludf.DUMMYFUNCTION("GOOGLETRANSLATE(A11487, ""en"", ""mt"")"),"Bejn is-snin 1960 u 1990")</f>
        <v>Bejn is-snin 1960 u 1990</v>
      </c>
    </row>
    <row r="11488" ht="15.75" customHeight="1">
      <c r="A11488" s="2" t="s">
        <v>11488</v>
      </c>
      <c r="B11488" s="2" t="str">
        <f>IFERROR(__xludf.DUMMYFUNCTION("GOOGLETRANSLATE(A11488, ""en"", ""mt"")"),"It-Tapizzerija ta 'Bayeux")</f>
        <v>It-Tapizzerija ta 'Bayeux</v>
      </c>
    </row>
    <row r="11489" ht="15.75" customHeight="1">
      <c r="A11489" s="2" t="s">
        <v>11489</v>
      </c>
      <c r="B11489" s="2" t="str">
        <f>IFERROR(__xludf.DUMMYFUNCTION("GOOGLETRANSLATE(A11489, ""en"", ""mt"")"),"X’kontribwixxa għall-inugwaljanza mnaqqsa bejn ħaddiema mħarrġa u mhux imħarrġa?")</f>
        <v>X’kontribwixxa għall-inugwaljanza mnaqqsa bejn ħaddiema mħarrġa u mhux imħarrġa?</v>
      </c>
    </row>
    <row r="11490" ht="15.75" customHeight="1">
      <c r="A11490" s="2" t="s">
        <v>11490</v>
      </c>
      <c r="B11490" s="2" t="str">
        <f>IFERROR(__xludf.DUMMYFUNCTION("GOOGLETRANSLATE(A11490, ""en"", ""mt"")"),"X'inhi problema importanti solvuta fit-teorija tal-kumplessità?")</f>
        <v>X'inhi problema importanti solvuta fit-teorija tal-kumplessità?</v>
      </c>
    </row>
    <row r="11491" ht="15.75" customHeight="1">
      <c r="A11491" s="2" t="s">
        <v>11491</v>
      </c>
      <c r="B11491" s="2" t="str">
        <f>IFERROR(__xludf.DUMMYFUNCTION("GOOGLETRANSLATE(A11491, ""en"", ""mt"")"),"Liema proċess tal-ħajja jipproduċi ossiġnu fil-preżenza tad-dawl?")</f>
        <v>Liema proċess tal-ħajja jipproduċi ossiġnu fil-preżenza tad-dawl?</v>
      </c>
    </row>
    <row r="11492" ht="15.75" customHeight="1">
      <c r="A11492" s="2" t="s">
        <v>11492</v>
      </c>
      <c r="B11492" s="2" t="str">
        <f>IFERROR(__xludf.DUMMYFUNCTION("GOOGLETRANSLATE(A11492, ""en"", ""mt"")"),"""Apologie""")</f>
        <v>"Apologie"</v>
      </c>
    </row>
    <row r="11493" ht="15.75" customHeight="1">
      <c r="A11493" s="2" t="s">
        <v>11493</v>
      </c>
      <c r="B11493" s="2" t="str">
        <f>IFERROR(__xludf.DUMMYFUNCTION("GOOGLETRANSLATE(A11493, ""en"", ""mt"")"),"Biex ""tiżgura li fl-interpretazzjoni u l-applikazzjoni tat-trattati tkun osservata l-liġi""")</f>
        <v>Biex "tiżgura li fl-interpretazzjoni u l-applikazzjoni tat-trattati tkun osservata l-liġi"</v>
      </c>
    </row>
    <row r="11494" ht="15.75" customHeight="1">
      <c r="A11494" s="2" t="s">
        <v>11494</v>
      </c>
      <c r="B11494" s="2" t="str">
        <f>IFERROR(__xludf.DUMMYFUNCTION("GOOGLETRANSLATE(A11494, ""en"", ""mt"")"),"Id-domanda għal akkomodazzjoni ta 'kwalità ogħla żdiedet")</f>
        <v>Id-domanda għal akkomodazzjoni ta 'kwalità ogħla żdiedet</v>
      </c>
    </row>
    <row r="11495" ht="15.75" customHeight="1">
      <c r="A11495" s="2" t="s">
        <v>11495</v>
      </c>
      <c r="B11495" s="2" t="str">
        <f>IFERROR(__xludf.DUMMYFUNCTION("GOOGLETRANSLATE(A11495, ""en"", ""mt"")"),"Fejn baqa 'l-inqas Huguenots?")</f>
        <v>Fejn baqa 'l-inqas Huguenots?</v>
      </c>
    </row>
    <row r="11496" ht="15.75" customHeight="1">
      <c r="A11496" s="2" t="s">
        <v>11496</v>
      </c>
      <c r="B11496" s="2" t="str">
        <f>IFERROR(__xludf.DUMMYFUNCTION("GOOGLETRANSLATE(A11496, ""en"", ""mt"")"),"Henry Ives Cobb")</f>
        <v>Henry Ives Cobb</v>
      </c>
    </row>
    <row r="11497" ht="15.75" customHeight="1">
      <c r="A11497" s="2" t="s">
        <v>11497</v>
      </c>
      <c r="B11497" s="2" t="str">
        <f>IFERROR(__xludf.DUMMYFUNCTION("GOOGLETRANSLATE(A11497, ""en"", ""mt"")"),"sa 800 CE")</f>
        <v>sa 800 CE</v>
      </c>
    </row>
    <row r="11498" ht="15.75" customHeight="1">
      <c r="A11498" s="2" t="s">
        <v>11498</v>
      </c>
      <c r="B11498" s="2" t="str">
        <f>IFERROR(__xludf.DUMMYFUNCTION("GOOGLETRANSLATE(A11498, ""en"", ""mt"")"),"Liema monarkija protetti t-truppi tal-Punent?")</f>
        <v>Liema monarkija protetti t-truppi tal-Punent?</v>
      </c>
    </row>
    <row r="11499" ht="15.75" customHeight="1">
      <c r="A11499" s="2" t="s">
        <v>11499</v>
      </c>
      <c r="B11499" s="2" t="str">
        <f>IFERROR(__xludf.DUMMYFUNCTION("GOOGLETRANSLATE(A11499, ""en"", ""mt"")"),"Liema kronoloġija hija l-iktar preċiża?")</f>
        <v>Liema kronoloġija hija l-iktar preċiża?</v>
      </c>
    </row>
    <row r="11500" ht="15.75" customHeight="1">
      <c r="A11500" s="2" t="s">
        <v>11500</v>
      </c>
      <c r="B11500" s="2" t="str">
        <f>IFERROR(__xludf.DUMMYFUNCTION("GOOGLETRANSLATE(A11500, ""en"", ""mt"")"),"Kif huwa spjegat il-bond kovalenti tad-dijossiġnu?")</f>
        <v>Kif huwa spjegat il-bond kovalenti tad-dijossiġnu?</v>
      </c>
    </row>
    <row r="11501" ht="15.75" customHeight="1">
      <c r="A11501" s="2" t="s">
        <v>11501</v>
      </c>
      <c r="B11501" s="2" t="str">
        <f>IFERROR(__xludf.DUMMYFUNCTION("GOOGLETRANSLATE(A11501, ""en"", ""mt"")"),"Kontra min żdiedu l-camisards biex jiġġieldu?")</f>
        <v>Kontra min żdiedu l-camisards biex jiġġieldu?</v>
      </c>
    </row>
    <row r="11502" ht="15.75" customHeight="1">
      <c r="A11502" s="2" t="s">
        <v>11502</v>
      </c>
      <c r="B11502" s="2" t="str">
        <f>IFERROR(__xludf.DUMMYFUNCTION("GOOGLETRANSLATE(A11502, ""en"", ""mt"")"),"trattament ħażin minn uffiċjali tal-gvern")</f>
        <v>trattament ħażin minn uffiċjali tal-gvern</v>
      </c>
    </row>
    <row r="11503" ht="15.75" customHeight="1">
      <c r="A11503" s="2" t="s">
        <v>11503</v>
      </c>
      <c r="B11503" s="2" t="str">
        <f>IFERROR(__xludf.DUMMYFUNCTION("GOOGLETRANSLATE(A11503, ""en"", ""mt"")"),"Fejn ċempel il-ġdid Brittaniku d-dar?")</f>
        <v>Fejn ċempel il-ġdid Brittaniku d-dar?</v>
      </c>
    </row>
    <row r="11504" ht="15.75" customHeight="1">
      <c r="A11504" s="2" t="s">
        <v>11504</v>
      </c>
      <c r="B11504" s="2" t="str">
        <f>IFERROR(__xludf.DUMMYFUNCTION("GOOGLETRANSLATE(A11504, ""en"", ""mt"")"),"F'liema sena nfirxet il-mewt l-Iswed fl-Islanda?")</f>
        <v>F'liema sena nfirxet il-mewt l-Iswed fl-Islanda?</v>
      </c>
    </row>
    <row r="11505" ht="15.75" customHeight="1">
      <c r="A11505" s="2" t="s">
        <v>11505</v>
      </c>
      <c r="B11505" s="2" t="str">
        <f>IFERROR(__xludf.DUMMYFUNCTION("GOOGLETRANSLATE(A11505, ""en"", ""mt"")"),"X'hemm bejn l-Iżlazzina Fundamentalista u l-Iżlamiżmu Riformist?")</f>
        <v>X'hemm bejn l-Iżlazzina Fundamentalista u l-Iżlamiżmu Riformist?</v>
      </c>
    </row>
    <row r="11506" ht="15.75" customHeight="1">
      <c r="A11506" s="2" t="s">
        <v>11506</v>
      </c>
      <c r="B11506" s="2" t="str">
        <f>IFERROR(__xludf.DUMMYFUNCTION("GOOGLETRANSLATE(A11506, ""en"", ""mt"")")," X'ħeġġeġ il-Karta tal-Ħamas kompromess?")</f>
        <v> X'ħeġġeġ il-Karta tal-Ħamas kompromess?</v>
      </c>
    </row>
    <row r="11507" ht="15.75" customHeight="1">
      <c r="A11507" s="2" t="s">
        <v>11507</v>
      </c>
      <c r="B11507" s="2" t="str">
        <f>IFERROR(__xludf.DUMMYFUNCTION("GOOGLETRANSLATE(A11507, ""en"", ""mt"")"),"L-Iskema ta 'Kontraenti tas-Servizz ta' l-Edukazzjoni tal-Gvern tipprovdi għajnuna finanzjarja għat-tagħlim u miżati oħra ta 'studenti tbiegħdu mill-iskejjel għolja pubbliċi minħabba tfur ta' l-iskrizzjoni. Is-suppliment tat-tariffa tat-tagħlim huwa mmira"&amp;"t għal studenti rreġistrati f'korsijiet ta 'prijorità fi programmi post-sekondarji u mhux tal-grad, inklużi korsijiet vokazzjonali u tekniċi. L-assistenza finanzjarja tal-istudenti tal-edukazzjoni privata hija disponibbli għal gradwati mhux privileġġjati,"&amp;" iżda li jistħoqqilhom l-iskola sekondarja, li jixtiequ jsegwu l-edukazzjoni tal-kulleġġ / teknika f'kulleġġi privati ​​u universitajiet.")</f>
        <v>L-Iskema ta 'Kontraenti tas-Servizz ta' l-Edukazzjoni tal-Gvern tipprovdi għajnuna finanzjarja għat-tagħlim u miżati oħra ta 'studenti tbiegħdu mill-iskejjel għolja pubbliċi minħabba tfur ta' l-iskrizzjoni. Is-suppliment tat-tariffa tat-tagħlim huwa mmirat għal studenti rreġistrati f'korsijiet ta 'prijorità fi programmi post-sekondarji u mhux tal-grad, inklużi korsijiet vokazzjonali u tekniċi. L-assistenza finanzjarja tal-istudenti tal-edukazzjoni privata hija disponibbli għal gradwati mhux privileġġjati, iżda li jistħoqqilhom l-iskola sekondarja, li jixtiequ jsegwu l-edukazzjoni tal-kulleġġ / teknika f'kulleġġi privati ​​u universitajiet.</v>
      </c>
    </row>
    <row r="11508" ht="15.75" customHeight="1">
      <c r="A11508" s="2" t="s">
        <v>11508</v>
      </c>
      <c r="B11508" s="2" t="str">
        <f>IFERROR(__xludf.DUMMYFUNCTION("GOOGLETRANSLATE(A11508, ""en"", ""mt"")"),"Taxxa progressiva")</f>
        <v>Taxxa progressiva</v>
      </c>
    </row>
    <row r="11509" ht="15.75" customHeight="1">
      <c r="A11509" s="2" t="s">
        <v>11509</v>
      </c>
      <c r="B11509" s="2" t="str">
        <f>IFERROR(__xludf.DUMMYFUNCTION("GOOGLETRANSLATE(A11509, ""en"", ""mt"")"),"1262")</f>
        <v>1262</v>
      </c>
    </row>
    <row r="11510" ht="15.75" customHeight="1">
      <c r="A11510" s="2" t="s">
        <v>11510</v>
      </c>
      <c r="B11510" s="2" t="str">
        <f>IFERROR(__xludf.DUMMYFUNCTION("GOOGLETRANSLATE(A11510, ""en"", ""mt"")"),"Mount Bogong")</f>
        <v>Mount Bogong</v>
      </c>
    </row>
    <row r="11511" ht="15.75" customHeight="1">
      <c r="A11511" s="2" t="s">
        <v>11511</v>
      </c>
      <c r="B11511" s="2" t="str">
        <f>IFERROR(__xludf.DUMMYFUNCTION("GOOGLETRANSLATE(A11511, ""en"", ""mt"")"),"Lamprey u Hagfish")</f>
        <v>Lamprey u Hagfish</v>
      </c>
    </row>
    <row r="11512" ht="15.75" customHeight="1">
      <c r="A11512" s="2" t="s">
        <v>11512</v>
      </c>
      <c r="B11512" s="2" t="str">
        <f>IFERROR(__xludf.DUMMYFUNCTION("GOOGLETRANSLATE(A11512, ""en"", ""mt"")"),"Fejn kienu l-ewwel Koori stabbiliti li jinsabu fl-Awstralja?")</f>
        <v>Fejn kienu l-ewwel Koori stabbiliti li jinsabu fl-Awstralja?</v>
      </c>
    </row>
    <row r="11513" ht="15.75" customHeight="1">
      <c r="A11513" s="2" t="s">
        <v>11513</v>
      </c>
      <c r="B11513" s="2" t="str">
        <f>IFERROR(__xludf.DUMMYFUNCTION("GOOGLETRANSLATE(A11513, ""en"", ""mt"")"),"theddida tal-gwerra")</f>
        <v>theddida tal-gwerra</v>
      </c>
    </row>
    <row r="11514" ht="15.75" customHeight="1">
      <c r="A11514" s="2" t="s">
        <v>11514</v>
      </c>
      <c r="B11514" s="2" t="str">
        <f>IFERROR(__xludf.DUMMYFUNCTION("GOOGLETRANSLATE(A11514, ""en"", ""mt"")"),"Għaliex Oxfam u Credit Suisse jemmnu li s-sejbiet tagħhom qed jiġu aċċettati?")</f>
        <v>Għaliex Oxfam u Credit Suisse jemmnu li s-sejbiet tagħhom qed jiġu aċċettati?</v>
      </c>
    </row>
    <row r="11515" ht="15.75" customHeight="1">
      <c r="A11515" s="2" t="s">
        <v>11515</v>
      </c>
      <c r="B11515" s="2" t="str">
        <f>IFERROR(__xludf.DUMMYFUNCTION("GOOGLETRANSLATE(A11515, ""en"", ""mt"")"),"Sistema ta ’Kontrolli u Bilanċi tal-Istati Uniti u ta’ ħafna gvernijiet oħra")</f>
        <v>Sistema ta ’Kontrolli u Bilanċi tal-Istati Uniti u ta’ ħafna gvernijiet oħra</v>
      </c>
    </row>
    <row r="11516" ht="15.75" customHeight="1">
      <c r="A11516" s="2" t="s">
        <v>11516</v>
      </c>
      <c r="B11516" s="2" t="str">
        <f>IFERROR(__xludf.DUMMYFUNCTION("GOOGLETRANSLATE(A11516, ""en"", ""mt"")"),"Terminal dial-up")</f>
        <v>Terminal dial-up</v>
      </c>
    </row>
    <row r="11517" ht="15.75" customHeight="1">
      <c r="A11517" s="2" t="s">
        <v>11517</v>
      </c>
      <c r="B11517" s="2" t="str">
        <f>IFERROR(__xludf.DUMMYFUNCTION("GOOGLETRANSLATE(A11517, ""en"", ""mt"")"),"X'inhi settiċemija?")</f>
        <v>X'inhi settiċemija?</v>
      </c>
    </row>
    <row r="11518" ht="15.75" customHeight="1">
      <c r="A11518" s="2" t="s">
        <v>11518</v>
      </c>
      <c r="B11518" s="2" t="str">
        <f>IFERROR(__xludf.DUMMYFUNCTION("GOOGLETRANSLATE(A11518, ""en"", ""mt"")"),"Liema entità ma tinforzax il-karta tad-drittijiet fundamentali tal-Unjoni Ewropea?")</f>
        <v>Liema entità ma tinforzax il-karta tad-drittijiet fundamentali tal-Unjoni Ewropea?</v>
      </c>
    </row>
    <row r="11519" ht="15.75" customHeight="1">
      <c r="A11519" s="2" t="s">
        <v>11519</v>
      </c>
      <c r="B11519" s="2" t="str">
        <f>IFERROR(__xludf.DUMMYFUNCTION("GOOGLETRANSLATE(A11519, ""en"", ""mt"")"),"Netwerk tal-Fondazzjoni Nazzjonali tax-Xjenza")</f>
        <v>Netwerk tal-Fondazzjoni Nazzjonali tax-Xjenza</v>
      </c>
    </row>
    <row r="11520" ht="15.75" customHeight="1">
      <c r="A11520" s="2" t="s">
        <v>11520</v>
      </c>
      <c r="B11520" s="2" t="str">
        <f>IFERROR(__xludf.DUMMYFUNCTION("GOOGLETRANSLATE(A11520, ""en"", ""mt"")"),"X'impjieg ikbar fuq l-ekonomija ta 'l-Istati Uniti aktar mill-kummerċ?")</f>
        <v>X'impjieg ikbar fuq l-ekonomija ta 'l-Istati Uniti aktar mill-kummerċ?</v>
      </c>
    </row>
    <row r="11521" ht="15.75" customHeight="1">
      <c r="A11521" s="2" t="s">
        <v>11521</v>
      </c>
      <c r="B11521" s="2" t="str">
        <f>IFERROR(__xludf.DUMMYFUNCTION("GOOGLETRANSLATE(A11521, ""en"", ""mt"")"),"Iċ-ċelloli T qattiel jistgħu jirrikonoxxu biss antiġeni akkoppjati ma 'x'tip ta' molekuli?")</f>
        <v>Iċ-ċelloli T qattiel jistgħu jirrikonoxxu biss antiġeni akkoppjati ma 'x'tip ta' molekuli?</v>
      </c>
    </row>
    <row r="11522" ht="15.75" customHeight="1">
      <c r="A11522" s="2" t="s">
        <v>11522</v>
      </c>
      <c r="B11522" s="2" t="str">
        <f>IFERROR(__xludf.DUMMYFUNCTION("GOOGLETRANSLATE(A11522, ""en"", ""mt"")"),"gwida u intervent")</f>
        <v>gwida u intervent</v>
      </c>
    </row>
    <row r="11523" ht="15.75" customHeight="1">
      <c r="A11523" s="2" t="s">
        <v>11523</v>
      </c>
      <c r="B11523" s="2" t="str">
        <f>IFERROR(__xludf.DUMMYFUNCTION("GOOGLETRANSLATE(A11523, ""en"", ""mt"")"),"Kompromess tal-1850")</f>
        <v>Kompromess tal-1850</v>
      </c>
    </row>
    <row r="11524" ht="15.75" customHeight="1">
      <c r="A11524" s="2" t="s">
        <v>11524</v>
      </c>
      <c r="B11524" s="2" t="str">
        <f>IFERROR(__xludf.DUMMYFUNCTION("GOOGLETRANSLATE(A11524, ""en"", ""mt"")"),"Kemm l-art għamlet il-Mulej ta ’Pelham Manor, John Pell. proprju b'kollox fl-Amerika ta 'Fuq?")</f>
        <v>Kemm l-art għamlet il-Mulej ta ’Pelham Manor, John Pell. proprju b'kollox fl-Amerika ta 'Fuq?</v>
      </c>
    </row>
    <row r="11525" ht="15.75" customHeight="1">
      <c r="A11525" s="2" t="s">
        <v>11525</v>
      </c>
      <c r="B11525" s="2" t="str">
        <f>IFERROR(__xludf.DUMMYFUNCTION("GOOGLETRANSLATE(A11525, ""en"", ""mt"")"),"Il-Pannerdens Kanaal")</f>
        <v>Il-Pannerdens Kanaal</v>
      </c>
    </row>
    <row r="11526" ht="15.75" customHeight="1">
      <c r="A11526" s="2" t="s">
        <v>11526</v>
      </c>
      <c r="B11526" s="2" t="str">
        <f>IFERROR(__xludf.DUMMYFUNCTION("GOOGLETRANSLATE(A11526, ""en"", ""mt"")"),"Meta kien maħtur Isiah Bowman għall-inkjesta tal-President Wilson?")</f>
        <v>Meta kien maħtur Isiah Bowman għall-inkjesta tal-President Wilson?</v>
      </c>
    </row>
    <row r="11527" ht="15.75" customHeight="1">
      <c r="A11527" s="2" t="s">
        <v>11527</v>
      </c>
      <c r="B11527" s="2" t="str">
        <f>IFERROR(__xludf.DUMMYFUNCTION("GOOGLETRANSLATE(A11527, ""en"", ""mt"")"),"Iż-żewġ naħat jirtiraw mill-grawnd")</f>
        <v>Iż-żewġ naħat jirtiraw mill-grawnd</v>
      </c>
    </row>
    <row r="11528" ht="15.75" customHeight="1">
      <c r="A11528" s="2" t="s">
        <v>11528</v>
      </c>
      <c r="B11528" s="2" t="str">
        <f>IFERROR(__xludf.DUMMYFUNCTION("GOOGLETRANSLATE(A11528, ""en"", ""mt"")"),"X'inhu dak li jipproduċi l-livelli għoljin ta 'ossiġnu fid-Dinja?")</f>
        <v>X'inhu dak li jipproduċi l-livelli għoljin ta 'ossiġnu fid-Dinja?</v>
      </c>
    </row>
    <row r="11529" ht="15.75" customHeight="1">
      <c r="A11529" s="2" t="s">
        <v>11529</v>
      </c>
      <c r="B11529" s="2" t="str">
        <f>IFERROR(__xludf.DUMMYFUNCTION("GOOGLETRANSLATE(A11529, ""en"", ""mt"")"),"X'inhu jinsab fis-sit tad-Dar tal-Insiġ bħalissa?")</f>
        <v>X'inhu jinsab fis-sit tad-Dar tal-Insiġ bħalissa?</v>
      </c>
    </row>
    <row r="11530" ht="15.75" customHeight="1">
      <c r="A11530" s="2" t="s">
        <v>11530</v>
      </c>
      <c r="B11530" s="2" t="str">
        <f>IFERROR(__xludf.DUMMYFUNCTION("GOOGLETRANSLATE(A11530, ""en"", ""mt"")"),"Servizz tan-netwerk tas-sinsla b'veloċità għolja ħafna")</f>
        <v>Servizz tan-netwerk tas-sinsla b'veloċità għolja ħafna</v>
      </c>
    </row>
    <row r="11531" ht="15.75" customHeight="1">
      <c r="A11531" s="2" t="s">
        <v>11531</v>
      </c>
      <c r="B11531" s="2" t="str">
        <f>IFERROR(__xludf.DUMMYFUNCTION("GOOGLETRANSLATE(A11531, ""en"", ""mt"")"),"Celeron kif kien imexxi l-laqgħa ma 'New Bricton?")</f>
        <v>Celeron kif kien imexxi l-laqgħa ma 'New Bricton?</v>
      </c>
    </row>
    <row r="11532" ht="15.75" customHeight="1">
      <c r="A11532" s="2" t="s">
        <v>11532</v>
      </c>
      <c r="B11532" s="2" t="str">
        <f>IFERROR(__xludf.DUMMYFUNCTION("GOOGLETRANSLATE(A11532, ""en"", ""mt"")"),"il-proċess ta 'pajjiż li jieħu l-kontroll fiżiku ta' ieħor")</f>
        <v>il-proċess ta 'pajjiż li jieħu l-kontroll fiżiku ta' ieħor</v>
      </c>
    </row>
    <row r="11533" ht="15.75" customHeight="1">
      <c r="A11533" s="2" t="s">
        <v>11533</v>
      </c>
      <c r="B11533" s="2" t="str">
        <f>IFERROR(__xludf.DUMMYFUNCTION("GOOGLETRANSLATE(A11533, ""en"", ""mt"")"),"X.25 juża liema tip ta 'netwerk tat-tip")</f>
        <v>X.25 juża liema tip ta 'netwerk tat-tip</v>
      </c>
    </row>
    <row r="11534" ht="15.75" customHeight="1">
      <c r="A11534" s="2" t="s">
        <v>11534</v>
      </c>
      <c r="B11534" s="2" t="str">
        <f>IFERROR(__xludf.DUMMYFUNCTION("GOOGLETRANSLATE(A11534, ""en"", ""mt"")"),"Moviment tad-Drittijiet Ċivili")</f>
        <v>Moviment tad-Drittijiet Ċivili</v>
      </c>
    </row>
    <row r="11535" ht="15.75" customHeight="1">
      <c r="A11535" s="2" t="s">
        <v>11535</v>
      </c>
      <c r="B11535" s="2" t="str">
        <f>IFERROR(__xludf.DUMMYFUNCTION("GOOGLETRANSLATE(A11535, ""en"", ""mt"")"),"diverġenza")</f>
        <v>diverġenza</v>
      </c>
    </row>
    <row r="11536" ht="15.75" customHeight="1">
      <c r="A11536" s="2" t="s">
        <v>11536</v>
      </c>
      <c r="B11536" s="2" t="str">
        <f>IFERROR(__xludf.DUMMYFUNCTION("GOOGLETRANSLATE(A11536, ""en"", ""mt"")"),"UV")</f>
        <v>UV</v>
      </c>
    </row>
    <row r="11537" ht="15.75" customHeight="1">
      <c r="A11537" s="2" t="s">
        <v>11537</v>
      </c>
      <c r="B11537" s="2" t="str">
        <f>IFERROR(__xludf.DUMMYFUNCTION("GOOGLETRANSLATE(A11537, ""en"", ""mt"")"),"Kif jissejħu komunement Cnidarians?")</f>
        <v>Kif jissejħu komunement Cnidarians?</v>
      </c>
    </row>
    <row r="11538" ht="15.75" customHeight="1">
      <c r="A11538" s="2" t="s">
        <v>11538</v>
      </c>
      <c r="B11538" s="2" t="str">
        <f>IFERROR(__xludf.DUMMYFUNCTION("GOOGLETRANSLATE(A11538, ""en"", ""mt"")"),"Henry Cavendish")</f>
        <v>Henry Cavendish</v>
      </c>
    </row>
    <row r="11539" ht="15.75" customHeight="1">
      <c r="A11539" s="2" t="s">
        <v>11539</v>
      </c>
      <c r="B11539" s="2" t="str">
        <f>IFERROR(__xludf.DUMMYFUNCTION("GOOGLETRANSLATE(A11539, ""en"", ""mt"")"),"X'kienu l-professjonijiet ta 'Pierre Raoul Pictet?")</f>
        <v>X'kienu l-professjonijiet ta 'Pierre Raoul Pictet?</v>
      </c>
    </row>
    <row r="11540" ht="15.75" customHeight="1">
      <c r="A11540" s="2" t="s">
        <v>11540</v>
      </c>
      <c r="B11540" s="2" t="str">
        <f>IFERROR(__xludf.DUMMYFUNCTION("GOOGLETRANSLATE(A11540, ""en"", ""mt"")"),"Għajnuna Amerikana lill-Iżrael")</f>
        <v>Għajnuna Amerikana lill-Iżrael</v>
      </c>
    </row>
    <row r="11541" ht="15.75" customHeight="1">
      <c r="A11541" s="2" t="s">
        <v>11541</v>
      </c>
      <c r="B11541" s="2" t="str">
        <f>IFERROR(__xludf.DUMMYFUNCTION("GOOGLETRANSLATE(A11541, ""en"", ""mt"")"),"Liema persentaġġ ta 'studenti ta' New Zealand attendew skejjel privati ​​f'April 2014?")</f>
        <v>Liema persentaġġ ta 'studenti ta' New Zealand attendew skejjel privati ​​f'April 2014?</v>
      </c>
    </row>
    <row r="11542" ht="15.75" customHeight="1">
      <c r="A11542" s="2" t="s">
        <v>11542</v>
      </c>
      <c r="B11542" s="2" t="str">
        <f>IFERROR(__xludf.DUMMYFUNCTION("GOOGLETRANSLATE(A11542, ""en"", ""mt"")"),"F'liema sena twaqqfet Cambridge?")</f>
        <v>F'liema sena twaqqfet Cambridge?</v>
      </c>
    </row>
    <row r="11543" ht="15.75" customHeight="1">
      <c r="A11543" s="2" t="s">
        <v>11543</v>
      </c>
      <c r="B11543" s="2" t="str">
        <f>IFERROR(__xludf.DUMMYFUNCTION("GOOGLETRANSLATE(A11543, ""en"", ""mt"")"),"Liema dinastiji ispiraw l-elementi Ġappuniżi tal-gvern ta 'Kublai?")</f>
        <v>Liema dinastiji ispiraw l-elementi Ġappuniżi tal-gvern ta 'Kublai?</v>
      </c>
    </row>
    <row r="11544" ht="15.75" customHeight="1">
      <c r="A11544" s="2" t="s">
        <v>11544</v>
      </c>
      <c r="B11544" s="2" t="str">
        <f>IFERROR(__xludf.DUMMYFUNCTION("GOOGLETRANSLATE(A11544, ""en"", ""mt"")"),"X'inhu l-ammont minimu, jekk hemm, ta 'dejta biex tifforma pakkett?")</f>
        <v>X'inhu l-ammont minimu, jekk hemm, ta 'dejta biex tifforma pakkett?</v>
      </c>
    </row>
    <row r="11545" ht="15.75" customHeight="1">
      <c r="A11545" s="2" t="s">
        <v>11545</v>
      </c>
      <c r="B11545" s="2" t="str">
        <f>IFERROR(__xludf.DUMMYFUNCTION("GOOGLETRANSLATE(A11545, ""en"", ""mt"")"),"X'kienet it-tmiem tal-gwerra tas-suċċessjoni Awstraljana?")</f>
        <v>X'kienet it-tmiem tal-gwerra tas-suċċessjoni Awstraljana?</v>
      </c>
    </row>
    <row r="11546" ht="15.75" customHeight="1">
      <c r="A11546" s="2" t="s">
        <v>11546</v>
      </c>
      <c r="B11546" s="2" t="str">
        <f>IFERROR(__xludf.DUMMYFUNCTION("GOOGLETRANSLATE(A11546, ""en"", ""mt"")"),"Prinċipji ta 'Allokazzjoni minn qabel tal-bandwidth tan-netwerk")</f>
        <v>Prinċipji ta 'Allokazzjoni minn qabel tal-bandwidth tan-netwerk</v>
      </c>
    </row>
    <row r="11547" ht="15.75" customHeight="1">
      <c r="A11547" s="2" t="s">
        <v>11547</v>
      </c>
      <c r="B11547" s="2" t="str">
        <f>IFERROR(__xludf.DUMMYFUNCTION("GOOGLETRANSLATE(A11547, ""en"", ""mt"")"),"Waħda mill-ewwel produzzjoni ta 'links IP OC-48C (2.5 GBIT / S)")</f>
        <v>Waħda mill-ewwel produzzjoni ta 'links IP OC-48C (2.5 GBIT / S)</v>
      </c>
    </row>
    <row r="11548" ht="15.75" customHeight="1">
      <c r="A11548" s="2" t="s">
        <v>11548</v>
      </c>
      <c r="B11548" s="2" t="str">
        <f>IFERROR(__xludf.DUMMYFUNCTION("GOOGLETRANSLATE(A11548, ""en"", ""mt"")"),"Temm is-sistema Iżlamika vera")</f>
        <v>Temm is-sistema Iżlamika vera</v>
      </c>
    </row>
    <row r="11549" ht="15.75" customHeight="1">
      <c r="A11549" s="2" t="s">
        <v>11549</v>
      </c>
      <c r="B11549" s="2" t="str">
        <f>IFERROR(__xludf.DUMMYFUNCTION("GOOGLETRANSLATE(A11549, ""en"", ""mt"")"),"Il-flussi iżgħar jintużaw għal xiex?")</f>
        <v>Il-flussi iżgħar jintużaw għal xiex?</v>
      </c>
    </row>
    <row r="11550" ht="15.75" customHeight="1">
      <c r="A11550" s="2" t="s">
        <v>11550</v>
      </c>
      <c r="B11550" s="2" t="str">
        <f>IFERROR(__xludf.DUMMYFUNCTION("GOOGLETRANSLATE(A11550, ""en"", ""mt"")"),"Liema organizzazzjoni kienet immexxija minn Hasan al-Hudaybi?")</f>
        <v>Liema organizzazzjoni kienet immexxija minn Hasan al-Hudaybi?</v>
      </c>
    </row>
    <row r="11551" ht="15.75" customHeight="1">
      <c r="A11551" s="2" t="s">
        <v>11551</v>
      </c>
      <c r="B11551" s="2" t="str">
        <f>IFERROR(__xludf.DUMMYFUNCTION("GOOGLETRANSLATE(A11551, ""en"", ""mt"")"),"Min ta l-kunsens irjali tagħha għall-Att tal-Iskozja tal-1998?")</f>
        <v>Min ta l-kunsens irjali tagħha għall-Att tal-Iskozja tal-1998?</v>
      </c>
    </row>
    <row r="11552" ht="15.75" customHeight="1">
      <c r="A11552" s="2" t="s">
        <v>11552</v>
      </c>
      <c r="B11552" s="2" t="str">
        <f>IFERROR(__xludf.DUMMYFUNCTION("GOOGLETRANSLATE(A11552, ""en"", ""mt"")"),"l-iktar")</f>
        <v>l-iktar</v>
      </c>
    </row>
    <row r="11553" ht="15.75" customHeight="1">
      <c r="A11553" s="2" t="s">
        <v>11553</v>
      </c>
      <c r="B11553" s="2" t="str">
        <f>IFERROR(__xludf.DUMMYFUNCTION("GOOGLETRANSLATE(A11553, ""en"", ""mt"")"),"Meta huwa skedat it-tim sospiż li jirritorna?")</f>
        <v>Meta huwa skedat it-tim sospiż li jirritorna?</v>
      </c>
    </row>
    <row r="11554" ht="15.75" customHeight="1">
      <c r="A11554" s="2" t="s">
        <v>11554</v>
      </c>
      <c r="B11554" s="2" t="str">
        <f>IFERROR(__xludf.DUMMYFUNCTION("GOOGLETRANSLATE(A11554, ""en"", ""mt"")"),"Minbarra l-Steamboat, liema forma moderna ta 'vjaġġar ġabet viżitaturi fi Florida?")</f>
        <v>Minbarra l-Steamboat, liema forma moderna ta 'vjaġġar ġabet viżitaturi fi Florida?</v>
      </c>
    </row>
    <row r="11555" ht="15.75" customHeight="1">
      <c r="A11555" s="2" t="s">
        <v>11555</v>
      </c>
      <c r="B11555" s="2" t="str">
        <f>IFERROR(__xludf.DUMMYFUNCTION("GOOGLETRANSLATE(A11555, ""en"", ""mt"")"),"żdied b'żieda fl-inugwaljanza tad-dħul")</f>
        <v>żdied b'żieda fl-inugwaljanza tad-dħul</v>
      </c>
    </row>
    <row r="11556" ht="15.75" customHeight="1">
      <c r="A11556" s="2" t="s">
        <v>11556</v>
      </c>
      <c r="B11556" s="2" t="str">
        <f>IFERROR(__xludf.DUMMYFUNCTION("GOOGLETRANSLATE(A11556, ""en"", ""mt"")"),"Radjazzjoni ultravjola li tħalli impatt fuq molekuli li fihom l-ossiġnu")</f>
        <v>Radjazzjoni ultravjola li tħalli impatt fuq molekuli li fihom l-ossiġnu</v>
      </c>
    </row>
    <row r="11557" ht="15.75" customHeight="1">
      <c r="A11557" s="2" t="s">
        <v>11557</v>
      </c>
      <c r="B11557" s="2" t="str">
        <f>IFERROR(__xludf.DUMMYFUNCTION("GOOGLETRANSLATE(A11557, ""en"", ""mt"")"),"Ix-xjentisti kif vvalutaw id-DNA / RNA ta 'Yersinia pestis?")</f>
        <v>Ix-xjentisti kif vvalutaw id-DNA / RNA ta 'Yersinia pestis?</v>
      </c>
    </row>
    <row r="11558" ht="15.75" customHeight="1">
      <c r="A11558" s="2" t="s">
        <v>11558</v>
      </c>
      <c r="B11558" s="2" t="str">
        <f>IFERROR(__xludf.DUMMYFUNCTION("GOOGLETRANSLATE(A11558, ""en"", ""mt"")"),"Kif reċentement ġew restawrati d-djar fi Fresno?")</f>
        <v>Kif reċentement ġew restawrati d-djar fi Fresno?</v>
      </c>
    </row>
    <row r="11559" ht="15.75" customHeight="1">
      <c r="A11559" s="2" t="s">
        <v>11559</v>
      </c>
      <c r="B11559" s="2" t="str">
        <f>IFERROR(__xludf.DUMMYFUNCTION("GOOGLETRANSLATE(A11559, ""en"", ""mt"")"),"In-Normanni (Norman: Nourmands; Franċiżi: Normands; Latin: Normanni) kienu n-nies li fis-sekli 10 u 11 taw isimhom għan-Normandija, reġjun fi Franza. Kienu dixxendenti minn Norveġja (""Norman"" ġej minn ""Norseman"") Raiders u Pirati mid-Danimarka, l-Isla"&amp;"nda u n-Norveġja li, taħt il-mexxej tagħhom Rollo, qablu li jaħlef il-fealty lir-Re Charles III ta 'West Francia. Permezz ta 'ġenerazzjonijiet ta' assimilazzjoni u taħlit mal-popolazzjonijiet indiġeni ta 'Frankish u Rumani-gaulish, id-dixxendenti tagħhom "&amp;"jingħaqdu gradwalment mal-kulturi bbażati fil-Karolingja tal-Punent ta' Francia. L-identità kulturali u etnika distinta tan-Normanni ħarġet inizjalment fl-ewwel nofs tas-seklu 10, u kompliet tevolvi matul is-sekli suċċessivi.")</f>
        <v>In-Normanni (Norman: Nourmands; Franċiżi: Normands; Latin: Normanni) kienu n-nies li fis-sekli 10 u 11 taw isimhom għan-Normandija, reġjun fi Franza. Kienu dixxendenti minn Norveġja ("Norman" ġej minn "Norseman") Raiders u Pirati mid-Danimarka, l-Islanda u n-Norveġja li, taħt il-mexxej tagħhom Rollo, qablu li jaħlef il-fealty lir-Re Charles III ta 'West Francia. Permezz ta 'ġenerazzjonijiet ta' assimilazzjoni u taħlit mal-popolazzjonijiet indiġeni ta 'Frankish u Rumani-gaulish, id-dixxendenti tagħhom jingħaqdu gradwalment mal-kulturi bbażati fil-Karolingja tal-Punent ta' Francia. L-identità kulturali u etnika distinta tan-Normanni ħarġet inizjalment fl-ewwel nofs tas-seklu 10, u kompliet tevolvi matul is-sekli suċċessivi.</v>
      </c>
    </row>
    <row r="11560" ht="15.75" customHeight="1">
      <c r="A11560" s="2" t="s">
        <v>11560</v>
      </c>
      <c r="B11560" s="2" t="str">
        <f>IFERROR(__xludf.DUMMYFUNCTION("GOOGLETRANSLATE(A11560, ""en"", ""mt"")"),"Liema firxa ta 'snin kien it-tisħin attwali meta mqabbel ma'?")</f>
        <v>Liema firxa ta 'snin kien it-tisħin attwali meta mqabbel ma'?</v>
      </c>
    </row>
    <row r="11561" ht="15.75" customHeight="1">
      <c r="A11561" s="2" t="s">
        <v>11561</v>
      </c>
      <c r="B11561" s="2" t="str">
        <f>IFERROR(__xludf.DUMMYFUNCTION("GOOGLETRANSLATE(A11561, ""en"", ""mt"")"),"Xi jfittex li jwieġeb it-teorija tal-kumplessità tal-komputazzjoni l-iktar speċifikament?")</f>
        <v>Xi jfittex li jwieġeb it-teorija tal-kumplessità tal-komputazzjoni l-iktar speċifikament?</v>
      </c>
    </row>
    <row r="11562" ht="15.75" customHeight="1">
      <c r="A11562" s="2" t="s">
        <v>11562</v>
      </c>
      <c r="B11562" s="2" t="str">
        <f>IFERROR(__xludf.DUMMYFUNCTION("GOOGLETRANSLATE(A11562, ""en"", ""mt"")"),"Kif ma ħadux l-informazzjoni ta 'Celeron?")</f>
        <v>Kif ma ħadux l-informazzjoni ta 'Celeron?</v>
      </c>
    </row>
    <row r="11563" ht="15.75" customHeight="1">
      <c r="A11563" s="2" t="s">
        <v>11563</v>
      </c>
      <c r="B11563" s="2" t="str">
        <f>IFERROR(__xludf.DUMMYFUNCTION("GOOGLETRANSLATE(A11563, ""en"", ""mt"")"),"1917")</f>
        <v>1917</v>
      </c>
    </row>
    <row r="11564" ht="15.75" customHeight="1">
      <c r="A11564" s="2" t="s">
        <v>11564</v>
      </c>
      <c r="B11564" s="2" t="str">
        <f>IFERROR(__xludf.DUMMYFUNCTION("GOOGLETRANSLATE(A11564, ""en"", ""mt"")"),"Infjammazzjoni sseħħ waqt il-ħinijiet ta 'l-irqad minħabba l-preżenza ta' liema molekula?")</f>
        <v>Infjammazzjoni sseħħ waqt il-ħinijiet ta 'l-irqad minħabba l-preżenza ta' liema molekula?</v>
      </c>
    </row>
    <row r="11565" ht="15.75" customHeight="1">
      <c r="A11565" s="2" t="s">
        <v>11565</v>
      </c>
      <c r="B11565" s="2" t="str">
        <f>IFERROR(__xludf.DUMMYFUNCTION("GOOGLETRANSLATE(A11565, ""en"", ""mt"")"),"Mill-invenzjoni tagħha fl-1269, l-iskrittura 'Phags-Pa, skript unifikat għall-ortografija tal-lingwi Mongoljani, Tibetani u Ċiniżi, ġiet ippreservata fil-qorti sa tmiem id-dinastija. Ħafna mill-imperaturi ma setgħux jaħkmu Ċiniż miktub, iżda ġeneralment j"&amp;"istgħu jitkellmu sew fil-lingwa. Id-drawwa tal-Mongolja ta ’Alleanza ta’ Quda / Żwieġ fit-tul mal-Klann Mongoljani, l-Onggirat, u l-Ikeres, żammew id-demm imperjali purament Mongolja sakemm ir-renju ta ’Tugh Temur, li l-omm tagħha kienet tangut concubine."&amp;" L-imperaturi tal-Mongolja kienu bnew palazzi u pavaljuni kbar, iżda xi wħud xorta baqgħu jgħixu bħala nomadi xi drabi. Madankollu, ftit imperaturi oħra tal-Yuan sponsorjaw attivitajiet kulturali; Eżempju huwa Tugh Temur (Imperatur Wenzong), li kiteb poeż"&amp;"ija, miżbugħa, qara testi klassiċi Ċiniżi, u ordna l-kumpilazzjoni tal-kotba.")</f>
        <v>Mill-invenzjoni tagħha fl-1269, l-iskrittura 'Phags-Pa, skript unifikat għall-ortografija tal-lingwi Mongoljani, Tibetani u Ċiniżi, ġiet ippreservata fil-qorti sa tmiem id-dinastija. Ħafna mill-imperaturi ma setgħux jaħkmu Ċiniż miktub, iżda ġeneralment jistgħu jitkellmu sew fil-lingwa. Id-drawwa tal-Mongolja ta ’Alleanza ta’ Quda / Żwieġ fit-tul mal-Klann Mongoljani, l-Onggirat, u l-Ikeres, żammew id-demm imperjali purament Mongolja sakemm ir-renju ta ’Tugh Temur, li l-omm tagħha kienet tangut concubine. L-imperaturi tal-Mongolja kienu bnew palazzi u pavaljuni kbar, iżda xi wħud xorta baqgħu jgħixu bħala nomadi xi drabi. Madankollu, ftit imperaturi oħra tal-Yuan sponsorjaw attivitajiet kulturali; Eżempju huwa Tugh Temur (Imperatur Wenzong), li kiteb poeżija, miżbugħa, qara testi klassiċi Ċiniżi, u ordna l-kumpilazzjoni tal-kotba.</v>
      </c>
    </row>
    <row r="11566" ht="15.75" customHeight="1">
      <c r="A11566" s="2" t="s">
        <v>11566</v>
      </c>
      <c r="B11566" s="2" t="str">
        <f>IFERROR(__xludf.DUMMYFUNCTION("GOOGLETRANSLATE(A11566, ""en"", ""mt"")"),"Min kien iben Bohemond?")</f>
        <v>Min kien iben Bohemond?</v>
      </c>
    </row>
    <row r="11567" ht="15.75" customHeight="1">
      <c r="A11567" s="2" t="s">
        <v>11567</v>
      </c>
      <c r="B11567" s="2" t="str">
        <f>IFERROR(__xludf.DUMMYFUNCTION("GOOGLETRANSLATE(A11567, ""en"", ""mt"")"),"Meta nqatel Zia-ul-Haq?")</f>
        <v>Meta nqatel Zia-ul-Haq?</v>
      </c>
    </row>
    <row r="11568" ht="15.75" customHeight="1">
      <c r="A11568" s="2" t="s">
        <v>11568</v>
      </c>
      <c r="B11568" s="2" t="str">
        <f>IFERROR(__xludf.DUMMYFUNCTION("GOOGLETRANSLATE(A11568, ""en"", ""mt"")"),"Artikolu 102")</f>
        <v>Artikolu 102</v>
      </c>
    </row>
    <row r="11569" ht="15.75" customHeight="1">
      <c r="A11569" s="2" t="s">
        <v>11569</v>
      </c>
      <c r="B11569" s="2" t="str">
        <f>IFERROR(__xludf.DUMMYFUNCTION("GOOGLETRANSLATE(A11569, ""en"", ""mt"")"),"Il-foresta tropikali tal-Amazon")</f>
        <v>Il-foresta tropikali tal-Amazon</v>
      </c>
    </row>
    <row r="11570" ht="15.75" customHeight="1">
      <c r="A11570" s="2" t="s">
        <v>11570</v>
      </c>
      <c r="B11570" s="2" t="str">
        <f>IFERROR(__xludf.DUMMYFUNCTION("GOOGLETRANSLATE(A11570, ""en"", ""mt"")"),"inugwaljanza akbar u instabilità ekonomika potenzjali")</f>
        <v>inugwaljanza akbar u instabilità ekonomika potenzjali</v>
      </c>
    </row>
    <row r="11571" ht="15.75" customHeight="1">
      <c r="A11571" s="2" t="s">
        <v>11571</v>
      </c>
      <c r="B11571" s="2" t="str">
        <f>IFERROR(__xludf.DUMMYFUNCTION("GOOGLETRANSLATE(A11571, ""en"", ""mt"")"),"Liema istitut huwa ċentru għal studji qrib il-Punent?")</f>
        <v>Liema istitut huwa ċentru għal studji qrib il-Punent?</v>
      </c>
    </row>
    <row r="11572" ht="15.75" customHeight="1">
      <c r="A11572" s="2" t="s">
        <v>11572</v>
      </c>
      <c r="B11572" s="2" t="str">
        <f>IFERROR(__xludf.DUMMYFUNCTION("GOOGLETRANSLATE(A11572, ""en"", ""mt"")"),"Moselle")</f>
        <v>Moselle</v>
      </c>
    </row>
    <row r="11573" ht="15.75" customHeight="1">
      <c r="A11573" s="2" t="s">
        <v>11573</v>
      </c>
      <c r="B11573" s="2" t="str">
        <f>IFERROR(__xludf.DUMMYFUNCTION("GOOGLETRANSLATE(A11573, ""en"", ""mt"")"),"X'għandu definizzjonijiet ikkumplikati li jipprevjenu l-klassifikazzjoni f'qafas?")</f>
        <v>X'għandu definizzjonijiet ikkumplikati li jipprevjenu l-klassifikazzjoni f'qafas?</v>
      </c>
    </row>
    <row r="11574" ht="15.75" customHeight="1">
      <c r="A11574" s="2" t="s">
        <v>11574</v>
      </c>
      <c r="B11574" s="2" t="str">
        <f>IFERROR(__xludf.DUMMYFUNCTION("GOOGLETRANSLATE(A11574, ""en"", ""mt"")"),"multiplikazzjoni")</f>
        <v>multiplikazzjoni</v>
      </c>
    </row>
    <row r="11575" ht="15.75" customHeight="1">
      <c r="A11575" s="2" t="s">
        <v>11575</v>
      </c>
      <c r="B11575" s="2" t="str">
        <f>IFERROR(__xludf.DUMMYFUNCTION("GOOGLETRANSLATE(A11575, ""en"", ""mt"")"),"Ferra anti-komunista li qed tikber")</f>
        <v>Ferra anti-komunista li qed tikber</v>
      </c>
    </row>
    <row r="11576" ht="15.75" customHeight="1">
      <c r="A11576" s="2" t="s">
        <v>11576</v>
      </c>
      <c r="B11576" s="2" t="str">
        <f>IFERROR(__xludf.DUMMYFUNCTION("GOOGLETRANSLATE(A11576, ""en"", ""mt"")"),"X'inhu miżmum barra s-sistema formali ta 'reġistrazzjoni ta' sjieda legali f'ħafna pajjiżi li qed jiżviluppaw?")</f>
        <v>X'inhu miżmum barra s-sistema formali ta 'reġistrazzjoni ta' sjieda legali f'ħafna pajjiżi li qed jiżviluppaw?</v>
      </c>
    </row>
    <row r="11577" ht="15.75" customHeight="1">
      <c r="A11577" s="2" t="s">
        <v>11577</v>
      </c>
      <c r="B11577" s="2" t="str">
        <f>IFERROR(__xludf.DUMMYFUNCTION("GOOGLETRANSLATE(A11577, ""en"", ""mt"")"),"Fejn iseħħu laqgħat plenarji?")</f>
        <v>Fejn iseħħu laqgħat plenarji?</v>
      </c>
    </row>
    <row r="11578" ht="15.75" customHeight="1">
      <c r="A11578" s="2" t="s">
        <v>11578</v>
      </c>
      <c r="B11578" s="2" t="str">
        <f>IFERROR(__xludf.DUMMYFUNCTION("GOOGLETRANSLATE(A11578, ""en"", ""mt"")"),"X’kienu l-Ewropej jaħsbu li l-popli fit-tropiċi kellhom bżonn?")</f>
        <v>X’kienu l-Ewropej jaħsbu li l-popli fit-tropiċi kellhom bżonn?</v>
      </c>
    </row>
    <row r="11579" ht="15.75" customHeight="1">
      <c r="A11579" s="2" t="s">
        <v>11579</v>
      </c>
      <c r="B11579" s="2" t="str">
        <f>IFERROR(__xludf.DUMMYFUNCTION("GOOGLETRANSLATE(A11579, ""en"", ""mt"")"),"Numri żgħar ta 'kolonizzaturi")</f>
        <v>Numri żgħar ta 'kolonizzaturi</v>
      </c>
    </row>
    <row r="11580" ht="15.75" customHeight="1">
      <c r="A11580" s="2" t="s">
        <v>11580</v>
      </c>
      <c r="B11580" s="2" t="str">
        <f>IFERROR(__xludf.DUMMYFUNCTION("GOOGLETRANSLATE(A11580, ""en"", ""mt"")"),"Chivas USA")</f>
        <v>Chivas USA</v>
      </c>
    </row>
    <row r="11581" ht="15.75" customHeight="1">
      <c r="A11581" s="2" t="s">
        <v>11581</v>
      </c>
      <c r="B11581" s="2" t="str">
        <f>IFERROR(__xludf.DUMMYFUNCTION("GOOGLETRANSLATE(A11581, ""en"", ""mt"")"),"Fiċ-ċiklu ta 'Rankine, f'liema l-ilma jinbidel meta jissaħħan?")</f>
        <v>Fiċ-ċiklu ta 'Rankine, f'liema l-ilma jinbidel meta jissaħħan?</v>
      </c>
    </row>
    <row r="11582" ht="15.75" customHeight="1">
      <c r="A11582" s="2" t="s">
        <v>11582</v>
      </c>
      <c r="B11582" s="2" t="str">
        <f>IFERROR(__xludf.DUMMYFUNCTION("GOOGLETRANSLATE(A11582, ""en"", ""mt"")"),"Guanabara Qrar tal-Fidi")</f>
        <v>Guanabara Qrar tal-Fidi</v>
      </c>
    </row>
    <row r="11583" ht="15.75" customHeight="1">
      <c r="A11583" s="2" t="s">
        <v>11583</v>
      </c>
      <c r="B11583" s="2" t="str">
        <f>IFERROR(__xludf.DUMMYFUNCTION("GOOGLETRANSLATE(A11583, ""en"", ""mt"")"),"Kemm hu kiesaħ dan ir-reġjun ta 'Victoria fir-rebbieħ?")</f>
        <v>Kemm hu kiesaħ dan ir-reġjun ta 'Victoria fir-rebbieħ?</v>
      </c>
    </row>
    <row r="11584" ht="15.75" customHeight="1">
      <c r="A11584" s="2" t="s">
        <v>11584</v>
      </c>
      <c r="B11584" s="2" t="str">
        <f>IFERROR(__xludf.DUMMYFUNCTION("GOOGLETRANSLATE(A11584, ""en"", ""mt"")"),"Dioxygen")</f>
        <v>Dioxygen</v>
      </c>
    </row>
    <row r="11585" ht="15.75" customHeight="1">
      <c r="A11585" s="2" t="s">
        <v>11585</v>
      </c>
      <c r="B11585" s="2" t="str">
        <f>IFERROR(__xludf.DUMMYFUNCTION("GOOGLETRANSLATE(A11585, ""en"", ""mt"")"),"il-qalba komuni")</f>
        <v>il-qalba komuni</v>
      </c>
    </row>
    <row r="11586" ht="15.75" customHeight="1">
      <c r="A11586" s="2" t="s">
        <v>11586</v>
      </c>
      <c r="B11586" s="2" t="str">
        <f>IFERROR(__xludf.DUMMYFUNCTION("GOOGLETRANSLATE(A11586, ""en"", ""mt"")"),"Waħda mill-ewwel implimentazzjonijiet massivi tagħha ġiet ikkawżata mill-Eġizzjani kontra l-okkupazzjoni Ingliża fir-rivoluzzjoni tal-1919. Id-diżubbidjenza ċivili hija waħda mill-ħafna modi kif in-nies irribellaw kontra dak li jqisu li huma liġijiet inġu"&amp;"sti. Intuża f'ħafna movimenti ta 'reżistenza mhux vjolenti fl-Indja (il-kampanji ta' Gandhi għall-Indipendenza mill-Imperu Brittaniku), fir-rivoluzzjoni tal-bellus taċ-Ċekoslovakkja u fil-Ġermanja tal-Lvant biex jitneħħew il-gvernijiet komunisti tagħhom, "&amp;"fl-Afrika t'Isfel fil-ġlieda kontra l-apartheid, fid-drittijiet ċivili Amerikani Amerikani Moviment, fir-rivoluzzjoni tal-kant biex iġġib l-indipendenza lill-pajjiżi tal-Baltiku mill-Unjoni Sovjetika, reċentement bir-Rivoluzzjoni tal-Rose tal-2003 fil-Ġeo"&amp;"rġja u r-Rivoluzzjoni Orange tal-2004 fl-Ukrajna, fost movimenti varji oħra mad-dinja kollha.")</f>
        <v>Waħda mill-ewwel implimentazzjonijiet massivi tagħha ġiet ikkawżata mill-Eġizzjani kontra l-okkupazzjoni Ingliża fir-rivoluzzjoni tal-1919. Id-diżubbidjenza ċivili hija waħda mill-ħafna modi kif in-nies irribellaw kontra dak li jqisu li huma liġijiet inġusti. Intuża f'ħafna movimenti ta 'reżistenza mhux vjolenti fl-Indja (il-kampanji ta' Gandhi għall-Indipendenza mill-Imperu Brittaniku), fir-rivoluzzjoni tal-bellus taċ-Ċekoslovakkja u fil-Ġermanja tal-Lvant biex jitneħħew il-gvernijiet komunisti tagħhom, fl-Afrika t'Isfel fil-ġlieda kontra l-apartheid, fid-drittijiet ċivili Amerikani Amerikani Moviment, fir-rivoluzzjoni tal-kant biex iġġib l-indipendenza lill-pajjiżi tal-Baltiku mill-Unjoni Sovjetika, reċentement bir-Rivoluzzjoni tal-Rose tal-2003 fil-Ġeorġja u r-Rivoluzzjoni Orange tal-2004 fl-Ukrajna, fost movimenti varji oħra mad-dinja kollha.</v>
      </c>
    </row>
    <row r="11587" ht="15.75" customHeight="1">
      <c r="A11587" s="2" t="s">
        <v>11587</v>
      </c>
      <c r="B11587" s="2" t="str">
        <f>IFERROR(__xludf.DUMMYFUNCTION("GOOGLETRANSLATE(A11587, ""en"", ""mt"")"),"X'inhi l-importanza tal-ispiżjar fl-aħħar għexieren ta 'snin?")</f>
        <v>X'inhi l-importanza tal-ispiżjar fl-aħħar għexieren ta 'snin?</v>
      </c>
    </row>
    <row r="11588" ht="15.75" customHeight="1">
      <c r="A11588" s="2" t="s">
        <v>11588</v>
      </c>
      <c r="B11588" s="2" t="str">
        <f>IFERROR(__xludf.DUMMYFUNCTION("GOOGLETRANSLATE(A11588, ""en"", ""mt"")"),"Madwar 34%")</f>
        <v>Madwar 34%</v>
      </c>
    </row>
    <row r="11589" ht="15.75" customHeight="1">
      <c r="A11589" s="2" t="s">
        <v>11589</v>
      </c>
      <c r="B11589" s="2" t="str">
        <f>IFERROR(__xludf.DUMMYFUNCTION("GOOGLETRANSLATE(A11589, ""en"", ""mt"")"),"allokazzjoni")</f>
        <v>allokazzjoni</v>
      </c>
    </row>
    <row r="11590" ht="15.75" customHeight="1">
      <c r="A11590" s="2" t="s">
        <v>11590</v>
      </c>
      <c r="B11590" s="2" t="str">
        <f>IFERROR(__xludf.DUMMYFUNCTION("GOOGLETRANSLATE(A11590, ""en"", ""mt"")"),"Edukazzjoni mhux obbligatorja")</f>
        <v>Edukazzjoni mhux obbligatorja</v>
      </c>
    </row>
    <row r="11591" ht="15.75" customHeight="1">
      <c r="A11591" s="2" t="s">
        <v>11591</v>
      </c>
      <c r="B11591" s="2" t="str">
        <f>IFERROR(__xludf.DUMMYFUNCTION("GOOGLETRANSLATE(A11591, ""en"", ""mt"")"),"X'inhi l-medda lokalizzata li r-riċevituri diġitali jirċievu fuq il-kanali tal-ajru?")</f>
        <v>X'inhi l-medda lokalizzata li r-riċevituri diġitali jirċievu fuq il-kanali tal-ajru?</v>
      </c>
    </row>
    <row r="11592" ht="15.75" customHeight="1">
      <c r="A11592" s="2" t="s">
        <v>11592</v>
      </c>
      <c r="B11592" s="2" t="str">
        <f>IFERROR(__xludf.DUMMYFUNCTION("GOOGLETRANSLATE(A11592, ""en"", ""mt"")"),"Librerija tax-Xjenza Cabot, Librerija Lamont, u Librerija Widener")</f>
        <v>Librerija tax-Xjenza Cabot, Librerija Lamont, u Librerija Widener</v>
      </c>
    </row>
    <row r="11593" ht="15.75" customHeight="1">
      <c r="A11593" s="2" t="s">
        <v>11593</v>
      </c>
      <c r="B11593" s="2" t="str">
        <f>IFERROR(__xludf.DUMMYFUNCTION("GOOGLETRANSLATE(A11593, ""en"", ""mt"")"),"X'inhu Hermaphrodite?")</f>
        <v>X'inhu Hermaphrodite?</v>
      </c>
    </row>
    <row r="11594" ht="15.75" customHeight="1">
      <c r="A11594" s="2" t="s">
        <v>11594</v>
      </c>
      <c r="B11594" s="2" t="str">
        <f>IFERROR(__xludf.DUMMYFUNCTION("GOOGLETRANSLATE(A11594, ""en"", ""mt"")"),"Min biegħ id-drittijiet?")</f>
        <v>Min biegħ id-drittijiet?</v>
      </c>
    </row>
    <row r="11595" ht="15.75" customHeight="1">
      <c r="A11595" s="2" t="s">
        <v>11595</v>
      </c>
      <c r="B11595" s="2" t="str">
        <f>IFERROR(__xludf.DUMMYFUNCTION("GOOGLETRANSLATE(A11595, ""en"", ""mt"")"),"Xi jaħseb Paul Krugmen kellu effett osservabbli fuq l-inugwaljanza fl-Istati Uniti?")</f>
        <v>Xi jaħseb Paul Krugmen kellu effett osservabbli fuq l-inugwaljanza fl-Istati Uniti?</v>
      </c>
    </row>
    <row r="11596" ht="15.75" customHeight="1">
      <c r="A11596" s="2" t="s">
        <v>11596</v>
      </c>
      <c r="B11596" s="2" t="str">
        <f>IFERROR(__xludf.DUMMYFUNCTION("GOOGLETRANSLATE(A11596, ""en"", ""mt"")"),"X'inhuma t-trattati ewlenin li tikkonsisti l-liġi primarja tal-UE?")</f>
        <v>X'inhuma t-trattati ewlenin li tikkonsisti l-liġi primarja tal-UE?</v>
      </c>
    </row>
    <row r="11597" ht="15.75" customHeight="1">
      <c r="A11597" s="2" t="s">
        <v>11597</v>
      </c>
      <c r="B11597" s="2" t="str">
        <f>IFERROR(__xludf.DUMMYFUNCTION("GOOGLETRANSLATE(A11597, ""en"", ""mt"")"),"Jekk wieħed jassumi l-kompitu li jinterpreta t-trattati, u jaċċellera l-integrazzjoni ekonomika u politika")</f>
        <v>Jekk wieħed jassumi l-kompitu li jinterpreta t-trattati, u jaċċellera l-integrazzjoni ekonomika u politika</v>
      </c>
    </row>
    <row r="11598" ht="15.75" customHeight="1">
      <c r="A11598" s="2" t="s">
        <v>11598</v>
      </c>
      <c r="B11598" s="2" t="str">
        <f>IFERROR(__xludf.DUMMYFUNCTION("GOOGLETRANSLATE(A11598, ""en"", ""mt"")"),"Depopolazzjoni serja u bidla permanenti kemm fl-istrutturi ekonomiċi kif ukoll soċjali")</f>
        <v>Depopolazzjoni serja u bidla permanenti kemm fl-istrutturi ekonomiċi kif ukoll soċjali</v>
      </c>
    </row>
    <row r="11599" ht="15.75" customHeight="1">
      <c r="A11599" s="2" t="s">
        <v>11599</v>
      </c>
      <c r="B11599" s="2" t="str">
        <f>IFERROR(__xludf.DUMMYFUNCTION("GOOGLETRANSLATE(A11599, ""en"", ""mt"")"),"kważi nofs")</f>
        <v>kważi nofs</v>
      </c>
    </row>
    <row r="11600" ht="15.75" customHeight="1">
      <c r="A11600" s="2" t="s">
        <v>11600</v>
      </c>
      <c r="B11600" s="2" t="str">
        <f>IFERROR(__xludf.DUMMYFUNCTION("GOOGLETRANSLATE(A11600, ""en"", ""mt"")"),"Kemm żmien wara Charles Darwin, William Smith żviluppa l-prinċipji tas-suċċessjoni?")</f>
        <v>Kemm żmien wara Charles Darwin, William Smith żviluppa l-prinċipji tas-suċċessjoni?</v>
      </c>
    </row>
    <row r="11601" ht="15.75" customHeight="1">
      <c r="A11601" s="2" t="s">
        <v>11601</v>
      </c>
      <c r="B11601" s="2" t="str">
        <f>IFERROR(__xludf.DUMMYFUNCTION("GOOGLETRANSLATE(A11601, ""en"", ""mt"")"),"Liema vapur tal-pajjiż żbarka f'Oskoy?")</f>
        <v>Liema vapur tal-pajjiż żbarka f'Oskoy?</v>
      </c>
    </row>
    <row r="11602" ht="15.75" customHeight="1">
      <c r="A11602" s="2" t="s">
        <v>11602</v>
      </c>
      <c r="B11602" s="2" t="str">
        <f>IFERROR(__xludf.DUMMYFUNCTION("GOOGLETRANSLATE(A11602, ""en"", ""mt"")"),"X'kienu l-elezzjonijiet nazzjonali fl-1994 ikkanċellati minn?")</f>
        <v>X'kienu l-elezzjonijiet nazzjonali fl-1994 ikkanċellati minn?</v>
      </c>
    </row>
    <row r="11603" ht="15.75" customHeight="1">
      <c r="A11603" s="2" t="s">
        <v>11603</v>
      </c>
      <c r="B11603" s="2" t="str">
        <f>IFERROR(__xludf.DUMMYFUNCTION("GOOGLETRANSLATE(A11603, ""en"", ""mt"")"),"mhux sinkroniku")</f>
        <v>mhux sinkroniku</v>
      </c>
    </row>
    <row r="11604" ht="15.75" customHeight="1">
      <c r="A11604" s="2" t="s">
        <v>11604</v>
      </c>
      <c r="B11604" s="2" t="str">
        <f>IFERROR(__xludf.DUMMYFUNCTION("GOOGLETRANSLATE(A11604, ""en"", ""mt"")"),"Varsavja, speċjalment iċ-ċentru tal-belt tagħha (Śródmieście), hija d-dar mhux biss għal ħafna istituzzjonijiet nazzjonali u aġenziji tal-gvern, iżda wkoll għal ħafna kumpaniji domestiċi u internazzjonali. Fl-2006, 304,016 kumpanija ġew irreġistrati fil-b"&amp;"elt. Il-komunità kummerċjali li dejjem qed tikber ta 'Varsavja ġiet innotata globalment, reġjonali u nazzjonalment. MasterCard Emerging Market Index innota s-saħħa ekonomika u ċ-ċentru kummerċjali ta 'Varsavja. Barra minn hekk, Varsavja kienet ikklassifik"&amp;"ata bħala s-7 l-ikbar suq emerġenti. Il-parteċipazzjoni finanzjarja tal-investituri barranin fl-iżvilupp tal-belt kienet stmata fl-2002 għal aktar minn 650 miljun euro. Varsavja tipproduċi 12% tad-dħul nazzjonali tal-Polonja, li fl-2008 kien 305.1% tal-me"&amp;"dja Pollakka, per capita (jew 160% tal-medja tal-Unjoni Ewropea). Il-PDG per capita f'Varsavja ammonta għal PLN 94 000 fl-2008 (c. EUR 23 800, USD 33 000). Il-PGD nominali totali tal-belt fl-2010 ammonta għal 191.766 biljun PLN, 111696 PLN per capita, li "&amp;"kien 301,1% tal-medja Pollakka. Varsavja tmexxi r-reġjun tal-Ewropa ċentrali tal-lvant fl-investiment barrani u fl-2006, it-tkabbir tal-PGD issodisfa l-aspettattivi b'livell ta '6.1%. Għandu wkoll waħda mill-ekonomiji li qed jikbru l-iktar malajr, bi tkab"&amp;"bir tal-PGD għal 6.5 fil-mija fl-2007 u 6.1 fil-mija fl-ewwel kwart tal-2008.")</f>
        <v>Varsavja, speċjalment iċ-ċentru tal-belt tagħha (Śródmieście), hija d-dar mhux biss għal ħafna istituzzjonijiet nazzjonali u aġenziji tal-gvern, iżda wkoll għal ħafna kumpaniji domestiċi u internazzjonali. Fl-2006, 304,016 kumpanija ġew irreġistrati fil-belt. Il-komunità kummerċjali li dejjem qed tikber ta 'Varsavja ġiet innotata globalment, reġjonali u nazzjonalment. MasterCard Emerging Market Index innota s-saħħa ekonomika u ċ-ċentru kummerċjali ta 'Varsavja. Barra minn hekk, Varsavja kienet ikklassifikata bħala s-7 l-ikbar suq emerġenti. Il-parteċipazzjoni finanzjarja tal-investituri barranin fl-iżvilupp tal-belt kienet stmata fl-2002 għal aktar minn 650 miljun euro. Varsavja tipproduċi 12% tad-dħul nazzjonali tal-Polonja, li fl-2008 kien 305.1% tal-medja Pollakka, per capita (jew 160% tal-medja tal-Unjoni Ewropea). Il-PDG per capita f'Varsavja ammonta għal PLN 94 000 fl-2008 (c. EUR 23 800, USD 33 000). Il-PGD nominali totali tal-belt fl-2010 ammonta għal 191.766 biljun PLN, 111696 PLN per capita, li kien 301,1% tal-medja Pollakka. Varsavja tmexxi r-reġjun tal-Ewropa ċentrali tal-lvant fl-investiment barrani u fl-2006, it-tkabbir tal-PGD issodisfa l-aspettattivi b'livell ta '6.1%. Għandu wkoll waħda mill-ekonomiji li qed jikbru l-iktar malajr, bi tkabbir tal-PGD għal 6.5 fil-mija fl-2007 u 6.1 fil-mija fl-ewwel kwart tal-2008.</v>
      </c>
    </row>
    <row r="11605" ht="15.75" customHeight="1">
      <c r="A11605" s="2" t="s">
        <v>11605</v>
      </c>
      <c r="B11605" s="2" t="str">
        <f>IFERROR(__xludf.DUMMYFUNCTION("GOOGLETRANSLATE(A11605, ""en"", ""mt"")"),"Żieda fil-karozzi importati")</f>
        <v>Żieda fil-karozzi importati</v>
      </c>
    </row>
    <row r="11606" ht="15.75" customHeight="1">
      <c r="A11606" s="2" t="s">
        <v>11606</v>
      </c>
      <c r="B11606" s="2" t="str">
        <f>IFERROR(__xludf.DUMMYFUNCTION("GOOGLETRANSLATE(A11606, ""en"", ""mt"")"),"X'kienu ntużaw il-magni tal-fwar bħala sors ta '?")</f>
        <v>X'kienu ntużaw il-magni tal-fwar bħala sors ta '?</v>
      </c>
    </row>
    <row r="11607" ht="15.75" customHeight="1">
      <c r="A11607" s="2" t="s">
        <v>11607</v>
      </c>
      <c r="B11607" s="2" t="str">
        <f>IFERROR(__xludf.DUMMYFUNCTION("GOOGLETRANSLATE(A11607, ""en"", ""mt"")"),"riċetturi ta 'immunoglobulina taċ-ċelloli qattiela (KIR")</f>
        <v>riċetturi ta 'immunoglobulina taċ-ċelloli qattiela (KIR</v>
      </c>
    </row>
    <row r="11608" ht="15.75" customHeight="1">
      <c r="A11608" s="2" t="s">
        <v>11608</v>
      </c>
      <c r="B11608" s="2" t="str">
        <f>IFERROR(__xludf.DUMMYFUNCTION("GOOGLETRANSLATE(A11608, ""en"", ""mt"")"),"il-Bibbja f'lingwi vernakulari")</f>
        <v>il-Bibbja f'lingwi vernakulari</v>
      </c>
    </row>
    <row r="11609" ht="15.75" customHeight="1">
      <c r="A11609" s="2" t="s">
        <v>11609</v>
      </c>
      <c r="B11609" s="2" t="str">
        <f>IFERROR(__xludf.DUMMYFUNCTION("GOOGLETRANSLATE(A11609, ""en"", ""mt"")"),"Liema alumni huwa wkoll il-Gvernatur tal-Bank tal-Ġappun?")</f>
        <v>Liema alumni huwa wkoll il-Gvernatur tal-Bank tal-Ġappun?</v>
      </c>
    </row>
    <row r="11610" ht="15.75" customHeight="1">
      <c r="A11610" s="2" t="s">
        <v>11610</v>
      </c>
      <c r="B11610" s="2" t="str">
        <f>IFERROR(__xludf.DUMMYFUNCTION("GOOGLETRANSLATE(A11610, ""en"", ""mt"")"),"Il-veloċità tar-rispons tal-qtil tas-sistema immunitarja tal-bniedem hija prodott ta 'liema proċess?")</f>
        <v>Il-veloċità tar-rispons tal-qtil tas-sistema immunitarja tal-bniedem hija prodott ta 'liema proċess?</v>
      </c>
    </row>
    <row r="11611" ht="15.75" customHeight="1">
      <c r="A11611" s="2" t="s">
        <v>11611</v>
      </c>
      <c r="B11611" s="2" t="str">
        <f>IFERROR(__xludf.DUMMYFUNCTION("GOOGLETRANSLATE(A11611, ""en"", ""mt"")"),"30% –50%")</f>
        <v>30% –50%</v>
      </c>
    </row>
    <row r="11612" ht="15.75" customHeight="1">
      <c r="A11612" s="2" t="s">
        <v>11612</v>
      </c>
      <c r="B11612" s="2" t="str">
        <f>IFERROR(__xludf.DUMMYFUNCTION("GOOGLETRANSLATE(A11612, ""en"", ""mt"")"),"F'liema wied jinsab Los Angeles?")</f>
        <v>F'liema wied jinsab Los Angeles?</v>
      </c>
    </row>
    <row r="11613" ht="15.75" customHeight="1">
      <c r="A11613" s="2" t="s">
        <v>11613</v>
      </c>
      <c r="B11613" s="2" t="str">
        <f>IFERROR(__xludf.DUMMYFUNCTION("GOOGLETRANSLATE(A11613, ""en"", ""mt"")")," L-imperjalizmu spiss jgħaqqad pajjiżi billi juża liema teknika?")</f>
        <v> L-imperjalizmu spiss jgħaqqad pajjiżi billi juża liema teknika?</v>
      </c>
    </row>
    <row r="11614" ht="15.75" customHeight="1">
      <c r="A11614" s="2" t="s">
        <v>11614</v>
      </c>
      <c r="B11614" s="2" t="str">
        <f>IFERROR(__xludf.DUMMYFUNCTION("GOOGLETRANSLATE(A11614, ""en"", ""mt"")"),"F'liema pajjiż kien Damasku?")</f>
        <v>F'liema pajjiż kien Damasku?</v>
      </c>
    </row>
    <row r="11615" ht="15.75" customHeight="1">
      <c r="A11615" s="2" t="s">
        <v>11615</v>
      </c>
      <c r="B11615" s="2" t="str">
        <f>IFERROR(__xludf.DUMMYFUNCTION("GOOGLETRANSLATE(A11615, ""en"", ""mt"")"),"Ispirat minn Shelley X'kien l-isem tad-duttrina ta 'Gandhi?")</f>
        <v>Ispirat minn Shelley X'kien l-isem tad-duttrina ta 'Gandhi?</v>
      </c>
    </row>
    <row r="11616" ht="15.75" customHeight="1">
      <c r="A11616" s="2" t="s">
        <v>11616</v>
      </c>
      <c r="B11616" s="2" t="str">
        <f>IFERROR(__xludf.DUMMYFUNCTION("GOOGLETRANSLATE(A11616, ""en"", ""mt"")"),"X'inhi waħda mill-aktar okkupazzjonijiet komuni fid-dinja?")</f>
        <v>X'inhi waħda mill-aktar okkupazzjonijiet komuni fid-dinja?</v>
      </c>
    </row>
    <row r="11617" ht="15.75" customHeight="1">
      <c r="A11617" s="2" t="s">
        <v>11617</v>
      </c>
      <c r="B11617" s="2" t="str">
        <f>IFERROR(__xludf.DUMMYFUNCTION("GOOGLETRANSLATE(A11617, ""en"", ""mt"")"),"Kif jintgħażlu l-membri tal-edukazzjoni Vittorjana?")</f>
        <v>Kif jintgħażlu l-membri tal-edukazzjoni Vittorjana?</v>
      </c>
    </row>
    <row r="11618" ht="15.75" customHeight="1">
      <c r="A11618" s="2" t="s">
        <v>11618</v>
      </c>
      <c r="B11618" s="2" t="str">
        <f>IFERROR(__xludf.DUMMYFUNCTION("GOOGLETRANSLATE(A11618, ""en"", ""mt"")"),"1 ta ’Awwissu 1944")</f>
        <v>1 ta ’Awwissu 1944</v>
      </c>
    </row>
    <row r="11619" ht="15.75" customHeight="1">
      <c r="A11619" s="2" t="s">
        <v>11619</v>
      </c>
      <c r="B11619" s="2" t="str">
        <f>IFERROR(__xludf.DUMMYFUNCTION("GOOGLETRANSLATE(A11619, ""en"", ""mt"")"),"Liema stipendju jirreġistraw l-istudenti fil-korsijiet ta 'prijorità?")</f>
        <v>Liema stipendju jirreġistraw l-istudenti fil-korsijiet ta 'prijorità?</v>
      </c>
    </row>
    <row r="11620" ht="15.75" customHeight="1">
      <c r="A11620" s="2" t="s">
        <v>11620</v>
      </c>
      <c r="B11620" s="2" t="str">
        <f>IFERROR(__xludf.DUMMYFUNCTION("GOOGLETRANSLATE(A11620, ""en"", ""mt"")"),"Korean")</f>
        <v>Korean</v>
      </c>
    </row>
    <row r="11621" ht="15.75" customHeight="1">
      <c r="A11621" s="2" t="s">
        <v>11621</v>
      </c>
      <c r="B11621" s="2" t="str">
        <f>IFERROR(__xludf.DUMMYFUNCTION("GOOGLETRANSLATE(A11621, ""en"", ""mt"")"),"Liema Boulevard tista 'ssib ħafna djar maestużi fiż-żona?")</f>
        <v>Liema Boulevard tista 'ssib ħafna djar maestużi fiż-żona?</v>
      </c>
    </row>
    <row r="11622" ht="15.75" customHeight="1">
      <c r="A11622" s="2" t="s">
        <v>11622</v>
      </c>
      <c r="B11622" s="2" t="str">
        <f>IFERROR(__xludf.DUMMYFUNCTION("GOOGLETRANSLATE(A11622, ""en"", ""mt"")"),"Barra mill-bhejjem, x'iktar kienet ikkunsidrata bħala industrija ewlenija fir-reġjuni tal-agrikoltura?")</f>
        <v>Barra mill-bhejjem, x'iktar kienet ikkunsidrata bħala industrija ewlenija fir-reġjuni tal-agrikoltura?</v>
      </c>
    </row>
    <row r="11623" ht="15.75" customHeight="1">
      <c r="A11623" s="2" t="s">
        <v>11623</v>
      </c>
      <c r="B11623" s="2" t="str">
        <f>IFERROR(__xludf.DUMMYFUNCTION("GOOGLETRANSLATE(A11623, ""en"", ""mt"")"),"Liema repubblika żammet il-kontroll tagħha tal-Iran?")</f>
        <v>Liema repubblika żammet il-kontroll tagħha tal-Iran?</v>
      </c>
    </row>
    <row r="11624" ht="15.75" customHeight="1">
      <c r="A11624" s="2" t="s">
        <v>11624</v>
      </c>
      <c r="B11624" s="2" t="str">
        <f>IFERROR(__xludf.DUMMYFUNCTION("GOOGLETRANSLATE(A11624, ""en"", ""mt"")"),"""Dwar il-kumplessità tal-komputazzjoni tal-algoritmi""")</f>
        <v>"Dwar il-kumplessità tal-komputazzjoni tal-algoritmi"</v>
      </c>
    </row>
    <row r="11625" ht="15.75" customHeight="1">
      <c r="A11625" s="2" t="s">
        <v>11625</v>
      </c>
      <c r="B11625" s="2" t="str">
        <f>IFERROR(__xludf.DUMMYFUNCTION("GOOGLETRANSLATE(A11625, ""en"", ""mt"")"),"115 ° F (46.1 ° C)")</f>
        <v>115 ° F (46.1 ° C)</v>
      </c>
    </row>
    <row r="11626" ht="15.75" customHeight="1">
      <c r="A11626" s="2" t="s">
        <v>11626</v>
      </c>
      <c r="B11626" s="2" t="str">
        <f>IFERROR(__xludf.DUMMYFUNCTION("GOOGLETRANSLATE(A11626, ""en"", ""mt"")"),"Analiżi ta 'x'tip ta' depożiti mill-fann tal-Amazon tindika bidla fix-xita fil-baċin tal-Amażonja?")</f>
        <v>Analiżi ta 'x'tip ta' depożiti mill-fann tal-Amazon tindika bidla fix-xita fil-baċin tal-Amażonja?</v>
      </c>
    </row>
    <row r="11627" ht="15.75" customHeight="1">
      <c r="A11627" s="2" t="s">
        <v>11627</v>
      </c>
      <c r="B11627" s="2" t="str">
        <f>IFERROR(__xludf.DUMMYFUNCTION("GOOGLETRANSLATE(A11627, ""en"", ""mt"")"),"Netwerk ta 'kapaċità ogħla ġie ffurmat minn liema proġett?")</f>
        <v>Netwerk ta 'kapaċità ogħla ġie ffurmat minn liema proġett?</v>
      </c>
    </row>
    <row r="11628" ht="15.75" customHeight="1">
      <c r="A11628" s="2" t="s">
        <v>11628</v>
      </c>
      <c r="B11628" s="2" t="str">
        <f>IFERROR(__xludf.DUMMYFUNCTION("GOOGLETRANSLATE(A11628, ""en"", ""mt"")"),"Liema movimenti segwew direzzjoni aktar radikali?")</f>
        <v>Liema movimenti segwew direzzjoni aktar radikali?</v>
      </c>
    </row>
    <row r="11629" ht="15.75" customHeight="1">
      <c r="A11629" s="2" t="s">
        <v>11629</v>
      </c>
      <c r="B11629" s="2" t="str">
        <f>IFERROR(__xludf.DUMMYFUNCTION("GOOGLETRANSLATE(A11629, ""en"", ""mt"")"),"Għal liema tip ta 'bhejjem kien magħruf ir-reġjun argrikulturali?")</f>
        <v>Għal liema tip ta 'bhejjem kien magħruf ir-reġjun argrikulturali?</v>
      </c>
    </row>
    <row r="11630" ht="15.75" customHeight="1">
      <c r="A11630" s="2" t="s">
        <v>11630</v>
      </c>
      <c r="B11630" s="2" t="str">
        <f>IFERROR(__xludf.DUMMYFUNCTION("GOOGLETRANSLATE(A11630, ""en"", ""mt"")"),"enerġija kimika")</f>
        <v>enerġija kimika</v>
      </c>
    </row>
    <row r="11631" ht="15.75" customHeight="1">
      <c r="A11631" s="2" t="s">
        <v>11631</v>
      </c>
      <c r="B11631" s="2" t="str">
        <f>IFERROR(__xludf.DUMMYFUNCTION("GOOGLETRANSLATE(A11631, ""en"", ""mt"")"),"Nolo Contendere")</f>
        <v>Nolo Contendere</v>
      </c>
    </row>
    <row r="11632" ht="15.75" customHeight="1">
      <c r="A11632" s="2" t="s">
        <v>11632</v>
      </c>
      <c r="B11632" s="2" t="str">
        <f>IFERROR(__xludf.DUMMYFUNCTION("GOOGLETRANSLATE(A11632, ""en"", ""mt"")"),"T li tirrendi ċerti liġijiet ineffettivi, li jikkawżaw ir-revoka tagħhom, jew li jagħmlu pressjoni biex jiksbu x-xewqat politiċi tiegħu fuq xi kwistjoni oħra")</f>
        <v>T li tirrendi ċerti liġijiet ineffettivi, li jikkawżaw ir-revoka tagħhom, jew li jagħmlu pressjoni biex jiksbu x-xewqat politiċi tiegħu fuq xi kwistjoni oħra</v>
      </c>
    </row>
    <row r="11633" ht="15.75" customHeight="1">
      <c r="A11633" s="2" t="s">
        <v>11633</v>
      </c>
      <c r="B11633" s="2" t="str">
        <f>IFERROR(__xludf.DUMMYFUNCTION("GOOGLETRANSLATE(A11633, ""en"", ""mt"")"),"Il-Gvernatur Vaudreuil, li ġab l-ambizzjonijiet biex isir il-kmandant Franċiż fil-kap (minbarra r-rwol tiegħu bħala gvernatur), aġixxa matul ix-xitwa tal-1756 qabel ma waslu dawk ir-rinforzi. L-iscouts kienu rrappurtaw id-dgħjufija tal-katina tal-provvist"&amp;"a Ingliża, u għalhekk huwa ordna attakk kontra l-fortizzi li Shirley kien tella 'fil-ġarr ta' Oneida. Fil-battalja ta ’Marzu ta’ Fort Bull, il-forzi Franċiżi qerdu l-forti u kwantitajiet kbar ta ’provvisti, inklużi 45,000 lira ta’ porvli. Huma waqqfu kwal"&amp;"unkwe tama Ingliża għal kampanji fuq il-Lag Ontario, u pperikolaw il-garrison ta 'Oswego, diġà qosra fuq il-provvisti. Il-forzi Franċiżi fil-Wied ta 'Ohio komplew ukoll intriċċi ma' Indjani fiż-żona kollha, u ħeġġiġhom biex jitilgħu l-insedjamenti tal-fru"&amp;"ntiera. Dan wassal għal allarmi kontinwi tul il-fruntieri tal-punent, bi flussi ta 'refuġjati li jirritornaw lejn il-lvant biex jitbiegħdu mill-azzjoni.")</f>
        <v>Il-Gvernatur Vaudreuil, li ġab l-ambizzjonijiet biex isir il-kmandant Franċiż fil-kap (minbarra r-rwol tiegħu bħala gvernatur), aġixxa matul ix-xitwa tal-1756 qabel ma waslu dawk ir-rinforzi. L-iscouts kienu rrappurtaw id-dgħjufija tal-katina tal-provvista Ingliża, u għalhekk huwa ordna attakk kontra l-fortizzi li Shirley kien tella 'fil-ġarr ta' Oneida. Fil-battalja ta ’Marzu ta’ Fort Bull, il-forzi Franċiżi qerdu l-forti u kwantitajiet kbar ta ’provvisti, inklużi 45,000 lira ta’ porvli. Huma waqqfu kwalunkwe tama Ingliża għal kampanji fuq il-Lag Ontario, u pperikolaw il-garrison ta 'Oswego, diġà qosra fuq il-provvisti. Il-forzi Franċiżi fil-Wied ta 'Ohio komplew ukoll intriċċi ma' Indjani fiż-żona kollha, u ħeġġiġhom biex jitilgħu l-insedjamenti tal-fruntiera. Dan wassal għal allarmi kontinwi tul il-fruntieri tal-punent, bi flussi ta 'refuġjati li jirritornaw lejn il-lvant biex jitbiegħdu mill-azzjoni.</v>
      </c>
    </row>
    <row r="11634" ht="15.75" customHeight="1">
      <c r="A11634" s="2" t="s">
        <v>11634</v>
      </c>
      <c r="B11634" s="2" t="str">
        <f>IFERROR(__xludf.DUMMYFUNCTION("GOOGLETRANSLATE(A11634, ""en"", ""mt"")"),"Xi jpinġi l-istorja tal-Mużew tal-Armata Pollakka?")</f>
        <v>Xi jpinġi l-istorja tal-Mużew tal-Armata Pollakka?</v>
      </c>
    </row>
    <row r="11635" ht="15.75" customHeight="1">
      <c r="A11635" s="2" t="s">
        <v>11635</v>
      </c>
      <c r="B11635" s="2" t="str">
        <f>IFERROR(__xludf.DUMMYFUNCTION("GOOGLETRANSLATE(A11635, ""en"", ""mt"")"),"F'liema kontea tal-lum il-kontea tinsab New Rochelle?")</f>
        <v>F'liema kontea tal-lum il-kontea tinsab New Rochelle?</v>
      </c>
    </row>
    <row r="11636" ht="15.75" customHeight="1">
      <c r="A11636" s="2" t="s">
        <v>11636</v>
      </c>
      <c r="B11636" s="2" t="str">
        <f>IFERROR(__xludf.DUMMYFUNCTION("GOOGLETRANSLATE(A11636, ""en"", ""mt"")"),"Min sab li kien hemm kultura żviluppata ta 'kummissarju li ma kellhiex ir-responsabbiltà?")</f>
        <v>Min sab li kien hemm kultura żviluppata ta 'kummissarju li ma kellhiex ir-responsabbiltà?</v>
      </c>
    </row>
    <row r="11637" ht="15.75" customHeight="1">
      <c r="A11637" s="2" t="s">
        <v>11637</v>
      </c>
      <c r="B11637" s="2" t="str">
        <f>IFERROR(__xludf.DUMMYFUNCTION("GOOGLETRANSLATE(A11637, ""en"", ""mt"")")," Liema non-dysty waslet wara l-wan?")</f>
        <v> Liema non-dysty waslet wara l-wan?</v>
      </c>
    </row>
    <row r="11638" ht="15.75" customHeight="1">
      <c r="A11638" s="2" t="s">
        <v>11638</v>
      </c>
      <c r="B11638" s="2" t="str">
        <f>IFERROR(__xludf.DUMMYFUNCTION("GOOGLETRANSLATE(A11638, ""en"", ""mt"")"),"Meta ġie ppruvat it-teorema tan-numru ewlieni?")</f>
        <v>Meta ġie ppruvat it-teorema tan-numru ewlieni?</v>
      </c>
    </row>
    <row r="11639" ht="15.75" customHeight="1">
      <c r="A11639" s="2" t="s">
        <v>11639</v>
      </c>
      <c r="B11639" s="2" t="str">
        <f>IFERROR(__xludf.DUMMYFUNCTION("GOOGLETRANSLATE(A11639, ""en"", ""mt"")"),"Jannar 2010")</f>
        <v>Jannar 2010</v>
      </c>
    </row>
    <row r="11640" ht="15.75" customHeight="1">
      <c r="A11640" s="2" t="s">
        <v>11640</v>
      </c>
      <c r="B11640" s="2" t="str">
        <f>IFERROR(__xludf.DUMMYFUNCTION("GOOGLETRANSLATE(A11640, ""en"", ""mt"")"),"poter politiku ġġenerat mill-ġid")</f>
        <v>poter politiku ġġenerat mill-ġid</v>
      </c>
    </row>
    <row r="11641" ht="15.75" customHeight="1">
      <c r="A11641" s="2" t="s">
        <v>11641</v>
      </c>
      <c r="B11641" s="2" t="str">
        <f>IFERROR(__xludf.DUMMYFUNCTION("GOOGLETRANSLATE(A11641, ""en"", ""mt"")"),"Vitamina D.")</f>
        <v>Vitamina D.</v>
      </c>
    </row>
    <row r="11642" ht="15.75" customHeight="1">
      <c r="A11642" s="2" t="s">
        <v>11642</v>
      </c>
      <c r="B11642" s="2" t="str">
        <f>IFERROR(__xludf.DUMMYFUNCTION("GOOGLETRANSLATE(A11642, ""en"", ""mt"")"),"Xi jfittex il-prinċipju utilitarju għall-akbar numru ta 'nies?")</f>
        <v>Xi jfittex il-prinċipju utilitarju għall-akbar numru ta 'nies?</v>
      </c>
    </row>
    <row r="11643" ht="15.75" customHeight="1">
      <c r="A11643" s="2" t="s">
        <v>11643</v>
      </c>
      <c r="B11643" s="2" t="str">
        <f>IFERROR(__xludf.DUMMYFUNCTION("GOOGLETRANSLATE(A11643, ""en"", ""mt"")"),"Il-frizzjoni statika tibbilanċja liema forza meta ma jkun hemm l-ebda moviment ta 'oġġett fuq wiċċ?")</f>
        <v>Il-frizzjoni statika tibbilanċja liema forza meta ma jkun hemm l-ebda moviment ta 'oġġett fuq wiċċ?</v>
      </c>
    </row>
    <row r="11644" ht="15.75" customHeight="1">
      <c r="A11644" s="2" t="s">
        <v>11644</v>
      </c>
      <c r="B11644" s="2" t="str">
        <f>IFERROR(__xludf.DUMMYFUNCTION("GOOGLETRANSLATE(A11644, ""en"", ""mt"")"),"X'inhu l-isem tat-traduzzjoni Ġermaniża tal-ktieb ta 'Dioscorides?")</f>
        <v>X'inhu l-isem tat-traduzzjoni Ġermaniża tal-ktieb ta 'Dioscorides?</v>
      </c>
    </row>
    <row r="11645" ht="15.75" customHeight="1">
      <c r="A11645" s="2" t="s">
        <v>11645</v>
      </c>
      <c r="B11645" s="2" t="str">
        <f>IFERROR(__xludf.DUMMYFUNCTION("GOOGLETRANSLATE(A11645, ""en"", ""mt"")"),"Jistgħu biss apparati tat-tuffieħ jużaw din is-suite?")</f>
        <v>Jistgħu biss apparati tat-tuffieħ jużaw din is-suite?</v>
      </c>
    </row>
    <row r="11646" ht="15.75" customHeight="1">
      <c r="A11646" s="2" t="s">
        <v>11646</v>
      </c>
      <c r="B11646" s="2" t="str">
        <f>IFERROR(__xludf.DUMMYFUNCTION("GOOGLETRANSLATE(A11646, ""en"", ""mt"")"),"Liema reliġjonijiet segwew Tugh Temur?")</f>
        <v>Liema reliġjonijiet segwew Tugh Temur?</v>
      </c>
    </row>
    <row r="11647" ht="15.75" customHeight="1">
      <c r="A11647" s="2" t="s">
        <v>11647</v>
      </c>
      <c r="B11647" s="2" t="str">
        <f>IFERROR(__xludf.DUMMYFUNCTION("GOOGLETRANSLATE(A11647, ""en"", ""mt"")"),"Bejn liema snin il-Baħar Mediterran kien joħroġ fil-Baħar Tethys?")</f>
        <v>Bejn liema snin il-Baħar Mediterran kien joħroġ fil-Baħar Tethys?</v>
      </c>
    </row>
    <row r="11648" ht="15.75" customHeight="1">
      <c r="A11648" s="2" t="s">
        <v>11648</v>
      </c>
      <c r="B11648" s="2" t="str">
        <f>IFERROR(__xludf.DUMMYFUNCTION("GOOGLETRANSLATE(A11648, ""en"", ""mt"")"),"Min għandu sistema għal kumpaniji li għandhom ir-responsabbiltà finanzjarja li jtemmu proġett?")</f>
        <v>Min għandu sistema għal kumpaniji li għandhom ir-responsabbiltà finanzjarja li jtemmu proġett?</v>
      </c>
    </row>
    <row r="11649" ht="15.75" customHeight="1">
      <c r="A11649" s="2" t="s">
        <v>11649</v>
      </c>
      <c r="B11649" s="2" t="str">
        <f>IFERROR(__xludf.DUMMYFUNCTION("GOOGLETRANSLATE(A11649, ""en"", ""mt"")"),"500,000")</f>
        <v>500,000</v>
      </c>
    </row>
    <row r="11650" ht="15.75" customHeight="1">
      <c r="A11650" s="2" t="s">
        <v>11650</v>
      </c>
      <c r="B11650" s="2" t="str">
        <f>IFERROR(__xludf.DUMMYFUNCTION("GOOGLETRANSLATE(A11650, ""en"", ""mt"")"),"Irbaħ il-ħelsien")</f>
        <v>Irbaħ il-ħelsien</v>
      </c>
    </row>
    <row r="11651" ht="15.75" customHeight="1">
      <c r="A11651" s="2" t="s">
        <v>11651</v>
      </c>
      <c r="B11651" s="2" t="str">
        <f>IFERROR(__xludf.DUMMYFUNCTION("GOOGLETRANSLATE(A11651, ""en"", ""mt"")"),"X'inhu eżempju wieħed ta 'eżempju li r-risposta kwantitattiva għall-problema tal-bejjiegħ li tivvjaġġa tonqos milli twieġeb?")</f>
        <v>X'inhu eżempju wieħed ta 'eżempju li r-risposta kwantitattiva għall-problema tal-bejjiegħ li tivvjaġġa tonqos milli twieġeb?</v>
      </c>
    </row>
    <row r="11652" ht="15.75" customHeight="1">
      <c r="A11652" s="2" t="s">
        <v>11652</v>
      </c>
      <c r="B11652" s="2" t="str">
        <f>IFERROR(__xludf.DUMMYFUNCTION("GOOGLETRANSLATE(A11652, ""en"", ""mt"")"),"X’kopera l-Iskandinavja, il-Baltiċi, l-Iskozja, u l-Alpi fl-aħħar Età tas-Silġ?")</f>
        <v>X’kopera l-Iskandinavja, il-Baltiċi, l-Iskozja, u l-Alpi fl-aħħar Età tas-Silġ?</v>
      </c>
    </row>
    <row r="11653" ht="15.75" customHeight="1">
      <c r="A11653" s="2" t="s">
        <v>11653</v>
      </c>
      <c r="B11653" s="2" t="str">
        <f>IFERROR(__xludf.DUMMYFUNCTION("GOOGLETRANSLATE(A11653, ""en"", ""mt"")"),"Raghuram Rajan")</f>
        <v>Raghuram Rajan</v>
      </c>
    </row>
    <row r="11654" ht="15.75" customHeight="1">
      <c r="A11654" s="2" t="s">
        <v>11654</v>
      </c>
      <c r="B11654" s="2" t="str">
        <f>IFERROR(__xludf.DUMMYFUNCTION("GOOGLETRANSLATE(A11654, ""en"", ""mt"")"),"Uża Sickles biex tiddefla wieħed mill-koppli l-kbar li jkopru żewġ platti bis-satellita")</f>
        <v>Uża Sickles biex tiddefla wieħed mill-koppli l-kbar li jkopru żewġ platti bis-satellita</v>
      </c>
    </row>
    <row r="11655" ht="15.75" customHeight="1">
      <c r="A11655" s="2" t="s">
        <v>11655</v>
      </c>
      <c r="B11655" s="2" t="str">
        <f>IFERROR(__xludf.DUMMYFUNCTION("GOOGLETRANSLATE(A11655, ""en"", ""mt"")"),"Lega ta ’Augsburg")</f>
        <v>Lega ta ’Augsburg</v>
      </c>
    </row>
    <row r="11656" ht="15.75" customHeight="1">
      <c r="A11656" s="2" t="s">
        <v>11656</v>
      </c>
      <c r="B11656" s="2" t="str">
        <f>IFERROR(__xludf.DUMMYFUNCTION("GOOGLETRANSLATE(A11656, ""en"", ""mt"")"),"Marġinali")</f>
        <v>Marġinali</v>
      </c>
    </row>
    <row r="11657" ht="15.75" customHeight="1">
      <c r="A11657" s="2" t="s">
        <v>11657</v>
      </c>
      <c r="B11657" s="2" t="str">
        <f>IFERROR(__xludf.DUMMYFUNCTION("GOOGLETRANSLATE(A11657, ""en"", ""mt"")"),"Protokoll ta 'Montreal")</f>
        <v>Protokoll ta 'Montreal</v>
      </c>
    </row>
    <row r="11658" ht="15.75" customHeight="1">
      <c r="A11658" s="2" t="s">
        <v>11658</v>
      </c>
      <c r="B11658" s="2" t="str">
        <f>IFERROR(__xludf.DUMMYFUNCTION("GOOGLETRANSLATE(A11658, ""en"", ""mt"")"),"L-immunoloġija hija xjenza li teżamina l-istruttura u l-funzjoni tas-sistema immuni. Joriġina mill-mediċina u studji bikrija dwar il-kawżi tal-immunità għall-mard. L-ewwel referenza magħrufa għall-immunità kienet matul il-pesta ta 'Ateni fl-430 QK. Thucyd"&amp;"ides innota li nies li rkupraw minn bout preċedenti tal-marda jistgħu jreddgħu lill-morda mingħajr ma jikkuntrattaw il-marda għat-tieni darba. Fis-seklu 18, Pierre-Louis Moreau de Maupertuis għamel esperimenti bil-velenu tal-iskorpjun u osserva li ċerti k"&amp;"lieb u ġrieden kienu immuni għal dan il-velenu. Dan u osservazzjonijiet oħra ta 'immunità akkwistata ġew sfruttati aktar tard minn Louis Pasteur fl-iżvilupp tiegħu ta' tilqim u t-teorija tal-ġermen proposta tiegħu tal-marda. It-teorija ta 'Pasteur kienet "&amp;"f'oppożizzjoni diretta għat-teoriji kontemporanji tal-mard, bħat-teorija ta' Miasma. Ma kienx il-provi tal-1891 ta 'Robert Koch, li għalihom ingħata Premju Nobel fl-1905, li l-mikro-organiżmi ġew ikkonfermati bħala l-kawża ta' mard infettiv. Il-virus ġew "&amp;"ikkonfermati bħala patoġeni umani fl-1901, bl-iskoperta tal-virus tad-deni isfar minn Walter Reed.")</f>
        <v>L-immunoloġija hija xjenza li teżamina l-istruttura u l-funzjoni tas-sistema immuni. Joriġina mill-mediċina u studji bikrija dwar il-kawżi tal-immunità għall-mard. L-ewwel referenza magħrufa għall-immunità kienet matul il-pesta ta 'Ateni fl-430 QK. Thucydides innota li nies li rkupraw minn bout preċedenti tal-marda jistgħu jreddgħu lill-morda mingħajr ma jikkuntrattaw il-marda għat-tieni darba. Fis-seklu 18, Pierre-Louis Moreau de Maupertuis għamel esperimenti bil-velenu tal-iskorpjun u osserva li ċerti klieb u ġrieden kienu immuni għal dan il-velenu. Dan u osservazzjonijiet oħra ta 'immunità akkwistata ġew sfruttati aktar tard minn Louis Pasteur fl-iżvilupp tiegħu ta' tilqim u t-teorija tal-ġermen proposta tiegħu tal-marda. It-teorija ta 'Pasteur kienet f'oppożizzjoni diretta għat-teoriji kontemporanji tal-mard, bħat-teorija ta' Miasma. Ma kienx il-provi tal-1891 ta 'Robert Koch, li għalihom ingħata Premju Nobel fl-1905, li l-mikro-organiżmi ġew ikkonfermati bħala l-kawża ta' mard infettiv. Il-virus ġew ikkonfermati bħala patoġeni umani fl-1901, bl-iskoperta tal-virus tad-deni isfar minn Walter Reed.</v>
      </c>
    </row>
    <row r="11659" ht="15.75" customHeight="1">
      <c r="A11659" s="2" t="s">
        <v>11659</v>
      </c>
      <c r="B11659" s="2" t="str">
        <f>IFERROR(__xludf.DUMMYFUNCTION("GOOGLETRANSLATE(A11659, ""en"", ""mt"")"),"Conrad ta 'Montferrat")</f>
        <v>Conrad ta 'Montferrat</v>
      </c>
    </row>
    <row r="11660" ht="15.75" customHeight="1">
      <c r="A11660" s="2" t="s">
        <v>11660</v>
      </c>
      <c r="B11660" s="2" t="str">
        <f>IFERROR(__xludf.DUMMYFUNCTION("GOOGLETRANSLATE(A11660, ""en"", ""mt"")"),"Kemm hemm skejjel indipendenti fl-Indja?")</f>
        <v>Kemm hemm skejjel indipendenti fl-Indja?</v>
      </c>
    </row>
    <row r="11661" ht="15.75" customHeight="1">
      <c r="A11661" s="2" t="s">
        <v>11661</v>
      </c>
      <c r="B11661" s="2" t="str">
        <f>IFERROR(__xludf.DUMMYFUNCTION("GOOGLETRANSLATE(A11661, ""en"", ""mt"")"),"F’liema sena Harvard rebaħ kampjonat nazzjonali tal-Assoċjazzjoni Intercolleiate Sailing?")</f>
        <v>F’liema sena Harvard rebaħ kampjonat nazzjonali tal-Assoċjazzjoni Intercolleiate Sailing?</v>
      </c>
    </row>
    <row r="11662" ht="15.75" customHeight="1">
      <c r="A11662" s="2" t="s">
        <v>11662</v>
      </c>
      <c r="B11662" s="2" t="str">
        <f>IFERROR(__xludf.DUMMYFUNCTION("GOOGLETRANSLATE(A11662, ""en"", ""mt"")"),"Lag Rhine")</f>
        <v>Lag Rhine</v>
      </c>
    </row>
    <row r="11663" ht="15.75" customHeight="1">
      <c r="A11663" s="2" t="s">
        <v>11663</v>
      </c>
      <c r="B11663" s="2" t="str">
        <f>IFERROR(__xludf.DUMMYFUNCTION("GOOGLETRANSLATE(A11663, ""en"", ""mt"")"),"Ma 'liema konsorzju kien inkluż BSKYB?")</f>
        <v>Ma 'liema konsorzju kien inkluż BSKYB?</v>
      </c>
    </row>
    <row r="11664" ht="15.75" customHeight="1">
      <c r="A11664" s="2" t="s">
        <v>11664</v>
      </c>
      <c r="B11664" s="2" t="str">
        <f>IFERROR(__xludf.DUMMYFUNCTION("GOOGLETRANSLATE(A11664, ""en"", ""mt"")"),"Gwerra tar-Re Ġorġ")</f>
        <v>Gwerra tar-Re Ġorġ</v>
      </c>
    </row>
    <row r="11665" ht="15.75" customHeight="1">
      <c r="A11665" s="2" t="s">
        <v>11665</v>
      </c>
      <c r="B11665" s="2" t="str">
        <f>IFERROR(__xludf.DUMMYFUNCTION("GOOGLETRANSLATE(A11665, ""en"", ""mt"")"),"Ċerti numru ta 'salarji tal-għalliema jitħallsu mill-istat")</f>
        <v>Ċerti numru ta 'salarji tal-għalliema jitħallsu mill-istat</v>
      </c>
    </row>
    <row r="11666" ht="15.75" customHeight="1">
      <c r="A11666" s="2" t="s">
        <v>11666</v>
      </c>
      <c r="B11666" s="2" t="str">
        <f>IFERROR(__xludf.DUMMYFUNCTION("GOOGLETRANSLATE(A11666, ""en"", ""mt"")"),"anke")</f>
        <v>anke</v>
      </c>
    </row>
    <row r="11667" ht="15.75" customHeight="1">
      <c r="A11667" s="2" t="s">
        <v>11667</v>
      </c>
      <c r="B11667" s="2" t="str">
        <f>IFERROR(__xludf.DUMMYFUNCTION("GOOGLETRANSLATE(A11667, ""en"", ""mt"")"),"L-aħħar snin tad-dinastija Yuan kienu mmarkati mill-ġlieda, il-ġuħ, u l-imrar fost il-popolazzjoni. Biż-żmien, is-suċċessuri ta 'Kublai Khan tilfu l-influwenza kollha fuq artijiet oħra tal-Mongolja madwar l-Asja, filwaqt li l-Mongoli lil hinn mir-Renju No"&amp;"fsani rawhom bħala Ċiniżi wisq. Gradwalment, huma tilfu l-influwenza wkoll fiċ-Ċina. Ir-renji tal-imperaturi tal-Yuan aktar tard kienu qosra u mmarkati minn intrigues u rivalitajiet. Mhux interessati fl-amministrazzjoni, ġew separati kemm mill-armata kif "&amp;"ukoll mill-popolazzjoni, u ċ-Ċina kienet imqatta 'minn dissensjoni u inkwiet. Outlaws ħarbtu l-pajjiż mingħajr interferenza mill-armati tal-wan li jiddgħajfu.")</f>
        <v>L-aħħar snin tad-dinastija Yuan kienu mmarkati mill-ġlieda, il-ġuħ, u l-imrar fost il-popolazzjoni. Biż-żmien, is-suċċessuri ta 'Kublai Khan tilfu l-influwenza kollha fuq artijiet oħra tal-Mongolja madwar l-Asja, filwaqt li l-Mongoli lil hinn mir-Renju Nofsani rawhom bħala Ċiniżi wisq. Gradwalment, huma tilfu l-influwenza wkoll fiċ-Ċina. Ir-renji tal-imperaturi tal-Yuan aktar tard kienu qosra u mmarkati minn intrigues u rivalitajiet. Mhux interessati fl-amministrazzjoni, ġew separati kemm mill-armata kif ukoll mill-popolazzjoni, u ċ-Ċina kienet imqatta 'minn dissensjoni u inkwiet. Outlaws ħarbtu l-pajjiż mingħajr interferenza mill-armati tal-wan li jiddgħajfu.</v>
      </c>
    </row>
    <row r="11668" ht="15.75" customHeight="1">
      <c r="A11668" s="2" t="s">
        <v>11668</v>
      </c>
      <c r="B11668" s="2" t="str">
        <f>IFERROR(__xludf.DUMMYFUNCTION("GOOGLETRANSLATE(A11668, ""en"", ""mt"")"),"Kuntratti abbozzati ħażin")</f>
        <v>Kuntratti abbozzati ħażin</v>
      </c>
    </row>
    <row r="11669" ht="15.75" customHeight="1">
      <c r="A11669" s="2" t="s">
        <v>11669</v>
      </c>
      <c r="B11669" s="2" t="str">
        <f>IFERROR(__xludf.DUMMYFUNCTION("GOOGLETRANSLATE(A11669, ""en"", ""mt"")"),"Meta miet Zhu Shijie?")</f>
        <v>Meta miet Zhu Shijie?</v>
      </c>
    </row>
    <row r="11670" ht="15.75" customHeight="1">
      <c r="A11670" s="2" t="s">
        <v>11670</v>
      </c>
      <c r="B11670" s="2" t="str">
        <f>IFERROR(__xludf.DUMMYFUNCTION("GOOGLETRANSLATE(A11670, ""en"", ""mt"")")," Fejn il-kotba ta 'Maududi ma poġġewx l-Islam?")</f>
        <v> Fejn il-kotba ta 'Maududi ma poġġewx l-Islam?</v>
      </c>
    </row>
    <row r="11671" ht="15.75" customHeight="1">
      <c r="A11671" s="2" t="s">
        <v>11671</v>
      </c>
      <c r="B11671" s="2" t="str">
        <f>IFERROR(__xludf.DUMMYFUNCTION("GOOGLETRANSLATE(A11671, ""en"", ""mt"")"),"Xi tirrilaxxa r-respirazzjoni fl-atmosfera?")</f>
        <v>Xi tirrilaxxa r-respirazzjoni fl-atmosfera?</v>
      </c>
    </row>
    <row r="11672" ht="15.75" customHeight="1">
      <c r="A11672" s="2" t="s">
        <v>11672</v>
      </c>
      <c r="B11672" s="2" t="str">
        <f>IFERROR(__xludf.DUMMYFUNCTION("GOOGLETRANSLATE(A11672, ""en"", ""mt"")"),"Kif tissejjaħ interpretazzjoni fundamentalista tal-Iżlam?")</f>
        <v>Kif tissejjaħ interpretazzjoni fundamentalista tal-Iżlam?</v>
      </c>
    </row>
    <row r="11673" ht="15.75" customHeight="1">
      <c r="A11673" s="2" t="s">
        <v>11673</v>
      </c>
      <c r="B11673" s="2" t="str">
        <f>IFERROR(__xludf.DUMMYFUNCTION("GOOGLETRANSLATE(A11673, ""en"", ""mt"")"),"kolp ta 'stat militari")</f>
        <v>kolp ta 'stat militari</v>
      </c>
    </row>
    <row r="11674" ht="15.75" customHeight="1">
      <c r="A11674" s="2" t="s">
        <v>11674</v>
      </c>
      <c r="B11674" s="2" t="str">
        <f>IFERROR(__xludf.DUMMYFUNCTION("GOOGLETRANSLATE(A11674, ""en"", ""mt"")"),"Għaliex xi tribujiet jużaw teknoloġija ta 'telerilevament?")</f>
        <v>Għaliex xi tribujiet jużaw teknoloġija ta 'telerilevament?</v>
      </c>
    </row>
    <row r="11675" ht="15.75" customHeight="1">
      <c r="A11675" s="2" t="s">
        <v>11675</v>
      </c>
      <c r="B11675" s="2" t="str">
        <f>IFERROR(__xludf.DUMMYFUNCTION("GOOGLETRANSLATE(A11675, ""en"", ""mt"")"),"Ctenophores kienu meqjusa bħala ""truf mejta"" fil-ktajjen tal-ikel tal-baħar minħabba li kien maħsub il-proporzjon baxx tagħhom ta 'materja organika għall-melħ u l-ilma għamilhom dieta ħażina għal annimali oħra. Ħafna drabi huwa wkoll diffiċli li jiġu id"&amp;"entifikati l-fdalijiet ta 'ctenophores fl-imsaren ta' predaturi possibbli, għalkemm il-pettnijiet kultant jibqgħu intatti biżżejjed biex jipprovdu ħjiel. Investigazzjoni dettaljata tas-salamun chum, Oncorhynchus keta, wriet li dawn il-ħut diġestiti ctenop"&amp;"hores 20 darba malajr daqs piż ugwali ta 'gambli, u li ċ-ċtenofori jistgħu jipprovdu dieta tajba jekk hemm biżżejjed minnhom madwarhom. Beroids priża prinċipalment fuq ctenophores oħra. Xi bram u fkieren jieklu kwantitajiet kbar ta 'ctenophores, u l-bram "&amp;"jista' temporanjament iħassar il-popolazzjonijiet ta 'ctenophore. Peress li ċ-ċtenofori u l-bram spiss ikollhom varjazzjonijiet staġjonali kbar fil-popolazzjoni, il-biċċa l-kbira tal-ħut li priża fuqhom huma ġeneralisti, u jista 'jkollhom effett akbar fuq"&amp;" il-popolazzjonijiet milli l-ispeċjalisti tal-ġelatina. Dan huwa enfasizzat minn osservazzjoni ta 'ħut erbivori li jitma' deliberatament fuq zooplankton ġelatinuż waqt fjorituri fil-Baħar l-Aħmar. Il-larva ta 'xi anemoni tal-baħar huma parassiti fuq cteno"&amp;"phores, bħalma huma l-larva ta' xi dud tal-flat li parassitizzaw il-ħut meta jilħqu l-età adulta.")</f>
        <v>Ctenophores kienu meqjusa bħala "truf mejta" fil-ktajjen tal-ikel tal-baħar minħabba li kien maħsub il-proporzjon baxx tagħhom ta 'materja organika għall-melħ u l-ilma għamilhom dieta ħażina għal annimali oħra. Ħafna drabi huwa wkoll diffiċli li jiġu identifikati l-fdalijiet ta 'ctenophores fl-imsaren ta' predaturi possibbli, għalkemm il-pettnijiet kultant jibqgħu intatti biżżejjed biex jipprovdu ħjiel. Investigazzjoni dettaljata tas-salamun chum, Oncorhynchus keta, wriet li dawn il-ħut diġestiti ctenophores 20 darba malajr daqs piż ugwali ta 'gambli, u li ċ-ċtenofori jistgħu jipprovdu dieta tajba jekk hemm biżżejjed minnhom madwarhom. Beroids priża prinċipalment fuq ctenophores oħra. Xi bram u fkieren jieklu kwantitajiet kbar ta 'ctenophores, u l-bram jista' temporanjament iħassar il-popolazzjonijiet ta 'ctenophore. Peress li ċ-ċtenofori u l-bram spiss ikollhom varjazzjonijiet staġjonali kbar fil-popolazzjoni, il-biċċa l-kbira tal-ħut li priża fuqhom huma ġeneralisti, u jista 'jkollhom effett akbar fuq il-popolazzjonijiet milli l-ispeċjalisti tal-ġelatina. Dan huwa enfasizzat minn osservazzjoni ta 'ħut erbivori li jitma' deliberatament fuq zooplankton ġelatinuż waqt fjorituri fil-Baħar l-Aħmar. Il-larva ta 'xi anemoni tal-baħar huma parassiti fuq ctenophores, bħalma huma l-larva ta' xi dud tal-flat li parassitizzaw il-ħut meta jilħqu l-età adulta.</v>
      </c>
    </row>
    <row r="11676" ht="15.75" customHeight="1">
      <c r="A11676" s="2" t="s">
        <v>11676</v>
      </c>
      <c r="B11676" s="2" t="str">
        <f>IFERROR(__xludf.DUMMYFUNCTION("GOOGLETRANSLATE(A11676, ""en"", ""mt"")"),"Kemm Huguenots għexu fil-West Frisia fl-1705?")</f>
        <v>Kemm Huguenots għexu fil-West Frisia fl-1705?</v>
      </c>
    </row>
    <row r="11677" ht="15.75" customHeight="1">
      <c r="A11677" s="2" t="s">
        <v>11677</v>
      </c>
      <c r="B11677" s="2" t="str">
        <f>IFERROR(__xludf.DUMMYFUNCTION("GOOGLETRANSLATE(A11677, ""en"", ""mt"")"),"Wieħed mill-pretendenti tat-tron Ingliż li jopponi lil William the Conqueror, Edgar Atheling, eventwalment ħarab lejn l-Iskozja. Ir-Re Malcolm III tal-Iskozja żżewweġ lil oħt Edgar Margaret, u daħal fl-oppożizzjoni ma 'William li kien diġà kkontesta l-fru"&amp;"ntieri tan-Nofsinhar tal-Iskozja. William invada l-Iskozja fl-1072, riekeb sa Abernethy fejn iltaqa 'mal-flotta tiegħu ta' vapuri. Malcolm ippreżenta, sellem lil William u ċeda lil ibnu Duncan bħala ostaġġ, li beda serje ta 'argumenti dwar jekk il-Kuruna "&amp;"Skoċċiża kienet dovuta lealtà lir-Re tal-Ingilterra.")</f>
        <v>Wieħed mill-pretendenti tat-tron Ingliż li jopponi lil William the Conqueror, Edgar Atheling, eventwalment ħarab lejn l-Iskozja. Ir-Re Malcolm III tal-Iskozja żżewweġ lil oħt Edgar Margaret, u daħal fl-oppożizzjoni ma 'William li kien diġà kkontesta l-fruntieri tan-Nofsinhar tal-Iskozja. William invada l-Iskozja fl-1072, riekeb sa Abernethy fejn iltaqa 'mal-flotta tiegħu ta' vapuri. Malcolm ippreżenta, sellem lil William u ċeda lil ibnu Duncan bħala ostaġġ, li beda serje ta 'argumenti dwar jekk il-Kuruna Skoċċiża kienet dovuta lealtà lir-Re tal-Ingilterra.</v>
      </c>
    </row>
    <row r="11678" ht="15.75" customHeight="1">
      <c r="A11678" s="2" t="s">
        <v>11678</v>
      </c>
      <c r="B11678" s="2" t="str">
        <f>IFERROR(__xludf.DUMMYFUNCTION("GOOGLETRANSLATE(A11678, ""en"", ""mt"")"),"X'tista stabbilixxa Mazda fl-Istati Uniti fl-1973?")</f>
        <v>X'tista stabbilixxa Mazda fl-Istati Uniti fl-1973?</v>
      </c>
    </row>
    <row r="11679" ht="15.75" customHeight="1">
      <c r="A11679" s="2" t="s">
        <v>11679</v>
      </c>
      <c r="B11679" s="2" t="str">
        <f>IFERROR(__xludf.DUMMYFUNCTION("GOOGLETRANSLATE(A11679, ""en"", ""mt"")"),"Il-liġi tal-Unjoni Ewropea hija korp ta 'trattati u leġiżlazzjoni, bħal regolamenti u direttivi, li għandhom effett dirett jew effett indirett fuq il-liġijiet tal-Istati Membri tal-Unjoni Ewropea. It-tliet sorsi tal-liġi tal-Unjoni Ewropea huma l-liġi pri"&amp;"marja, il-liġi sekondarja u l-liġi supplimentari. Is-sorsi ewlenin tal-liġi primarja huma t-trattati li jistabbilixxu l-Unjoni Ewropea. Sorsi sekondarji jinkludu regolamenti u direttivi li huma bbażati fuq it-trattati. Il-leġiżlatur tal-Unjoni Ewropea huw"&amp;"a prinċipalment magħmul mill-Parlament Ewropew u l-Kunsill tal-Unjoni Ewropea, li taħt it-trattati jista 'jistabbilixxi liġi sekondarja biex issegwi l-għan stabbilit fit-trattati.")</f>
        <v>Il-liġi tal-Unjoni Ewropea hija korp ta 'trattati u leġiżlazzjoni, bħal regolamenti u direttivi, li għandhom effett dirett jew effett indirett fuq il-liġijiet tal-Istati Membri tal-Unjoni Ewropea. It-tliet sorsi tal-liġi tal-Unjoni Ewropea huma l-liġi primarja, il-liġi sekondarja u l-liġi supplimentari. Is-sorsi ewlenin tal-liġi primarja huma t-trattati li jistabbilixxu l-Unjoni Ewropea. Sorsi sekondarji jinkludu regolamenti u direttivi li huma bbażati fuq it-trattati. Il-leġiżlatur tal-Unjoni Ewropea huwa prinċipalment magħmul mill-Parlament Ewropew u l-Kunsill tal-Unjoni Ewropea, li taħt it-trattati jista 'jistabbilixxi liġi sekondarja biex issegwi l-għan stabbilit fit-trattati.</v>
      </c>
    </row>
    <row r="11680" ht="15.75" customHeight="1">
      <c r="A11680" s="2" t="s">
        <v>11680</v>
      </c>
      <c r="B11680" s="2" t="str">
        <f>IFERROR(__xludf.DUMMYFUNCTION("GOOGLETRANSLATE(A11680, ""en"", ""mt"")"),"Determiniżmu Ambjentali")</f>
        <v>Determiniżmu Ambjentali</v>
      </c>
    </row>
    <row r="11681" ht="15.75" customHeight="1">
      <c r="A11681" s="2" t="s">
        <v>11681</v>
      </c>
      <c r="B11681" s="2" t="str">
        <f>IFERROR(__xludf.DUMMYFUNCTION("GOOGLETRANSLATE(A11681, ""en"", ""mt"")"),"It-torque huwa l-ekwivalenti tar-rotazzjoni tal-forza bl-istess mod li l-angolu huwa l-ekwivalenti rotazzjonali għall-pożizzjoni, il-veloċità angolari għall-veloċità, u l-momentum angolari għall-momentum. Bħala konsegwenza tal-ewwel liġi ta 'mozzjoni ta' "&amp;"Newton, teżisti inerzja rotazzjonali li tiżgura li l-korpi kollha jżommu l-momentum angolari tagħhom sakemm ma jaġixxux minn torque żbilanċjat. Bl-istess mod, it-tieni liġi ta 'moviment ta' Newton tista 'tintuża biex toħroġ ekwazzjoni analoga għall-aċċell"&amp;"erazzjoni angolari istantanja tal-korp riġidu:")</f>
        <v>It-torque huwa l-ekwivalenti tar-rotazzjoni tal-forza bl-istess mod li l-angolu huwa l-ekwivalenti rotazzjonali għall-pożizzjoni, il-veloċità angolari għall-veloċità, u l-momentum angolari għall-momentum. Bħala konsegwenza tal-ewwel liġi ta 'mozzjoni ta' Newton, teżisti inerzja rotazzjonali li tiżgura li l-korpi kollha jżommu l-momentum angolari tagħhom sakemm ma jaġixxux minn torque żbilanċjat. Bl-istess mod, it-tieni liġi ta 'moviment ta' Newton tista 'tintuża biex toħroġ ekwazzjoni analoga għall-aċċellerazzjoni angolari istantanja tal-korp riġidu:</v>
      </c>
    </row>
    <row r="11682" ht="15.75" customHeight="1">
      <c r="A11682" s="2" t="s">
        <v>11682</v>
      </c>
      <c r="B11682" s="2" t="str">
        <f>IFERROR(__xludf.DUMMYFUNCTION("GOOGLETRANSLATE(A11682, ""en"", ""mt"")"),"Meta ngħatat l-amnestija lil dawk responsabbli għall-massakru?")</f>
        <v>Meta ngħatat l-amnestija lil dawk responsabbli għall-massakru?</v>
      </c>
    </row>
    <row r="11683" ht="15.75" customHeight="1">
      <c r="A11683" s="2" t="s">
        <v>11683</v>
      </c>
      <c r="B11683" s="2" t="str">
        <f>IFERROR(__xludf.DUMMYFUNCTION("GOOGLETRANSLATE(A11683, ""en"", ""mt"")"),"il-Qorti Ewropea tal-Ġustizzja u l-ogħla qrati nazzjonali")</f>
        <v>il-Qorti Ewropea tal-Ġustizzja u l-ogħla qrati nazzjonali</v>
      </c>
    </row>
    <row r="11684" ht="15.75" customHeight="1">
      <c r="A11684" s="2" t="s">
        <v>11684</v>
      </c>
      <c r="B11684" s="2" t="str">
        <f>IFERROR(__xludf.DUMMYFUNCTION("GOOGLETRANSLATE(A11684, ""en"", ""mt"")"),"Zhongdu")</f>
        <v>Zhongdu</v>
      </c>
    </row>
    <row r="11685" ht="15.75" customHeight="1">
      <c r="A11685" s="2" t="s">
        <v>11685</v>
      </c>
      <c r="B11685" s="2" t="str">
        <f>IFERROR(__xludf.DUMMYFUNCTION("GOOGLETRANSLATE(A11685, ""en"", ""mt"")"),"90%")</f>
        <v>90%</v>
      </c>
    </row>
    <row r="11686" ht="15.75" customHeight="1">
      <c r="A11686" s="2" t="s">
        <v>11686</v>
      </c>
      <c r="B11686" s="2" t="str">
        <f>IFERROR(__xludf.DUMMYFUNCTION("GOOGLETRANSLATE(A11686, ""en"", ""mt"")"),"jekk hux se jagħmel iktar ħsara milli ġid.")</f>
        <v>jekk hux se jagħmel iktar ħsara milli ġid.</v>
      </c>
    </row>
    <row r="11687" ht="15.75" customHeight="1">
      <c r="A11687" s="2" t="s">
        <v>11687</v>
      </c>
      <c r="B11687" s="2" t="str">
        <f>IFERROR(__xludf.DUMMYFUNCTION("GOOGLETRANSLATE(A11687, ""en"", ""mt"")"),"Ritorn ogħla")</f>
        <v>Ritorn ogħla</v>
      </c>
    </row>
    <row r="11688" ht="15.75" customHeight="1">
      <c r="A11688" s="2" t="s">
        <v>11688</v>
      </c>
      <c r="B11688" s="2" t="str">
        <f>IFERROR(__xludf.DUMMYFUNCTION("GOOGLETRANSLATE(A11688, ""en"", ""mt"")"),"Il-Bord tal-Fiduċjarji")</f>
        <v>Il-Bord tal-Fiduċjarji</v>
      </c>
    </row>
    <row r="11689" ht="15.75" customHeight="1">
      <c r="A11689" s="2" t="s">
        <v>11689</v>
      </c>
      <c r="B11689" s="2" t="str">
        <f>IFERROR(__xludf.DUMMYFUNCTION("GOOGLETRANSLATE(A11689, ""en"", ""mt"")"),"X'ifisser ""Da Yuan Tong Zhi""?")</f>
        <v>X'ifisser "Da Yuan Tong Zhi"?</v>
      </c>
    </row>
    <row r="11690" ht="15.75" customHeight="1">
      <c r="A11690" s="2" t="s">
        <v>11690</v>
      </c>
      <c r="B11690" s="2" t="str">
        <f>IFERROR(__xludf.DUMMYFUNCTION("GOOGLETRANSLATE(A11690, ""en"", ""mt"")"),"Twin-cylinder")</f>
        <v>Twin-cylinder</v>
      </c>
    </row>
    <row r="11691" ht="15.75" customHeight="1">
      <c r="A11691" s="2" t="s">
        <v>11691</v>
      </c>
      <c r="B11691" s="2" t="str">
        <f>IFERROR(__xludf.DUMMYFUNCTION("GOOGLETRANSLATE(A11691, ""en"", ""mt"")"),"Fejn kienet l-akbar soluzzjoni ta 'Huguenots fl-Irlanda?")</f>
        <v>Fejn kienet l-akbar soluzzjoni ta 'Huguenots fl-Irlanda?</v>
      </c>
    </row>
    <row r="11692" ht="15.75" customHeight="1">
      <c r="A11692" s="2" t="s">
        <v>11692</v>
      </c>
      <c r="B11692" s="2" t="str">
        <f>IFERROR(__xludf.DUMMYFUNCTION("GOOGLETRANSLATE(A11692, ""en"", ""mt"")"),"id-deżert tad-distrett ta 'Maine")</f>
        <v>id-deżert tad-distrett ta 'Maine</v>
      </c>
    </row>
    <row r="11693" ht="15.75" customHeight="1">
      <c r="A11693" s="2" t="s">
        <v>11693</v>
      </c>
      <c r="B11693" s="2" t="str">
        <f>IFERROR(__xludf.DUMMYFUNCTION("GOOGLETRANSLATE(A11693, ""en"", ""mt"")"),"$ 2.2 biljun")</f>
        <v>$ 2.2 biljun</v>
      </c>
    </row>
    <row r="11694" ht="15.75" customHeight="1">
      <c r="A11694" s="2" t="s">
        <v>11694</v>
      </c>
      <c r="B11694" s="2" t="str">
        <f>IFERROR(__xludf.DUMMYFUNCTION("GOOGLETRANSLATE(A11694, ""en"", ""mt"")"),"1708")</f>
        <v>1708</v>
      </c>
    </row>
    <row r="11695" ht="15.75" customHeight="1">
      <c r="A11695" s="2" t="s">
        <v>11695</v>
      </c>
      <c r="B11695" s="2" t="str">
        <f>IFERROR(__xludf.DUMMYFUNCTION("GOOGLETRANSLATE(A11695, ""en"", ""mt"")"),"X'tip ta 'kurrikulu ffoka fuq l-iskejjel pubbliċi għal studenti bojod?")</f>
        <v>X'tip ta 'kurrikulu ffoka fuq l-iskejjel pubbliċi għal studenti bojod?</v>
      </c>
    </row>
    <row r="11696" ht="15.75" customHeight="1">
      <c r="A11696" s="2" t="s">
        <v>11696</v>
      </c>
      <c r="B11696" s="2" t="str">
        <f>IFERROR(__xludf.DUMMYFUNCTION("GOOGLETRANSLATE(A11696, ""en"", ""mt"")"),"Kif jissejħu x-xagħar fuq ctenophores?")</f>
        <v>Kif jissejħu x-xagħar fuq ctenophores?</v>
      </c>
    </row>
    <row r="11697" ht="15.75" customHeight="1">
      <c r="A11697" s="2" t="s">
        <v>11697</v>
      </c>
      <c r="B11697" s="2" t="str">
        <f>IFERROR(__xludf.DUMMYFUNCTION("GOOGLETRANSLATE(A11697, ""en"", ""mt"")"),"methotrexate jew azathioprine")</f>
        <v>methotrexate jew azathioprine</v>
      </c>
    </row>
    <row r="11698" ht="15.75" customHeight="1">
      <c r="A11698" s="2" t="s">
        <v>11698</v>
      </c>
      <c r="B11698" s="2" t="str">
        <f>IFERROR(__xludf.DUMMYFUNCTION("GOOGLETRANSLATE(A11698, ""en"", ""mt"")"),"Bliet li jankraw ir-reġjuni huma spiss il-hub għal x'tip ta 'attività?")</f>
        <v>Bliet li jankraw ir-reġjuni huma spiss il-hub għal x'tip ta 'attività?</v>
      </c>
    </row>
    <row r="11699" ht="15.75" customHeight="1">
      <c r="A11699" s="2" t="s">
        <v>11699</v>
      </c>
      <c r="B11699" s="2" t="str">
        <f>IFERROR(__xludf.DUMMYFUNCTION("GOOGLETRANSLATE(A11699, ""en"", ""mt"")"),"X'inhu riżultat wieħed ta 'ribelljoni ċivili?")</f>
        <v>X'inhu riżultat wieħed ta 'ribelljoni ċivili?</v>
      </c>
    </row>
    <row r="11700" ht="15.75" customHeight="1">
      <c r="A11700" s="2" t="s">
        <v>11700</v>
      </c>
      <c r="B11700" s="2" t="str">
        <f>IFERROR(__xludf.DUMMYFUNCTION("GOOGLETRANSLATE(A11700, ""en"", ""mt"")"),"Xi numru ikbar minn 1 jista 'jkun irrappreżentat bħala prodott ta' xiex?")</f>
        <v>Xi numru ikbar minn 1 jista 'jkun irrappreżentat bħala prodott ta' xiex?</v>
      </c>
    </row>
    <row r="11701" ht="15.75" customHeight="1">
      <c r="A11701" s="2" t="s">
        <v>11701</v>
      </c>
      <c r="B11701" s="2" t="str">
        <f>IFERROR(__xludf.DUMMYFUNCTION("GOOGLETRANSLATE(A11701, ""en"", ""mt"")"),"L-università topera 12-il istitut ta 'riċerka u 113 ċentri ta' riċerka fuq il-kampus. Fost dawn hemm l-Istitut Orjentali - Mużew u Ċentru ta 'Riċerka għal Studji tal-Lvant Qarib proprjetà u mħaddma mill-Università - u numru ta' ċentri ta 'riżorsi nazzjona"&amp;"li, inkluż iċ-Ċentru għall-Istudji tal-Lvant Nofsani. Chicago topera wkoll jew hija affiljata ma 'numru ta' istituzzjonijiet ta 'riċerka apparti mill-università kif suppost. L-università timmaniġġja parzjalment il-Laboratorju Nazzjonali ta 'Argonne, parti"&amp;" mis-sistema tal-laboratorju nazzjonali tad-Dipartiment tal-Enerġija ta' l-Istati Uniti, u għandha sehem konġunt f'Fermilab, laboratorju tal-fiżika tal-partikuli fil-qrib, kif ukoll sehem fl-Osservatorju tal-Punt Apache f'Sunspot, New Mexico. Fakultà u st"&amp;"udenti fl-Istitut Teknoloġiku ta 'Toyota li jmiss Il-kampus ta 'Chicago.")</f>
        <v>L-università topera 12-il istitut ta 'riċerka u 113 ċentri ta' riċerka fuq il-kampus. Fost dawn hemm l-Istitut Orjentali - Mużew u Ċentru ta 'Riċerka għal Studji tal-Lvant Qarib proprjetà u mħaddma mill-Università - u numru ta' ċentri ta 'riżorsi nazzjonali, inkluż iċ-Ċentru għall-Istudji tal-Lvant Nofsani. Chicago topera wkoll jew hija affiljata ma 'numru ta' istituzzjonijiet ta 'riċerka apparti mill-università kif suppost. L-università timmaniġġja parzjalment il-Laboratorju Nazzjonali ta 'Argonne, parti mis-sistema tal-laboratorju nazzjonali tad-Dipartiment tal-Enerġija ta' l-Istati Uniti, u għandha sehem konġunt f'Fermilab, laboratorju tal-fiżika tal-partikuli fil-qrib, kif ukoll sehem fl-Osservatorju tal-Punt Apache f'Sunspot, New Mexico. Fakultà u studenti fl-Istitut Teknoloġiku ta 'Toyota li jmiss Il-kampus ta 'Chicago.</v>
      </c>
    </row>
    <row r="11702" ht="15.75" customHeight="1">
      <c r="A11702" s="2" t="s">
        <v>11702</v>
      </c>
      <c r="B11702" s="2" t="str">
        <f>IFERROR(__xludf.DUMMYFUNCTION("GOOGLETRANSLATE(A11702, ""en"", ""mt"")"),"Fejn iqattgħu l-maġġoranza ta 'ħajjithom?")</f>
        <v>Fejn iqattgħu l-maġġoranza ta 'ħajjithom?</v>
      </c>
    </row>
    <row r="11703" ht="15.75" customHeight="1">
      <c r="A11703" s="2" t="s">
        <v>11703</v>
      </c>
      <c r="B11703" s="2" t="str">
        <f>IFERROR(__xludf.DUMMYFUNCTION("GOOGLETRANSLATE(A11703, ""en"", ""mt"")"),"Kien bilqiegħda huwa 874.3 km²?")</f>
        <v>Kien bilqiegħda huwa 874.3 km²?</v>
      </c>
    </row>
    <row r="11704" ht="15.75" customHeight="1">
      <c r="A11704" s="2" t="s">
        <v>11704</v>
      </c>
      <c r="B11704" s="2" t="str">
        <f>IFERROR(__xludf.DUMMYFUNCTION("GOOGLETRANSLATE(A11704, ""en"", ""mt"")"),"jittradixxi l-preżenza ta 'raġel fid-dar")</f>
        <v>jittradixxi l-preżenza ta 'raġel fid-dar</v>
      </c>
    </row>
    <row r="11705" ht="15.75" customHeight="1">
      <c r="A11705" s="2" t="s">
        <v>11705</v>
      </c>
      <c r="B11705" s="2" t="str">
        <f>IFERROR(__xludf.DUMMYFUNCTION("GOOGLETRANSLATE(A11705, ""en"", ""mt"")"),"influwenza")</f>
        <v>influwenza</v>
      </c>
    </row>
    <row r="11706" ht="15.75" customHeight="1">
      <c r="A11706" s="2" t="s">
        <v>11706</v>
      </c>
      <c r="B11706" s="2" t="str">
        <f>IFERROR(__xludf.DUMMYFUNCTION("GOOGLETRANSLATE(A11706, ""en"", ""mt"")"),"X'inhi l-akbar infrastruttura inkwistjoni msemmija?")</f>
        <v>X'inhi l-akbar infrastruttura inkwistjoni msemmija?</v>
      </c>
    </row>
    <row r="11707" ht="15.75" customHeight="1">
      <c r="A11707" s="2" t="s">
        <v>11707</v>
      </c>
      <c r="B11707" s="2" t="str">
        <f>IFERROR(__xludf.DUMMYFUNCTION("GOOGLETRANSLATE(A11707, ""en"", ""mt"")"),"2000")</f>
        <v>2000</v>
      </c>
    </row>
    <row r="11708" ht="15.75" customHeight="1">
      <c r="A11708" s="2" t="s">
        <v>11708</v>
      </c>
      <c r="B11708" s="2" t="str">
        <f>IFERROR(__xludf.DUMMYFUNCTION("GOOGLETRANSLATE(A11708, ""en"", ""mt"")"),"Liema żona kien Kublai jipprova jaqbad billi jattakka lil Xiangyang?")</f>
        <v>Liema żona kien Kublai jipprova jaqbad billi jattakka lil Xiangyang?</v>
      </c>
    </row>
    <row r="11709" ht="15.75" customHeight="1">
      <c r="A11709" s="2" t="s">
        <v>11709</v>
      </c>
      <c r="B11709" s="2" t="str">
        <f>IFERROR(__xludf.DUMMYFUNCTION("GOOGLETRANSLATE(A11709, ""en"", ""mt"")"),"X'inhuma l-Frogs Dart li huma magħrufa li jnixxu?")</f>
        <v>X'inhuma l-Frogs Dart li huma magħrufa li jnixxu?</v>
      </c>
    </row>
    <row r="11710" ht="15.75" customHeight="1">
      <c r="A11710" s="2" t="s">
        <v>11710</v>
      </c>
      <c r="B11710" s="2" t="str">
        <f>IFERROR(__xludf.DUMMYFUNCTION("GOOGLETRANSLATE(A11710, ""en"", ""mt"")")," Liema sena iqbal telaq minn Lahore?")</f>
        <v> Liema sena iqbal telaq minn Lahore?</v>
      </c>
    </row>
    <row r="11711" ht="15.75" customHeight="1">
      <c r="A11711" s="2" t="s">
        <v>11711</v>
      </c>
      <c r="B11711" s="2" t="str">
        <f>IFERROR(__xludf.DUMMYFUNCTION("GOOGLETRANSLATE(A11711, ""en"", ""mt"")"),"Min jippreżenta ideat differenti dwar kif jistgħu jintlaħqu l-għanijiet?")</f>
        <v>Min jippreżenta ideat differenti dwar kif jistgħu jintlaħqu l-għanijiet?</v>
      </c>
    </row>
    <row r="11712" ht="15.75" customHeight="1">
      <c r="A11712" s="2" t="s">
        <v>11712</v>
      </c>
      <c r="B11712" s="2" t="str">
        <f>IFERROR(__xludf.DUMMYFUNCTION("GOOGLETRANSLATE(A11712, ""en"", ""mt"")"),"Il-qoxra tad-Dinja")</f>
        <v>Il-qoxra tad-Dinja</v>
      </c>
    </row>
    <row r="11713" ht="15.75" customHeight="1">
      <c r="A11713" s="2" t="s">
        <v>11713</v>
      </c>
      <c r="B11713" s="2" t="str">
        <f>IFERROR(__xludf.DUMMYFUNCTION("GOOGLETRANSLATE(A11713, ""en"", ""mt"")"),"Sultan Korean")</f>
        <v>Sultan Korean</v>
      </c>
    </row>
    <row r="11714" ht="15.75" customHeight="1">
      <c r="A11714" s="2" t="s">
        <v>11714</v>
      </c>
      <c r="B11714" s="2" t="str">
        <f>IFERROR(__xludf.DUMMYFUNCTION("GOOGLETRANSLATE(A11714, ""en"", ""mt"")"),"Il-Mewt l-Iswed ħarbtu ħafna mid-dinja Iżlamika. Il-pesta kienet preżenti f'mill-inqas post fid-dinja Iżlamika kważi kull sena bejn l-1500 u l-1850. Il-pesta laqtet ripetutament il-bliet ta 'l-Afrika ta' Fuq. Algiers tilfu 30 sa 50 elf abitant fl-1620–21,"&amp;" u għal darb'oħra fl-1654–57, 1665, 1691 u 1740-42. Il-Pesta baqgħet avveniment ewlieni fis-soċjetà Ottomana sat-tieni kwart tas-seklu 19. Bejn l-1701 u l-1750, sebgħa u tletin epidemiji akbar u iżgħar ġew irreġistrati f'Konstantinopli, u wieħed u tletin "&amp;"addizzjonali bejn l-1751 u l-1800. Bagdad sofra severament minn żjarat tal-pesta, u xi kultant żewġ terzi tal-popolazzjoni tagħha -")</f>
        <v>Il-Mewt l-Iswed ħarbtu ħafna mid-dinja Iżlamika. Il-pesta kienet preżenti f'mill-inqas post fid-dinja Iżlamika kważi kull sena bejn l-1500 u l-1850. Il-pesta laqtet ripetutament il-bliet ta 'l-Afrika ta' Fuq. Algiers tilfu 30 sa 50 elf abitant fl-1620–21, u għal darb'oħra fl-1654–57, 1665, 1691 u 1740-42. Il-Pesta baqgħet avveniment ewlieni fis-soċjetà Ottomana sat-tieni kwart tas-seklu 19. Bejn l-1701 u l-1750, sebgħa u tletin epidemiji akbar u iżgħar ġew irreġistrati f'Konstantinopli, u wieħed u tletin addizzjonali bejn l-1751 u l-1800. Bagdad sofra severament minn żjarat tal-pesta, u xi kultant żewġ terzi tal-popolazzjoni tagħha -</v>
      </c>
    </row>
    <row r="11715" ht="15.75" customHeight="1">
      <c r="A11715" s="2" t="s">
        <v>11715</v>
      </c>
      <c r="B11715" s="2" t="str">
        <f>IFERROR(__xludf.DUMMYFUNCTION("GOOGLETRANSLATE(A11715, ""en"", ""mt"")"),"Downtown Riverside")</f>
        <v>Downtown Riverside</v>
      </c>
    </row>
    <row r="11716" ht="15.75" customHeight="1">
      <c r="A11716" s="2" t="s">
        <v>11716</v>
      </c>
      <c r="B11716" s="2" t="str">
        <f>IFERROR(__xludf.DUMMYFUNCTION("GOOGLETRANSLATE(A11716, ""en"", ""mt"")"),"Kemm ilha tiġri s-sussidju tettoniku kontinwu fil-Baħar tan-Nofsinhar tat-Tramuntana?")</f>
        <v>Kemm ilha tiġri s-sussidju tettoniku kontinwu fil-Baħar tan-Nofsinhar tat-Tramuntana?</v>
      </c>
    </row>
    <row r="11717" ht="15.75" customHeight="1">
      <c r="A11717" s="2" t="s">
        <v>11717</v>
      </c>
      <c r="B11717" s="2" t="str">
        <f>IFERROR(__xludf.DUMMYFUNCTION("GOOGLETRANSLATE(A11717, ""en"", ""mt"")"),"Kif jissejjaħ il-livell l-aktar baxx ta 'A Awstraljana tad-Dar tar-Rappreżentanti?")</f>
        <v>Kif jissejjaħ il-livell l-aktar baxx ta 'A Awstraljana tad-Dar tar-Rappreżentanti?</v>
      </c>
    </row>
    <row r="11718" ht="15.75" customHeight="1">
      <c r="A11718" s="2" t="s">
        <v>11718</v>
      </c>
      <c r="B11718" s="2" t="str">
        <f>IFERROR(__xludf.DUMMYFUNCTION("GOOGLETRANSLATE(A11718, ""en"", ""mt"")"),"Il-weekend li għadda ta 'Settembru")</f>
        <v>Il-weekend li għadda ta 'Settembru</v>
      </c>
    </row>
    <row r="11719" ht="15.75" customHeight="1">
      <c r="A11719" s="2" t="s">
        <v>11719</v>
      </c>
      <c r="B11719" s="2" t="str">
        <f>IFERROR(__xludf.DUMMYFUNCTION("GOOGLETRANSLATE(A11719, ""en"", ""mt"")"),"Liema filosofija tal-ħsieb tindirizza l-ugwaljanza tal-ġid?")</f>
        <v>Liema filosofija tal-ħsieb tindirizza l-ugwaljanza tal-ġid?</v>
      </c>
    </row>
    <row r="11720" ht="15.75" customHeight="1">
      <c r="A11720" s="2" t="s">
        <v>11720</v>
      </c>
      <c r="B11720" s="2" t="str">
        <f>IFERROR(__xludf.DUMMYFUNCTION("GOOGLETRANSLATE(A11720, ""en"", ""mt"")"),"""Kapitolu Soċjali""")</f>
        <v>"Kapitolu Soċjali"</v>
      </c>
    </row>
    <row r="11721" ht="15.75" customHeight="1">
      <c r="A11721" s="2" t="s">
        <v>11721</v>
      </c>
      <c r="B11721" s="2" t="str">
        <f>IFERROR(__xludf.DUMMYFUNCTION("GOOGLETRANSLATE(A11721, ""en"", ""mt"")"),"John Houghton,")</f>
        <v>John Houghton,</v>
      </c>
    </row>
    <row r="11722" ht="15.75" customHeight="1">
      <c r="A11722" s="2" t="s">
        <v>11722</v>
      </c>
      <c r="B11722" s="2" t="str">
        <f>IFERROR(__xludf.DUMMYFUNCTION("GOOGLETRANSLATE(A11722, ""en"", ""mt"")"),"X'għandhom il-ħaddiema ġeneralment fis-suq?")</f>
        <v>X'għandhom il-ħaddiema ġeneralment fis-suq?</v>
      </c>
    </row>
    <row r="11723" ht="15.75" customHeight="1">
      <c r="A11723" s="2" t="s">
        <v>11723</v>
      </c>
      <c r="B11723" s="2" t="str">
        <f>IFERROR(__xludf.DUMMYFUNCTION("GOOGLETRANSLATE(A11723, ""en"", ""mt"")"),"X'inhuma xi vantaġġi tal-ispiżeriji tal-isptar?")</f>
        <v>X'inhuma xi vantaġġi tal-ispiżeriji tal-isptar?</v>
      </c>
    </row>
    <row r="11724" ht="15.75" customHeight="1">
      <c r="A11724" s="2" t="s">
        <v>11724</v>
      </c>
      <c r="B11724" s="2" t="str">
        <f>IFERROR(__xludf.DUMMYFUNCTION("GOOGLETRANSLATE(A11724, ""en"", ""mt"")"),"X'inhi l-età tas-sodod ewlenin jekk huma relatati ma 'difett u ma jinqatgħux?")</f>
        <v>X'inhi l-età tas-sodod ewlenin jekk huma relatati ma 'difett u ma jinqatgħux?</v>
      </c>
    </row>
    <row r="11725" ht="15.75" customHeight="1">
      <c r="A11725" s="2" t="s">
        <v>11725</v>
      </c>
      <c r="B11725" s="2" t="str">
        <f>IFERROR(__xludf.DUMMYFUNCTION("GOOGLETRANSLATE(A11725, ""en"", ""mt"")"),"Beroe minorenni u adulti m'għandhomx xiex?")</f>
        <v>Beroe minorenni u adulti m'għandhomx xiex?</v>
      </c>
    </row>
    <row r="11726" ht="15.75" customHeight="1">
      <c r="A11726" s="2" t="s">
        <v>11726</v>
      </c>
      <c r="B11726" s="2" t="str">
        <f>IFERROR(__xludf.DUMMYFUNCTION("GOOGLETRANSLATE(A11726, ""en"", ""mt"")"),"Analiżi mikroskopika")</f>
        <v>Analiżi mikroskopika</v>
      </c>
    </row>
    <row r="11727" ht="15.75" customHeight="1">
      <c r="A11727" s="2" t="s">
        <v>11727</v>
      </c>
      <c r="B11727" s="2" t="str">
        <f>IFERROR(__xludf.DUMMYFUNCTION("GOOGLETRANSLATE(A11727, ""en"", ""mt"")"),"""moxt"" u s-suffiss Grieg -φορος li jfisser ""li jġorr""")</f>
        <v>"moxt" u s-suffiss Grieg -φορος li jfisser "li jġorr"</v>
      </c>
    </row>
    <row r="11728" ht="15.75" customHeight="1">
      <c r="A11728" s="2" t="s">
        <v>11728</v>
      </c>
      <c r="B11728" s="2" t="str">
        <f>IFERROR(__xludf.DUMMYFUNCTION("GOOGLETRANSLATE(A11728, ""en"", ""mt"")"),"Tagħna")</f>
        <v>Tagħna</v>
      </c>
    </row>
    <row r="11729" ht="15.75" customHeight="1">
      <c r="A11729" s="2" t="s">
        <v>11729</v>
      </c>
      <c r="B11729" s="2" t="str">
        <f>IFERROR(__xludf.DUMMYFUNCTION("GOOGLETRANSLATE(A11729, ""en"", ""mt"")"),"Maududi kien imħarreġ bħala avukat, imma għażel liema professjonist għalih innifsu minflok?")</f>
        <v>Maududi kien imħarreġ bħala avukat, imma għażel liema professjonist għalih innifsu minflok?</v>
      </c>
    </row>
    <row r="11730" ht="15.75" customHeight="1">
      <c r="A11730" s="2" t="s">
        <v>11730</v>
      </c>
      <c r="B11730" s="2" t="str">
        <f>IFERROR(__xludf.DUMMYFUNCTION("GOOGLETRANSLATE(A11730, ""en"", ""mt"")"),"Chevrolet Aveo")</f>
        <v>Chevrolet Aveo</v>
      </c>
    </row>
    <row r="11731" ht="15.75" customHeight="1">
      <c r="A11731" s="2" t="s">
        <v>11731</v>
      </c>
      <c r="B11731" s="2" t="str">
        <f>IFERROR(__xludf.DUMMYFUNCTION("GOOGLETRANSLATE(A11731, ""en"", ""mt"")"),"Proġetti ta 'kostruzzjoni jistgħu jsofru minn problemi finanzjarji li jistgħu jiġu evitati. Is-taħt iseħħ meta l-bennejja jitolbu ftit flus biex jitlestew il-proġett. Problemi tal-fluss tal-flus jeżistu meta l-ammont preżenti ta 'finanzjament ma jistax ik"&amp;"opri l-ispejjeż kurrenti għax-xogħol u l-materjali, u minħabba li huma kwistjoni li jkollok fondi suffiċjenti f'ħin speċifiku, tista' tinqala 'anke meta t-total ġenerali jkun biżżejjed. Il-frodi hija problema f'ħafna oqsma, iżda hija notorjament prevalent"&amp;"i fil-qasam tal-kostruzzjoni. L-ippjanar finanzjarju għall-proġett huwa maħsub biex jiżgura li pjan solidu b'salmagwardji u pjanijiet ta 'kontinġenza jkunu fis-seħħ qabel ma jinbeda l-proġett u jkun meħtieġ biex jiżgura li l-pjan jiġi eżegwit sewwa matul "&amp;"il-ħajja tal-proġett.")</f>
        <v>Proġetti ta 'kostruzzjoni jistgħu jsofru minn problemi finanzjarji li jistgħu jiġu evitati. Is-taħt iseħħ meta l-bennejja jitolbu ftit flus biex jitlestew il-proġett. Problemi tal-fluss tal-flus jeżistu meta l-ammont preżenti ta 'finanzjament ma jistax ikopri l-ispejjeż kurrenti għax-xogħol u l-materjali, u minħabba li huma kwistjoni li jkollok fondi suffiċjenti f'ħin speċifiku, tista' tinqala 'anke meta t-total ġenerali jkun biżżejjed. Il-frodi hija problema f'ħafna oqsma, iżda hija notorjament prevalenti fil-qasam tal-kostruzzjoni. L-ippjanar finanzjarju għall-proġett huwa maħsub biex jiżgura li pjan solidu b'salmagwardji u pjanijiet ta 'kontinġenza jkunu fis-seħħ qabel ma jinbeda l-proġett u jkun meħtieġ biex jiżgura li l-pjan jiġi eżegwit sewwa matul il-ħajja tal-proġett.</v>
      </c>
    </row>
    <row r="11732" ht="15.75" customHeight="1">
      <c r="A11732" s="2" t="s">
        <v>11732</v>
      </c>
      <c r="B11732" s="2" t="str">
        <f>IFERROR(__xludf.DUMMYFUNCTION("GOOGLETRANSLATE(A11732, ""en"", ""mt"")"),"Minbarra l-Ingliż, liema lingwa hija wkoll ta 'spiss mgħallma fi skejjel privati ​​tan-Nepaliżi?")</f>
        <v>Minbarra l-Ingliż, liema lingwa hija wkoll ta 'spiss mgħallma fi skejjel privati ​​tan-Nepaliżi?</v>
      </c>
    </row>
    <row r="11733" ht="15.75" customHeight="1">
      <c r="A11733" s="2" t="s">
        <v>11733</v>
      </c>
      <c r="B11733" s="2" t="str">
        <f>IFERROR(__xludf.DUMMYFUNCTION("GOOGLETRANSLATE(A11733, ""en"", ""mt"")"),"Festivals")</f>
        <v>Festivals</v>
      </c>
    </row>
    <row r="11734" ht="15.75" customHeight="1">
      <c r="A11734" s="2" t="s">
        <v>11734</v>
      </c>
      <c r="B11734" s="2" t="str">
        <f>IFERROR(__xludf.DUMMYFUNCTION("GOOGLETRANSLATE(A11734, ""en"", ""mt"")"),"BBN ipprovda finanzjament għal xiex?")</f>
        <v>BBN ipprovda finanzjament għal xiex?</v>
      </c>
    </row>
    <row r="11735" ht="15.75" customHeight="1">
      <c r="A11735" s="2" t="s">
        <v>11735</v>
      </c>
      <c r="B11735" s="2" t="str">
        <f>IFERROR(__xludf.DUMMYFUNCTION("GOOGLETRANSLATE(A11735, ""en"", ""mt"")"),"Forzi b'saħħithom u dgħajfa")</f>
        <v>Forzi b'saħħithom u dgħajfa</v>
      </c>
    </row>
    <row r="11736" ht="15.75" customHeight="1">
      <c r="A11736" s="2" t="s">
        <v>11736</v>
      </c>
      <c r="B11736" s="2" t="str">
        <f>IFERROR(__xludf.DUMMYFUNCTION("GOOGLETRANSLATE(A11736, ""en"", ""mt"")"),"F'liema pajjiż hemm Marsilja?")</f>
        <v>F'liema pajjiż hemm Marsilja?</v>
      </c>
    </row>
    <row r="11737" ht="15.75" customHeight="1">
      <c r="A11737" s="2" t="s">
        <v>11737</v>
      </c>
      <c r="B11737" s="2" t="str">
        <f>IFERROR(__xludf.DUMMYFUNCTION("GOOGLETRANSLATE(A11737, ""en"", ""mt"")"),"Min kienu Potachi?")</f>
        <v>Min kienu Potachi?</v>
      </c>
    </row>
    <row r="11738" ht="15.75" customHeight="1">
      <c r="A11738" s="2" t="s">
        <v>11738</v>
      </c>
      <c r="B11738" s="2" t="str">
        <f>IFERROR(__xludf.DUMMYFUNCTION("GOOGLETRANSLATE(A11738, ""en"", ""mt"")"),"X'kien l-isem tan-neputi ta 'Tancred?")</f>
        <v>X'kien l-isem tan-neputi ta 'Tancred?</v>
      </c>
    </row>
    <row r="11739" ht="15.75" customHeight="1">
      <c r="A11739" s="2" t="s">
        <v>11739</v>
      </c>
      <c r="B11739" s="2" t="str">
        <f>IFERROR(__xludf.DUMMYFUNCTION("GOOGLETRANSLATE(A11739, ""en"", ""mt"")"),"Il-Profeta Mohammad u s-suċċessuri tiegħu")</f>
        <v>Il-Profeta Mohammad u s-suċċessuri tiegħu</v>
      </c>
    </row>
    <row r="11740" ht="15.75" customHeight="1">
      <c r="A11740" s="2" t="s">
        <v>11740</v>
      </c>
      <c r="B11740" s="2" t="str">
        <f>IFERROR(__xludf.DUMMYFUNCTION("GOOGLETRANSLATE(A11740, ""en"", ""mt"")"),"Fejn Franza tilfet gwerra fis-snin 1950?")</f>
        <v>Fejn Franza tilfet gwerra fis-snin 1950?</v>
      </c>
    </row>
    <row r="11741" ht="15.75" customHeight="1">
      <c r="A11741" s="2" t="s">
        <v>11741</v>
      </c>
      <c r="B11741" s="2" t="str">
        <f>IFERROR(__xludf.DUMMYFUNCTION("GOOGLETRANSLATE(A11741, ""en"", ""mt"")"),"Liema isem huwa tipikament assoċjat ma 'qabel l-iskola?")</f>
        <v>Liema isem huwa tipikament assoċjat ma 'qabel l-iskola?</v>
      </c>
    </row>
    <row r="11742" ht="15.75" customHeight="1">
      <c r="A11742" s="2" t="s">
        <v>11742</v>
      </c>
      <c r="B11742" s="2" t="str">
        <f>IFERROR(__xludf.DUMMYFUNCTION("GOOGLETRANSLATE(A11742, ""en"", ""mt"")"),"votazzjoni sigrieta")</f>
        <v>votazzjoni sigrieta</v>
      </c>
    </row>
    <row r="11743" ht="15.75" customHeight="1">
      <c r="A11743" s="2" t="s">
        <v>11743</v>
      </c>
      <c r="B11743" s="2" t="str">
        <f>IFERROR(__xludf.DUMMYFUNCTION("GOOGLETRANSLATE(A11743, ""en"", ""mt"")"),"Kif twasslu messaġġi qabel l-implimentazzjoni?")</f>
        <v>Kif twasslu messaġġi qabel l-implimentazzjoni?</v>
      </c>
    </row>
    <row r="11744" ht="15.75" customHeight="1">
      <c r="A11744" s="2" t="s">
        <v>11744</v>
      </c>
      <c r="B11744" s="2" t="str">
        <f>IFERROR(__xludf.DUMMYFUNCTION("GOOGLETRANSLATE(A11744, ""en"", ""mt"")"),"X'inhi waħda mill-ikbar u l-aktar istituzzjonijiet onkoloġiċi moderni fil-Curie?")</f>
        <v>X'inhi waħda mill-ikbar u l-aktar istituzzjonijiet onkoloġiċi moderni fil-Curie?</v>
      </c>
    </row>
    <row r="11745" ht="15.75" customHeight="1">
      <c r="A11745" s="2" t="s">
        <v>11745</v>
      </c>
      <c r="B11745" s="2" t="str">
        <f>IFERROR(__xludf.DUMMYFUNCTION("GOOGLETRANSLATE(A11745, ""en"", ""mt"")"),"F'liema għaxar snin intużaw l-injetturi ħafna fil-magni tal-fwar?")</f>
        <v>F'liema għaxar snin intużaw l-injetturi ħafna fil-magni tal-fwar?</v>
      </c>
    </row>
    <row r="11746" ht="15.75" customHeight="1">
      <c r="A11746" s="2" t="s">
        <v>11746</v>
      </c>
      <c r="B11746" s="2" t="str">
        <f>IFERROR(__xludf.DUMMYFUNCTION("GOOGLETRANSLATE(A11746, ""en"", ""mt"")"),"Il-konġettura ta 'Giuga tgħid li din l-ekwazzjoni hija wkoll kundizzjoni suffiċjenti biex P tkun primarja. Konsegwenza oħra tat-teorema żgħira ta 'Fermat hija dan li ġej: Jekk P huwa numru ewlieni minbarra 2 u 5, 1 / p huwa dejjem deċimali rikurrenti, li "&amp;"l-perjodu tiegħu huwa p - 1 jew divisor ta' p - 1. il-frazzjoni 1 / p espress bl-istess mod fil-bażi Q (minflok il-bażi 10) għandu effett simili, sakemm P ma jkunx fattur ewlieni ta 'q. It-teorema ta 'Wilson tgħid li p&gt; 1 numru sħiħ huwa prim jekk u biss "&amp;"jekk il-fatt (p - 1)! + 1 huwa diviżibbli minn p. Barra minn hekk, numru sħiħ n&gt; 4 huwa kompost jekk u biss jekk (n - 1)! huwa diviżibbli minn n.")</f>
        <v>Il-konġettura ta 'Giuga tgħid li din l-ekwazzjoni hija wkoll kundizzjoni suffiċjenti biex P tkun primarja. Konsegwenza oħra tat-teorema żgħira ta 'Fermat hija dan li ġej: Jekk P huwa numru ewlieni minbarra 2 u 5, 1 / p huwa dejjem deċimali rikurrenti, li l-perjodu tiegħu huwa p - 1 jew divisor ta' p - 1. il-frazzjoni 1 / p espress bl-istess mod fil-bażi Q (minflok il-bażi 10) għandu effett simili, sakemm P ma jkunx fattur ewlieni ta 'q. It-teorema ta 'Wilson tgħid li p&gt; 1 numru sħiħ huwa prim jekk u biss jekk il-fatt (p - 1)! + 1 huwa diviżibbli minn p. Barra minn hekk, numru sħiħ n&gt; 4 huwa kompost jekk u biss jekk (n - 1)! huwa diviżibbli minn n.</v>
      </c>
    </row>
    <row r="11747" ht="15.75" customHeight="1">
      <c r="A11747" s="2" t="s">
        <v>11747</v>
      </c>
      <c r="B11747" s="2" t="str">
        <f>IFERROR(__xludf.DUMMYFUNCTION("GOOGLETRANSLATE(A11747, ""en"", ""mt"")"),"9.81 metri kull sekonda")</f>
        <v>9.81 metri kull sekonda</v>
      </c>
    </row>
    <row r="11748" ht="15.75" customHeight="1">
      <c r="A11748" s="2" t="s">
        <v>11748</v>
      </c>
      <c r="B11748" s="2" t="str">
        <f>IFERROR(__xludf.DUMMYFUNCTION("GOOGLETRANSLATE(A11748, ""en"", ""mt"")"),"il-laboratorju")</f>
        <v>il-laboratorju</v>
      </c>
    </row>
    <row r="11749" ht="15.75" customHeight="1">
      <c r="A11749" s="2" t="s">
        <v>11749</v>
      </c>
      <c r="B11749" s="2" t="str">
        <f>IFERROR(__xludf.DUMMYFUNCTION("GOOGLETRANSLATE(A11749, ""en"", ""mt"")"),"Il-kriżi kellha impatt kbir fuq ir-relazzjonijiet internazzjonali u ħolqot qasma fi ħdan in-NATO. Xi nazzjonijiet Ewropej u l-Ġappun fittxew li jassoċjaw ruħhom mill-politika barranija tal-Istati Uniti fil-Lvant Nofsani biex jevitaw li jkunu mmirati mill-"&amp;"bojkott. Il-produtturi taż-żejt Għarbi marbuta ma 'kwalunkwe bidla fil-politika futura fil-paċi bejn il-belligerenti. Biex tindirizza dan, l-amministrazzjoni Nixon bdiet negozjati multilaterali mal-ġellieda. Huma rranġaw biex l-Iżrael jiġbed lura mill-Pen"&amp;"iżola tas-Sinaj u l-Golan Heights. Fit-18 ta 'Jannar, 1974, is-Segretarju tal-Istat Amerikan Henry Kissinger kien innegozja irtirar ta' truppi Iżraeljani minn partijiet tal-Peniżola tas-Sinaj. Il-wegħda ta 'ftehim innegozjat bejn l-Iżrael u s-Sirja kienet"&amp;" biżżejjed biex tikkonvinċi lill-produtturi taż-żejt Għarab biex jerfgħu l-embargo f'Marzu tal-1974.")</f>
        <v>Il-kriżi kellha impatt kbir fuq ir-relazzjonijiet internazzjonali u ħolqot qasma fi ħdan in-NATO. Xi nazzjonijiet Ewropej u l-Ġappun fittxew li jassoċjaw ruħhom mill-politika barranija tal-Istati Uniti fil-Lvant Nofsani biex jevitaw li jkunu mmirati mill-bojkott. Il-produtturi taż-żejt Għarbi marbuta ma 'kwalunkwe bidla fil-politika futura fil-paċi bejn il-belligerenti. Biex tindirizza dan, l-amministrazzjoni Nixon bdiet negozjati multilaterali mal-ġellieda. Huma rranġaw biex l-Iżrael jiġbed lura mill-Peniżola tas-Sinaj u l-Golan Heights. Fit-18 ta 'Jannar, 1974, is-Segretarju tal-Istat Amerikan Henry Kissinger kien innegozja irtirar ta' truppi Iżraeljani minn partijiet tal-Peniżola tas-Sinaj. Il-wegħda ta 'ftehim innegozjat bejn l-Iżrael u s-Sirja kienet biżżejjed biex tikkonvinċi lill-produtturi taż-żejt Għarab biex jerfgħu l-embargo f'Marzu tal-1974.</v>
      </c>
    </row>
    <row r="11750" ht="15.75" customHeight="1">
      <c r="A11750" s="2" t="s">
        <v>11750</v>
      </c>
      <c r="B11750" s="2" t="str">
        <f>IFERROR(__xludf.DUMMYFUNCTION("GOOGLETRANSLATE(A11750, ""en"", ""mt"")"),"Fejn twaqqfet il-Fratellanza Musulmana?")</f>
        <v>Fejn twaqqfet il-Fratellanza Musulmana?</v>
      </c>
    </row>
    <row r="11751" ht="15.75" customHeight="1">
      <c r="A11751" s="2" t="s">
        <v>11751</v>
      </c>
      <c r="B11751" s="2" t="str">
        <f>IFERROR(__xludf.DUMMYFUNCTION("GOOGLETRANSLATE(A11751, ""en"", ""mt"")"),"Rhine-kilometri """)</f>
        <v>Rhine-kilometri "</v>
      </c>
    </row>
    <row r="11752" ht="15.75" customHeight="1">
      <c r="A11752" s="2" t="s">
        <v>11752</v>
      </c>
      <c r="B11752" s="2" t="str">
        <f>IFERROR(__xludf.DUMMYFUNCTION("GOOGLETRANSLATE(A11752, ""en"", ""mt"")"),"Wara l-1279")</f>
        <v>Wara l-1279</v>
      </c>
    </row>
    <row r="11753" ht="15.75" customHeight="1">
      <c r="A11753" s="2" t="s">
        <v>11753</v>
      </c>
      <c r="B11753" s="2" t="str">
        <f>IFERROR(__xludf.DUMMYFUNCTION("GOOGLETRANSLATE(A11753, ""en"", ""mt"")"),"X’jista ’jiltaqa’ kull 3 xhur?")</f>
        <v>X’jista ’jiltaqa’ kull 3 xhur?</v>
      </c>
    </row>
    <row r="11754" ht="15.75" customHeight="1">
      <c r="A11754" s="2" t="s">
        <v>11754</v>
      </c>
      <c r="B11754" s="2" t="str">
        <f>IFERROR(__xludf.DUMMYFUNCTION("GOOGLETRANSLATE(A11754, ""en"", ""mt"")")," Meta ġie elett Iqbal Viċi President tal-Lega Musulmana?")</f>
        <v> Meta ġie elett Iqbal Viċi President tal-Lega Musulmana?</v>
      </c>
    </row>
    <row r="11755" ht="15.75" customHeight="1">
      <c r="A11755" s="2" t="s">
        <v>11755</v>
      </c>
      <c r="B11755" s="2" t="str">
        <f>IFERROR(__xludf.DUMMYFUNCTION("GOOGLETRANSLATE(A11755, ""en"", ""mt"")"),"individwalment")</f>
        <v>individwalment</v>
      </c>
    </row>
    <row r="11756" ht="15.75" customHeight="1">
      <c r="A11756" s="2" t="s">
        <v>11756</v>
      </c>
      <c r="B11756" s="2" t="str">
        <f>IFERROR(__xludf.DUMMYFUNCTION("GOOGLETRANSLATE(A11756, ""en"", ""mt"")"),"William Farel")</f>
        <v>William Farel</v>
      </c>
    </row>
    <row r="11757" ht="15.75" customHeight="1">
      <c r="A11757" s="2" t="s">
        <v>11757</v>
      </c>
      <c r="B11757" s="2" t="str">
        <f>IFERROR(__xludf.DUMMYFUNCTION("GOOGLETRANSLATE(A11757, ""en"", ""mt"")"),"Madankollu, il-foresta tropikali xorta rnexxielha tiffjorixxi matul dawn il-perjodi glaċjali, li tippermetti s-sopravivenza u l-evoluzzjoni ta 'diversità wiesgħa ta' speċi.")</f>
        <v>Madankollu, il-foresta tropikali xorta rnexxielha tiffjorixxi matul dawn il-perjodi glaċjali, li tippermetti s-sopravivenza u l-evoluzzjoni ta 'diversità wiesgħa ta' speċi.</v>
      </c>
    </row>
    <row r="11758" ht="15.75" customHeight="1">
      <c r="A11758" s="2" t="s">
        <v>11758</v>
      </c>
      <c r="B11758" s="2" t="str">
        <f>IFERROR(__xludf.DUMMYFUNCTION("GOOGLETRANSLATE(A11758, ""en"", ""mt"")"),"gruppi reliġjużi")</f>
        <v>gruppi reliġjużi</v>
      </c>
    </row>
    <row r="11759" ht="15.75" customHeight="1">
      <c r="A11759" s="2" t="s">
        <v>11759</v>
      </c>
      <c r="B11759" s="2" t="str">
        <f>IFERROR(__xludf.DUMMYFUNCTION("GOOGLETRANSLATE(A11759, ""en"", ""mt"")"),"It-tfittxijiet b'suċċess għal dak li wera li l-partiċelli elementari mhumiex osservabbli?")</f>
        <v>It-tfittxijiet b'suċċess għal dak li wera li l-partiċelli elementari mhumiex osservabbli?</v>
      </c>
    </row>
    <row r="11760" ht="15.75" customHeight="1">
      <c r="A11760" s="2" t="s">
        <v>11760</v>
      </c>
      <c r="B11760" s="2" t="str">
        <f>IFERROR(__xludf.DUMMYFUNCTION("GOOGLETRANSLATE(A11760, ""en"", ""mt"")"),"Minn liema seklu ħareġ il-vokaliżmu Ġermaniku?")</f>
        <v>Minn liema seklu ħareġ il-vokaliżmu Ġermaniku?</v>
      </c>
    </row>
    <row r="11761" ht="15.75" customHeight="1">
      <c r="A11761" s="2" t="s">
        <v>11761</v>
      </c>
      <c r="B11761" s="2" t="str">
        <f>IFERROR(__xludf.DUMMYFUNCTION("GOOGLETRANSLATE(A11761, ""en"", ""mt"")"),"Meta kienu l-Gwerer tar-Reliġjon Franċiżi?")</f>
        <v>Meta kienu l-Gwerer tar-Reliġjon Franċiżi?</v>
      </c>
    </row>
    <row r="11762" ht="15.75" customHeight="1">
      <c r="A11762" s="2" t="s">
        <v>11762</v>
      </c>
      <c r="B11762" s="2" t="str">
        <f>IFERROR(__xludf.DUMMYFUNCTION("GOOGLETRANSLATE(A11762, ""en"", ""mt"")"),"X'inhu l-Parlament Skoċċiż bħalissa fir-raba 'ta'?")</f>
        <v>X'inhu l-Parlament Skoċċiż bħalissa fir-raba 'ta'?</v>
      </c>
    </row>
    <row r="11763" ht="15.75" customHeight="1">
      <c r="A11763" s="2" t="s">
        <v>11763</v>
      </c>
      <c r="B11763" s="2" t="str">
        <f>IFERROR(__xludf.DUMMYFUNCTION("GOOGLETRANSLATE(A11763, ""en"", ""mt"")"),"X'għandhom il-kampjuni ta 'l-ispettaklu jgħinu stratigraphers manjetiċi sal-lum?")</f>
        <v>X'għandhom il-kampjuni ta 'l-ispettaklu jgħinu stratigraphers manjetiċi sal-lum?</v>
      </c>
    </row>
    <row r="11764" ht="15.75" customHeight="1">
      <c r="A11764" s="2" t="s">
        <v>11764</v>
      </c>
      <c r="B11764" s="2" t="str">
        <f>IFERROR(__xludf.DUMMYFUNCTION("GOOGLETRANSLATE(A11764, ""en"", ""mt"")"),"arrest")</f>
        <v>arrest</v>
      </c>
    </row>
    <row r="11765" ht="15.75" customHeight="1">
      <c r="A11765" s="2" t="s">
        <v>11765</v>
      </c>
      <c r="B11765" s="2" t="str">
        <f>IFERROR(__xludf.DUMMYFUNCTION("GOOGLETRANSLATE(A11765, ""en"", ""mt"")"),"Kif jintgħażlu t-83 ""kostitwenza MSPs""?")</f>
        <v>Kif jintgħażlu t-83 "kostitwenza MSPs"?</v>
      </c>
    </row>
    <row r="11766" ht="15.75" customHeight="1">
      <c r="A11766" s="2" t="s">
        <v>11766</v>
      </c>
      <c r="B11766" s="2" t="str">
        <f>IFERROR(__xludf.DUMMYFUNCTION("GOOGLETRANSLATE(A11766, ""en"", ""mt"")"),"Gradjenti topografiċi")</f>
        <v>Gradjenti topografiċi</v>
      </c>
    </row>
    <row r="11767" ht="15.75" customHeight="1">
      <c r="A11767" s="2" t="s">
        <v>11767</v>
      </c>
      <c r="B11767" s="2" t="str">
        <f>IFERROR(__xludf.DUMMYFUNCTION("GOOGLETRANSLATE(A11767, ""en"", ""mt"")"),"Liema president Eġizzjan ħabs eluf ta 'membri tal-fratellanza?")</f>
        <v>Liema president Eġizzjan ħabs eluf ta 'membri tal-fratellanza?</v>
      </c>
    </row>
    <row r="11768" ht="15.75" customHeight="1">
      <c r="A11768" s="2" t="s">
        <v>11768</v>
      </c>
      <c r="B11768" s="2" t="str">
        <f>IFERROR(__xludf.DUMMYFUNCTION("GOOGLETRANSLATE(A11768, ""en"", ""mt"")"),"L-ekonomija neoklassika ta 'fehmiet inugwaljanzi fid-distribuzzjoni tad-dħul bħala li jirriżultaw minn differenzi fil-valur miżjud mix-xogħol, il-kapital u l-art. Fi ħdan id-distribuzzjoni tad-dħul tax-xogħol hija dovuta għal differenzi fil-valur miżjud m"&amp;"inn klassifikazzjonijiet differenti tal-ħaddiema. F'din il-perspettiva, il-pagi u l-profitti huma ddeterminati mill-valur miżjud marġinali ta 'kull attur ekonomiku (ħaddiem, kapitalist / sid tan-negozju, sid). Għalhekk, f'ekonomija tas-suq, l-inugwaljanza"&amp;" hija riflessjoni tad-distakk fil-produttività bejn professjonijiet imħallsa ħafna u professjonijiet b'paga baxxa.")</f>
        <v>L-ekonomija neoklassika ta 'fehmiet inugwaljanzi fid-distribuzzjoni tad-dħul bħala li jirriżultaw minn differenzi fil-valur miżjud mix-xogħol, il-kapital u l-art. Fi ħdan id-distribuzzjoni tad-dħul tax-xogħol hija dovuta għal differenzi fil-valur miżjud minn klassifikazzjonijiet differenti tal-ħaddiema. F'din il-perspettiva, il-pagi u l-profitti huma ddeterminati mill-valur miżjud marġinali ta 'kull attur ekonomiku (ħaddiem, kapitalist / sid tan-negozju, sid). Għalhekk, f'ekonomija tas-suq, l-inugwaljanza hija riflessjoni tad-distakk fil-produttività bejn professjonijiet imħallsa ħafna u professjonijiet b'paga baxxa.</v>
      </c>
    </row>
    <row r="11769" ht="15.75" customHeight="1">
      <c r="A11769" s="2" t="s">
        <v>11769</v>
      </c>
      <c r="B11769" s="2" t="str">
        <f>IFERROR(__xludf.DUMMYFUNCTION("GOOGLETRANSLATE(A11769, ""en"", ""mt"")"),"L-istudjużi tal-Università ta ’Chicago kellhom parti kbira f’liema żvilupp?")</f>
        <v>L-istudjużi tal-Università ta ’Chicago kellhom parti kbira f’liema żvilupp?</v>
      </c>
    </row>
    <row r="11770" ht="15.75" customHeight="1">
      <c r="A11770" s="2" t="s">
        <v>11770</v>
      </c>
      <c r="B11770" s="2" t="str">
        <f>IFERROR(__xludf.DUMMYFUNCTION("GOOGLETRANSLATE(A11770, ""en"", ""mt"")"),"Richard i")</f>
        <v>Richard i</v>
      </c>
    </row>
    <row r="11771" ht="15.75" customHeight="1">
      <c r="A11771" s="2" t="s">
        <v>11771</v>
      </c>
      <c r="B11771" s="2" t="str">
        <f>IFERROR(__xludf.DUMMYFUNCTION("GOOGLETRANSLATE(A11771, ""en"", ""mt"")"),"Id-Dinja trid tkun ferm ixjeħ milli suppost kien suppost")</f>
        <v>Id-Dinja trid tkun ferm ixjeħ milli suppost kien suppost</v>
      </c>
    </row>
    <row r="11772" ht="15.75" customHeight="1">
      <c r="A11772" s="2" t="s">
        <v>11772</v>
      </c>
      <c r="B11772" s="2" t="str">
        <f>IFERROR(__xludf.DUMMYFUNCTION("GOOGLETRANSLATE(A11772, ""en"", ""mt"")"),"F’liema sena ntlaħaq il-ftehim biex ikun laħaq is-saldu tas-Saarland?")</f>
        <v>F’liema sena ntlaħaq il-ftehim biex ikun laħaq is-saldu tas-Saarland?</v>
      </c>
    </row>
    <row r="11773" ht="15.75" customHeight="1">
      <c r="A11773" s="2" t="s">
        <v>11773</v>
      </c>
      <c r="B11773" s="2" t="str">
        <f>IFERROR(__xludf.DUMMYFUNCTION("GOOGLETRANSLATE(A11773, ""en"", ""mt"")"),"X'inhu isem ieħor għan-naħa tal-punent ta 'Fresno?")</f>
        <v>X'inhu isem ieħor għan-naħa tal-punent ta 'Fresno?</v>
      </c>
    </row>
    <row r="11774" ht="15.75" customHeight="1">
      <c r="A11774" s="2" t="s">
        <v>11774</v>
      </c>
      <c r="B11774" s="2" t="str">
        <f>IFERROR(__xludf.DUMMYFUNCTION("GOOGLETRANSLATE(A11774, ""en"", ""mt"")"),"Kombustjoni spontanja")</f>
        <v>Kombustjoni spontanja</v>
      </c>
    </row>
    <row r="11775" ht="15.75" customHeight="1">
      <c r="A11775" s="2" t="s">
        <v>11775</v>
      </c>
      <c r="B11775" s="2" t="str">
        <f>IFERROR(__xludf.DUMMYFUNCTION("GOOGLETRANSLATE(A11775, ""en"", ""mt"")"),"Mill-1920, il-manifattura taċ-ċinema, il-pitrolju u l-inġenji tal-ajru kienu industriji ewlenin. F’wieħed mir-reġjuni agrikoli l-aktar sinjuri fl-Istati Uniti, il-baqar u ċ-ċitru kienu industriji ewlenin sakemm l-art agrikola nbidlet f’subborgi. Għalkemm "&amp;"it-tnaqqis fl-infiq militari kellu impatt, l-Aerospace jibqa 'fattur ewlieni.")</f>
        <v>Mill-1920, il-manifattura taċ-ċinema, il-pitrolju u l-inġenji tal-ajru kienu industriji ewlenin. F’wieħed mir-reġjuni agrikoli l-aktar sinjuri fl-Istati Uniti, il-baqar u ċ-ċitru kienu industriji ewlenin sakemm l-art agrikola nbidlet f’subborgi. Għalkemm it-tnaqqis fl-infiq militari kellu impatt, l-Aerospace jibqa 'fattur ewlieni.</v>
      </c>
    </row>
    <row r="11776" ht="15.75" customHeight="1">
      <c r="A11776" s="2" t="s">
        <v>11776</v>
      </c>
      <c r="B11776" s="2" t="str">
        <f>IFERROR(__xludf.DUMMYFUNCTION("GOOGLETRANSLATE(A11776, ""en"", ""mt"")"),"Palazz Leopold Kronenberg")</f>
        <v>Palazz Leopold Kronenberg</v>
      </c>
    </row>
    <row r="11777" ht="15.75" customHeight="1">
      <c r="A11777" s="2" t="s">
        <v>11777</v>
      </c>
      <c r="B11777" s="2" t="str">
        <f>IFERROR(__xludf.DUMMYFUNCTION("GOOGLETRANSLATE(A11777, ""en"", ""mt"")"),"bagħat numru żgħir ta 'kolonizzaturi lill-kolonji tiegħu,")</f>
        <v>bagħat numru żgħir ta 'kolonizzaturi lill-kolonji tiegħu,</v>
      </c>
    </row>
    <row r="11778" ht="15.75" customHeight="1">
      <c r="A11778" s="2" t="s">
        <v>11778</v>
      </c>
      <c r="B11778" s="2" t="str">
        <f>IFERROR(__xludf.DUMMYFUNCTION("GOOGLETRANSLATE(A11778, ""en"", ""mt"")"),"Fejn hi s-sezzjoni stratigrafika?")</f>
        <v>Fejn hi s-sezzjoni stratigrafika?</v>
      </c>
    </row>
    <row r="11779" ht="15.75" customHeight="1">
      <c r="A11779" s="2" t="s">
        <v>11779</v>
      </c>
      <c r="B11779" s="2" t="str">
        <f>IFERROR(__xludf.DUMMYFUNCTION("GOOGLETRANSLATE(A11779, ""en"", ""mt"")"),"Oude Rijn")</f>
        <v>Oude Rijn</v>
      </c>
    </row>
    <row r="11780" ht="15.75" customHeight="1">
      <c r="A11780" s="2" t="s">
        <v>11780</v>
      </c>
      <c r="B11780" s="2" t="str">
        <f>IFERROR(__xludf.DUMMYFUNCTION("GOOGLETRANSLATE(A11780, ""en"", ""mt"")"),"sentenza")</f>
        <v>sentenza</v>
      </c>
    </row>
    <row r="11781" ht="15.75" customHeight="1">
      <c r="A11781" s="2" t="s">
        <v>11781</v>
      </c>
      <c r="B11781" s="2" t="str">
        <f>IFERROR(__xludf.DUMMYFUNCTION("GOOGLETRANSLATE(A11781, ""en"", ""mt"")"),"Liema kunċett modern tal-matematika ma ħademx lil Zhu Shijie?")</f>
        <v>Liema kunċett modern tal-matematika ma ħademx lil Zhu Shijie?</v>
      </c>
    </row>
    <row r="11782" ht="15.75" customHeight="1">
      <c r="A11782" s="2" t="s">
        <v>11782</v>
      </c>
      <c r="B11782" s="2" t="str">
        <f>IFERROR(__xludf.DUMMYFUNCTION("GOOGLETRANSLATE(A11782, ""en"", ""mt"")"),"Taħt liema direttiva l-UE armat restrizzjonijiet fuq ir-restrizzjonijiet fuq il-kummerċjalizzazzjoni u r-reklamar?")</f>
        <v>Taħt liema direttiva l-UE armat restrizzjonijiet fuq ir-restrizzjonijiet fuq il-kummerċjalizzazzjoni u r-reklamar?</v>
      </c>
    </row>
    <row r="11783" ht="15.75" customHeight="1">
      <c r="A11783" s="2" t="s">
        <v>11783</v>
      </c>
      <c r="B11783" s="2" t="str">
        <f>IFERROR(__xludf.DUMMYFUNCTION("GOOGLETRANSLATE(A11783, ""en"", ""mt"")"),"X'jiġri eżenzjonijiet minn dak li jipprevjeni affarijiet ħżiena?")</f>
        <v>X'jiġri eżenzjonijiet minn dak li jipprevjeni affarijiet ħżiena?</v>
      </c>
    </row>
    <row r="11784" ht="15.75" customHeight="1">
      <c r="A11784" s="2" t="s">
        <v>11784</v>
      </c>
      <c r="B11784" s="2" t="str">
        <f>IFERROR(__xludf.DUMMYFUNCTION("GOOGLETRANSLATE(A11784, ""en"", ""mt"")"),"Minn Jannar 2016 f'kemm primarjità tikkonsisti l-akbar primarja magħrufa?")</f>
        <v>Minn Jannar 2016 f'kemm primarjità tikkonsisti l-akbar primarja magħrufa?</v>
      </c>
    </row>
    <row r="11785" ht="15.75" customHeight="1">
      <c r="A11785" s="2" t="s">
        <v>11785</v>
      </c>
      <c r="B11785" s="2" t="str">
        <f>IFERROR(__xludf.DUMMYFUNCTION("GOOGLETRANSLATE(A11785, ""en"", ""mt"")"),"X’tistabu t-tribujiet Ġermaniċi bl-għajnuna mir-Rhine?")</f>
        <v>X’tistabu t-tribujiet Ġermaniċi bl-għajnuna mir-Rhine?</v>
      </c>
    </row>
    <row r="11786" ht="15.75" customHeight="1">
      <c r="A11786" s="2" t="s">
        <v>11786</v>
      </c>
      <c r="B11786" s="2" t="str">
        <f>IFERROR(__xludf.DUMMYFUNCTION("GOOGLETRANSLATE(A11786, ""en"", ""mt"")"),"Lvant")</f>
        <v>Lvant</v>
      </c>
    </row>
    <row r="11787" ht="15.75" customHeight="1">
      <c r="A11787" s="2" t="s">
        <v>11787</v>
      </c>
      <c r="B11787" s="2" t="str">
        <f>IFERROR(__xludf.DUMMYFUNCTION("GOOGLETRANSLATE(A11787, ""en"", ""mt"")"),"Immunomodulaturi")</f>
        <v>Immunomodulaturi</v>
      </c>
    </row>
    <row r="11788" ht="15.75" customHeight="1">
      <c r="A11788" s="2" t="s">
        <v>11788</v>
      </c>
      <c r="B11788" s="2" t="str">
        <f>IFERROR(__xludf.DUMMYFUNCTION("GOOGLETRANSLATE(A11788, ""en"", ""mt"")"),"Kemm hi kbira l-biċċa Pierre-Auguste Renoir?")</f>
        <v>Kemm hi kbira l-biċċa Pierre-Auguste Renoir?</v>
      </c>
    </row>
    <row r="11789" ht="15.75" customHeight="1">
      <c r="A11789" s="2" t="s">
        <v>11789</v>
      </c>
      <c r="B11789" s="2" t="str">
        <f>IFERROR(__xludf.DUMMYFUNCTION("GOOGLETRANSLATE(A11789, ""en"", ""mt"")"),"Kemm bits huma tipikament użati fil-primes għall-iskambju ewlieni Diffie-Hellman?")</f>
        <v>Kemm bits huma tipikament użati fil-primes għall-iskambju ewlieni Diffie-Hellman?</v>
      </c>
    </row>
    <row r="11790" ht="15.75" customHeight="1">
      <c r="A11790" s="2" t="s">
        <v>11790</v>
      </c>
      <c r="B11790" s="2" t="str">
        <f>IFERROR(__xludf.DUMMYFUNCTION("GOOGLETRANSLATE(A11790, ""en"", ""mt"")"),"Fejn inbena l-ewwel fort ta 'Marin?")</f>
        <v>Fejn inbena l-ewwel fort ta 'Marin?</v>
      </c>
    </row>
    <row r="11791" ht="15.75" customHeight="1">
      <c r="A11791" s="2" t="s">
        <v>11791</v>
      </c>
      <c r="B11791" s="2" t="str">
        <f>IFERROR(__xludf.DUMMYFUNCTION("GOOGLETRANSLATE(A11791, ""en"", ""mt"")"),"X'inhi l-utilità marġinali tal-ġid għal kull dħul għal kull persuna hekk kif dik il-persuna ssir aktar fqira?")</f>
        <v>X'inhi l-utilità marġinali tal-ġid għal kull dħul għal kull persuna hekk kif dik il-persuna ssir aktar fqira?</v>
      </c>
    </row>
    <row r="11792" ht="15.75" customHeight="1">
      <c r="A11792" s="2" t="s">
        <v>11792</v>
      </c>
      <c r="B11792" s="2" t="str">
        <f>IFERROR(__xludf.DUMMYFUNCTION("GOOGLETRANSLATE(A11792, ""en"", ""mt"")"),"Diffikultà biex tistabbilixxi qafas għal klassijiet ta 'kumplessità tista' tkun ikkawżata minn liema varjabbli?")</f>
        <v>Diffikultà biex tistabbilixxi qafas għal klassijiet ta 'kumplessità tista' tkun ikkawżata minn liema varjabbli?</v>
      </c>
    </row>
    <row r="11793" ht="15.75" customHeight="1">
      <c r="A11793" s="2" t="s">
        <v>11793</v>
      </c>
      <c r="B11793" s="2" t="str">
        <f>IFERROR(__xludf.DUMMYFUNCTION("GOOGLETRANSLATE(A11793, ""en"", ""mt"")"),"Kemm ilu Ġwanni Pawlu II kien il-Papa fl-1983?")</f>
        <v>Kemm ilu Ġwanni Pawlu II kien il-Papa fl-1983?</v>
      </c>
    </row>
    <row r="11794" ht="15.75" customHeight="1">
      <c r="A11794" s="2" t="s">
        <v>11794</v>
      </c>
      <c r="B11794" s="2" t="str">
        <f>IFERROR(__xludf.DUMMYFUNCTION("GOOGLETRANSLATE(A11794, ""en"", ""mt"")"),"Liema gorge hemm bejn il-bingen u l-bonn?")</f>
        <v>Liema gorge hemm bejn il-bingen u l-bonn?</v>
      </c>
    </row>
    <row r="11795" ht="15.75" customHeight="1">
      <c r="A11795" s="2" t="s">
        <v>11795</v>
      </c>
      <c r="B11795" s="2" t="str">
        <f>IFERROR(__xludf.DUMMYFUNCTION("GOOGLETRANSLATE(A11795, ""en"", ""mt"")"),"Liema kulur huwa l-isputum ta 'dawk li jbatu minn dawk li jbatu mill-pesta settiċemika?")</f>
        <v>Liema kulur huwa l-isputum ta 'dawk li jbatu minn dawk li jbatu mill-pesta settiċemika?</v>
      </c>
    </row>
    <row r="11796" ht="15.75" customHeight="1">
      <c r="A11796" s="2" t="s">
        <v>11796</v>
      </c>
      <c r="B11796" s="2" t="str">
        <f>IFERROR(__xludf.DUMMYFUNCTION("GOOGLETRANSLATE(A11796, ""en"", ""mt"")"),"Kien hemm tentattiv biex tirriforma l-liġi kostituzzjonali tal-Unjoni Ewropea u tagħmilha aktar trasparenti")</f>
        <v>Kien hemm tentattiv biex tirriforma l-liġi kostituzzjonali tal-Unjoni Ewropea u tagħmilha aktar trasparenti</v>
      </c>
    </row>
    <row r="11797" ht="15.75" customHeight="1">
      <c r="A11797" s="2" t="s">
        <v>11797</v>
      </c>
      <c r="B11797" s="2" t="str">
        <f>IFERROR(__xludf.DUMMYFUNCTION("GOOGLETRANSLATE(A11797, ""en"", ""mt"")"),"Kemm hemm nies li għexu fir-reġjun tal-Amażonja matul il-1500 AD?")</f>
        <v>Kemm hemm nies li għexu fir-reġjun tal-Amażonja matul il-1500 AD?</v>
      </c>
    </row>
    <row r="11798" ht="15.75" customHeight="1">
      <c r="A11798" s="2" t="s">
        <v>11798</v>
      </c>
      <c r="B11798" s="2" t="str">
        <f>IFERROR(__xludf.DUMMYFUNCTION("GOOGLETRANSLATE(A11798, ""en"", ""mt"")"),"Dak li naqqas it-tixrid tan-nar ta ’Jacksonville fl-1901?")</f>
        <v>Dak li naqqas it-tixrid tan-nar ta ’Jacksonville fl-1901?</v>
      </c>
    </row>
    <row r="11799" ht="15.75" customHeight="1">
      <c r="A11799" s="2" t="s">
        <v>11799</v>
      </c>
      <c r="B11799" s="2" t="str">
        <f>IFERROR(__xludf.DUMMYFUNCTION("GOOGLETRANSLATE(A11799, ""en"", ""mt"")"),"Minn xiex jinġibdu saffi tar-ramel?")</f>
        <v>Minn xiex jinġibdu saffi tar-ramel?</v>
      </c>
    </row>
    <row r="11800" ht="15.75" customHeight="1">
      <c r="A11800" s="2" t="s">
        <v>11800</v>
      </c>
      <c r="B11800" s="2" t="str">
        <f>IFERROR(__xludf.DUMMYFUNCTION("GOOGLETRANSLATE(A11800, ""en"", ""mt"")"),"Tekniki ġodda tal-kostruzzjoni tal-bini qed jiġu riċerkati, li huma possibbli permezz ta 'avvanzi?")</f>
        <v>Tekniki ġodda tal-kostruzzjoni tal-bini qed jiġu riċerkati, li huma possibbli permezz ta 'avvanzi?</v>
      </c>
    </row>
    <row r="11801" ht="15.75" customHeight="1">
      <c r="A11801" s="2" t="s">
        <v>11801</v>
      </c>
      <c r="B11801" s="2" t="str">
        <f>IFERROR(__xludf.DUMMYFUNCTION("GOOGLETRANSLATE(A11801, ""en"", ""mt"")"),"L-invażjoni falliet")</f>
        <v>L-invażjoni falliet</v>
      </c>
    </row>
    <row r="11802" ht="15.75" customHeight="1">
      <c r="A11802" s="2" t="s">
        <v>11802</v>
      </c>
      <c r="B11802" s="2" t="str">
        <f>IFERROR(__xludf.DUMMYFUNCTION("GOOGLETRANSLATE(A11802, ""en"", ""mt"")"),"Kemm intużaw rikostruzzjonijiet medjevali ta 'perjodu sħun?")</f>
        <v>Kemm intużaw rikostruzzjonijiet medjevali ta 'perjodu sħun?</v>
      </c>
    </row>
    <row r="11803" ht="15.75" customHeight="1">
      <c r="A11803" s="2" t="s">
        <v>11803</v>
      </c>
      <c r="B11803" s="2" t="str">
        <f>IFERROR(__xludf.DUMMYFUNCTION("GOOGLETRANSLATE(A11803, ""en"", ""mt"")"),"X'tip ta 'motivaturi huma kkunsidrati l-kisba u d-determinazzjoni tal-awto?")</f>
        <v>X'tip ta 'motivaturi huma kkunsidrati l-kisba u d-determinazzjoni tal-awto?</v>
      </c>
    </row>
    <row r="11804" ht="15.75" customHeight="1">
      <c r="A11804" s="2" t="s">
        <v>11804</v>
      </c>
      <c r="B11804" s="2" t="str">
        <f>IFERROR(__xludf.DUMMYFUNCTION("GOOGLETRANSLATE(A11804, ""en"", ""mt"")"),"X'inhuma l-perjodi ta 'tkabbir itwal assoċjati magħhom?")</f>
        <v>X'inhuma l-perjodi ta 'tkabbir itwal assoċjati magħhom?</v>
      </c>
    </row>
    <row r="11805" ht="15.75" customHeight="1">
      <c r="A11805" s="2" t="s">
        <v>11805</v>
      </c>
      <c r="B11805" s="2" t="str">
        <f>IFERROR(__xludf.DUMMYFUNCTION("GOOGLETRANSLATE(A11805, ""en"", ""mt"")"),"Liema ċiklu termodinamiku ideali janalizza l-proċess li bih jaħdmu l-magni tal-fwar?")</f>
        <v>Liema ċiklu termodinamiku ideali janalizza l-proċess li bih jaħdmu l-magni tal-fwar?</v>
      </c>
    </row>
    <row r="11806" ht="15.75" customHeight="1">
      <c r="A11806" s="2" t="s">
        <v>11806</v>
      </c>
      <c r="B11806" s="2" t="str">
        <f>IFERROR(__xludf.DUMMYFUNCTION("GOOGLETRANSLATE(A11806, ""en"", ""mt"")"),"X'inhu ffurmat fin-natura mill-enerġija waqt il-fotosintesi?")</f>
        <v>X'inhu ffurmat fin-natura mill-enerġija waqt il-fotosintesi?</v>
      </c>
    </row>
    <row r="11807" ht="15.75" customHeight="1">
      <c r="A11807" s="2" t="s">
        <v>11807</v>
      </c>
      <c r="B11807" s="2" t="str">
        <f>IFERROR(__xludf.DUMMYFUNCTION("GOOGLETRANSLATE(A11807, ""en"", ""mt"")"),"qawwi u dgħajjef")</f>
        <v>qawwi u dgħajjef</v>
      </c>
    </row>
    <row r="11808" ht="15.75" customHeight="1">
      <c r="A11808" s="2" t="s">
        <v>11808</v>
      </c>
      <c r="B11808" s="2" t="str">
        <f>IFERROR(__xludf.DUMMYFUNCTION("GOOGLETRANSLATE(A11808, ""en"", ""mt"")"),"tipprova twaqqafha milli tagħti lil ħuha Polynices dfin xieraq")</f>
        <v>tipprova twaqqafha milli tagħti lil ħuha Polynices dfin xieraq</v>
      </c>
    </row>
    <row r="11809" ht="15.75" customHeight="1">
      <c r="A11809" s="2" t="s">
        <v>11809</v>
      </c>
      <c r="B11809" s="2" t="str">
        <f>IFERROR(__xludf.DUMMYFUNCTION("GOOGLETRANSLATE(A11809, ""en"", ""mt"")"),"Drajvs tal-ġbir ta 'fondi")</f>
        <v>Drajvs tal-ġbir ta 'fondi</v>
      </c>
    </row>
    <row r="11810" ht="15.75" customHeight="1">
      <c r="A11810" s="2" t="s">
        <v>11810</v>
      </c>
      <c r="B11810" s="2" t="str">
        <f>IFERROR(__xludf.DUMMYFUNCTION("GOOGLETRANSLATE(A11810, ""en"", ""mt"")"),"L-invertebrati ma jiġġenerawx liema tip ta 'ċelloli huma parti mis-sistema immuni adatta vertebra?")</f>
        <v>L-invertebrati ma jiġġenerawx liema tip ta 'ċelloli huma parti mis-sistema immuni adatta vertebra?</v>
      </c>
    </row>
    <row r="11811" ht="15.75" customHeight="1">
      <c r="A11811" s="2" t="s">
        <v>11811</v>
      </c>
      <c r="B11811" s="2" t="str">
        <f>IFERROR(__xludf.DUMMYFUNCTION("GOOGLETRANSLATE(A11811, ""en"", ""mt"")"),"Dak li kiteb il-Grieg bikri dwar esperimenti dwar l-arja u l-kombustjoni?")</f>
        <v>Dak li kiteb il-Grieg bikri dwar esperimenti dwar l-arja u l-kombustjoni?</v>
      </c>
    </row>
    <row r="11812" ht="15.75" customHeight="1">
      <c r="A11812" s="2" t="s">
        <v>11812</v>
      </c>
      <c r="B11812" s="2" t="str">
        <f>IFERROR(__xludf.DUMMYFUNCTION("GOOGLETRANSLATE(A11812, ""en"", ""mt"")"),"268 U.S. 510 (1925)")</f>
        <v>268 U.S. 510 (1925)</v>
      </c>
    </row>
    <row r="11813" ht="15.75" customHeight="1">
      <c r="A11813" s="2" t="s">
        <v>11813</v>
      </c>
      <c r="B11813" s="2" t="str">
        <f>IFERROR(__xludf.DUMMYFUNCTION("GOOGLETRANSLATE(A11813, ""en"", ""mt"")"),"k")</f>
        <v>k</v>
      </c>
    </row>
    <row r="11814" ht="15.75" customHeight="1">
      <c r="A11814" s="2" t="s">
        <v>11814</v>
      </c>
      <c r="B11814" s="2" t="str">
        <f>IFERROR(__xludf.DUMMYFUNCTION("GOOGLETRANSLATE(A11814, ""en"", ""mt"")"),"Kif jiġi pprovdut il-kontenut tal-kors lil skola privata?")</f>
        <v>Kif jiġi pprovdut il-kontenut tal-kors lil skola privata?</v>
      </c>
    </row>
    <row r="11815" ht="15.75" customHeight="1">
      <c r="A11815" s="2" t="s">
        <v>11815</v>
      </c>
      <c r="B11815" s="2" t="str">
        <f>IFERROR(__xludf.DUMMYFUNCTION("GOOGLETRANSLATE(A11815, ""en"", ""mt"")"),"Dewweb")</f>
        <v>Dewweb</v>
      </c>
    </row>
    <row r="11816" ht="15.75" customHeight="1">
      <c r="A11816" s="2" t="s">
        <v>11816</v>
      </c>
      <c r="B11816" s="2" t="str">
        <f>IFERROR(__xludf.DUMMYFUNCTION("GOOGLETRANSLATE(A11816, ""en"", ""mt"")"),"Liema xita sfurzata tappoġġja aktar minn 11,003 speċi")</f>
        <v>Liema xita sfurzata tappoġġja aktar minn 11,003 speċi</v>
      </c>
    </row>
    <row r="11817" ht="15.75" customHeight="1">
      <c r="A11817" s="2" t="s">
        <v>11817</v>
      </c>
      <c r="B11817" s="2" t="str">
        <f>IFERROR(__xludf.DUMMYFUNCTION("GOOGLETRANSLATE(A11817, ""en"", ""mt"")"),"Fuq liema vetturi jagħmlu l-magni tax-xogħol ta 'daqs sħiħ kultant jużaw blat taċ-ċilindru li joxxillaw?")</f>
        <v>Fuq liema vetturi jagħmlu l-magni tax-xogħol ta 'daqs sħiħ kultant jużaw blat taċ-ċilindru li joxxillaw?</v>
      </c>
    </row>
    <row r="11818" ht="15.75" customHeight="1">
      <c r="A11818" s="2" t="s">
        <v>11818</v>
      </c>
      <c r="B11818" s="2" t="str">
        <f>IFERROR(__xludf.DUMMYFUNCTION("GOOGLETRANSLATE(A11818, ""en"", ""mt"")"),"il-marbut fuq il-kumplessità tat-tnaqqis")</f>
        <v>il-marbut fuq il-kumplessità tat-tnaqqis</v>
      </c>
    </row>
    <row r="11819" ht="15.75" customHeight="1">
      <c r="A11819" s="2" t="s">
        <v>11819</v>
      </c>
      <c r="B11819" s="2" t="str">
        <f>IFERROR(__xludf.DUMMYFUNCTION("GOOGLETRANSLATE(A11819, ""en"", ""mt"")"),"Meta bdiet ir-riforma tal-knisja?")</f>
        <v>Meta bdiet ir-riforma tal-knisja?</v>
      </c>
    </row>
    <row r="11820" ht="15.75" customHeight="1">
      <c r="A11820" s="2" t="s">
        <v>11820</v>
      </c>
      <c r="B11820" s="2" t="str">
        <f>IFERROR(__xludf.DUMMYFUNCTION("GOOGLETRANSLATE(A11820, ""en"", ""mt"")"),"Meta waslu Huguenots l-ewwel darba f'Helsinki?")</f>
        <v>Meta waslu Huguenots l-ewwel darba f'Helsinki?</v>
      </c>
    </row>
    <row r="11821" ht="15.75" customHeight="1">
      <c r="A11821" s="2" t="s">
        <v>11821</v>
      </c>
      <c r="B11821" s="2" t="str">
        <f>IFERROR(__xludf.DUMMYFUNCTION("GOOGLETRANSLATE(A11821, ""en"", ""mt"")"),"X'inhi t-temperatura medja ta 'Hopetoun f'Furtary?")</f>
        <v>X'inhi t-temperatura medja ta 'Hopetoun f'Furtary?</v>
      </c>
    </row>
    <row r="11822" ht="15.75" customHeight="1">
      <c r="A11822" s="2" t="s">
        <v>11822</v>
      </c>
      <c r="B11822" s="2" t="str">
        <f>IFERROR(__xludf.DUMMYFUNCTION("GOOGLETRANSLATE(A11822, ""en"", ""mt"")"),"megaprojects")</f>
        <v>megaprojects</v>
      </c>
    </row>
    <row r="11823" ht="15.75" customHeight="1">
      <c r="A11823" s="2" t="s">
        <v>11823</v>
      </c>
      <c r="B11823" s="2" t="str">
        <f>IFERROR(__xludf.DUMMYFUNCTION("GOOGLETRANSLATE(A11823, ""en"", ""mt"")"),"Turbini tal-fwar bl-irkaptu tat-tnaqqis")</f>
        <v>Turbini tal-fwar bl-irkaptu tat-tnaqqis</v>
      </c>
    </row>
    <row r="11824" ht="15.75" customHeight="1">
      <c r="A11824" s="2" t="s">
        <v>11824</v>
      </c>
      <c r="B11824" s="2" t="str">
        <f>IFERROR(__xludf.DUMMYFUNCTION("GOOGLETRANSLATE(A11824, ""en"", ""mt"")"),"Min waqqaf l-uffiċċju tal-mediċina tal-Punent?")</f>
        <v>Min waqqaf l-uffiċċju tal-mediċina tal-Punent?</v>
      </c>
    </row>
    <row r="11825" ht="15.75" customHeight="1">
      <c r="A11825" s="2" t="s">
        <v>11825</v>
      </c>
      <c r="B11825" s="2" t="str">
        <f>IFERROR(__xludf.DUMMYFUNCTION("GOOGLETRANSLATE(A11825, ""en"", ""mt"")"),"għaxra sa ħmistax")</f>
        <v>għaxra sa ħmistax</v>
      </c>
    </row>
    <row r="11826" ht="15.75" customHeight="1">
      <c r="A11826" s="2" t="s">
        <v>11826</v>
      </c>
      <c r="B11826" s="2" t="str">
        <f>IFERROR(__xludf.DUMMYFUNCTION("GOOGLETRANSLATE(A11826, ""en"", ""mt"")"),"Fejn kienu l-Ġeoloġi tal-Ġenesi li ma jistgħux ikejlu l-ossiġnu?")</f>
        <v>Fejn kienu l-Ġeoloġi tal-Ġenesi li ma jistgħux ikejlu l-ossiġnu?</v>
      </c>
    </row>
    <row r="11827" ht="15.75" customHeight="1">
      <c r="A11827" s="2" t="s">
        <v>11827</v>
      </c>
      <c r="B11827" s="2" t="str">
        <f>IFERROR(__xludf.DUMMYFUNCTION("GOOGLETRANSLATE(A11827, ""en"", ""mt"")"),"X’jmbisset il-kaxxa tas-sema +?")</f>
        <v>X’jmbisset il-kaxxa tas-sema +?</v>
      </c>
    </row>
    <row r="11828" ht="15.75" customHeight="1">
      <c r="A11828" s="2" t="s">
        <v>11828</v>
      </c>
      <c r="B11828" s="2" t="str">
        <f>IFERROR(__xludf.DUMMYFUNCTION("GOOGLETRANSLATE(A11828, ""en"", ""mt"")"),"Axioms tal-kumplessità tal-blum")</f>
        <v>Axioms tal-kumplessità tal-blum</v>
      </c>
    </row>
    <row r="11829" ht="15.75" customHeight="1">
      <c r="A11829" s="2" t="s">
        <v>11829</v>
      </c>
      <c r="B11829" s="2" t="str">
        <f>IFERROR(__xludf.DUMMYFUNCTION("GOOGLETRANSLATE(A11829, ""en"", ""mt"")"),"Min kien il-famuż teologu u kittieb Huguenot f'Londra?")</f>
        <v>Min kien il-famuż teologu u kittieb Huguenot f'Londra?</v>
      </c>
    </row>
    <row r="11830" ht="15.75" customHeight="1">
      <c r="A11830" s="2" t="s">
        <v>11830</v>
      </c>
      <c r="B11830" s="2" t="str">
        <f>IFERROR(__xludf.DUMMYFUNCTION("GOOGLETRANSLATE(A11830, ""en"", ""mt"")"),"Kummissjoni v Franza")</f>
        <v>Kummissjoni v Franza</v>
      </c>
    </row>
    <row r="11831" ht="15.75" customHeight="1">
      <c r="A11831" s="2" t="s">
        <v>11831</v>
      </c>
      <c r="B11831" s="2" t="str">
        <f>IFERROR(__xludf.DUMMYFUNCTION("GOOGLETRANSLATE(A11831, ""en"", ""mt"")"),"It-tnejn x'inhuma meqjusa li jistgħu jiġu distinti fiżikament?")</f>
        <v>It-tnejn x'inhuma meqjusa li jistgħu jiġu distinti fiżikament?</v>
      </c>
    </row>
    <row r="11832" ht="15.75" customHeight="1">
      <c r="A11832" s="2" t="s">
        <v>11832</v>
      </c>
      <c r="B11832" s="2" t="str">
        <f>IFERROR(__xludf.DUMMYFUNCTION("GOOGLETRANSLATE(A11832, ""en"", ""mt"")"),"Fejn huma l-inqas komuni s-saħħa u l-problemi soċjali?")</f>
        <v>Fejn huma l-inqas komuni s-saħħa u l-problemi soċjali?</v>
      </c>
    </row>
    <row r="11833" ht="15.75" customHeight="1">
      <c r="A11833" s="2" t="s">
        <v>11833</v>
      </c>
      <c r="B11833" s="2" t="str">
        <f>IFERROR(__xludf.DUMMYFUNCTION("GOOGLETRANSLATE(A11833, ""en"", ""mt"")"),"Il-Harvard Crimson jikkompeti fi 42 sport intercollegiate fid-Diviżjoni I tal-NCAA Ivy League. Harvard għandu rivalità atletika intensa mal-Università ta 'Yale li twassal fil-logħba, għalkemm ir-regatta ta' Harvard-Yale tkun qabel il-logħba tal-futbol. Di"&amp;"n ir-rivalità, għalkemm, titwarrab kull sentejn meta t-timijiet ta 'Harvard u Yale Track and Field jingħaqdu biex jikkompetu kontra Tim ta' Università ta 'Oxford magħquda u Cambridge University, kompetizzjoni li hija l-eqdem kompetizzjoni tad-dilettanti i"&amp;"nternazzjonali kontinwa fid-dinja.")</f>
        <v>Il-Harvard Crimson jikkompeti fi 42 sport intercollegiate fid-Diviżjoni I tal-NCAA Ivy League. Harvard għandu rivalità atletika intensa mal-Università ta 'Yale li twassal fil-logħba, għalkemm ir-regatta ta' Harvard-Yale tkun qabel il-logħba tal-futbol. Din ir-rivalità, għalkemm, titwarrab kull sentejn meta t-timijiet ta 'Harvard u Yale Track and Field jingħaqdu biex jikkompetu kontra Tim ta' Università ta 'Oxford magħquda u Cambridge University, kompetizzjoni li hija l-eqdem kompetizzjoni tad-dilettanti internazzjonali kontinwa fid-dinja.</v>
      </c>
    </row>
    <row r="11834" ht="15.75" customHeight="1">
      <c r="A11834" s="2" t="s">
        <v>11834</v>
      </c>
      <c r="B11834" s="2" t="str">
        <f>IFERROR(__xludf.DUMMYFUNCTION("GOOGLETRANSLATE(A11834, ""en"", ""mt"")"),"fuq ix-xatt tal-lemin tal-Vistula")</f>
        <v>fuq ix-xatt tal-lemin tal-Vistula</v>
      </c>
    </row>
    <row r="11835" ht="15.75" customHeight="1">
      <c r="A11835" s="2" t="s">
        <v>11835</v>
      </c>
      <c r="B11835" s="2" t="str">
        <f>IFERROR(__xludf.DUMMYFUNCTION("GOOGLETRANSLATE(A11835, ""en"", ""mt"")"),"Liema att laħaq il-Parlament il-Qadim tal-Iskozja?")</f>
        <v>Liema att laħaq il-Parlament il-Qadim tal-Iskozja?</v>
      </c>
    </row>
    <row r="11836" ht="15.75" customHeight="1">
      <c r="A11836" s="2" t="s">
        <v>11836</v>
      </c>
      <c r="B11836" s="2" t="str">
        <f>IFERROR(__xludf.DUMMYFUNCTION("GOOGLETRANSLATE(A11836, ""en"", ""mt"")"),"Kemm tipproduċi Victoria fil-lanġas Awstraljani?")</f>
        <v>Kemm tipproduċi Victoria fil-lanġas Awstraljani?</v>
      </c>
    </row>
    <row r="11837" ht="15.75" customHeight="1">
      <c r="A11837" s="2" t="s">
        <v>11837</v>
      </c>
      <c r="B11837" s="2" t="str">
        <f>IFERROR(__xludf.DUMMYFUNCTION("GOOGLETRANSLATE(A11837, ""en"", ""mt"")"),"stat jew gvern")</f>
        <v>stat jew gvern</v>
      </c>
    </row>
    <row r="11838" ht="15.75" customHeight="1">
      <c r="A11838" s="2" t="s">
        <v>11838</v>
      </c>
      <c r="B11838" s="2" t="str">
        <f>IFERROR(__xludf.DUMMYFUNCTION("GOOGLETRANSLATE(A11838, ""en"", ""mt"")"),"Skond Politifact l-aqwa 400 Amerikani l-aktar sinjuri ""għandhom aktar ġid minn nofs l-Amerikani kollha magħquda."" Skond in-New York Times fit-22 ta 'Lulju, 2014, l- ""1 fil-mija l-aktar sinjur fl-Istati Uniti issa għandhom aktar ġid mill-qiegħ 90 fil-mi"&amp;"ja"". Il-ġid li jintiret jista 'jgħin biex jispjega għaliex ħafna Amerikani li saru sinjuri setgħu kellhom ""bidu sostanzjali"". F'Settembru 2012, skont l-Istitut għall-Istudji tal-Politika, ""aktar minn 60 fil-mija"" tal-Forbes l-aktar sinjur 400 Amerika"&amp;"n ""kiber bi privileġġ sostanzjali"".")</f>
        <v>Skond Politifact l-aqwa 400 Amerikani l-aktar sinjuri "għandhom aktar ġid minn nofs l-Amerikani kollha magħquda." Skond in-New York Times fit-22 ta 'Lulju, 2014, l- "1 fil-mija l-aktar sinjur fl-Istati Uniti issa għandhom aktar ġid mill-qiegħ 90 fil-mija". Il-ġid li jintiret jista 'jgħin biex jispjega għaliex ħafna Amerikani li saru sinjuri setgħu kellhom "bidu sostanzjali". F'Settembru 2012, skont l-Istitut għall-Istudji tal-Politika, "aktar minn 60 fil-mija" tal-Forbes l-aktar sinjur 400 Amerikan "kiber bi privileġġ sostanzjali".</v>
      </c>
    </row>
    <row r="11839" ht="15.75" customHeight="1">
      <c r="A11839" s="2" t="s">
        <v>11839</v>
      </c>
      <c r="B11839" s="2" t="str">
        <f>IFERROR(__xludf.DUMMYFUNCTION("GOOGLETRANSLATE(A11839, ""en"", ""mt"")"),"Kemm bijomolekuli ma fihom l-ebda ossiġnu?")</f>
        <v>Kemm bijomolekuli ma fihom l-ebda ossiġnu?</v>
      </c>
    </row>
    <row r="11840" ht="15.75" customHeight="1">
      <c r="A11840" s="2" t="s">
        <v>11840</v>
      </c>
      <c r="B11840" s="2" t="str">
        <f>IFERROR(__xludf.DUMMYFUNCTION("GOOGLETRANSLATE(A11840, ""en"", ""mt"")"),"Terra Preta (Dinja l-Iswed), li hija mqassma fuq żoni kbar fil-foresta tal-Amażonja, issa hija aċċettata b'mod wiesa 'bħala prodott ta' ġestjoni indiġena tal-ħamrija. L-iżvilupp ta 'din il-ħamrija fertili ppermetta l-agrikoltura u s-silvikultura fl-ambjen"&amp;"t li qabel kien ostili; Fis-sens li porzjonijiet kbar tal-foresta tropikali tal-Amażonja huma probabbilment ir-riżultat ta 'sekli ta' ġestjoni tal-bniedem, aktar milli jseħħu b'mod naturali kif suppost kien suppost. Fir-reġjun tat-tribù Xingu, il-fdalijie"&amp;"t ta 'wħud minn dawn l-insedjamenti kbar f'nofs il-foresta tal-Amażonja nstabu fl-2003 minn Michael Heckenberger u l-kollegi tal-Università ta' Florida. Fost dawk kien hemm evidenza ta 'toroq, pontijiet u pjazi kbar.")</f>
        <v>Terra Preta (Dinja l-Iswed), li hija mqassma fuq żoni kbar fil-foresta tal-Amażonja, issa hija aċċettata b'mod wiesa 'bħala prodott ta' ġestjoni indiġena tal-ħamrija. L-iżvilupp ta 'din il-ħamrija fertili ppermetta l-agrikoltura u s-silvikultura fl-ambjent li qabel kien ostili; Fis-sens li porzjonijiet kbar tal-foresta tropikali tal-Amażonja huma probabbilment ir-riżultat ta 'sekli ta' ġestjoni tal-bniedem, aktar milli jseħħu b'mod naturali kif suppost kien suppost. Fir-reġjun tat-tribù Xingu, il-fdalijiet ta 'wħud minn dawn l-insedjamenti kbar f'nofs il-foresta tal-Amażonja nstabu fl-2003 minn Michael Heckenberger u l-kollegi tal-Università ta' Florida. Fost dawk kien hemm evidenza ta 'toroq, pontijiet u pjazi kbar.</v>
      </c>
    </row>
    <row r="11841" ht="15.75" customHeight="1">
      <c r="A11841" s="2" t="s">
        <v>11841</v>
      </c>
      <c r="B11841" s="2" t="str">
        <f>IFERROR(__xludf.DUMMYFUNCTION("GOOGLETRANSLATE(A11841, ""en"", ""mt"")"),"Raoul Pierre Pictet")</f>
        <v>Raoul Pierre Pictet</v>
      </c>
    </row>
    <row r="11842" ht="15.75" customHeight="1">
      <c r="A11842" s="2" t="s">
        <v>11842</v>
      </c>
      <c r="B11842" s="2" t="str">
        <f>IFERROR(__xludf.DUMMYFUNCTION("GOOGLETRANSLATE(A11842, ""en"", ""mt"")"),"BSKYB m'għandu l-ebda veto fuq il-preżenza ta 'kanali fuq l-EPG tagħhom, b'aċċess miftuħ ikun parti infurzata tal-liċenzja operattiva tagħhom minn Ofcom. Kull kanal li jista 'jikseb ġarr fuq raġġ adattat ta' satellita f'28 ° lvant huwa intitolat li jaċċes"&amp;"sa għall-EPG ta 'BSKYB għal ħlas, li jvarja minn £ 15-100,000. Kanali ta 'partijiet terzi li jagħżlu l-encryption jirċievu skontijiet li jvarjaw minn prezz imnaqqas għal entrati EPG b'xejn, ġarr b'xejn fuq transponder mikri BSKYB, jew ħlas attwali biex ji"&amp;"nġarr. Madankollu, anke f'dan il-każ, BSKYB ma jġorr l-ebda kontroll fuq il-kontenut tal-kanal jew kwistjonijiet ta 'ġarr bħall-kwalità tal-istampa.")</f>
        <v>BSKYB m'għandu l-ebda veto fuq il-preżenza ta 'kanali fuq l-EPG tagħhom, b'aċċess miftuħ ikun parti infurzata tal-liċenzja operattiva tagħhom minn Ofcom. Kull kanal li jista 'jikseb ġarr fuq raġġ adattat ta' satellita f'28 ° lvant huwa intitolat li jaċċessa għall-EPG ta 'BSKYB għal ħlas, li jvarja minn £ 15-100,000. Kanali ta 'partijiet terzi li jagħżlu l-encryption jirċievu skontijiet li jvarjaw minn prezz imnaqqas għal entrati EPG b'xejn, ġarr b'xejn fuq transponder mikri BSKYB, jew ħlas attwali biex jinġarr. Madankollu, anke f'dan il-każ, BSKYB ma jġorr l-ebda kontroll fuq il-kontenut tal-kanal jew kwistjonijiet ta 'ġarr bħall-kwalità tal-istampa.</v>
      </c>
    </row>
    <row r="11843" ht="15.75" customHeight="1">
      <c r="A11843" s="2" t="s">
        <v>11843</v>
      </c>
      <c r="B11843" s="2" t="str">
        <f>IFERROR(__xludf.DUMMYFUNCTION("GOOGLETRANSLATE(A11843, ""en"", ""mt"")"),"Mużew Rebbiegħa ta 'Varsavja")</f>
        <v>Mużew Rebbiegħa ta 'Varsavja</v>
      </c>
    </row>
    <row r="11844" ht="15.75" customHeight="1">
      <c r="A11844" s="2" t="s">
        <v>11844</v>
      </c>
      <c r="B11844" s="2" t="str">
        <f>IFERROR(__xludf.DUMMYFUNCTION("GOOGLETRANSLATE(A11844, ""en"", ""mt"")"),"Meta tnediet l-uniku satellita?")</f>
        <v>Meta tnediet l-uniku satellita?</v>
      </c>
    </row>
    <row r="11845" ht="15.75" customHeight="1">
      <c r="A11845" s="2" t="s">
        <v>11845</v>
      </c>
      <c r="B11845" s="2" t="str">
        <f>IFERROR(__xludf.DUMMYFUNCTION("GOOGLETRANSLATE(A11845, ""en"", ""mt"")"),"swamps tal-pit jew għadajjar żgħar")</f>
        <v>swamps tal-pit jew għadajjar żgħar</v>
      </c>
    </row>
    <row r="11846" ht="15.75" customHeight="1">
      <c r="A11846" s="2" t="s">
        <v>11846</v>
      </c>
      <c r="B11846" s="2" t="str">
        <f>IFERROR(__xludf.DUMMYFUNCTION("GOOGLETRANSLATE(A11846, ""en"", ""mt"")"),"Liema ospitanti u kittieb tat-TV marru Harvard?")</f>
        <v>Liema ospitanti u kittieb tat-TV marru Harvard?</v>
      </c>
    </row>
    <row r="11847" ht="15.75" customHeight="1">
      <c r="A11847" s="2" t="s">
        <v>11847</v>
      </c>
      <c r="B11847" s="2" t="str">
        <f>IFERROR(__xludf.DUMMYFUNCTION("GOOGLETRANSLATE(A11847, ""en"", ""mt"")"),"F'liema każ il-Qorti tal-Ġustizzja kienet tgħid li l-avukati Taljani li qed jikkonformaw mat-tariffi massimi sakemm ma kienx hemm ftehim ma 'klijent ma kienx restrizzjoni?")</f>
        <v>F'liema każ il-Qorti tal-Ġustizzja kienet tgħid li l-avukati Taljani li qed jikkonformaw mat-tariffi massimi sakemm ma kienx hemm ftehim ma 'klijent ma kienx restrizzjoni?</v>
      </c>
    </row>
    <row r="11848" ht="15.75" customHeight="1">
      <c r="A11848" s="2" t="s">
        <v>11848</v>
      </c>
      <c r="B11848" s="2" t="str">
        <f>IFERROR(__xludf.DUMMYFUNCTION("GOOGLETRANSLATE(A11848, ""en"", ""mt"")"),"Ir-rwol tal-mapep tas-seklu dsatax matul il- ""ġirja għall-Afrika""")</f>
        <v>Ir-rwol tal-mapep tas-seklu dsatax matul il- "ġirja għall-Afrika"</v>
      </c>
    </row>
    <row r="11849" ht="15.75" customHeight="1">
      <c r="A11849" s="2" t="s">
        <v>11849</v>
      </c>
      <c r="B11849" s="2" t="str">
        <f>IFERROR(__xludf.DUMMYFUNCTION("GOOGLETRANSLATE(A11849, ""en"", ""mt"")"),"ċelloli T helper")</f>
        <v>ċelloli T helper</v>
      </c>
    </row>
    <row r="11850" ht="15.75" customHeight="1">
      <c r="A11850" s="2" t="s">
        <v>11850</v>
      </c>
      <c r="B11850" s="2" t="str">
        <f>IFERROR(__xludf.DUMMYFUNCTION("GOOGLETRANSLATE(A11850, ""en"", ""mt"")"),"Meta l-mard awtoimmuni spiss jolqot irġiel?")</f>
        <v>Meta l-mard awtoimmuni spiss jolqot irġiel?</v>
      </c>
    </row>
    <row r="11851" ht="15.75" customHeight="1">
      <c r="A11851" s="2" t="s">
        <v>11851</v>
      </c>
      <c r="B11851" s="2" t="str">
        <f>IFERROR(__xludf.DUMMYFUNCTION("GOOGLETRANSLATE(A11851, ""en"", ""mt"")"),"Ħsarat ta 'Puente Hills")</f>
        <v>Ħsarat ta 'Puente Hills</v>
      </c>
    </row>
    <row r="11852" ht="15.75" customHeight="1">
      <c r="A11852" s="2" t="s">
        <v>11852</v>
      </c>
      <c r="B11852" s="2" t="str">
        <f>IFERROR(__xludf.DUMMYFUNCTION("GOOGLETRANSLATE(A11852, ""en"", ""mt"")"),"il-leġittimità ta 'kwalunkwe gvern")</f>
        <v>il-leġittimità ta 'kwalunkwe gvern</v>
      </c>
    </row>
    <row r="11853" ht="15.75" customHeight="1">
      <c r="A11853" s="2" t="s">
        <v>11853</v>
      </c>
      <c r="B11853" s="2" t="str">
        <f>IFERROR(__xludf.DUMMYFUNCTION("GOOGLETRANSLATE(A11853, ""en"", ""mt"")"),"X'jiġri meta l-partijiet kollha ta 'pjanta jsiru infettati?")</f>
        <v>X'jiġri meta l-partijiet kollha ta 'pjanta jsiru infettati?</v>
      </c>
    </row>
    <row r="11854" ht="15.75" customHeight="1">
      <c r="A11854" s="2" t="s">
        <v>11854</v>
      </c>
      <c r="B11854" s="2" t="str">
        <f>IFERROR(__xludf.DUMMYFUNCTION("GOOGLETRANSLATE(A11854, ""en"", ""mt"")"),"F’liema tip ta ’jihad jevita ht?")</f>
        <v>F’liema tip ta ’jihad jevita ht?</v>
      </c>
    </row>
    <row r="11855" ht="15.75" customHeight="1">
      <c r="A11855" s="2" t="s">
        <v>11855</v>
      </c>
      <c r="B11855" s="2" t="str">
        <f>IFERROR(__xludf.DUMMYFUNCTION("GOOGLETRANSLATE(A11855, ""en"", ""mt"")"),"X’kien ried jibni Baran mas-sistema?")</f>
        <v>X’kien ried jibni Baran mas-sistema?</v>
      </c>
    </row>
    <row r="11856" ht="15.75" customHeight="1">
      <c r="A11856" s="2" t="s">
        <v>11856</v>
      </c>
      <c r="B11856" s="2" t="str">
        <f>IFERROR(__xludf.DUMMYFUNCTION("GOOGLETRANSLATE(A11856, ""en"", ""mt"")"),"Liema konġettura żżomm li dejjem hemm minimu ta '1 prim bejn il-kwadri ta' primes konsekuttivi akbar minn 2?")</f>
        <v>Liema konġettura żżomm li dejjem hemm minimu ta '1 prim bejn il-kwadri ta' primes konsekuttivi akbar minn 2?</v>
      </c>
    </row>
    <row r="11857" ht="15.75" customHeight="1">
      <c r="A11857" s="2" t="s">
        <v>11857</v>
      </c>
      <c r="B11857" s="2" t="str">
        <f>IFERROR(__xludf.DUMMYFUNCTION("GOOGLETRANSLATE(A11857, ""en"", ""mt"")"),"Imwaqqaf oriġinarjament mil-Leġislatura ta 'Massachusetts u ftit wara msemmi għal John Harvard (l-ewwel benefattur tiegħu), Harvard hija l-eqdem istituzzjoni ta' tagħlim ogħla ta 'l-Istati Uniti, u l-Korporazzjoni ta' Harvard (formalment, il-president u l"&amp;"-membri tal-Kulleġġ ta 'Harvard) hija l-ewwel mikrija tagħha korporazzjoni. Għalkemm qatt ma affiljat formalment ma 'xi denominazzjoni, il-kulleġġ bikri mħarreġ primarjament kongregazzjonist u kleru Unitarju. Il-kurrikulu u l-korp tal-istudenti tiegħu ġew"&amp;" gradwalment sekularizzati matul is-seklu 18, u sas-seklu 19 Harvard kien ħareġ bħala l-istabbiliment kulturali ċentrali fost l-elite ta 'Boston. Wara l-Gwerra Ċivili Amerikana, il-President Charles W. Eliot's Long Tule (1869-1909) biddel il-kulleġġ u l-i"&amp;"skejjel professjonali affiljati f'università ta 'riċerka moderna; Harvard kien membru fundatur tal-Assoċjazzjoni tal-Universitajiet Amerikani fl-1900. James Bryant Conant mexxa l-università permezz tad-Depressjoni l-Kbira u t-Tieni Gwerra Dinjija u beda j"&amp;"irriforma l-kurrikulu u jilliberalizza l-ammissjonijiet wara l-gwerra. Il-Kulleġġ Undergraduate sar koeducational wara l-għaqda tiegħu tal-1977 mal-Kulleġġ Radcliffe.")</f>
        <v>Imwaqqaf oriġinarjament mil-Leġislatura ta 'Massachusetts u ftit wara msemmi għal John Harvard (l-ewwel benefattur tiegħu), Harvard hija l-eqdem istituzzjoni ta' tagħlim ogħla ta 'l-Istati Uniti, u l-Korporazzjoni ta' Harvard (formalment, il-president u l-membri tal-Kulleġġ ta 'Harvard) hija l-ewwel mikrija tagħha korporazzjoni. Għalkemm qatt ma affiljat formalment ma 'xi denominazzjoni, il-kulleġġ bikri mħarreġ primarjament kongregazzjonist u kleru Unitarju. Il-kurrikulu u l-korp tal-istudenti tiegħu ġew gradwalment sekularizzati matul is-seklu 18, u sas-seklu 19 Harvard kien ħareġ bħala l-istabbiliment kulturali ċentrali fost l-elite ta 'Boston. Wara l-Gwerra Ċivili Amerikana, il-President Charles W. Eliot's Long Tule (1869-1909) biddel il-kulleġġ u l-iskejjel professjonali affiljati f'università ta 'riċerka moderna; Harvard kien membru fundatur tal-Assoċjazzjoni tal-Universitajiet Amerikani fl-1900. James Bryant Conant mexxa l-università permezz tad-Depressjoni l-Kbira u t-Tieni Gwerra Dinjija u beda jirriforma l-kurrikulu u jilliberalizza l-ammissjonijiet wara l-gwerra. Il-Kulleġġ Undergraduate sar koeducational wara l-għaqda tiegħu tal-1977 mal-Kulleġġ Radcliffe.</v>
      </c>
    </row>
    <row r="11858" ht="15.75" customHeight="1">
      <c r="A11858" s="2" t="s">
        <v>11858</v>
      </c>
      <c r="B11858" s="2" t="str">
        <f>IFERROR(__xludf.DUMMYFUNCTION("GOOGLETRANSLATE(A11858, ""en"", ""mt"")"),"Kemm kilometri kwadri huwa l-Baċin tal-Amażonja?")</f>
        <v>Kemm kilometri kwadri huwa l-Baċin tal-Amażonja?</v>
      </c>
    </row>
    <row r="11859" ht="15.75" customHeight="1">
      <c r="A11859" s="2" t="s">
        <v>11859</v>
      </c>
      <c r="B11859" s="2" t="str">
        <f>IFERROR(__xludf.DUMMYFUNCTION("GOOGLETRANSLATE(A11859, ""en"", ""mt"")"),"X'inhu l-akbar port intern tal-Ewropa?")</f>
        <v>X'inhu l-akbar port intern tal-Ewropa?</v>
      </c>
    </row>
    <row r="11860" ht="15.75" customHeight="1">
      <c r="A11860" s="2" t="s">
        <v>11860</v>
      </c>
      <c r="B11860" s="2" t="str">
        <f>IFERROR(__xludf.DUMMYFUNCTION("GOOGLETRANSLATE(A11860, ""en"", ""mt"")"),"Kemm membri jistgħu l-votanti jagħżlu li jirrappreżentaw il-kostitwenza?")</f>
        <v>Kemm membri jistgħu l-votanti jagħżlu li jirrappreżentaw il-kostitwenza?</v>
      </c>
    </row>
    <row r="11861" ht="15.75" customHeight="1">
      <c r="A11861" s="2" t="s">
        <v>11861</v>
      </c>
      <c r="B11861" s="2" t="str">
        <f>IFERROR(__xludf.DUMMYFUNCTION("GOOGLETRANSLATE(A11861, ""en"", ""mt"")"),"L-Amerika")</f>
        <v>L-Amerika</v>
      </c>
    </row>
    <row r="11862" ht="15.75" customHeight="1">
      <c r="A11862" s="2" t="s">
        <v>11862</v>
      </c>
      <c r="B11862" s="2" t="str">
        <f>IFERROR(__xludf.DUMMYFUNCTION("GOOGLETRANSLATE(A11862, ""en"", ""mt"")"),"Xi jfisser id-dmir tas-CJEU li ma joħroġx?")</f>
        <v>Xi jfisser id-dmir tas-CJEU li ma joħroġx?</v>
      </c>
    </row>
    <row r="11863" ht="15.75" customHeight="1">
      <c r="A11863" s="2" t="s">
        <v>11863</v>
      </c>
      <c r="B11863" s="2" t="str">
        <f>IFERROR(__xludf.DUMMYFUNCTION("GOOGLETRANSLATE(A11863, ""en"", ""mt"")"),"X'inhu l-kilogramma-forza xi kultant mill-ġdid kif ukoll?")</f>
        <v>X'inhu l-kilogramma-forza xi kultant mill-ġdid kif ukoll?</v>
      </c>
    </row>
    <row r="11864" ht="15.75" customHeight="1">
      <c r="A11864" s="2" t="s">
        <v>11864</v>
      </c>
      <c r="B11864" s="2" t="str">
        <f>IFERROR(__xludf.DUMMYFUNCTION("GOOGLETRANSLATE(A11864, ""en"", ""mt"")"),"X'inhuma t-tliet subsetturi tal-kostruzzjoni?")</f>
        <v>X'inhuma t-tliet subsetturi tal-kostruzzjoni?</v>
      </c>
    </row>
    <row r="11865" ht="15.75" customHeight="1">
      <c r="A11865" s="2" t="s">
        <v>11865</v>
      </c>
      <c r="B11865" s="2" t="str">
        <f>IFERROR(__xludf.DUMMYFUNCTION("GOOGLETRANSLATE(A11865, ""en"", ""mt"")"),"Atti illegali")</f>
        <v>Atti illegali</v>
      </c>
    </row>
    <row r="11866" ht="15.75" customHeight="1">
      <c r="A11866" s="2" t="s">
        <v>11866</v>
      </c>
      <c r="B11866" s="2" t="str">
        <f>IFERROR(__xludf.DUMMYFUNCTION("GOOGLETRANSLATE(A11866, ""en"", ""mt"")"),"produtturi tal-films")</f>
        <v>produtturi tal-films</v>
      </c>
    </row>
    <row r="11867" ht="15.75" customHeight="1">
      <c r="A11867" s="2" t="s">
        <v>11867</v>
      </c>
      <c r="B11867" s="2" t="str">
        <f>IFERROR(__xludf.DUMMYFUNCTION("GOOGLETRANSLATE(A11867, ""en"", ""mt"")"),"Meta huwa l-eqdem inċident irreġistrat ta 'diżubbidjenza ċivili?")</f>
        <v>Meta huwa l-eqdem inċident irreġistrat ta 'diżubbidjenza ċivili?</v>
      </c>
    </row>
    <row r="11868" ht="15.75" customHeight="1">
      <c r="A11868" s="2" t="s">
        <v>11868</v>
      </c>
      <c r="B11868" s="2" t="str">
        <f>IFERROR(__xludf.DUMMYFUNCTION("GOOGLETRANSLATE(A11868, ""en"", ""mt"")"),"tieħu kontroll fiżiku ta 'ieħor")</f>
        <v>tieħu kontroll fiżiku ta 'ieħor</v>
      </c>
    </row>
    <row r="11869" ht="15.75" customHeight="1">
      <c r="A11869" s="2" t="s">
        <v>11869</v>
      </c>
      <c r="B11869" s="2" t="str">
        <f>IFERROR(__xludf.DUMMYFUNCTION("GOOGLETRANSLATE(A11869, ""en"", ""mt"")"),"Meta bskyb waqqaf il-kaxxa tas-sema +?")</f>
        <v>Meta bskyb waqqaf il-kaxxa tas-sema +?</v>
      </c>
    </row>
    <row r="11870" ht="15.75" customHeight="1">
      <c r="A11870" s="2" t="s">
        <v>11870</v>
      </c>
      <c r="B11870" s="2" t="str">
        <f>IFERROR(__xludf.DUMMYFUNCTION("GOOGLETRANSLATE(A11870, ""en"", ""mt"")"),"F'liema livell ta 'edukazzjoni dan l-isport qed isir aktar popolari?")</f>
        <v>F'liema livell ta 'edukazzjoni dan l-isport qed isir aktar popolari?</v>
      </c>
    </row>
    <row r="11871" ht="15.75" customHeight="1">
      <c r="A11871" s="2" t="s">
        <v>11871</v>
      </c>
      <c r="B11871" s="2" t="str">
        <f>IFERROR(__xludf.DUMMYFUNCTION("GOOGLETRANSLATE(A11871, ""en"", ""mt"")"),"It-Tieni Gwerra Dinjija.")</f>
        <v>It-Tieni Gwerra Dinjija.</v>
      </c>
    </row>
    <row r="11872" ht="15.75" customHeight="1">
      <c r="A11872" s="2" t="s">
        <v>11872</v>
      </c>
      <c r="B11872" s="2" t="str">
        <f>IFERROR(__xludf.DUMMYFUNCTION("GOOGLETRANSLATE(A11872, ""en"", ""mt"")"),"Li tillimita l-qatla halal u prattiki Iżlamiċi oħra bħaċ-ċirkonċiżjoni")</f>
        <v>Li tillimita l-qatla halal u prattiki Iżlamiċi oħra bħaċ-ċirkonċiżjoni</v>
      </c>
    </row>
    <row r="11873" ht="15.75" customHeight="1">
      <c r="A11873" s="2" t="s">
        <v>11873</v>
      </c>
      <c r="B11873" s="2" t="str">
        <f>IFERROR(__xludf.DUMMYFUNCTION("GOOGLETRANSLATE(A11873, ""en"", ""mt"")"),"It-tielet liġi ta 'Newton hija r-riżultat tal-applikazzjoni ta' simetrija għal sitwazzjonijiet fejn il-forzi jistgħu jiġu attribwiti għall-preżenza ta 'oġġetti differenti. It-tielet liġi tfisser li l-forzi kollha huma interazzjonijiet bejn korpi different"&amp;"i, [nota 3] u għalhekk li m'hemm l-ebda ħaġa bħal forza unidirezzjonali jew forza li taġixxi fuq korp wieħed biss. Kull meta l-ewwel korp jeżerċita forza F fuq it-tieni korp, it-tieni korp jeżerċita forza −f fuq l-ewwel korp. F u −f huma ugwali fil-kobor "&amp;"u opposti fid-direzzjoni. Din il-liġi xi kultant tissejjaħ il-liġi ta 'reazzjoni ta' azzjoni, b'F imsejħa ""azzjoni"" u −f ir- ""reazzjoni"". L-azzjoni u r-reazzjoni huma simultanji:")</f>
        <v>It-tielet liġi ta 'Newton hija r-riżultat tal-applikazzjoni ta' simetrija għal sitwazzjonijiet fejn il-forzi jistgħu jiġu attribwiti għall-preżenza ta 'oġġetti differenti. It-tielet liġi tfisser li l-forzi kollha huma interazzjonijiet bejn korpi differenti, [nota 3] u għalhekk li m'hemm l-ebda ħaġa bħal forza unidirezzjonali jew forza li taġixxi fuq korp wieħed biss. Kull meta l-ewwel korp jeżerċita forza F fuq it-tieni korp, it-tieni korp jeżerċita forza −f fuq l-ewwel korp. F u −f huma ugwali fil-kobor u opposti fid-direzzjoni. Din il-liġi xi kultant tissejjaħ il-liġi ta 'reazzjoni ta' azzjoni, b'F imsejħa "azzjoni" u −f ir- "reazzjoni". L-azzjoni u r-reazzjoni huma simultanji:</v>
      </c>
    </row>
    <row r="11874" ht="15.75" customHeight="1">
      <c r="A11874" s="2" t="s">
        <v>11874</v>
      </c>
      <c r="B11874" s="2" t="str">
        <f>IFERROR(__xludf.DUMMYFUNCTION("GOOGLETRANSLATE(A11874, ""en"", ""mt"")"),"X'għandha karozza minbarra komun?")</f>
        <v>X'għandha karozza minbarra komun?</v>
      </c>
    </row>
    <row r="11875" ht="15.75" customHeight="1">
      <c r="A11875" s="2" t="s">
        <v>11875</v>
      </c>
      <c r="B11875" s="2" t="str">
        <f>IFERROR(__xludf.DUMMYFUNCTION("GOOGLETRANSLATE(A11875, ""en"", ""mt"")"),"biss għal dawk m li huma prim")</f>
        <v>biss għal dawk m li huma prim</v>
      </c>
    </row>
    <row r="11876" ht="15.75" customHeight="1">
      <c r="A11876" s="2" t="s">
        <v>11876</v>
      </c>
      <c r="B11876" s="2" t="str">
        <f>IFERROR(__xludf.DUMMYFUNCTION("GOOGLETRANSLATE(A11876, ""en"", ""mt"")"),"Fejn jikkonċentra l-ġid maħluq?")</f>
        <v>Fejn jikkonċentra l-ġid maħluq?</v>
      </c>
    </row>
    <row r="11877" ht="15.75" customHeight="1">
      <c r="A11877" s="2" t="s">
        <v>11877</v>
      </c>
      <c r="B11877" s="2" t="str">
        <f>IFERROR(__xludf.DUMMYFUNCTION("GOOGLETRANSLATE(A11877, ""en"", ""mt"")"),"F'liema seklu ntużat is-sistema ta 'bilanċ Olimpiku?")</f>
        <v>F'liema seklu ntużat is-sistema ta 'bilanċ Olimpiku?</v>
      </c>
    </row>
    <row r="11878" ht="15.75" customHeight="1">
      <c r="A11878" s="2" t="s">
        <v>11878</v>
      </c>
      <c r="B11878" s="2" t="str">
        <f>IFERROR(__xludf.DUMMYFUNCTION("GOOGLETRANSLATE(A11878, ""en"", ""mt"")"),"2017")</f>
        <v>2017</v>
      </c>
    </row>
    <row r="11879" ht="15.75" customHeight="1">
      <c r="A11879" s="2" t="s">
        <v>11879</v>
      </c>
      <c r="B11879" s="2" t="str">
        <f>IFERROR(__xludf.DUMMYFUNCTION("GOOGLETRANSLATE(A11879, ""en"", ""mt"")"),"F'liema sena għadda l-att tal-iskejjel tal-Afrika t'Isfel?")</f>
        <v>F'liema sena għadda l-att tal-iskejjel tal-Afrika t'Isfel?</v>
      </c>
    </row>
    <row r="11880" ht="15.75" customHeight="1">
      <c r="A11880" s="2" t="s">
        <v>11880</v>
      </c>
      <c r="B11880" s="2" t="str">
        <f>IFERROR(__xludf.DUMMYFUNCTION("GOOGLETRANSLATE(A11880, ""en"", ""mt"")"),"Evidenza oħra tal-wallons u Huguenots f'Canterbury tinkludi blokka ta 'djar f'Turnagain Lane, fejn it-twieqi ta' Weavers jibqgħu ħajjin fis-sular ta 'fuq, peress li ħafna Huguenots ħadmu bħala nisġa. In-Weavers, dar nofs bl-iskeda mix-xmara, kienet is-sit"&amp;" ta 'skola ta' l-insiġ mill-aħħar tas-seklu 16 sal-1830. (Ġie adattat bħala restorant - ara illustrazzjoni hawn fuq. Id-dar toħroġ isimha minn skola ta 'l-insiġ li kien imċaqlaq hemm fl-aħħar snin tas-seklu 19, li reġa ’beda użu preċedenti.) Oħrajn refuġj"&amp;"ati pprattikaw il-varjetà ta’ okkupazzjonijiet meħtieġa biex isostnu l-komunità bħala distinta mill-popolazzjoni indiġena. Din is-separazzjoni ekonomika kienet il-kundizzjoni tal-aċċettazzjoni inizjali tar-refuġjati fil-belt. Huma stabbilixxew ukoll x'imk"&amp;"ien ieħor f'Kent, partikolarment Sandwich, Faversham u Maidstone - it-trobbija li fihom kien hemm knejjes refuġjati.")</f>
        <v>Evidenza oħra tal-wallons u Huguenots f'Canterbury tinkludi blokka ta 'djar f'Turnagain Lane, fejn it-twieqi ta' Weavers jibqgħu ħajjin fis-sular ta 'fuq, peress li ħafna Huguenots ħadmu bħala nisġa. In-Weavers, dar nofs bl-iskeda mix-xmara, kienet is-sit ta 'skola ta' l-insiġ mill-aħħar tas-seklu 16 sal-1830. (Ġie adattat bħala restorant - ara illustrazzjoni hawn fuq. Id-dar toħroġ isimha minn skola ta 'l-insiġ li kien imċaqlaq hemm fl-aħħar snin tas-seklu 19, li reġa ’beda użu preċedenti.) Oħrajn refuġjati pprattikaw il-varjetà ta’ okkupazzjonijiet meħtieġa biex isostnu l-komunità bħala distinta mill-popolazzjoni indiġena. Din is-separazzjoni ekonomika kienet il-kundizzjoni tal-aċċettazzjoni inizjali tar-refuġjati fil-belt. Huma stabbilixxew ukoll x'imkien ieħor f'Kent, partikolarment Sandwich, Faversham u Maidstone - it-trobbija li fihom kien hemm knejjes refuġjati.</v>
      </c>
    </row>
    <row r="11881" ht="15.75" customHeight="1">
      <c r="A11881" s="2" t="s">
        <v>11881</v>
      </c>
      <c r="B11881" s="2" t="str">
        <f>IFERROR(__xludf.DUMMYFUNCTION("GOOGLETRANSLATE(A11881, ""en"", ""mt"")"),"Kif ma javviċinawx il-kapaċitajiet jilħqu l-għan tiegħu?")</f>
        <v>Kif ma javviċinawx il-kapaċitajiet jilħqu l-għan tiegħu?</v>
      </c>
    </row>
    <row r="11882" ht="15.75" customHeight="1">
      <c r="A11882" s="2" t="s">
        <v>11882</v>
      </c>
      <c r="B11882" s="2" t="str">
        <f>IFERROR(__xludf.DUMMYFUNCTION("GOOGLETRANSLATE(A11882, ""en"", ""mt"")"),"Guy de Lusignan")</f>
        <v>Guy de Lusignan</v>
      </c>
    </row>
    <row r="11883" ht="15.75" customHeight="1">
      <c r="A11883" s="2" t="s">
        <v>11883</v>
      </c>
      <c r="B11883" s="2" t="str">
        <f>IFERROR(__xludf.DUMMYFUNCTION("GOOGLETRANSLATE(A11883, ""en"", ""mt"")"),"nies biex isegwu l-għanijiet ta 'ħajjithom fi kwalunkwe pajjiż permezz ta' moviment liberu")</f>
        <v>nies biex isegwu l-għanijiet ta 'ħajjithom fi kwalunkwe pajjiż permezz ta' moviment liberu</v>
      </c>
    </row>
    <row r="11884" ht="15.75" customHeight="1">
      <c r="A11884" s="2" t="s">
        <v>11884</v>
      </c>
      <c r="B11884" s="2" t="str">
        <f>IFERROR(__xludf.DUMMYFUNCTION("GOOGLETRANSLATE(A11884, ""en"", ""mt"")"),"Kemm ilha rikonoxxuta l-proporzjonalità bħala wieħed mill-prinċipji ġenerali tal-liġi tal-UE?")</f>
        <v>Kemm ilha rikonoxxuta l-proporzjonalità bħala wieħed mill-prinċipji ġenerali tal-liġi tal-UE?</v>
      </c>
    </row>
    <row r="11885" ht="15.75" customHeight="1">
      <c r="A11885" s="2" t="s">
        <v>11885</v>
      </c>
      <c r="B11885" s="2" t="str">
        <f>IFERROR(__xludf.DUMMYFUNCTION("GOOGLETRANSLATE(A11885, ""en"", ""mt"")"),"F’ħafna pajjiżi, hemm differenza fil-pagi bejn is-sessi favur l-irġiel fis-suq tax-xogħol. Diversi fatturi għajr diskriminazzjoni jistgħu jikkontribwixxu għal dan id-distakk. Bħala medja, in-nisa huma aktar probabbli mill-irġiel li jikkunsidraw fatturi oħ"&amp;"ra milli jħallsu meta jkunu qed ifittxu xogħol, u jistgħu jkunu inqas lesti li jivvjaġġaw jew jirrilokaw. Thomas Sowell, fl-għarfien u d-deċiżjonijiet tal-ktieb tiegħu, jiddikjara li din id-differenza hija dovuta għal nisa li ma jieħdu xogħol minħabba żwi"&amp;"eġ jew tqala, iżda studji dwar id-dħul juru li dan ma jispjegax id-differenza kollha. Ir-rapport ta 'ċensiment ta' l-Istati Uniti ddikjara li fl-Istati Uniti ladarba fatturi oħra huma kkontabilizzati għad hemm differenza fil-qligħ bejn in-nisa u l-irġiel."&amp;" Id-differenza fid-dħul f'pajjiżi oħra tvarja minn 53% fil-Botswana għal -40% fil-Baħrejn.")</f>
        <v>F’ħafna pajjiżi, hemm differenza fil-pagi bejn is-sessi favur l-irġiel fis-suq tax-xogħol. Diversi fatturi għajr diskriminazzjoni jistgħu jikkontribwixxu għal dan id-distakk. Bħala medja, in-nisa huma aktar probabbli mill-irġiel li jikkunsidraw fatturi oħra milli jħallsu meta jkunu qed ifittxu xogħol, u jistgħu jkunu inqas lesti li jivvjaġġaw jew jirrilokaw. Thomas Sowell, fl-għarfien u d-deċiżjonijiet tal-ktieb tiegħu, jiddikjara li din id-differenza hija dovuta għal nisa li ma jieħdu xogħol minħabba żwieġ jew tqala, iżda studji dwar id-dħul juru li dan ma jispjegax id-differenza kollha. Ir-rapport ta 'ċensiment ta' l-Istati Uniti ddikjara li fl-Istati Uniti ladarba fatturi oħra huma kkontabilizzati għad hemm differenza fil-qligħ bejn in-nisa u l-irġiel. Id-differenza fid-dħul f'pajjiżi oħra tvarja minn 53% fil-Botswana għal -40% fil-Baħrejn.</v>
      </c>
    </row>
    <row r="11886" ht="15.75" customHeight="1">
      <c r="A11886" s="2" t="s">
        <v>11886</v>
      </c>
      <c r="B11886" s="2" t="str">
        <f>IFERROR(__xludf.DUMMYFUNCTION("GOOGLETRANSLATE(A11886, ""en"", ""mt"")"),"Kien hemm ħafna Ċiniżi b'liema status mistenni?")</f>
        <v>Kien hemm ħafna Ċiniżi b'liema status mistenni?</v>
      </c>
    </row>
    <row r="11887" ht="15.75" customHeight="1">
      <c r="A11887" s="2" t="s">
        <v>11887</v>
      </c>
      <c r="B11887" s="2" t="str">
        <f>IFERROR(__xludf.DUMMYFUNCTION("GOOGLETRANSLATE(A11887, ""en"", ""mt"")"),"F'liema sena twieled Jean Ribault?")</f>
        <v>F'liema sena twieled Jean Ribault?</v>
      </c>
    </row>
    <row r="11888" ht="15.75" customHeight="1">
      <c r="A11888" s="2" t="s">
        <v>11888</v>
      </c>
      <c r="B11888" s="2" t="str">
        <f>IFERROR(__xludf.DUMMYFUNCTION("GOOGLETRANSLATE(A11888, ""en"", ""mt"")"),"Liema knisja tmexxi skejjel pubbliċi fir-Rabat?")</f>
        <v>Liema knisja tmexxi skejjel pubbliċi fir-Rabat?</v>
      </c>
    </row>
    <row r="11889" ht="15.75" customHeight="1">
      <c r="A11889" s="2" t="s">
        <v>11889</v>
      </c>
      <c r="B11889" s="2" t="str">
        <f>IFERROR(__xludf.DUMMYFUNCTION("GOOGLETRANSLATE(A11889, ""en"", ""mt"")"),"Kemm leġjuni għall-Ġermanja jeżistu inferjuri?")</f>
        <v>Kemm leġjuni għall-Ġermanja jeżistu inferjuri?</v>
      </c>
    </row>
    <row r="11890" ht="15.75" customHeight="1">
      <c r="A11890" s="2" t="s">
        <v>11890</v>
      </c>
      <c r="B11890" s="2" t="str">
        <f>IFERROR(__xludf.DUMMYFUNCTION("GOOGLETRANSLATE(A11890, ""en"", ""mt"")"),"tonqos")</f>
        <v>tonqos</v>
      </c>
    </row>
    <row r="11891" ht="15.75" customHeight="1">
      <c r="A11891" s="2" t="s">
        <v>11891</v>
      </c>
      <c r="B11891" s="2" t="str">
        <f>IFERROR(__xludf.DUMMYFUNCTION("GOOGLETRANSLATE(A11891, ""en"", ""mt"")"),"Żoni kklerjati mill-foresta")</f>
        <v>Żoni kklerjati mill-foresta</v>
      </c>
    </row>
    <row r="11892" ht="15.75" customHeight="1">
      <c r="A11892" s="2" t="s">
        <v>11892</v>
      </c>
      <c r="B11892" s="2" t="str">
        <f>IFERROR(__xludf.DUMMYFUNCTION("GOOGLETRANSLATE(A11892, ""en"", ""mt"")"),"Liema seklu n-Normanni l-ewwel kisbu l-identità separata tagħhom?")</f>
        <v>Liema seklu n-Normanni l-ewwel kisbu l-identità separata tagħhom?</v>
      </c>
    </row>
    <row r="11893" ht="15.75" customHeight="1">
      <c r="A11893" s="2" t="s">
        <v>11893</v>
      </c>
      <c r="B11893" s="2" t="str">
        <f>IFERROR(__xludf.DUMMYFUNCTION("GOOGLETRANSLATE(A11893, ""en"", ""mt"")"),"X'inhuma prodotti minn numru kbir ta 'ġeni?")</f>
        <v>X'inhuma prodotti minn numru kbir ta 'ġeni?</v>
      </c>
    </row>
    <row r="11894" ht="15.75" customHeight="1">
      <c r="A11894" s="2" t="s">
        <v>11894</v>
      </c>
      <c r="B11894" s="2" t="str">
        <f>IFERROR(__xludf.DUMMYFUNCTION("GOOGLETRANSLATE(A11894, ""en"", ""mt"")"),"Livelli għoljin ta 'inugwaljanza")</f>
        <v>Livelli għoljin ta 'inugwaljanza</v>
      </c>
    </row>
    <row r="11895" ht="15.75" customHeight="1">
      <c r="A11895" s="2" t="s">
        <v>11895</v>
      </c>
      <c r="B11895" s="2" t="str">
        <f>IFERROR(__xludf.DUMMYFUNCTION("GOOGLETRANSLATE(A11895, ""en"", ""mt"")"),", tagħmilha iktar diffiċli għal sistema biex tiffunzjona")</f>
        <v>, tagħmilha iktar diffiċli għal sistema biex tiffunzjona</v>
      </c>
    </row>
    <row r="11896" ht="15.75" customHeight="1">
      <c r="A11896" s="2" t="s">
        <v>11896</v>
      </c>
      <c r="B11896" s="2" t="str">
        <f>IFERROR(__xludf.DUMMYFUNCTION("GOOGLETRANSLATE(A11896, ""en"", ""mt"")"),"Kif tinqasam id-distribuzzjoni tal-utilità?")</f>
        <v>Kif tinqasam id-distribuzzjoni tal-utilità?</v>
      </c>
    </row>
    <row r="11897" ht="15.75" customHeight="1">
      <c r="A11897" s="2" t="s">
        <v>11897</v>
      </c>
      <c r="B11897" s="2" t="str">
        <f>IFERROR(__xludf.DUMMYFUNCTION("GOOGLETRANSLATE(A11897, ""en"", ""mt"")"),"Sa meta l-biċċa l-kbira tal-kolonji ta ’Franza kisbu l-indipendenza?")</f>
        <v>Sa meta l-biċċa l-kbira tal-kolonji ta ’Franza kisbu l-indipendenza?</v>
      </c>
    </row>
    <row r="11898" ht="15.75" customHeight="1">
      <c r="A11898" s="2" t="s">
        <v>11898</v>
      </c>
      <c r="B11898" s="2" t="str">
        <f>IFERROR(__xludf.DUMMYFUNCTION("GOOGLETRANSLATE(A11898, ""en"", ""mt"")"),"Ma 'min ħa t-Torok?")</f>
        <v>Ma 'min ħa t-Torok?</v>
      </c>
    </row>
    <row r="11899" ht="15.75" customHeight="1">
      <c r="A11899" s="2" t="s">
        <v>11899</v>
      </c>
      <c r="B11899" s="2" t="str">
        <f>IFERROR(__xludf.DUMMYFUNCTION("GOOGLETRANSLATE(A11899, ""en"", ""mt"")"),"Dan il-formalizmu")</f>
        <v>Dan il-formalizmu</v>
      </c>
    </row>
    <row r="11900" ht="15.75" customHeight="1">
      <c r="A11900" s="2" t="s">
        <v>11900</v>
      </c>
      <c r="B11900" s="2" t="str">
        <f>IFERROR(__xludf.DUMMYFUNCTION("GOOGLETRANSLATE(A11900, ""en"", ""mt"")"),"X'għamel oriġinarjament Decnet")</f>
        <v>X'għamel oriġinarjament Decnet</v>
      </c>
    </row>
    <row r="11901" ht="15.75" customHeight="1">
      <c r="A11901" s="2" t="s">
        <v>11901</v>
      </c>
      <c r="B11901" s="2" t="str">
        <f>IFERROR(__xludf.DUMMYFUNCTION("GOOGLETRANSLATE(A11901, ""en"", ""mt"")"),"Sorveljanza immuni")</f>
        <v>Sorveljanza immuni</v>
      </c>
    </row>
    <row r="11902" ht="15.75" customHeight="1">
      <c r="A11902" s="2" t="s">
        <v>11902</v>
      </c>
      <c r="B11902" s="2" t="str">
        <f>IFERROR(__xludf.DUMMYFUNCTION("GOOGLETRANSLATE(A11902, ""en"", ""mt"")"),"karbonju")</f>
        <v>karbonju</v>
      </c>
    </row>
    <row r="11903" ht="15.75" customHeight="1">
      <c r="A11903" s="2" t="s">
        <v>11903</v>
      </c>
      <c r="B11903" s="2" t="str">
        <f>IFERROR(__xludf.DUMMYFUNCTION("GOOGLETRANSLATE(A11903, ""en"", ""mt"")"),"X’għaddew Karlen u Singer li jippreżentaw is-Senat tal-Istati Uniti?")</f>
        <v>X’għaddew Karlen u Singer li jippreżentaw is-Senat tal-Istati Uniti?</v>
      </c>
    </row>
    <row r="11904" ht="15.75" customHeight="1">
      <c r="A11904" s="2" t="s">
        <v>11904</v>
      </c>
      <c r="B11904" s="2" t="str">
        <f>IFERROR(__xludf.DUMMYFUNCTION("GOOGLETRANSLATE(A11904, ""en"", ""mt"")"),"X'inhuma żewġ tipi ta 'ħsarat li jiġru fil-qoxra baxxa?")</f>
        <v>X'inhuma żewġ tipi ta 'ħsarat li jiġru fil-qoxra baxxa?</v>
      </c>
    </row>
    <row r="11905" ht="15.75" customHeight="1">
      <c r="A11905" s="2" t="s">
        <v>11905</v>
      </c>
      <c r="B11905" s="2" t="str">
        <f>IFERROR(__xludf.DUMMYFUNCTION("GOOGLETRANSLATE(A11905, ""en"", ""mt"")"),"Università ta 'Riċerka Privata")</f>
        <v>Università ta 'Riċerka Privata</v>
      </c>
    </row>
    <row r="11906" ht="15.75" customHeight="1">
      <c r="A11906" s="2" t="s">
        <v>11906</v>
      </c>
      <c r="B11906" s="2" t="str">
        <f>IFERROR(__xludf.DUMMYFUNCTION("GOOGLETRANSLATE(A11906, ""en"", ""mt"")"),"X'inhu s-sors ta 'produzzjoni ta' ossiġnu permezz ta 'mezzi elettrokatalitiċi?")</f>
        <v>X'inhu s-sors ta 'produzzjoni ta' ossiġnu permezz ta 'mezzi elettrokatalitiċi?</v>
      </c>
    </row>
    <row r="11907" ht="15.75" customHeight="1">
      <c r="A11907" s="2" t="s">
        <v>11907</v>
      </c>
      <c r="B11907" s="2" t="str">
        <f>IFERROR(__xludf.DUMMYFUNCTION("GOOGLETRANSLATE(A11907, ""en"", ""mt"")"),"Professjonisti tal-kura tas-saħħa")</f>
        <v>Professjonisti tal-kura tas-saħħa</v>
      </c>
    </row>
    <row r="11908" ht="15.75" customHeight="1">
      <c r="A11908" s="2" t="s">
        <v>11908</v>
      </c>
      <c r="B11908" s="2" t="str">
        <f>IFERROR(__xludf.DUMMYFUNCTION("GOOGLETRANSLATE(A11908, ""en"", ""mt"")"),"Bendigo")</f>
        <v>Bendigo</v>
      </c>
    </row>
    <row r="11909" ht="15.75" customHeight="1">
      <c r="A11909" s="2" t="s">
        <v>11909</v>
      </c>
      <c r="B11909" s="2" t="str">
        <f>IFERROR(__xludf.DUMMYFUNCTION("GOOGLETRANSLATE(A11909, ""en"", ""mt"")"),"Min hu l-premier attwali ta 'Victoria?")</f>
        <v>Min hu l-premier attwali ta 'Victoria?</v>
      </c>
    </row>
    <row r="11910" ht="15.75" customHeight="1">
      <c r="A11910" s="2" t="s">
        <v>11910</v>
      </c>
      <c r="B11910" s="2" t="str">
        <f>IFERROR(__xludf.DUMMYFUNCTION("GOOGLETRANSLATE(A11910, ""en"", ""mt"")"),"il-kondensatur separat")</f>
        <v>il-kondensatur separat</v>
      </c>
    </row>
    <row r="11911" ht="15.75" customHeight="1">
      <c r="A11911" s="2" t="s">
        <v>11911</v>
      </c>
      <c r="B11911" s="2" t="str">
        <f>IFERROR(__xludf.DUMMYFUNCTION("GOOGLETRANSLATE(A11911, ""en"", ""mt"")"),"X'kien il-bini tbattal darbtejn biex jippermetti?")</f>
        <v>X'kien il-bini tbattal darbtejn biex jippermetti?</v>
      </c>
    </row>
    <row r="11912" ht="15.75" customHeight="1">
      <c r="A11912" s="2" t="s">
        <v>11912</v>
      </c>
      <c r="B11912" s="2" t="str">
        <f>IFERROR(__xludf.DUMMYFUNCTION("GOOGLETRANSLATE(A11912, ""en"", ""mt"")"),"Madwar 5 miljun")</f>
        <v>Madwar 5 miljun</v>
      </c>
    </row>
    <row r="11913" ht="15.75" customHeight="1">
      <c r="A11913" s="2" t="s">
        <v>11913</v>
      </c>
      <c r="B11913" s="2" t="str">
        <f>IFERROR(__xludf.DUMMYFUNCTION("GOOGLETRANSLATE(A11913, ""en"", ""mt"")"),"X'inhi l-firxa ta 'fuq ta' miżati annwali għal studenti li mhumiex abbord fi skejjel pubbliċi Ingliżi?")</f>
        <v>X'inhi l-firxa ta 'fuq ta' miżati annwali għal studenti li mhumiex abbord fi skejjel pubbliċi Ingliżi?</v>
      </c>
    </row>
    <row r="11914" ht="15.75" customHeight="1">
      <c r="A11914" s="2" t="s">
        <v>11914</v>
      </c>
      <c r="B11914" s="2" t="str">
        <f>IFERROR(__xludf.DUMMYFUNCTION("GOOGLETRANSLATE(A11914, ""en"", ""mt"")"),"innifsek")</f>
        <v>innifsek</v>
      </c>
    </row>
    <row r="11915" ht="15.75" customHeight="1">
      <c r="A11915" s="2" t="s">
        <v>11915</v>
      </c>
      <c r="B11915" s="2" t="str">
        <f>IFERROR(__xludf.DUMMYFUNCTION("GOOGLETRANSLATE(A11915, ""en"", ""mt"")"),"Liema teorema kienet implikata mill-assiomi ta 'Manuel Blum?")</f>
        <v>Liema teorema kienet implikata mill-assiomi ta 'Manuel Blum?</v>
      </c>
    </row>
    <row r="11916" ht="15.75" customHeight="1">
      <c r="A11916" s="2" t="s">
        <v>11916</v>
      </c>
      <c r="B11916" s="2" t="str">
        <f>IFERROR(__xludf.DUMMYFUNCTION("GOOGLETRANSLATE(A11916, ""en"", ""mt"")"),"faqar u ġew trattati ħażin")</f>
        <v>faqar u ġew trattati ħażin</v>
      </c>
    </row>
    <row r="11917" ht="15.75" customHeight="1">
      <c r="A11917" s="2" t="s">
        <v>11917</v>
      </c>
      <c r="B11917" s="2" t="str">
        <f>IFERROR(__xludf.DUMMYFUNCTION("GOOGLETRANSLATE(A11917, ""en"", ""mt"")"),"Liema qafas ta 'żmien ma jkoprix il-gwerra ta' seba 'snin?")</f>
        <v>Liema qafas ta 'żmien ma jkoprix il-gwerra ta' seba 'snin?</v>
      </c>
    </row>
    <row r="11918" ht="15.75" customHeight="1">
      <c r="A11918" s="2" t="s">
        <v>11918</v>
      </c>
      <c r="B11918" s="2" t="str">
        <f>IFERROR(__xludf.DUMMYFUNCTION("GOOGLETRANSLATE(A11918, ""en"", ""mt"")"),"X'għandha t-tendenza li tnaqqas il-pagi f'qasam jew pożizzjoni tax-xogħol?")</f>
        <v>X'għandha t-tendenza li tnaqqas il-pagi f'qasam jew pożizzjoni tax-xogħol?</v>
      </c>
    </row>
    <row r="11919" ht="15.75" customHeight="1">
      <c r="A11919" s="2" t="s">
        <v>11919</v>
      </c>
      <c r="B11919" s="2" t="str">
        <f>IFERROR(__xludf.DUMMYFUNCTION("GOOGLETRANSLATE(A11919, ""en"", ""mt"")"),"Livell tal-ilma")</f>
        <v>Livell tal-ilma</v>
      </c>
    </row>
    <row r="11920" ht="15.75" customHeight="1">
      <c r="A11920" s="2" t="s">
        <v>11920</v>
      </c>
      <c r="B11920" s="2" t="str">
        <f>IFERROR(__xludf.DUMMYFUNCTION("GOOGLETRANSLATE(A11920, ""en"", ""mt"")"),"Liema tielet tip ta 'motiv juża kliem kreattiv?")</f>
        <v>Liema tielet tip ta 'motiv juża kliem kreattiv?</v>
      </c>
    </row>
    <row r="11921" ht="15.75" customHeight="1">
      <c r="A11921" s="2" t="s">
        <v>11921</v>
      </c>
      <c r="B11921" s="2" t="str">
        <f>IFERROR(__xludf.DUMMYFUNCTION("GOOGLETRANSLATE(A11921, ""en"", ""mt"")"),"Newcomen's")</f>
        <v>Newcomen's</v>
      </c>
    </row>
    <row r="11922" ht="15.75" customHeight="1">
      <c r="A11922" s="2" t="s">
        <v>11922</v>
      </c>
      <c r="B11922" s="2" t="str">
        <f>IFERROR(__xludf.DUMMYFUNCTION("GOOGLETRANSLATE(A11922, ""en"", ""mt"")"),"email")</f>
        <v>email</v>
      </c>
    </row>
    <row r="11923" ht="15.75" customHeight="1">
      <c r="A11923" s="2" t="s">
        <v>11923</v>
      </c>
      <c r="B11923" s="2" t="str">
        <f>IFERROR(__xludf.DUMMYFUNCTION("GOOGLETRANSLATE(A11923, ""en"", ""mt"")"),"Min kienet it-tieni laureat Nobel femminili?")</f>
        <v>Min kienet it-tieni laureat Nobel femminili?</v>
      </c>
    </row>
    <row r="11924" ht="15.75" customHeight="1">
      <c r="A11924" s="2" t="s">
        <v>11924</v>
      </c>
      <c r="B11924" s="2" t="str">
        <f>IFERROR(__xludf.DUMMYFUNCTION("GOOGLETRANSLATE(A11924, ""en"", ""mt"")"),"Din il-bidla diġà bdiet f'xi pajjiżi; Pereżempju, l-ispiżjara fl-Awstralja jirċievu remunerazzjoni mill-gvern Awstraljan biex iwettqu reviżjonijiet komprensivi ta 'mediċini fid-dar. Fil-Kanada, l-ispiżjara f'ċerti provinċji għandhom drittijiet ta 'preskri"&amp;"zzjoni limitati (bħal fl-Alberta u l-Kolumbja Brittanika) jew huma remunerati mill-gvern provinċjali tagħhom għal servizzi estiżi bħal reviżjonijiet ta' mediċini (medschecks fl-Ontario). Fir-Renju Unit, l-ispiżjara li jagħmlu taħriġ addizzjonali qed jiksb"&amp;"u drittijiet li jippreskrivu u dan minħabba edukazzjoni fl-ispiżerija. Huma wkoll qed jitħallsu mill-Gvern għar-reviżjonijiet tal-użu tal-mediċina. Fl-Iskozja l-ispiżjar jista 'jikteb preskrizzjonijiet għal pazjenti rreġistrati Skoċċiżi tal-mediċini regol"&amp;"ari tagħhom, għall-maġġoranza tal-mediċini, ħlief għal mediċini kkontrollati, meta l-pazjent ma jkunx jista' jara lit-tabib tagħhom, kif jista 'jiġri jekk huma' l bogħod mid-dar jew it-tabib huwa mhux disponibbli. Fl-Istati Uniti, il-kura farmaċewtika jew"&amp;" l-ispiżerija klinika kellhom influwenza li qed tevolvi fuq il-prattika tal-ispiżerija. Barra minn hekk, il-grad tad-Duttur tal-Ispiżerija (Pharm. D.) issa huwa meħtieġ qabel ma jidħol fil-prattika u xi spiżjara issa jtemmu sena jew sentejn ta 'taħriġ ta'"&amp;" residenza jew boroż ta 'studju wara l-gradwazzjoni. Barra minn hekk, l-ispiżjara konsulenti, li tradizzjonalment operaw primarjament fid-djar tal-anzjani issa qed jespandu f'konsultazzjoni diretta mal-pazjenti, taħt il-bandiera ta '""Pharmacy tal-Kura An"&amp;"zjana.""")</f>
        <v>Din il-bidla diġà bdiet f'xi pajjiżi; Pereżempju, l-ispiżjara fl-Awstralja jirċievu remunerazzjoni mill-gvern Awstraljan biex iwettqu reviżjonijiet komprensivi ta 'mediċini fid-dar. Fil-Kanada, l-ispiżjara f'ċerti provinċji għandhom drittijiet ta 'preskrizzjoni limitati (bħal fl-Alberta u l-Kolumbja Brittanika) jew huma remunerati mill-gvern provinċjali tagħhom għal servizzi estiżi bħal reviżjonijiet ta' mediċini (medschecks fl-Ontario). Fir-Renju Unit, l-ispiżjara li jagħmlu taħriġ addizzjonali qed jiksbu drittijiet li jippreskrivu u dan minħabba edukazzjoni fl-ispiżerija. Huma wkoll qed jitħallsu mill-Gvern għar-reviżjonijiet tal-użu tal-mediċina. Fl-Iskozja l-ispiżjar jista 'jikteb preskrizzjonijiet għal pazjenti rreġistrati Skoċċiżi tal-mediċini regolari tagħhom, għall-maġġoranza tal-mediċini, ħlief għal mediċini kkontrollati, meta l-pazjent ma jkunx jista' jara lit-tabib tagħhom, kif jista 'jiġri jekk huma' l bogħod mid-dar jew it-tabib huwa mhux disponibbli. Fl-Istati Uniti, il-kura farmaċewtika jew l-ispiżerija klinika kellhom influwenza li qed tevolvi fuq il-prattika tal-ispiżerija. Barra minn hekk, il-grad tad-Duttur tal-Ispiżerija (Pharm. D.) issa huwa meħtieġ qabel ma jidħol fil-prattika u xi spiżjara issa jtemmu sena jew sentejn ta 'taħriġ ta' residenza jew boroż ta 'studju wara l-gradwazzjoni. Barra minn hekk, l-ispiżjara konsulenti, li tradizzjonalment operaw primarjament fid-djar tal-anzjani issa qed jespandu f'konsultazzjoni diretta mal-pazjenti, taħt il-bandiera ta '"Pharmacy tal-Kura Anzjana."</v>
      </c>
    </row>
    <row r="11925" ht="15.75" customHeight="1">
      <c r="A11925" s="2" t="s">
        <v>11925</v>
      </c>
      <c r="B11925" s="2" t="str">
        <f>IFERROR(__xludf.DUMMYFUNCTION("GOOGLETRANSLATE(A11925, ""en"", ""mt"")"),"disa 'nazzjonijiet")</f>
        <v>disa 'nazzjonijiet</v>
      </c>
    </row>
    <row r="11926" ht="15.75" customHeight="1">
      <c r="A11926" s="2" t="s">
        <v>11926</v>
      </c>
      <c r="B11926" s="2" t="str">
        <f>IFERROR(__xludf.DUMMYFUNCTION("GOOGLETRANSLATE(A11926, ""en"", ""mt"")"),"Reġjuni tal-Kontea tat-Tramuntana")</f>
        <v>Reġjuni tal-Kontea tat-Tramuntana</v>
      </c>
    </row>
    <row r="11927" ht="15.75" customHeight="1">
      <c r="A11927" s="2" t="s">
        <v>11927</v>
      </c>
      <c r="B11927" s="2" t="str">
        <f>IFERROR(__xludf.DUMMYFUNCTION("GOOGLETRANSLATE(A11927, ""en"", ""mt"")"),"power steering")</f>
        <v>power steering</v>
      </c>
    </row>
    <row r="11928" ht="15.75" customHeight="1">
      <c r="A11928" s="2" t="s">
        <v>11928</v>
      </c>
      <c r="B11928" s="2" t="str">
        <f>IFERROR(__xludf.DUMMYFUNCTION("GOOGLETRANSLATE(A11928, ""en"", ""mt"")"),"Diversità tar-riċetturi")</f>
        <v>Diversità tar-riċetturi</v>
      </c>
    </row>
    <row r="11929" ht="15.75" customHeight="1">
      <c r="A11929" s="2" t="s">
        <v>11929</v>
      </c>
      <c r="B11929" s="2" t="str">
        <f>IFERROR(__xludf.DUMMYFUNCTION("GOOGLETRANSLATE(A11929, ""en"", ""mt"")"),"Ġiħad Iżlamiku Eġizzjan")</f>
        <v>Ġiħad Iżlamiku Eġizzjan</v>
      </c>
    </row>
    <row r="11930" ht="15.75" customHeight="1">
      <c r="A11930" s="2" t="s">
        <v>11930</v>
      </c>
      <c r="B11930" s="2" t="str">
        <f>IFERROR(__xludf.DUMMYFUNCTION("GOOGLETRANSLATE(A11930, ""en"", ""mt"")"),"b'reazzjoni fil-katina tal-polimerażi (PCR)")</f>
        <v>b'reazzjoni fil-katina tal-polimerażi (PCR)</v>
      </c>
    </row>
    <row r="11931" ht="15.75" customHeight="1">
      <c r="A11931" s="2" t="s">
        <v>11931</v>
      </c>
      <c r="B11931" s="2" t="str">
        <f>IFERROR(__xludf.DUMMYFUNCTION("GOOGLETRANSLATE(A11931, ""en"", ""mt"")"),"Liġi tal-Unjoni Ewropea")</f>
        <v>Liġi tal-Unjoni Ewropea</v>
      </c>
    </row>
    <row r="11932" ht="15.75" customHeight="1">
      <c r="A11932" s="2" t="s">
        <v>11932</v>
      </c>
      <c r="B11932" s="2" t="str">
        <f>IFERROR(__xludf.DUMMYFUNCTION("GOOGLETRANSLATE(A11932, ""en"", ""mt"")"),"voti")</f>
        <v>voti</v>
      </c>
    </row>
    <row r="11933" ht="15.75" customHeight="1">
      <c r="A11933" s="2" t="s">
        <v>11933</v>
      </c>
      <c r="B11933" s="2" t="str">
        <f>IFERROR(__xludf.DUMMYFUNCTION("GOOGLETRANSLATE(A11933, ""en"", ""mt"")"),"ksur tal-liġi bi protesta kontra organizzazzjonijiet internazzjonali u gvernijiet barranin")</f>
        <v>ksur tal-liġi bi protesta kontra organizzazzjonijiet internazzjonali u gvernijiet barranin</v>
      </c>
    </row>
    <row r="11934" ht="15.75" customHeight="1">
      <c r="A11934" s="2" t="s">
        <v>11934</v>
      </c>
      <c r="B11934" s="2" t="str">
        <f>IFERROR(__xludf.DUMMYFUNCTION("GOOGLETRANSLATE(A11934, ""en"", ""mt"")"),"Qabbad l-istess sekwenza diversi drabi mal-istess oġġett permezz tal-użu ta 'set-up li juża taljoli mobbli,")</f>
        <v>Qabbad l-istess sekwenza diversi drabi mal-istess oġġett permezz tal-użu ta 'set-up li juża taljoli mobbli,</v>
      </c>
    </row>
    <row r="11935" ht="15.75" customHeight="1">
      <c r="A11935" s="2" t="s">
        <v>11935</v>
      </c>
      <c r="B11935" s="2" t="str">
        <f>IFERROR(__xludf.DUMMYFUNCTION("GOOGLETRANSLATE(A11935, ""en"", ""mt"")"),"F'impjant ta 'l-enerġija nukleari, x'inhi t-turbina tal-fwar konnessa magħha?")</f>
        <v>F'impjant ta 'l-enerġija nukleari, x'inhi t-turbina tal-fwar konnessa magħha?</v>
      </c>
    </row>
    <row r="11936" ht="15.75" customHeight="1">
      <c r="A11936" s="2" t="s">
        <v>11936</v>
      </c>
      <c r="B11936" s="2" t="str">
        <f>IFERROR(__xludf.DUMMYFUNCTION("GOOGLETRANSLATE(A11936, ""en"", ""mt"")"),"Liema ktieb minn Edward qal ippreżenta lill-Punent bħala l- ""oħrajn?""")</f>
        <v>Liema ktieb minn Edward qal ippreżenta lill-Punent bħala l- "oħrajn?"</v>
      </c>
    </row>
    <row r="11937" ht="15.75" customHeight="1">
      <c r="A11937" s="2" t="s">
        <v>11937</v>
      </c>
      <c r="B11937" s="2" t="str">
        <f>IFERROR(__xludf.DUMMYFUNCTION("GOOGLETRANSLATE(A11937, ""en"", ""mt"")"),"X'inhuma r-responsabbiltajiet li t-tekniċi tal-ispiżerija qatt ma jittrattaw?")</f>
        <v>X'inhuma r-responsabbiltajiet li t-tekniċi tal-ispiżerija qatt ma jittrattaw?</v>
      </c>
    </row>
    <row r="11938" ht="15.75" customHeight="1">
      <c r="A11938" s="2" t="s">
        <v>11938</v>
      </c>
      <c r="B11938" s="2" t="str">
        <f>IFERROR(__xludf.DUMMYFUNCTION("GOOGLETRANSLATE(A11938, ""en"", ""mt"")"),"Prodott sekondarju matematiku tal-iskambju tal-momentum")</f>
        <v>Prodott sekondarju matematiku tal-iskambju tal-momentum</v>
      </c>
    </row>
    <row r="11939" ht="15.75" customHeight="1">
      <c r="A11939" s="2" t="s">
        <v>11939</v>
      </c>
      <c r="B11939" s="2" t="str">
        <f>IFERROR(__xludf.DUMMYFUNCTION("GOOGLETRANSLATE(A11939, ""en"", ""mt"")"),"Mijiet ta 'madrasahs ta' liema organizzazzjoni?")</f>
        <v>Mijiet ta 'madrasahs ta' liema organizzazzjoni?</v>
      </c>
    </row>
    <row r="11940" ht="15.75" customHeight="1">
      <c r="A11940" s="2" t="s">
        <v>11940</v>
      </c>
      <c r="B11940" s="2" t="str">
        <f>IFERROR(__xludf.DUMMYFUNCTION("GOOGLETRANSLATE(A11940, ""en"", ""mt"")")," Il-Ġermanja m’għandhiex futur imperialist sa meta?")</f>
        <v> Il-Ġermanja m’għandhiex futur imperialist sa meta?</v>
      </c>
    </row>
    <row r="11941" ht="15.75" customHeight="1">
      <c r="A11941" s="2" t="s">
        <v>11941</v>
      </c>
      <c r="B11941" s="2" t="str">
        <f>IFERROR(__xludf.DUMMYFUNCTION("GOOGLETRANSLATE(A11941, ""en"", ""mt"")"),"Dak li ġiegħel riċerka u edukazzjoni avvanzati fin-netwerking?")</f>
        <v>Dak li ġiegħel riċerka u edukazzjoni avvanzati fin-netwerking?</v>
      </c>
    </row>
    <row r="11942" ht="15.75" customHeight="1">
      <c r="A11942" s="2" t="s">
        <v>11942</v>
      </c>
      <c r="B11942" s="2" t="str">
        <f>IFERROR(__xludf.DUMMYFUNCTION("GOOGLETRANSLATE(A11942, ""en"", ""mt"")"),"Il-BBC")</f>
        <v>Il-BBC</v>
      </c>
    </row>
    <row r="11943" ht="15.75" customHeight="1">
      <c r="A11943" s="2" t="s">
        <v>11943</v>
      </c>
      <c r="B11943" s="2" t="str">
        <f>IFERROR(__xludf.DUMMYFUNCTION("GOOGLETRANSLATE(A11943, ""en"", ""mt"")"),"Min qatt ma ħareġ il-Proklamazzjoni Rjali tal-1763?")</f>
        <v>Min qatt ma ħareġ il-Proklamazzjoni Rjali tal-1763?</v>
      </c>
    </row>
    <row r="11944" ht="15.75" customHeight="1">
      <c r="A11944" s="2" t="s">
        <v>11944</v>
      </c>
      <c r="B11944" s="2" t="str">
        <f>IFERROR(__xludf.DUMMYFUNCTION("GOOGLETRANSLATE(A11944, ""en"", ""mt"")"),"Dubbidjenza Ċivili Rivoluzzjonarja")</f>
        <v>Dubbidjenza Ċivili Rivoluzzjonarja</v>
      </c>
    </row>
    <row r="11945" ht="15.75" customHeight="1">
      <c r="A11945" s="2" t="s">
        <v>11945</v>
      </c>
      <c r="B11945" s="2" t="str">
        <f>IFERROR(__xludf.DUMMYFUNCTION("GOOGLETRANSLATE(A11945, ""en"", ""mt"")"),"Il-kostruzzjoni tal-bini hija l-proċess li żżid struttura ma 'proprjetà immobbli jew kostruzzjoni ta' bini. Il-biċċa l-kbira tal-impjiegi tal-kostruzzjoni tal-bini huma rinnovazzjonijiet żgħar, bħal żieda ta 'kamra, jew rinnovazzjoni ta' kamra tal-banju. "&amp;"Ħafna drabi, is-sid tal-propjetà jaġixxi bħala ħaddiem, paymaster, u tim tad-disinn għall-proġett kollu. Għalkemm il-proġetti ta 'kostruzzjoni tal-bini tipikament jinkludu diversi elementi komuni, bħad-disinn, l-istima, l-istima u l-kunsiderazzjonijiet le"&amp;"gali, ħafna proġetti ta' daqsijiet varji jilħqu riżultati finali mhux mixtieqa, bħal kollass strutturali, overruns ta 'spejjeż, u / jew litigazzjoni. Għal din ir-raġuni, dawk b'esperjenza fil-qasam jagħmlu pjanijiet dettaljati u jżommu sorveljanza bir-req"&amp;"qa matul il-proġett biex jiżguraw riżultat pożittiv.")</f>
        <v>Il-kostruzzjoni tal-bini hija l-proċess li żżid struttura ma 'proprjetà immobbli jew kostruzzjoni ta' bini. Il-biċċa l-kbira tal-impjiegi tal-kostruzzjoni tal-bini huma rinnovazzjonijiet żgħar, bħal żieda ta 'kamra, jew rinnovazzjoni ta' kamra tal-banju. Ħafna drabi, is-sid tal-propjetà jaġixxi bħala ħaddiem, paymaster, u tim tad-disinn għall-proġett kollu. Għalkemm il-proġetti ta 'kostruzzjoni tal-bini tipikament jinkludu diversi elementi komuni, bħad-disinn, l-istima, l-istima u l-kunsiderazzjonijiet legali, ħafna proġetti ta' daqsijiet varji jilħqu riżultati finali mhux mixtieqa, bħal kollass strutturali, overruns ta 'spejjeż, u / jew litigazzjoni. Għal din ir-raġuni, dawk b'esperjenza fil-qasam jagħmlu pjanijiet dettaljati u jżommu sorveljanza bir-reqqa matul il-proġett biex jiżguraw riżultat pożittiv.</v>
      </c>
    </row>
    <row r="11946" ht="15.75" customHeight="1">
      <c r="A11946" s="2" t="s">
        <v>11946</v>
      </c>
      <c r="B11946" s="2" t="str">
        <f>IFERROR(__xludf.DUMMYFUNCTION("GOOGLETRANSLATE(A11946, ""en"", ""mt"")"),"Xmara Charles")</f>
        <v>Xmara Charles</v>
      </c>
    </row>
    <row r="11947" ht="15.75" customHeight="1">
      <c r="A11947" s="2" t="s">
        <v>11947</v>
      </c>
      <c r="B11947" s="2" t="str">
        <f>IFERROR(__xludf.DUMMYFUNCTION("GOOGLETRANSLATE(A11947, ""en"", ""mt"")"),"Għal ħafna snin, is-Sudan kellu reġim Iżlamista taħt it-tmexxija ta ’Hassan al-Turabi. Il-Front Nazzjonali Iżlamiku tiegħu kiseb l-ewwel influwenza meta l-għotja ġenerali Gaafar al-Nimeiry stiednet lill-membri biex iservu fil-gvern tiegħu fl-1979. Turabi "&amp;"bena bażi ekonomika qawwija bi flus minn sistemi bankarji Iżlamisti barranin, speċjalment dawk marbuta mal-Arabja Sawdija. Huwa rrekluta wkoll u bena qafas ta 'lealiżi influwenti billi poġġa studenti simpatetiċi fl-università u l-akkademja militari waqt l"&amp;"i kien qed iservi bħala Ministru tal-Edukazzjoni.")</f>
        <v>Għal ħafna snin, is-Sudan kellu reġim Iżlamista taħt it-tmexxija ta ’Hassan al-Turabi. Il-Front Nazzjonali Iżlamiku tiegħu kiseb l-ewwel influwenza meta l-għotja ġenerali Gaafar al-Nimeiry stiednet lill-membri biex iservu fil-gvern tiegħu fl-1979. Turabi bena bażi ekonomika qawwija bi flus minn sistemi bankarji Iżlamisti barranin, speċjalment dawk marbuta mal-Arabja Sawdija. Huwa rrekluta wkoll u bena qafas ta 'lealiżi influwenti billi poġġa studenti simpatetiċi fl-università u l-akkademja militari waqt li kien qed iservi bħala Ministru tal-Edukazzjoni.</v>
      </c>
    </row>
    <row r="11948" ht="15.75" customHeight="1">
      <c r="A11948" s="2" t="s">
        <v>11948</v>
      </c>
      <c r="B11948" s="2" t="str">
        <f>IFERROR(__xludf.DUMMYFUNCTION("GOOGLETRANSLATE(A11948, ""en"", ""mt"")"),"X'inhu produttiv għal perjodu twil ta 'żmien fl-Amażonja?")</f>
        <v>X'inhu produttiv għal perjodu twil ta 'żmien fl-Amażonja?</v>
      </c>
    </row>
    <row r="11949" ht="15.75" customHeight="1">
      <c r="A11949" s="2" t="s">
        <v>11949</v>
      </c>
      <c r="B11949" s="2" t="str">
        <f>IFERROR(__xludf.DUMMYFUNCTION("GOOGLETRANSLATE(A11949, ""en"", ""mt"")"),"ċilindri u tagħmir tal-valv")</f>
        <v>ċilindri u tagħmir tal-valv</v>
      </c>
    </row>
    <row r="11950" ht="15.75" customHeight="1">
      <c r="A11950" s="2" t="s">
        <v>11950</v>
      </c>
      <c r="B11950" s="2" t="str">
        <f>IFERROR(__xludf.DUMMYFUNCTION("GOOGLETRANSLATE(A11950, ""en"", ""mt"")"),"Cologne")</f>
        <v>Cologne</v>
      </c>
    </row>
    <row r="11951" ht="15.75" customHeight="1">
      <c r="A11951" s="2" t="s">
        <v>11951</v>
      </c>
      <c r="B11951" s="2" t="str">
        <f>IFERROR(__xludf.DUMMYFUNCTION("GOOGLETRANSLATE(A11951, ""en"", ""mt"")"),"Kemm kienu għoljin l-irjieħ madwar Santu Wistin matul l-Uragan tal-1871?")</f>
        <v>Kemm kienu għoljin l-irjieħ madwar Santu Wistin matul l-Uragan tal-1871?</v>
      </c>
    </row>
    <row r="11952" ht="15.75" customHeight="1">
      <c r="A11952" s="2" t="s">
        <v>11952</v>
      </c>
      <c r="B11952" s="2" t="str">
        <f>IFERROR(__xludf.DUMMYFUNCTION("GOOGLETRANSLATE(A11952, ""en"", ""mt"")"),"Fejn jiġru avvenimenti turistiċi oħra fir-Rabat barra minn Melbourne?")</f>
        <v>Fejn jiġru avvenimenti turistiċi oħra fir-Rabat barra minn Melbourne?</v>
      </c>
    </row>
    <row r="11953" ht="15.75" customHeight="1">
      <c r="A11953" s="2" t="s">
        <v>11953</v>
      </c>
      <c r="B11953" s="2" t="str">
        <f>IFERROR(__xludf.DUMMYFUNCTION("GOOGLETRANSLATE(A11953, ""en"", ""mt"")"),"Mill-2005 sal-2014, kien hemm żewġ timijiet tal-futbol tal-kampjonat maġġuri f'Los Angeles - il-La Galaxy u Chivas USA - li t-tnejn lagħbu fiċ-Ċentru Stubhub u kienu rivali lokali. Madankollu, Chivas ġew sospiżi wara l-istaġun tal-MLS 2014, bit-tieni tim "&amp;"tal-MLS skedat li jirritorna fl-2018.")</f>
        <v>Mill-2005 sal-2014, kien hemm żewġ timijiet tal-futbol tal-kampjonat maġġuri f'Los Angeles - il-La Galaxy u Chivas USA - li t-tnejn lagħbu fiċ-Ċentru Stubhub u kienu rivali lokali. Madankollu, Chivas ġew sospiżi wara l-istaġun tal-MLS 2014, bit-tieni tim tal-MLS skedat li jirritorna fl-2018.</v>
      </c>
    </row>
    <row r="11954" ht="15.75" customHeight="1">
      <c r="A11954" s="2" t="s">
        <v>11954</v>
      </c>
      <c r="B11954" s="2" t="str">
        <f>IFERROR(__xludf.DUMMYFUNCTION("GOOGLETRANSLATE(A11954, ""en"", ""mt"")"),"X'inhu l-assi ta 'Varsavja li jaqsamha f'żewġ partijiet?")</f>
        <v>X'inhu l-assi ta 'Varsavja li jaqsamha f'żewġ partijiet?</v>
      </c>
    </row>
    <row r="11955" ht="15.75" customHeight="1">
      <c r="A11955" s="2" t="s">
        <v>11955</v>
      </c>
      <c r="B11955" s="2" t="str">
        <f>IFERROR(__xludf.DUMMYFUNCTION("GOOGLETRANSLATE(A11955, ""en"", ""mt"")"),"Liema parti l-kompożizzjoni tal-atmosfera tad-Dinja hija magħmula minn ossiġnu?")</f>
        <v>Liema parti l-kompożizzjoni tal-atmosfera tad-Dinja hija magħmula minn ossiġnu?</v>
      </c>
    </row>
    <row r="11956" ht="15.75" customHeight="1">
      <c r="A11956" s="2" t="s">
        <v>11956</v>
      </c>
      <c r="B11956" s="2" t="str">
        <f>IFERROR(__xludf.DUMMYFUNCTION("GOOGLETRANSLATE(A11956, ""en"", ""mt"")"),"Liema grupp ma jistax jiltaqa 'f'postijiet oħra fl-Iskozja?")</f>
        <v>Liema grupp ma jistax jiltaqa 'f'postijiet oħra fl-Iskozja?</v>
      </c>
    </row>
    <row r="11957" ht="15.75" customHeight="1">
      <c r="A11957" s="2" t="s">
        <v>11957</v>
      </c>
      <c r="B11957" s="2" t="str">
        <f>IFERROR(__xludf.DUMMYFUNCTION("GOOGLETRANSLATE(A11957, ""en"", ""mt"")"),"Liema magni ntużaw matul il-biċċa l-kbira tas-seklu 20 biex jimbottaw il-impjanti tal-enerġija?")</f>
        <v>Liema magni ntużaw matul il-biċċa l-kbira tas-seklu 20 biex jimbottaw il-impjanti tal-enerġija?</v>
      </c>
    </row>
    <row r="11958" ht="15.75" customHeight="1">
      <c r="A11958" s="2" t="s">
        <v>11958</v>
      </c>
      <c r="B11958" s="2" t="str">
        <f>IFERROR(__xludf.DUMMYFUNCTION("GOOGLETRANSLATE(A11958, ""en"", ""mt"")"),"Jikkoinkula l-iswiċċ tal-pakketti moderni u jispira bosta netwerks ta 'swiċċjar tal-pakketti")</f>
        <v>Jikkoinkula l-iswiċċ tal-pakketti moderni u jispira bosta netwerks ta 'swiċċjar tal-pakketti</v>
      </c>
    </row>
    <row r="11959" ht="15.75" customHeight="1">
      <c r="A11959" s="2" t="s">
        <v>11959</v>
      </c>
      <c r="B11959" s="2" t="str">
        <f>IFERROR(__xludf.DUMMYFUNCTION("GOOGLETRANSLATE(A11959, ""en"", ""mt"")"),"Kemm nies, l-aktar, mietu bil-pesta f'Bagdad?")</f>
        <v>Kemm nies, l-aktar, mietu bil-pesta f'Bagdad?</v>
      </c>
    </row>
    <row r="11960" ht="15.75" customHeight="1">
      <c r="A11960" s="2" t="s">
        <v>11960</v>
      </c>
      <c r="B11960" s="2" t="str">
        <f>IFERROR(__xludf.DUMMYFUNCTION("GOOGLETRANSLATE(A11960, ""en"", ""mt"")"),"Meta huma stabbiliti kumitati tas-suġġetti?")</f>
        <v>Meta huma stabbiliti kumitati tas-suġġetti?</v>
      </c>
    </row>
    <row r="11961" ht="15.75" customHeight="1">
      <c r="A11961" s="2" t="s">
        <v>11961</v>
      </c>
      <c r="B11961" s="2" t="str">
        <f>IFERROR(__xludf.DUMMYFUNCTION("GOOGLETRANSLATE(A11961, ""en"", ""mt"")"),"It-teħid ta 'kampjuni tad-dejta huwa preġudikat' il bogħod miċ-ċentru tal-baċin tal-Amażonja")</f>
        <v>It-teħid ta 'kampjuni tad-dejta huwa preġudikat' il bogħod miċ-ċentru tal-baċin tal-Amażonja</v>
      </c>
    </row>
    <row r="11962" ht="15.75" customHeight="1">
      <c r="A11962" s="2" t="s">
        <v>11962</v>
      </c>
      <c r="B11962" s="2" t="str">
        <f>IFERROR(__xludf.DUMMYFUNCTION("GOOGLETRANSLATE(A11962, ""en"", ""mt"")"),"L-istudju tal-pożizzjonijiet tal-unitajiet tal-blat u d-deformazzjoni tagħhom")</f>
        <v>L-istudju tal-pożizzjonijiet tal-unitajiet tal-blat u d-deformazzjoni tagħhom</v>
      </c>
    </row>
    <row r="11963" ht="15.75" customHeight="1">
      <c r="A11963" s="2" t="s">
        <v>11963</v>
      </c>
      <c r="B11963" s="2" t="str">
        <f>IFERROR(__xludf.DUMMYFUNCTION("GOOGLETRANSLATE(A11963, ""en"", ""mt"")"),"Sit tal-Wirt Dinji tal-UNESCO.")</f>
        <v>Sit tal-Wirt Dinji tal-UNESCO.</v>
      </c>
    </row>
    <row r="11964" ht="15.75" customHeight="1">
      <c r="A11964" s="2" t="s">
        <v>11964</v>
      </c>
      <c r="B11964" s="2" t="str">
        <f>IFERROR(__xludf.DUMMYFUNCTION("GOOGLETRANSLATE(A11964, ""en"", ""mt"")"),"entitajiet governattivi")</f>
        <v>entitajiet governattivi</v>
      </c>
    </row>
    <row r="11965" ht="15.75" customHeight="1">
      <c r="A11965" s="2" t="s">
        <v>11965</v>
      </c>
      <c r="B11965" s="2" t="str">
        <f>IFERROR(__xludf.DUMMYFUNCTION("GOOGLETRANSLATE(A11965, ""en"", ""mt"")"),"0.9%")</f>
        <v>0.9%</v>
      </c>
    </row>
    <row r="11966" ht="15.75" customHeight="1">
      <c r="A11966" s="2" t="s">
        <v>11966</v>
      </c>
      <c r="B11966" s="2" t="str">
        <f>IFERROR(__xludf.DUMMYFUNCTION("GOOGLETRANSLATE(A11966, ""en"", ""mt"")"),"X'inhuma tliet klassijiet ta 'kumplessità bejn L u P?")</f>
        <v>X'inhuma tliet klassijiet ta 'kumplessità bejn L u P?</v>
      </c>
    </row>
    <row r="11967" ht="15.75" customHeight="1">
      <c r="A11967" s="2" t="s">
        <v>11967</v>
      </c>
      <c r="B11967" s="2" t="str">
        <f>IFERROR(__xludf.DUMMYFUNCTION("GOOGLETRANSLATE(A11967, ""en"", ""mt"")"),"it-tieni l-iktar")</f>
        <v>it-tieni l-iktar</v>
      </c>
    </row>
    <row r="11968" ht="15.75" customHeight="1">
      <c r="A11968" s="2" t="s">
        <v>11968</v>
      </c>
      <c r="B11968" s="2" t="str">
        <f>IFERROR(__xludf.DUMMYFUNCTION("GOOGLETRANSLATE(A11968, ""en"", ""mt"")"),"li jibda fil-bidu ta 'Settembru u jispiċċa f'nofs Mejju")</f>
        <v>li jibda fil-bidu ta 'Settembru u jispiċċa f'nofs Mejju</v>
      </c>
    </row>
    <row r="11969" ht="15.75" customHeight="1">
      <c r="A11969" s="2" t="s">
        <v>11969</v>
      </c>
      <c r="B11969" s="2" t="str">
        <f>IFERROR(__xludf.DUMMYFUNCTION("GOOGLETRANSLATE(A11969, ""en"", ""mt"")"),"Att dwar in-Naturalizzazzjoni ta 'Protestanti Barranin")</f>
        <v>Att dwar in-Naturalizzazzjoni ta 'Protestanti Barranin</v>
      </c>
    </row>
    <row r="11970" ht="15.75" customHeight="1">
      <c r="A11970" s="2" t="s">
        <v>11970</v>
      </c>
      <c r="B11970" s="2" t="str">
        <f>IFERROR(__xludf.DUMMYFUNCTION("GOOGLETRANSLATE(A11970, ""en"", ""mt"")"),"X’jagħmel il-film tal-ossidu fuq il-metalli?")</f>
        <v>X’jagħmel il-film tal-ossidu fuq il-metalli?</v>
      </c>
    </row>
    <row r="11971" ht="15.75" customHeight="1">
      <c r="A11971" s="2" t="s">
        <v>11971</v>
      </c>
      <c r="B11971" s="2" t="str">
        <f>IFERROR(__xludf.DUMMYFUNCTION("GOOGLETRANSLATE(A11971, ""en"", ""mt"")"),"Liema ormoni huma prodotti l-aktar meta jkunu imqajmin?")</f>
        <v>Liema ormoni huma prodotti l-aktar meta jkunu imqajmin?</v>
      </c>
    </row>
    <row r="11972" ht="15.75" customHeight="1">
      <c r="A11972" s="2" t="s">
        <v>11972</v>
      </c>
      <c r="B11972" s="2" t="str">
        <f>IFERROR(__xludf.DUMMYFUNCTION("GOOGLETRANSLATE(A11972, ""en"", ""mt"")"),"Min kien ir-rivali ewlieni ta 'Louis XIV?")</f>
        <v>Min kien ir-rivali ewlieni ta 'Louis XIV?</v>
      </c>
    </row>
    <row r="11973" ht="15.75" customHeight="1">
      <c r="A11973" s="2" t="s">
        <v>11973</v>
      </c>
      <c r="B11973" s="2" t="str">
        <f>IFERROR(__xludf.DUMMYFUNCTION("GOOGLETRANSLATE(A11973, ""en"", ""mt"")")," Fejn għamlu Charles de Gaulle u l-Operazzjonijiet tal-English Run Free matul it-Tieni Gwerra Dinjija?")</f>
        <v> Fejn għamlu Charles de Gaulle u l-Operazzjonijiet tal-English Run Free matul it-Tieni Gwerra Dinjija?</v>
      </c>
    </row>
    <row r="11974" ht="15.75" customHeight="1">
      <c r="A11974" s="2" t="s">
        <v>11974</v>
      </c>
      <c r="B11974" s="2" t="str">
        <f>IFERROR(__xludf.DUMMYFUNCTION("GOOGLETRANSLATE(A11974, ""en"", ""mt"")"),"Skond it-tnaqqis, jekk X u Y jistgħu jissolvew bl-istess algoritmu allura X iwettaq liema funzjoni f'relazzjoni ma 'Y?")</f>
        <v>Skond it-tnaqqis, jekk X u Y jistgħu jissolvew bl-istess algoritmu allura X iwettaq liema funzjoni f'relazzjoni ma 'Y?</v>
      </c>
    </row>
    <row r="11975" ht="15.75" customHeight="1">
      <c r="A11975" s="2" t="s">
        <v>11975</v>
      </c>
      <c r="B11975" s="2" t="str">
        <f>IFERROR(__xludf.DUMMYFUNCTION("GOOGLETRANSLATE(A11975, ""en"", ""mt"")"),"Liema satellita għamlitha impossibbli għal Sky Digital li tniedi servizz diġitali ġdid kollu?")</f>
        <v>Liema satellita għamlitha impossibbli għal Sky Digital li tniedi servizz diġitali ġdid kollu?</v>
      </c>
    </row>
    <row r="11976" ht="15.75" customHeight="1">
      <c r="A11976" s="2" t="s">
        <v>11976</v>
      </c>
      <c r="B11976" s="2" t="str">
        <f>IFERROR(__xludf.DUMMYFUNCTION("GOOGLETRANSLATE(A11976, ""en"", ""mt"")")," Kemm ħażin l-imperaturi Mongoljati kienu jafu Ċiniż mitkellem?")</f>
        <v> Kemm ħażin l-imperaturi Mongoljati kienu jafu Ċiniż mitkellem?</v>
      </c>
    </row>
    <row r="11977" ht="15.75" customHeight="1">
      <c r="A11977" s="2" t="s">
        <v>11977</v>
      </c>
      <c r="B11977" s="2" t="str">
        <f>IFERROR(__xludf.DUMMYFUNCTION("GOOGLETRANSLATE(A11977, ""en"", ""mt"")"),"X'inhi l-idjoma tal-arkitettura Norman?")</f>
        <v>X'inhi l-idjoma tal-arkitettura Norman?</v>
      </c>
    </row>
    <row r="11978" ht="15.75" customHeight="1">
      <c r="A11978" s="2" t="s">
        <v>11978</v>
      </c>
      <c r="B11978" s="2" t="str">
        <f>IFERROR(__xludf.DUMMYFUNCTION("GOOGLETRANSLATE(A11978, ""en"", ""mt"")"),"Meta d-drittijiet fundamentali ma kinux rikonoxxuti mill-Qorti Ewropea tal-Ġustizzja?")</f>
        <v>Meta d-drittijiet fundamentali ma kinux rikonoxxuti mill-Qorti Ewropea tal-Ġustizzja?</v>
      </c>
    </row>
    <row r="11979" ht="15.75" customHeight="1">
      <c r="A11979" s="2" t="s">
        <v>11979</v>
      </c>
      <c r="B11979" s="2" t="str">
        <f>IFERROR(__xludf.DUMMYFUNCTION("GOOGLETRANSLATE(A11979, ""en"", ""mt"")"),"Liema parti taċ-Ċina kellha nies ikklassifikati ogħla fis-sistema tal-klassi?")</f>
        <v>Liema parti taċ-Ċina kellha nies ikklassifikati ogħla fis-sistema tal-klassi?</v>
      </c>
    </row>
    <row r="11980" ht="15.75" customHeight="1">
      <c r="A11980" s="2" t="s">
        <v>11980</v>
      </c>
      <c r="B11980" s="2" t="str">
        <f>IFERROR(__xludf.DUMMYFUNCTION("GOOGLETRANSLATE(A11980, ""en"", ""mt"")"),"konsum")</f>
        <v>konsum</v>
      </c>
    </row>
    <row r="11981" ht="15.75" customHeight="1">
      <c r="A11981" s="2" t="s">
        <v>11981</v>
      </c>
      <c r="B11981" s="2" t="str">
        <f>IFERROR(__xludf.DUMMYFUNCTION("GOOGLETRANSLATE(A11981, ""en"", ""mt"")"),"Min allegatament ħoloq l-isem Black Death?")</f>
        <v>Min allegatament ħoloq l-isem Black Death?</v>
      </c>
    </row>
    <row r="11982" ht="15.75" customHeight="1">
      <c r="A11982" s="2" t="s">
        <v>11982</v>
      </c>
      <c r="B11982" s="2" t="str">
        <f>IFERROR(__xludf.DUMMYFUNCTION("GOOGLETRANSLATE(A11982, ""en"", ""mt"")"),"X'inhuma t-tliet espressjonijiet sekondarji użati biex jirrappreżentaw il-kumplessità tal-każijiet?")</f>
        <v>X'inhuma t-tliet espressjonijiet sekondarji użati biex jirrappreżentaw il-kumplessità tal-każijiet?</v>
      </c>
    </row>
    <row r="11983" ht="15.75" customHeight="1">
      <c r="A11983" s="2" t="s">
        <v>11983</v>
      </c>
      <c r="B11983" s="2" t="str">
        <f>IFERROR(__xludf.DUMMYFUNCTION("GOOGLETRANSLATE(A11983, ""en"", ""mt"")"),"forza elettrostatika (minħabba l-kamp elettriku) u l-forza manjetika")</f>
        <v>forza elettrostatika (minħabba l-kamp elettriku) u l-forza manjetika</v>
      </c>
    </row>
    <row r="11984" ht="15.75" customHeight="1">
      <c r="A11984" s="2" t="s">
        <v>11984</v>
      </c>
      <c r="B11984" s="2" t="str">
        <f>IFERROR(__xludf.DUMMYFUNCTION("GOOGLETRANSLATE(A11984, ""en"", ""mt"")"),"Il-qgħad persistenti għandu x’effett fuq it-tkabbir ekonomiku fit-tul?")</f>
        <v>Il-qgħad persistenti għandu x’effett fuq it-tkabbir ekonomiku fit-tul?</v>
      </c>
    </row>
    <row r="11985" ht="15.75" customHeight="1">
      <c r="A11985" s="2" t="s">
        <v>11985</v>
      </c>
      <c r="B11985" s="2" t="str">
        <f>IFERROR(__xludf.DUMMYFUNCTION("GOOGLETRANSLATE(A11985, ""en"", ""mt"")"),"Minn liema perjodu ġew il-ħolqien ta 'mekkaniżmi ta' għalf?")</f>
        <v>Minn liema perjodu ġew il-ħolqien ta 'mekkaniżmi ta' għalf?</v>
      </c>
    </row>
    <row r="11986" ht="15.75" customHeight="1">
      <c r="A11986" s="2" t="s">
        <v>11986</v>
      </c>
      <c r="B11986" s="2" t="str">
        <f>IFERROR(__xludf.DUMMYFUNCTION("GOOGLETRANSLATE(A11986, ""en"", ""mt"")"),"huma ċedew")</f>
        <v>huma ċedew</v>
      </c>
    </row>
    <row r="11987" ht="15.75" customHeight="1">
      <c r="A11987" s="2" t="s">
        <v>11987</v>
      </c>
      <c r="B11987" s="2" t="str">
        <f>IFERROR(__xludf.DUMMYFUNCTION("GOOGLETRANSLATE(A11987, ""en"", ""mt"")"),"Għaliex naqset id-domanda għall-kiri?")</f>
        <v>Għaliex naqset id-domanda għall-kiri?</v>
      </c>
    </row>
    <row r="11988" ht="15.75" customHeight="1">
      <c r="A11988" s="2" t="s">
        <v>11988</v>
      </c>
      <c r="B11988" s="2" t="str">
        <f>IFERROR(__xludf.DUMMYFUNCTION("GOOGLETRANSLATE(A11988, ""en"", ""mt"")"),"Sky Q Silver")</f>
        <v>Sky Q Silver</v>
      </c>
    </row>
    <row r="11989" ht="15.75" customHeight="1">
      <c r="A11989" s="2" t="s">
        <v>11989</v>
      </c>
      <c r="B11989" s="2" t="str">
        <f>IFERROR(__xludf.DUMMYFUNCTION("GOOGLETRANSLATE(A11989, ""en"", ""mt"")"),"X'inhuma l-membri parlamentari li ma jistgħux jivvutaw?")</f>
        <v>X'inhuma l-membri parlamentari li ma jistgħux jivvutaw?</v>
      </c>
    </row>
    <row r="11990" ht="15.75" customHeight="1">
      <c r="A11990" s="2" t="s">
        <v>11990</v>
      </c>
      <c r="B11990" s="2" t="str">
        <f>IFERROR(__xludf.DUMMYFUNCTION("GOOGLETRANSLATE(A11990, ""en"", ""mt"")"),"Fejn jista 'jinstab ġieħ għall-waqgħa ta' Varsavja?")</f>
        <v>Fejn jista 'jinstab ġieħ għall-waqgħa ta' Varsavja?</v>
      </c>
    </row>
    <row r="11991" ht="15.75" customHeight="1">
      <c r="A11991" s="2" t="s">
        <v>11991</v>
      </c>
      <c r="B11991" s="2" t="str">
        <f>IFERROR(__xludf.DUMMYFUNCTION("GOOGLETRANSLATE(A11991, ""en"", ""mt"")"),"King Malcolm III tal-Iskozja")</f>
        <v>King Malcolm III tal-Iskozja</v>
      </c>
    </row>
    <row r="11992" ht="15.75" customHeight="1">
      <c r="A11992" s="2" t="s">
        <v>11992</v>
      </c>
      <c r="B11992" s="2" t="str">
        <f>IFERROR(__xludf.DUMMYFUNCTION("GOOGLETRANSLATE(A11992, ""en"", ""mt"")"),"żieda")</f>
        <v>żieda</v>
      </c>
    </row>
    <row r="11993" ht="15.75" customHeight="1">
      <c r="A11993" s="2" t="s">
        <v>11993</v>
      </c>
      <c r="B11993" s="2" t="str">
        <f>IFERROR(__xludf.DUMMYFUNCTION("GOOGLETRANSLATE(A11993, ""en"", ""mt"")"),"Seklu 17")</f>
        <v>Seklu 17</v>
      </c>
    </row>
    <row r="11994" ht="15.75" customHeight="1">
      <c r="A11994" s="2" t="s">
        <v>11994</v>
      </c>
      <c r="B11994" s="2" t="str">
        <f>IFERROR(__xludf.DUMMYFUNCTION("GOOGLETRANSLATE(A11994, ""en"", ""mt"")"),"lokomozzjoni")</f>
        <v>lokomozzjoni</v>
      </c>
    </row>
    <row r="11995" ht="15.75" customHeight="1">
      <c r="A11995" s="2" t="s">
        <v>11995</v>
      </c>
      <c r="B11995" s="2" t="str">
        <f>IFERROR(__xludf.DUMMYFUNCTION("GOOGLETRANSLATE(A11995, ""en"", ""mt"")"),"Ċirkuwitu li jaqleb jiċċarġja miżata għat-trasferiment ta 'x'tip ta' informazzjoni?")</f>
        <v>Ċirkuwitu li jaqleb jiċċarġja miżata għat-trasferiment ta 'x'tip ta' informazzjoni?</v>
      </c>
    </row>
    <row r="11996" ht="15.75" customHeight="1">
      <c r="A11996" s="2" t="s">
        <v>11996</v>
      </c>
      <c r="B11996" s="2" t="str">
        <f>IFERROR(__xludf.DUMMYFUNCTION("GOOGLETRANSLATE(A11996, ""en"", ""mt"")")," Fejn Franza tilfet gwerra fis-snin 30?")</f>
        <v> Fejn Franza tilfet gwerra fis-snin 30?</v>
      </c>
    </row>
    <row r="11997" ht="15.75" customHeight="1">
      <c r="A11997" s="2" t="s">
        <v>11997</v>
      </c>
      <c r="B11997" s="2" t="str">
        <f>IFERROR(__xludf.DUMMYFUNCTION("GOOGLETRANSLATE(A11997, ""en"", ""mt"")"),"Pjazza tal-Vitorja")</f>
        <v>Pjazza tal-Vitorja</v>
      </c>
    </row>
    <row r="11998" ht="15.75" customHeight="1">
      <c r="A11998" s="2" t="s">
        <v>11998</v>
      </c>
      <c r="B11998" s="2" t="str">
        <f>IFERROR(__xludf.DUMMYFUNCTION("GOOGLETRANSLATE(A11998, ""en"", ""mt"")"),"Operazzjonijiet orjentati lejn il-konnessjoni")</f>
        <v>Operazzjonijiet orjentati lejn il-konnessjoni</v>
      </c>
    </row>
    <row r="11999" ht="15.75" customHeight="1">
      <c r="A11999" s="2" t="s">
        <v>11999</v>
      </c>
      <c r="B11999" s="2" t="str">
        <f>IFERROR(__xludf.DUMMYFUNCTION("GOOGLETRANSLATE(A11999, ""en"", ""mt"")"),"B'liema dokument il-Huguenots stqarr il-fidi tagħhom lill-Portugiż fil-Brażil?")</f>
        <v>B'liema dokument il-Huguenots stqarr il-fidi tagħhom lill-Portugiż fil-Brażil?</v>
      </c>
    </row>
    <row r="12000" ht="15.75" customHeight="1">
      <c r="A12000" s="2" t="s">
        <v>12000</v>
      </c>
      <c r="B12000" s="2" t="str">
        <f>IFERROR(__xludf.DUMMYFUNCTION("GOOGLETRANSLATE(A12000, ""en"", ""mt"")"),"Kemm Huguenots stabbilixxew f'Bedfordshire?")</f>
        <v>Kemm Huguenots stabbilixxew f'Bedfordshire?</v>
      </c>
    </row>
    <row r="12001" ht="15.75" customHeight="1">
      <c r="A12001" s="2" t="s">
        <v>12001</v>
      </c>
      <c r="B12001" s="2" t="str">
        <f>IFERROR(__xludf.DUMMYFUNCTION("GOOGLETRANSLATE(A12001, ""en"", ""mt"")"),"Liġi u Filosofija")</f>
        <v>Liġi u Filosofija</v>
      </c>
    </row>
    <row r="12002" ht="15.75" customHeight="1">
      <c r="A12002" s="2" t="s">
        <v>12002</v>
      </c>
      <c r="B12002" s="2" t="str">
        <f>IFERROR(__xludf.DUMMYFUNCTION("GOOGLETRANSLATE(A12002, ""en"", ""mt"")"),"Problemi ta 'deċiżjoni")</f>
        <v>Problemi ta 'deċiżjoni</v>
      </c>
    </row>
    <row r="12003" ht="15.75" customHeight="1">
      <c r="A12003" s="2" t="s">
        <v>12003</v>
      </c>
      <c r="B12003" s="2" t="str">
        <f>IFERROR(__xludf.DUMMYFUNCTION("GOOGLETRANSLATE(A12003, ""en"", ""mt"")"),"In-naħa tax-Xlokk 'il bogħod")</f>
        <v>In-naħa tax-Xlokk 'il bogħod</v>
      </c>
    </row>
    <row r="12004" ht="15.75" customHeight="1">
      <c r="A12004" s="2" t="s">
        <v>12004</v>
      </c>
      <c r="B12004" s="2" t="str">
        <f>IFERROR(__xludf.DUMMYFUNCTION("GOOGLETRANSLATE(A12004, ""en"", ""mt"")"),"erba 'klassijiet")</f>
        <v>erba 'klassijiet</v>
      </c>
    </row>
    <row r="12005" ht="15.75" customHeight="1">
      <c r="A12005" s="2" t="s">
        <v>12005</v>
      </c>
      <c r="B12005" s="2" t="str">
        <f>IFERROR(__xludf.DUMMYFUNCTION("GOOGLETRANSLATE(A12005, ""en"", ""mt"")"),"Il-kors naturali tax-xmara minħabba numru ta 'proġetti ta' kanalizzazzjoni kompluti fis-seklu 19 u 20")</f>
        <v>Il-kors naturali tax-xmara minħabba numru ta 'proġetti ta' kanalizzazzjoni kompluti fis-seklu 19 u 20</v>
      </c>
    </row>
    <row r="12006" ht="15.75" customHeight="1">
      <c r="A12006" s="2" t="s">
        <v>12006</v>
      </c>
      <c r="B12006" s="2" t="str">
        <f>IFERROR(__xludf.DUMMYFUNCTION("GOOGLETRANSLATE(A12006, ""en"", ""mt"")"),"X'kienet il-popolazzjoni ta 'Varsavja fl-1901?")</f>
        <v>X'kienet il-popolazzjoni ta 'Varsavja fl-1901?</v>
      </c>
    </row>
    <row r="12007" ht="15.75" customHeight="1">
      <c r="A12007" s="2" t="s">
        <v>12007</v>
      </c>
      <c r="B12007" s="2" t="str">
        <f>IFERROR(__xludf.DUMMYFUNCTION("GOOGLETRANSLATE(A12007, ""en"", ""mt"")"),"L-assorbiment ta 'o
2 Mill-arja huwa l-iskop essenzjali tar-respirazzjoni, u għalhekk is-supplimentazzjoni tal-ossiġnu tintuża fil-mediċina. It-trattament mhux biss iżid il-livelli ta 'ossiġnu fid-demm tal-pazjent, iżda għandu l-effett sekondarju li jonqo"&amp;"s ir-reżistenza għall-fluss tad-demm f'ħafna tipi ta' pulmuni morda, li jtaffi t-tagħbija tax-xogħol fuq il-qalb. It-terapija bl-ossiġenu tintuża biex tikkura enfisema, pnewmonja, xi disturbi fil-qalb (insuffiċjenza tal-qalb konġestiva), xi disturbi li ji"&amp;"kkawżaw pressjoni tal-arterja pulmonari miżjuda, u kwalunkwe marda li tfixkel il-kapaċità tal-ġisem li tieħu u tuża ossiġenu gassuż.")</f>
        <v>L-assorbiment ta 'o
2 Mill-arja huwa l-iskop essenzjali tar-respirazzjoni, u għalhekk is-supplimentazzjoni tal-ossiġnu tintuża fil-mediċina. It-trattament mhux biss iżid il-livelli ta 'ossiġnu fid-demm tal-pazjent, iżda għandu l-effett sekondarju li jonqos ir-reżistenza għall-fluss tad-demm f'ħafna tipi ta' pulmuni morda, li jtaffi t-tagħbija tax-xogħol fuq il-qalb. It-terapija bl-ossiġenu tintuża biex tikkura enfisema, pnewmonja, xi disturbi fil-qalb (insuffiċjenza tal-qalb konġestiva), xi disturbi li jikkawżaw pressjoni tal-arterja pulmonari miżjuda, u kwalunkwe marda li tfixkel il-kapaċità tal-ġisem li tieħu u tuża ossiġenu gassuż.</v>
      </c>
    </row>
    <row r="12008" ht="15.75" customHeight="1">
      <c r="A12008" s="2" t="s">
        <v>12008</v>
      </c>
      <c r="B12008" s="2" t="str">
        <f>IFERROR(__xludf.DUMMYFUNCTION("GOOGLETRANSLATE(A12008, ""en"", ""mt"")"),"X'inhuma l-komponenti tat-terapija bil-mediċina?")</f>
        <v>X'inhuma l-komponenti tat-terapija bil-mediċina?</v>
      </c>
    </row>
    <row r="12009" ht="15.75" customHeight="1">
      <c r="A12009" s="2" t="s">
        <v>12009</v>
      </c>
      <c r="B12009" s="2" t="str">
        <f>IFERROR(__xludf.DUMMYFUNCTION("GOOGLETRANSLATE(A12009, ""en"", ""mt"")"),"Fi żminijiet moderni, dak li jingħad dwar id-diżubbidjenza ċivili?")</f>
        <v>Fi żminijiet moderni, dak li jingħad dwar id-diżubbidjenza ċivili?</v>
      </c>
    </row>
    <row r="12010" ht="15.75" customHeight="1">
      <c r="A12010" s="2" t="s">
        <v>12010</v>
      </c>
      <c r="B12010" s="2" t="str">
        <f>IFERROR(__xludf.DUMMYFUNCTION("GOOGLETRANSLATE(A12010, ""en"", ""mt"")"),"Artisti Pollakki u Internazzjonali")</f>
        <v>Artisti Pollakki u Internazzjonali</v>
      </c>
    </row>
    <row r="12011" ht="15.75" customHeight="1">
      <c r="A12011" s="2" t="s">
        <v>12011</v>
      </c>
      <c r="B12011" s="2" t="str">
        <f>IFERROR(__xludf.DUMMYFUNCTION("GOOGLETRANSLATE(A12011, ""en"", ""mt"")"),"X'inhu l-isem tas-sistema ta 'ġirja tat-TV li BSKYB ma setax juża?")</f>
        <v>X'inhu l-isem tas-sistema ta 'ġirja tat-TV li BSKYB ma setax juża?</v>
      </c>
    </row>
    <row r="12012" ht="15.75" customHeight="1">
      <c r="A12012" s="2" t="s">
        <v>12012</v>
      </c>
      <c r="B12012" s="2" t="str">
        <f>IFERROR(__xludf.DUMMYFUNCTION("GOOGLETRANSLATE(A12012, ""en"", ""mt"")"),"Kemm mill-parteċipanti tal-IPCC huma rappreżentanti tal-gvern?")</f>
        <v>Kemm mill-parteċipanti tal-IPCC huma rappreżentanti tal-gvern?</v>
      </c>
    </row>
    <row r="12013" ht="15.75" customHeight="1">
      <c r="A12013" s="2" t="s">
        <v>12013</v>
      </c>
      <c r="B12013" s="2" t="str">
        <f>IFERROR(__xludf.DUMMYFUNCTION("GOOGLETRANSLATE(A12013, ""en"", ""mt"")"),"Oqsma relatati mill-qrib fix-xjenza teoretika tal-kompjuter huma analiżi tal-algoritmi u t-teorija tal-komputabbiltà. Distinzjoni ewlenija bejn l-analiżi tal-algoritmi u t-teorija tal-kumplessità tal-komputazzjoni hija li l-ewwel hija ddedikata għall-anal"&amp;"iżi tal-ammont ta 'riżorsi meħtieġa minn algoritmu partikolari biex issolvi problema, filwaqt li dan tal-aħħar jistaqsi mistoqsija aktar ġenerali dwar l-algoritmi kollha possibbli li jistgħu jintużaw Issolvi l-istess problema. B'mod iktar preċiż, jipprova"&amp;" jikklassifika problemi li jistgħu jew ma jistgħux jissolvew b'riżorsi ristretti kif xieraq. Min-naħa tiegħu, l-impożizzjoni ta 'restrizzjonijiet fuq ir-riżorsi disponibbli huwa dak li jiddistingwi l-kumplessità tal-komputazzjoni mit-teorija tal-komputabb"&amp;"iltà: din l-aħħar teorija tistaqsi x'tip ta' problemi jistgħu, fil-prinċipju, jiġu solvuti b'mod algoritmiku.")</f>
        <v>Oqsma relatati mill-qrib fix-xjenza teoretika tal-kompjuter huma analiżi tal-algoritmi u t-teorija tal-komputabbiltà. Distinzjoni ewlenija bejn l-analiżi tal-algoritmi u t-teorija tal-kumplessità tal-komputazzjoni hija li l-ewwel hija ddedikata għall-analiżi tal-ammont ta 'riżorsi meħtieġa minn algoritmu partikolari biex issolvi problema, filwaqt li dan tal-aħħar jistaqsi mistoqsija aktar ġenerali dwar l-algoritmi kollha possibbli li jistgħu jintużaw Issolvi l-istess problema. B'mod iktar preċiż, jipprova jikklassifika problemi li jistgħu jew ma jistgħux jissolvew b'riżorsi ristretti kif xieraq. Min-naħa tiegħu, l-impożizzjoni ta 'restrizzjonijiet fuq ir-riżorsi disponibbli huwa dak li jiddistingwi l-kumplessità tal-komputazzjoni mit-teorija tal-komputabbiltà: din l-aħħar teorija tistaqsi x'tip ta' problemi jistgħu, fil-prinċipju, jiġu solvuti b'mod algoritmiku.</v>
      </c>
    </row>
    <row r="12014" ht="15.75" customHeight="1">
      <c r="A12014" s="2" t="s">
        <v>12014</v>
      </c>
      <c r="B12014" s="2" t="str">
        <f>IFERROR(__xludf.DUMMYFUNCTION("GOOGLETRANSLATE(A12014, ""en"", ""mt"")"),"X'jista 'jiġġustifika restrizzjonijiet fuq il-libertà tal-istabbiliment?")</f>
        <v>X'jista 'jiġġustifika restrizzjonijiet fuq il-libertà tal-istabbiliment?</v>
      </c>
    </row>
    <row r="12015" ht="15.75" customHeight="1">
      <c r="A12015" s="2" t="s">
        <v>12015</v>
      </c>
      <c r="B12015" s="2" t="str">
        <f>IFERROR(__xludf.DUMMYFUNCTION("GOOGLETRANSLATE(A12015, ""en"", ""mt"")"),"taċċetta kastig")</f>
        <v>taċċetta kastig</v>
      </c>
    </row>
    <row r="12016" ht="15.75" customHeight="1">
      <c r="A12016" s="2" t="s">
        <v>12016</v>
      </c>
      <c r="B12016" s="2" t="str">
        <f>IFERROR(__xludf.DUMMYFUNCTION("GOOGLETRANSLATE(A12016, ""en"", ""mt"")"),"Mediċina iperbarika (bi pressjoni għolja)")</f>
        <v>Mediċina iperbarika (bi pressjoni għolja)</v>
      </c>
    </row>
    <row r="12017" ht="15.75" customHeight="1">
      <c r="A12017" s="2" t="s">
        <v>12017</v>
      </c>
      <c r="B12017" s="2" t="str">
        <f>IFERROR(__xludf.DUMMYFUNCTION("GOOGLETRANSLATE(A12017, ""en"", ""mt"")"),"Liema forom moderni ta 'l-ivvjaġġar ħadu viżitaturi f'partijiet oħra ta' Florida?")</f>
        <v>Liema forom moderni ta 'l-ivvjaġġar ħadu viżitaturi f'partijiet oħra ta' Florida?</v>
      </c>
    </row>
    <row r="12018" ht="15.75" customHeight="1">
      <c r="A12018" s="2" t="s">
        <v>12018</v>
      </c>
      <c r="B12018" s="2" t="str">
        <f>IFERROR(__xludf.DUMMYFUNCTION("GOOGLETRANSLATE(A12018, ""en"", ""mt"")"),"Id-diżubbidjenza ċivili tista 'sseħħ meta n-nies jitkellmu dwar ċertu suġġett li huwa meqjus bħala?")</f>
        <v>Id-diżubbidjenza ċivili tista 'sseħħ meta n-nies jitkellmu dwar ċertu suġġett li huwa meqjus bħala?</v>
      </c>
    </row>
    <row r="12019" ht="15.75" customHeight="1">
      <c r="A12019" s="2" t="s">
        <v>12019</v>
      </c>
      <c r="B12019" s="2" t="str">
        <f>IFERROR(__xludf.DUMMYFUNCTION("GOOGLETRANSLATE(A12019, ""en"", ""mt"")"),"Kemm għandhom lobi plankton?")</f>
        <v>Kemm għandhom lobi plankton?</v>
      </c>
    </row>
    <row r="12020" ht="15.75" customHeight="1">
      <c r="A12020" s="2" t="s">
        <v>12020</v>
      </c>
      <c r="B12020" s="2" t="str">
        <f>IFERROR(__xludf.DUMMYFUNCTION("GOOGLETRANSLATE(A12020, ""en"", ""mt"")"),"X'inhu l-iktar mod elementari biex tittestja l-primalità ta 'xi numru sħiħ?")</f>
        <v>X'inhu l-iktar mod elementari biex tittestja l-primalità ta 'xi numru sħiħ?</v>
      </c>
    </row>
    <row r="12021" ht="15.75" customHeight="1">
      <c r="A12021" s="2" t="s">
        <v>12021</v>
      </c>
      <c r="B12021" s="2" t="str">
        <f>IFERROR(__xludf.DUMMYFUNCTION("GOOGLETRANSLATE(A12021, ""en"", ""mt"")"),"Marquis de Vaudreuil.")</f>
        <v>Marquis de Vaudreuil.</v>
      </c>
    </row>
    <row r="12022" ht="15.75" customHeight="1">
      <c r="A12022" s="2" t="s">
        <v>12022</v>
      </c>
      <c r="B12022" s="2" t="str">
        <f>IFERROR(__xludf.DUMMYFUNCTION("GOOGLETRANSLATE(A12022, ""en"", ""mt"")"),"Kemm djar għandhom tfal taħt it-18-il sena jgħixu fihom?")</f>
        <v>Kemm djar għandhom tfal taħt it-18-il sena jgħixu fihom?</v>
      </c>
    </row>
    <row r="12023" ht="15.75" customHeight="1">
      <c r="A12023" s="2" t="s">
        <v>12023</v>
      </c>
      <c r="B12023" s="2" t="str">
        <f>IFERROR(__xludf.DUMMYFUNCTION("GOOGLETRANSLATE(A12023, ""en"", ""mt"")"),"Dak li diġà kien jeżisti fl-USSR qabel l-1973?")</f>
        <v>Dak li diġà kien jeżisti fl-USSR qabel l-1973?</v>
      </c>
    </row>
    <row r="12024" ht="15.75" customHeight="1">
      <c r="A12024" s="2" t="s">
        <v>12024</v>
      </c>
      <c r="B12024" s="2" t="str">
        <f>IFERROR(__xludf.DUMMYFUNCTION("GOOGLETRANSLATE(A12024, ""en"", ""mt"")"),"atturi privati")</f>
        <v>atturi privati</v>
      </c>
    </row>
    <row r="12025" ht="15.75" customHeight="1">
      <c r="A12025" s="2" t="s">
        <v>12025</v>
      </c>
      <c r="B12025" s="2" t="str">
        <f>IFERROR(__xludf.DUMMYFUNCTION("GOOGLETRANSLATE(A12025, ""en"", ""mt"")"),"Estensjoni")</f>
        <v>Estensjoni</v>
      </c>
    </row>
    <row r="12026" ht="15.75" customHeight="1">
      <c r="A12026" s="2" t="s">
        <v>12026</v>
      </c>
      <c r="B12026" s="2" t="str">
        <f>IFERROR(__xludf.DUMMYFUNCTION("GOOGLETRANSLATE(A12026, ""en"", ""mt"")"),"Liema park huwa viċin Triq Vistula?")</f>
        <v>Liema park huwa viċin Triq Vistula?</v>
      </c>
    </row>
    <row r="12027" ht="15.75" customHeight="1">
      <c r="A12027" s="2" t="s">
        <v>12027</v>
      </c>
      <c r="B12027" s="2" t="str">
        <f>IFERROR(__xludf.DUMMYFUNCTION("GOOGLETRANSLATE(A12027, ""en"", ""mt"")"),"Meta d-diżubbidjenza ċivili hija ġġustifikata kontra ċerti gruppi skont it-trade unions?")</f>
        <v>Meta d-diżubbidjenza ċivili hija ġġustifikata kontra ċerti gruppi skont it-trade unions?</v>
      </c>
    </row>
    <row r="12028" ht="15.75" customHeight="1">
      <c r="A12028" s="2" t="s">
        <v>12028</v>
      </c>
      <c r="B12028" s="2" t="str">
        <f>IFERROR(__xludf.DUMMYFUNCTION("GOOGLETRANSLATE(A12028, ""en"", ""mt"")"),"Min influwenza l-ideoloġija tat-Taliban?")</f>
        <v>Min influwenza l-ideoloġija tat-Taliban?</v>
      </c>
    </row>
    <row r="12029" ht="15.75" customHeight="1">
      <c r="A12029" s="2" t="s">
        <v>12029</v>
      </c>
      <c r="B12029" s="2" t="str">
        <f>IFERROR(__xludf.DUMMYFUNCTION("GOOGLETRANSLATE(A12029, ""en"", ""mt"")"),"Sayyid Abul Ala Maududi")</f>
        <v>Sayyid Abul Ala Maududi</v>
      </c>
    </row>
    <row r="12030" ht="15.75" customHeight="1">
      <c r="A12030" s="2" t="s">
        <v>12030</v>
      </c>
      <c r="B12030" s="2" t="str">
        <f>IFERROR(__xludf.DUMMYFUNCTION("GOOGLETRANSLATE(A12030, ""en"", ""mt"")"),"Numru ta 'Huguenots servew bħala sindki f'Dublin, Cork, Youghal u Waterford fis-sekli 17 u 18. Numru ta 'sinjali ta' preżenza Huguenot xorta jistgħu jidhru bl-ismijiet li għadhom jintużaw, u b'żoni tal-bliet u bliet ewlenin imsemmija wara n-nies li stabbi"&amp;"lixxew hemm. Eżempji jinkludu d-Distrett ta 'Huguenot u Triq il-Knisja Franċiża fil-Belt ta' Cork; u Triq D'Olier f'Dublin, imsejħa wara xeriff għoli u wieħed mill-fundaturi tal-Bank of Ireland. Knisja Franċiża f'Portarlington tmur lura għall-1696, u nbni"&amp;"et biex isservi l-komunità Huguenot ġdida sinifikanti fil-belt. Dak iż-żmien, huma kienu jikkostitwixxu l-maġġoranza tan-nies tal-belt.")</f>
        <v>Numru ta 'Huguenots servew bħala sindki f'Dublin, Cork, Youghal u Waterford fis-sekli 17 u 18. Numru ta 'sinjali ta' preżenza Huguenot xorta jistgħu jidhru bl-ismijiet li għadhom jintużaw, u b'żoni tal-bliet u bliet ewlenin imsemmija wara n-nies li stabbilixxew hemm. Eżempji jinkludu d-Distrett ta 'Huguenot u Triq il-Knisja Franċiża fil-Belt ta' Cork; u Triq D'Olier f'Dublin, imsejħa wara xeriff għoli u wieħed mill-fundaturi tal-Bank of Ireland. Knisja Franċiża f'Portarlington tmur lura għall-1696, u nbniet biex isservi l-komunità Huguenot ġdida sinifikanti fil-belt. Dak iż-żmien, huma kienu jikkostitwixxu l-maġġoranza tan-nies tal-belt.</v>
      </c>
    </row>
    <row r="12031" ht="15.75" customHeight="1">
      <c r="A12031" s="2" t="s">
        <v>12031</v>
      </c>
      <c r="B12031" s="2" t="str">
        <f>IFERROR(__xludf.DUMMYFUNCTION("GOOGLETRANSLATE(A12031, ""en"", ""mt"")"),"Liema trattat jipprovdi li l-liġi tal-Unjoni Ewropea tiġi applikata għal territorji metropolitani ta 'l-istati membri?")</f>
        <v>Liema trattat jipprovdi li l-liġi tal-Unjoni Ewropea tiġi applikata għal territorji metropolitani ta 'l-istati membri?</v>
      </c>
    </row>
    <row r="12032" ht="15.75" customHeight="1">
      <c r="A12032" s="2" t="s">
        <v>12032</v>
      </c>
      <c r="B12032" s="2" t="str">
        <f>IFERROR(__xludf.DUMMYFUNCTION("GOOGLETRANSLATE(A12032, ""en"", ""mt"")"),"inqas minn ħin kwadratiku")</f>
        <v>inqas minn ħin kwadratiku</v>
      </c>
    </row>
    <row r="12033" ht="15.75" customHeight="1">
      <c r="A12033" s="2" t="s">
        <v>12033</v>
      </c>
      <c r="B12033" s="2" t="str">
        <f>IFERROR(__xludf.DUMMYFUNCTION("GOOGLETRANSLATE(A12033, ""en"", ""mt"")"),"Kemm għandha diviżjonijiet ta 'riċerka akkademika l-Università ta' Chicago?")</f>
        <v>Kemm għandha diviżjonijiet ta 'riċerka akkademika l-Università ta' Chicago?</v>
      </c>
    </row>
    <row r="12034" ht="15.75" customHeight="1">
      <c r="A12034" s="2" t="s">
        <v>12034</v>
      </c>
      <c r="B12034" s="2" t="str">
        <f>IFERROR(__xludf.DUMMYFUNCTION("GOOGLETRANSLATE(A12034, ""en"", ""mt"")"),"Fejn jistgħu jmorru t-turisti meta jżuru Cambridge?")</f>
        <v>Fejn jistgħu jmorru t-turisti meta jżuru Cambridge?</v>
      </c>
    </row>
    <row r="12035" ht="15.75" customHeight="1">
      <c r="A12035" s="2" t="s">
        <v>12035</v>
      </c>
      <c r="B12035" s="2" t="str">
        <f>IFERROR(__xludf.DUMMYFUNCTION("GOOGLETRANSLATE(A12035, ""en"", ""mt"")"),"Bħal larva vera")</f>
        <v>Bħal larva vera</v>
      </c>
    </row>
    <row r="12036" ht="15.75" customHeight="1">
      <c r="A12036" s="2" t="s">
        <v>12036</v>
      </c>
      <c r="B12036" s="2" t="str">
        <f>IFERROR(__xludf.DUMMYFUNCTION("GOOGLETRANSLATE(A12036, ""en"", ""mt"")"),"X'inhu l-approċċ tal-kapaċitajiet li jħares lejn il-faqar bħala forma ta '?")</f>
        <v>X'inhu l-approċċ tal-kapaċitajiet li jħares lejn il-faqar bħala forma ta '?</v>
      </c>
    </row>
    <row r="12037" ht="15.75" customHeight="1">
      <c r="A12037" s="2" t="s">
        <v>12037</v>
      </c>
      <c r="B12037" s="2" t="str">
        <f>IFERROR(__xludf.DUMMYFUNCTION("GOOGLETRANSLATE(A12037, ""en"", ""mt"")"),"X'kienet il-projezzjoni ta 'żidiet fil-livell tal-baħar fir-rapport ta' valutazzjoni ta 'Forth?")</f>
        <v>X'kienet il-projezzjoni ta 'żidiet fil-livell tal-baħar fir-rapport ta' valutazzjoni ta 'Forth?</v>
      </c>
    </row>
    <row r="12038" ht="15.75" customHeight="1">
      <c r="A12038" s="2" t="s">
        <v>12038</v>
      </c>
      <c r="B12038" s="2" t="str">
        <f>IFERROR(__xludf.DUMMYFUNCTION("GOOGLETRANSLATE(A12038, ""en"", ""mt"")"),"Radjazzjoni ultravjola li tħalli impatt fuq molekuli li fihom l-ossiġnu bħal dijossidu tal-karbonju")</f>
        <v>Radjazzjoni ultravjola li tħalli impatt fuq molekuli li fihom l-ossiġnu bħal dijossidu tal-karbonju</v>
      </c>
    </row>
    <row r="12039" ht="15.75" customHeight="1">
      <c r="A12039" s="2" t="s">
        <v>12039</v>
      </c>
      <c r="B12039" s="2" t="str">
        <f>IFERROR(__xludf.DUMMYFUNCTION("GOOGLETRANSLATE(A12039, ""en"", ""mt"")"),"Shirley u Johnson")</f>
        <v>Shirley u Johnson</v>
      </c>
    </row>
    <row r="12040" ht="15.75" customHeight="1">
      <c r="A12040" s="2" t="s">
        <v>12040</v>
      </c>
      <c r="B12040" s="2" t="str">
        <f>IFERROR(__xludf.DUMMYFUNCTION("GOOGLETRANSLATE(A12040, ""en"", ""mt"")"),"Il-kawża kienet forma ta ’antrax")</f>
        <v>Il-kawża kienet forma ta ’antrax</v>
      </c>
    </row>
    <row r="12041" ht="15.75" customHeight="1">
      <c r="A12041" s="2" t="s">
        <v>12041</v>
      </c>
      <c r="B12041" s="2" t="str">
        <f>IFERROR(__xludf.DUMMYFUNCTION("GOOGLETRANSLATE(A12041, ""en"", ""mt"")"),"X'inhuma r-riżultati mistennija bil-ġestjoni tat-terapija tal-medikazzjoni?")</f>
        <v>X'inhuma r-riżultati mistennija bil-ġestjoni tat-terapija tal-medikazzjoni?</v>
      </c>
    </row>
    <row r="12042" ht="15.75" customHeight="1">
      <c r="A12042" s="2" t="s">
        <v>12042</v>
      </c>
      <c r="B12042" s="2" t="str">
        <f>IFERROR(__xludf.DUMMYFUNCTION("GOOGLETRANSLATE(A12042, ""en"", ""mt"")"),"Applikazzjonijiet tat-Trasport")</f>
        <v>Applikazzjonijiet tat-Trasport</v>
      </c>
    </row>
    <row r="12043" ht="15.75" customHeight="1">
      <c r="A12043" s="2" t="s">
        <v>12043</v>
      </c>
      <c r="B12043" s="2" t="str">
        <f>IFERROR(__xludf.DUMMYFUNCTION("GOOGLETRANSLATE(A12043, ""en"", ""mt"")"),"Għaliex wieħed irid jagħti aktar kastig?")</f>
        <v>Għaliex wieħed irid jagħti aktar kastig?</v>
      </c>
    </row>
    <row r="12044" ht="15.75" customHeight="1">
      <c r="A12044" s="2" t="s">
        <v>12044</v>
      </c>
      <c r="B12044" s="2" t="str">
        <f>IFERROR(__xludf.DUMMYFUNCTION("GOOGLETRANSLATE(A12044, ""en"", ""mt"")"),"Agħmel pjanijiet dettaljati u żżomm sorveljanza bir-reqqa matul il-proġett")</f>
        <v>Agħmel pjanijiet dettaljati u żżomm sorveljanza bir-reqqa matul il-proġett</v>
      </c>
    </row>
    <row r="12045" ht="15.75" customHeight="1">
      <c r="A12045" s="2" t="s">
        <v>12045</v>
      </c>
      <c r="B12045" s="2" t="str">
        <f>IFERROR(__xludf.DUMMYFUNCTION("GOOGLETRANSLATE(A12045, ""en"", ""mt"")"),"Liema bliet oħra tal-Ewropa tat-Tramuntana kellhom kongregazzjonijiet Huguenot?")</f>
        <v>Liema bliet oħra tal-Ewropa tat-Tramuntana kellhom kongregazzjonijiet Huguenot?</v>
      </c>
    </row>
    <row r="12046" ht="15.75" customHeight="1">
      <c r="A12046" s="2" t="s">
        <v>12046</v>
      </c>
      <c r="B12046" s="2" t="str">
        <f>IFERROR(__xludf.DUMMYFUNCTION("GOOGLETRANSLATE(A12046, ""en"", ""mt"")"),"Fil-Pleistocene bikri, liema direzzjoni ħarġet ir-Rhine?")</f>
        <v>Fil-Pleistocene bikri, liema direzzjoni ħarġet ir-Rhine?</v>
      </c>
    </row>
    <row r="12047" ht="15.75" customHeight="1">
      <c r="A12047" s="2" t="s">
        <v>12047</v>
      </c>
      <c r="B12047" s="2" t="str">
        <f>IFERROR(__xludf.DUMMYFUNCTION("GOOGLETRANSLATE(A12047, ""en"", ""mt"")"),"Ħsarat normali")</f>
        <v>Ħsarat normali</v>
      </c>
    </row>
    <row r="12048" ht="15.75" customHeight="1">
      <c r="A12048" s="2" t="s">
        <v>12048</v>
      </c>
      <c r="B12048" s="2" t="str">
        <f>IFERROR(__xludf.DUMMYFUNCTION("GOOGLETRANSLATE(A12048, ""en"", ""mt"")"),"Il-fluwidu tax-xogħol f'ċiklu ta 'Rankine jista' jopera bħala sistema ta 'linja magħluqa, fejn il-fluwidu tax-xogħol jiġi riċiklat kontinwament, jew jista' jkun sistema ""linja miftuħa"", fejn il-fwar tal-egżost jiġi rilaxxat direttament fl-atmosfera, u s"&amp;"ors separat ta 'ilma It-tmigħ tal-bojler huwa fornut. Normalment l-ilma huwa l-fluwidu tal-għażla minħabba l-proprjetajiet favorevoli tiegħu, bħal kimika mhux tossika u mhux reattiva, abbundanza, bi prezz baxx, u l-proprjetajiet termodinamiċi tagħha. Merk"&amp;"urju huwa l-fluwidu tax-xogħol fit-turbina tal-fwar tal-merkurju. Idrokarburi ta 'togħlija baxxa jistgħu jintużaw f'ċiklu binarju.")</f>
        <v>Il-fluwidu tax-xogħol f'ċiklu ta 'Rankine jista' jopera bħala sistema ta 'linja magħluqa, fejn il-fluwidu tax-xogħol jiġi riċiklat kontinwament, jew jista' jkun sistema "linja miftuħa", fejn il-fwar tal-egżost jiġi rilaxxat direttament fl-atmosfera, u sors separat ta 'ilma It-tmigħ tal-bojler huwa fornut. Normalment l-ilma huwa l-fluwidu tal-għażla minħabba l-proprjetajiet favorevoli tiegħu, bħal kimika mhux tossika u mhux reattiva, abbundanza, bi prezz baxx, u l-proprjetajiet termodinamiċi tagħha. Merkurju huwa l-fluwidu tax-xogħol fit-turbina tal-fwar tal-merkurju. Idrokarburi ta 'togħlija baxxa jistgħu jintużaw f'ċiklu binarju.</v>
      </c>
    </row>
    <row r="12049" ht="15.75" customHeight="1">
      <c r="A12049" s="2" t="s">
        <v>12049</v>
      </c>
      <c r="B12049" s="2" t="str">
        <f>IFERROR(__xludf.DUMMYFUNCTION("GOOGLETRANSLATE(A12049, ""en"", ""mt"")"),"Liema kontinent huma l-Gżejjer Kanarini barra mill-kosta ta '?")</f>
        <v>Liema kontinent huma l-Gżejjer Kanarini barra mill-kosta ta '?</v>
      </c>
    </row>
    <row r="12050" ht="15.75" customHeight="1">
      <c r="A12050" s="2" t="s">
        <v>12050</v>
      </c>
      <c r="B12050" s="2" t="str">
        <f>IFERROR(__xludf.DUMMYFUNCTION("GOOGLETRANSLATE(A12050, ""en"", ""mt"")"),"X'jikkawża li s-sistema immunitarja tittratta organiżmi barranin bħal tessuti normali?")</f>
        <v>X'jikkawża li s-sistema immunitarja tittratta organiżmi barranin bħal tessuti normali?</v>
      </c>
    </row>
    <row r="12051" ht="15.75" customHeight="1">
      <c r="A12051" s="2" t="s">
        <v>12051</v>
      </c>
      <c r="B12051" s="2" t="str">
        <f>IFERROR(__xludf.DUMMYFUNCTION("GOOGLETRANSLATE(A12051, ""en"", ""mt"")"),"Liema persentaġġ ta 'abjad huma Spanjoli jew Latino?")</f>
        <v>Liema persentaġġ ta 'abjad huma Spanjoli jew Latino?</v>
      </c>
    </row>
    <row r="12052" ht="15.75" customHeight="1">
      <c r="A12052" s="2" t="s">
        <v>12052</v>
      </c>
      <c r="B12052" s="2" t="str">
        <f>IFERROR(__xludf.DUMMYFUNCTION("GOOGLETRANSLATE(A12052, ""en"", ""mt"")"),"Abercynon")</f>
        <v>Abercynon</v>
      </c>
    </row>
    <row r="12053" ht="15.75" customHeight="1">
      <c r="A12053" s="2" t="s">
        <v>12053</v>
      </c>
      <c r="B12053" s="2" t="str">
        <f>IFERROR(__xludf.DUMMYFUNCTION("GOOGLETRANSLATE(A12053, ""en"", ""mt"")"),"Ma 'liema kienet waħda min-nazzjonalitajiet li l-Huguenots stabbilixxew kuntatti diplomatiċi?")</f>
        <v>Ma 'liema kienet waħda min-nazzjonalitajiet li l-Huguenots stabbilixxew kuntatti diplomatiċi?</v>
      </c>
    </row>
    <row r="12054" ht="15.75" customHeight="1">
      <c r="A12054" s="2" t="s">
        <v>12054</v>
      </c>
      <c r="B12054" s="2" t="str">
        <f>IFERROR(__xludf.DUMMYFUNCTION("GOOGLETRANSLATE(A12054, ""en"", ""mt"")"),"Metro tal-Kosta tan-Nofsinhar")</f>
        <v>Metro tal-Kosta tan-Nofsinhar</v>
      </c>
    </row>
    <row r="12055" ht="15.75" customHeight="1">
      <c r="A12055" s="2" t="s">
        <v>12055</v>
      </c>
      <c r="B12055" s="2" t="str">
        <f>IFERROR(__xludf.DUMMYFUNCTION("GOOGLETRANSLATE(A12055, ""en"", ""mt"")"),"Imperi kolonizzanti")</f>
        <v>Imperi kolonizzanti</v>
      </c>
    </row>
    <row r="12056" ht="15.75" customHeight="1">
      <c r="A12056" s="2" t="s">
        <v>12056</v>
      </c>
      <c r="B12056" s="2" t="str">
        <f>IFERROR(__xludf.DUMMYFUNCTION("GOOGLETRANSLATE(A12056, ""en"", ""mt"")"),"Meta l-Prim Ministru Wilson impenja ruħu għal xi forma ta 'leġiżlatura devoluta?")</f>
        <v>Meta l-Prim Ministru Wilson impenja ruħu għal xi forma ta 'leġiżlatura devoluta?</v>
      </c>
    </row>
    <row r="12057" ht="15.75" customHeight="1">
      <c r="A12057" s="2" t="s">
        <v>12057</v>
      </c>
      <c r="B12057" s="2" t="str">
        <f>IFERROR(__xludf.DUMMYFUNCTION("GOOGLETRANSLATE(A12057, ""en"", ""mt"")"),"L-għarbiel ta 'Euler ma jkunx validu kieku dak li kien veru?")</f>
        <v>L-għarbiel ta 'Euler ma jkunx validu kieku dak li kien veru?</v>
      </c>
    </row>
    <row r="12058" ht="15.75" customHeight="1">
      <c r="A12058" s="2" t="s">
        <v>12058</v>
      </c>
      <c r="B12058" s="2" t="str">
        <f>IFERROR(__xludf.DUMMYFUNCTION("GOOGLETRANSLATE(A12058, ""en"", ""mt"")"),"Tilwim dwar il-Kontroll tal-Konfluwenza tax-Xmajjar ta 'Allegheny u Monongahela, imsejħa l-Forks of the Ohio")</f>
        <v>Tilwim dwar il-Kontroll tal-Konfluwenza tax-Xmajjar ta 'Allegheny u Monongahela, imsejħa l-Forks of the Ohio</v>
      </c>
    </row>
    <row r="12059" ht="15.75" customHeight="1">
      <c r="A12059" s="2" t="s">
        <v>12059</v>
      </c>
      <c r="B12059" s="2" t="str">
        <f>IFERROR(__xludf.DUMMYFUNCTION("GOOGLETRANSLATE(A12059, ""en"", ""mt"")"),"Kemm huma mħallsa l-għalliema fi skejjel pubbliċi fl-Awstralja?")</f>
        <v>Kemm huma mħallsa l-għalliema fi skejjel pubbliċi fl-Awstralja?</v>
      </c>
    </row>
    <row r="12060" ht="15.75" customHeight="1">
      <c r="A12060" s="2" t="s">
        <v>12060</v>
      </c>
      <c r="B12060" s="2" t="str">
        <f>IFERROR(__xludf.DUMMYFUNCTION("GOOGLETRANSLATE(A12060, ""en"", ""mt"")"),"Il-fakultà attwali tinkludi l-antropologu Marshall Sahlins, l-istoriku Dipesh Chakrabarty, il-paleontologi Neil Shubin u Paul Sereno, il-bijologu evoluzzjonarju Jerry Coyne, il-fiżiċista rebbieħ tal-Premju Nobel Yoichiro Nambu, il-fiżiċista rebbieħa tal-P"&amp;"remju Nobel James Cronin, l-ekonomisti tal-prizing Nobel, l-ekonomisti rebbieħa tal-Nobel, Eugene Fama Hansen, Roger Myerson u Robert Lucas, Jr., awtur Freakonomics u l-ekonomista nnotat Steven Levitt, il-gvernatur attwali tal-bank ċentrali tal-Indja Ragh"&amp;"uram Rajan, l-74 Segretarju tal-Istati Uniti tat-Teżor u l-eks President Goldman Sachs u l-Kap Eżekuttiv Hank Paulson, ex-president tal-President Il-Kunsill tal-Konsulenti Ekonomiċi ta 'Barack Obama Austan Goolsbee, l-istudjuż Shakespeare David Bevington,"&amp;" u xjenzati politiċi magħrufa John Mearsheimer u Robert Pape.")</f>
        <v>Il-fakultà attwali tinkludi l-antropologu Marshall Sahlins, l-istoriku Dipesh Chakrabarty, il-paleontologi Neil Shubin u Paul Sereno, il-bijologu evoluzzjonarju Jerry Coyne, il-fiżiċista rebbieħ tal-Premju Nobel Yoichiro Nambu, il-fiżiċista rebbieħa tal-Premju Nobel James Cronin, l-ekonomisti tal-prizing Nobel, l-ekonomisti rebbieħa tal-Nobel, Eugene Fama Hansen, Roger Myerson u Robert Lucas, Jr., awtur Freakonomics u l-ekonomista nnotat Steven Levitt, il-gvernatur attwali tal-bank ċentrali tal-Indja Raghuram Rajan, l-74 Segretarju tal-Istati Uniti tat-Teżor u l-eks President Goldman Sachs u l-Kap Eżekuttiv Hank Paulson, ex-president tal-President Il-Kunsill tal-Konsulenti Ekonomiċi ta 'Barack Obama Austan Goolsbee, l-istudjuż Shakespeare David Bevington, u xjenzati politiċi magħrufa John Mearsheimer u Robert Pape.</v>
      </c>
    </row>
    <row r="12061" ht="15.75" customHeight="1">
      <c r="A12061" s="2" t="s">
        <v>12061</v>
      </c>
      <c r="B12061" s="2" t="str">
        <f>IFERROR(__xludf.DUMMYFUNCTION("GOOGLETRANSLATE(A12061, ""en"", ""mt"")"),"Kemm jikbru malajr il-popolazzjonijiet tal-plankton minħabba l-ermafrodiżmu u r-riproduzzjoni bikrija?")</f>
        <v>Kemm jikbru malajr il-popolazzjonijiet tal-plankton minħabba l-ermafrodiżmu u r-riproduzzjoni bikrija?</v>
      </c>
    </row>
    <row r="12062" ht="15.75" customHeight="1">
      <c r="A12062" s="2" t="s">
        <v>12062</v>
      </c>
      <c r="B12062" s="2" t="str">
        <f>IFERROR(__xludf.DUMMYFUNCTION("GOOGLETRANSLATE(A12062, ""en"", ""mt"")"),"Fir-rigward tat-taħrika li tibgħatli biex nirtira, ma naħsibx lili nnifsi obbligat li nobdiha.")</f>
        <v>Fir-rigward tat-taħrika li tibgħatli biex nirtira, ma naħsibx lili nnifsi obbligat li nobdiha.</v>
      </c>
    </row>
    <row r="12063" ht="15.75" customHeight="1">
      <c r="A12063" s="2" t="s">
        <v>12063</v>
      </c>
      <c r="B12063" s="2" t="str">
        <f>IFERROR(__xludf.DUMMYFUNCTION("GOOGLETRANSLATE(A12063, ""en"", ""mt"")"),"Għal liema tip ta 'trattament huma importanti l-ispiżjara?")</f>
        <v>Għal liema tip ta 'trattament huma importanti l-ispiżjara?</v>
      </c>
    </row>
    <row r="12064" ht="15.75" customHeight="1">
      <c r="A12064" s="2" t="s">
        <v>12064</v>
      </c>
      <c r="B12064" s="2" t="str">
        <f>IFERROR(__xludf.DUMMYFUNCTION("GOOGLETRANSLATE(A12064, ""en"", ""mt"")"),"Kemm jeżistu bordijiet ta 'eżami fl-Indja?")</f>
        <v>Kemm jeżistu bordijiet ta 'eżami fl-Indja?</v>
      </c>
    </row>
    <row r="12065" ht="15.75" customHeight="1">
      <c r="A12065" s="2" t="s">
        <v>12065</v>
      </c>
      <c r="B12065" s="2" t="str">
        <f>IFERROR(__xludf.DUMMYFUNCTION("GOOGLETRANSLATE(A12065, ""en"", ""mt"")"),"X'inhu jikkontrolla l-pagi fil-mod ta 'produzzjoni purament kapitalist?")</f>
        <v>X'inhu jikkontrolla l-pagi fil-mod ta 'produzzjoni purament kapitalist?</v>
      </c>
    </row>
    <row r="12066" ht="15.75" customHeight="1">
      <c r="A12066" s="2" t="s">
        <v>12066</v>
      </c>
      <c r="B12066" s="2" t="str">
        <f>IFERROR(__xludf.DUMMYFUNCTION("GOOGLETRANSLATE(A12066, ""en"", ""mt"")"),"Ipersensittività tat-Tip II")</f>
        <v>Ipersensittività tat-Tip II</v>
      </c>
    </row>
    <row r="12067" ht="15.75" customHeight="1">
      <c r="A12067" s="2" t="s">
        <v>12067</v>
      </c>
      <c r="B12067" s="2" t="str">
        <f>IFERROR(__xludf.DUMMYFUNCTION("GOOGLETRANSLATE(A12067, ""en"", ""mt"")"),"Fejn tinsab l-ewwel reazzjoni nukleari magħmula minnha nnifisha magħmula mill-bniedem?")</f>
        <v>Fejn tinsab l-ewwel reazzjoni nukleari magħmula minnha nnifisha magħmula mill-bniedem?</v>
      </c>
    </row>
    <row r="12068" ht="15.75" customHeight="1">
      <c r="A12068" s="2" t="s">
        <v>12068</v>
      </c>
      <c r="B12068" s="2" t="str">
        <f>IFERROR(__xludf.DUMMYFUNCTION("GOOGLETRANSLATE(A12068, ""en"", ""mt"")"),"Ma 'liema innovazzjoni teknoloġika u awtomazzjoni ssostitwiet impjiegi b'ħiliet baxxi?")</f>
        <v>Ma 'liema innovazzjoni teknoloġika u awtomazzjoni ssostitwiet impjiegi b'ħiliet baxxi?</v>
      </c>
    </row>
    <row r="12069" ht="15.75" customHeight="1">
      <c r="A12069" s="2" t="s">
        <v>12069</v>
      </c>
      <c r="B12069" s="2" t="str">
        <f>IFERROR(__xludf.DUMMYFUNCTION("GOOGLETRANSLATE(A12069, ""en"", ""mt"")"),"Liema reliġjonijiet Protestanti għamlu l-kontej tal-Ewropa tat-Tramuntana siguri għall-immigrazzjoni Huguenot?")</f>
        <v>Liema reliġjonijiet Protestanti għamlu l-kontej tal-Ewropa tat-Tramuntana siguri għall-immigrazzjoni Huguenot?</v>
      </c>
    </row>
    <row r="12070" ht="15.75" customHeight="1">
      <c r="A12070" s="2" t="s">
        <v>12070</v>
      </c>
      <c r="B12070" s="2" t="str">
        <f>IFERROR(__xludf.DUMMYFUNCTION("GOOGLETRANSLATE(A12070, ""en"", ""mt"")"),"Liema sena BSKYB u Virgin Media kellhom tilwima dwar il-ġarr ta 'stazzjonijiet tas-sema fuq it-TV bil-kejbil?")</f>
        <v>Liema sena BSKYB u Virgin Media kellhom tilwima dwar il-ġarr ta 'stazzjonijiet tas-sema fuq it-TV bil-kejbil?</v>
      </c>
    </row>
    <row r="12071" ht="15.75" customHeight="1">
      <c r="A12071" s="2" t="s">
        <v>12071</v>
      </c>
      <c r="B12071" s="2" t="str">
        <f>IFERROR(__xludf.DUMMYFUNCTION("GOOGLETRANSLATE(A12071, ""en"", ""mt"")"),"Proprjetarji ta 'negozji żgħar")</f>
        <v>Proprjetarji ta 'negozji żgħar</v>
      </c>
    </row>
    <row r="12072" ht="15.75" customHeight="1">
      <c r="A12072" s="2" t="s">
        <v>12072</v>
      </c>
      <c r="B12072" s="2" t="str">
        <f>IFERROR(__xludf.DUMMYFUNCTION("GOOGLETRANSLATE(A12072, ""en"", ""mt"")"),"X'kien l-isem mogħti lir-reġjuni li fihom għexu l-pro-skjavitù?")</f>
        <v>X'kien l-isem mogħti lir-reġjuni li fihom għexu l-pro-skjavitù?</v>
      </c>
    </row>
    <row r="12073" ht="15.75" customHeight="1">
      <c r="A12073" s="2" t="s">
        <v>12073</v>
      </c>
      <c r="B12073" s="2" t="str">
        <f>IFERROR(__xludf.DUMMYFUNCTION("GOOGLETRANSLATE(A12073, ""en"", ""mt"")"),"Flimkien ma 'gerijiet tal-valv tal-poppet, x'tip ta' gerijiet użaw dħul separat u valvi ta 'l-egżost biex jagħtu avvenimenti ideali?")</f>
        <v>Flimkien ma 'gerijiet tal-valv tal-poppet, x'tip ta' gerijiet użaw dħul separat u valvi ta 'l-egżost biex jagħtu avvenimenti ideali?</v>
      </c>
    </row>
    <row r="12074" ht="15.75" customHeight="1">
      <c r="A12074" s="2" t="s">
        <v>12074</v>
      </c>
      <c r="B12074" s="2" t="str">
        <f>IFERROR(__xludf.DUMMYFUNCTION("GOOGLETRANSLATE(A12074, ""en"", ""mt"")"),"Kastelli u Vinji")</f>
        <v>Kastelli u Vinji</v>
      </c>
    </row>
    <row r="12075" ht="15.75" customHeight="1">
      <c r="A12075" s="2" t="s">
        <v>12075</v>
      </c>
      <c r="B12075" s="2" t="str">
        <f>IFERROR(__xludf.DUMMYFUNCTION("GOOGLETRANSLATE(A12075, ""en"", ""mt"")"),"X'inhu t-terminu li jiddeskrivi dak li ġara fl-1979 meta l-prezzijiet taż-żejt tal-Istati Uniti kienu ogħla?")</f>
        <v>X'inhu t-terminu li jiddeskrivi dak li ġara fl-1979 meta l-prezzijiet taż-żejt tal-Istati Uniti kienu ogħla?</v>
      </c>
    </row>
    <row r="12076" ht="15.75" customHeight="1">
      <c r="A12076" s="2" t="s">
        <v>12076</v>
      </c>
      <c r="B12076" s="2" t="str">
        <f>IFERROR(__xludf.DUMMYFUNCTION("GOOGLETRANSLATE(A12076, ""en"", ""mt"")"),"Liema Article ma jiddikjarax li d-drittijiet tal-istati membri biex iwasslu servizzi pubbliċi jistgħu ma jiġux imxekkla?")</f>
        <v>Liema Article ma jiddikjarax li d-drittijiet tal-istati membri biex iwasslu servizzi pubbliċi jistgħu ma jiġux imxekkla?</v>
      </c>
    </row>
    <row r="12077" ht="15.75" customHeight="1">
      <c r="A12077" s="2" t="s">
        <v>12077</v>
      </c>
      <c r="B12077" s="2" t="str">
        <f>IFERROR(__xludf.DUMMYFUNCTION("GOOGLETRANSLATE(A12077, ""en"", ""mt"")"),"free-to-air")</f>
        <v>free-to-air</v>
      </c>
    </row>
    <row r="12078" ht="15.75" customHeight="1">
      <c r="A12078" s="2" t="s">
        <v>12078</v>
      </c>
      <c r="B12078" s="2" t="str">
        <f>IFERROR(__xludf.DUMMYFUNCTION("GOOGLETRANSLATE(A12078, ""en"", ""mt"")"),"Kemm flussi ewlenin huma ramifikati mill-Nederrijn?")</f>
        <v>Kemm flussi ewlenin huma ramifikati mill-Nederrijn?</v>
      </c>
    </row>
    <row r="12079" ht="15.75" customHeight="1">
      <c r="A12079" s="2" t="s">
        <v>12079</v>
      </c>
      <c r="B12079" s="2" t="str">
        <f>IFERROR(__xludf.DUMMYFUNCTION("GOOGLETRANSLATE(A12079, ""en"", ""mt"")"),"−11.7 ° C.")</f>
        <v>−11.7 ° C.</v>
      </c>
    </row>
    <row r="12080" ht="15.75" customHeight="1">
      <c r="A12080" s="2" t="s">
        <v>12080</v>
      </c>
      <c r="B12080" s="2" t="str">
        <f>IFERROR(__xludf.DUMMYFUNCTION("GOOGLETRANSLATE(A12080, ""en"", ""mt"")"),"Liema tim ġie sospiż mill-MLS?")</f>
        <v>Liema tim ġie sospiż mill-MLS?</v>
      </c>
    </row>
    <row r="12081" ht="15.75" customHeight="1">
      <c r="A12081" s="2" t="s">
        <v>12081</v>
      </c>
      <c r="B12081" s="2" t="str">
        <f>IFERROR(__xludf.DUMMYFUNCTION("GOOGLETRANSLATE(A12081, ""en"", ""mt"")"),"Il-cuticle tax-xama '")</f>
        <v>Il-cuticle tax-xama '</v>
      </c>
    </row>
    <row r="12082" ht="15.75" customHeight="1">
      <c r="A12082" s="2" t="s">
        <v>12082</v>
      </c>
      <c r="B12082" s="2" t="str">
        <f>IFERROR(__xludf.DUMMYFUNCTION("GOOGLETRANSLATE(A12082, ""en"", ""mt"")"),"F’liema era kienet il-Gwerra Williamite fl-Irlanda?")</f>
        <v>F’liema era kienet il-Gwerra Williamite fl-Irlanda?</v>
      </c>
    </row>
    <row r="12083" ht="15.75" customHeight="1">
      <c r="A12083" s="2" t="s">
        <v>12083</v>
      </c>
      <c r="B12083" s="2" t="str">
        <f>IFERROR(__xludf.DUMMYFUNCTION("GOOGLETRANSLATE(A12083, ""en"", ""mt"")"),"X'inhi l-kelma Żvediża għall-vawċer tal-iskola?")</f>
        <v>X'inhi l-kelma Żvediża għall-vawċer tal-iskola?</v>
      </c>
    </row>
    <row r="12084" ht="15.75" customHeight="1">
      <c r="A12084" s="2" t="s">
        <v>12084</v>
      </c>
      <c r="B12084" s="2" t="str">
        <f>IFERROR(__xludf.DUMMYFUNCTION("GOOGLETRANSLATE(A12084, ""en"", ""mt"")"),"Civil_disobedjenza")</f>
        <v>Civil_disobedjenza</v>
      </c>
    </row>
    <row r="12085" ht="15.75" customHeight="1">
      <c r="A12085" s="2" t="s">
        <v>12085</v>
      </c>
      <c r="B12085" s="2" t="str">
        <f>IFERROR(__xludf.DUMMYFUNCTION("GOOGLETRANSLATE(A12085, ""en"", ""mt"")"),"Fl-1 ta 'Lulju 1851, inħarġu kitbiet għall-elezzjoni tal-ewwel Kunsill Leġiżlattiv Vittorjan, u l-indipendenza assoluta tar-Rabat minn New South Wales twaqqfet ix-xandir ta' kolonja ġdida tar-Rabat. Jiem wara, għadu fl-1851 id-deheb ġie skopert qrib Balla"&amp;"rat, u sussegwentement f'Bendigo. Aktar tard skoperti f’ħafna siti madwar ir-Rabat. Dan qajjem waħda mill-ikbar għaġġla tad-deheb li qatt rat id-dinja. Il-kolonja kibret malajr kemm fil-popolazzjoni kif ukoll fil-poter ekonomiku. Fl-għaxar snin il-popolaz"&amp;"zjoni ta ’Victoria żdiedet b’seba’ darbiet minn 76,000 għal 540,000. Kull xorta ta 'rekords tad-deheb ġew prodotti inkluż l- ""aktar sinjur ta' goldfield alluvjali baxx fid-dinja"" u l-akbar nugget tad-deheb. Victoria pproduċiet fid-deċennju 1851-1860 20 "&amp;"miljun uqija ta 'deheb, terz tal-produzzjoni tad-dinja [ċitazzjoni meħtieġa].")</f>
        <v>Fl-1 ta 'Lulju 1851, inħarġu kitbiet għall-elezzjoni tal-ewwel Kunsill Leġiżlattiv Vittorjan, u l-indipendenza assoluta tar-Rabat minn New South Wales twaqqfet ix-xandir ta' kolonja ġdida tar-Rabat. Jiem wara, għadu fl-1851 id-deheb ġie skopert qrib Ballarat, u sussegwentement f'Bendigo. Aktar tard skoperti f’ħafna siti madwar ir-Rabat. Dan qajjem waħda mill-ikbar għaġġla tad-deheb li qatt rat id-dinja. Il-kolonja kibret malajr kemm fil-popolazzjoni kif ukoll fil-poter ekonomiku. Fl-għaxar snin il-popolazzjoni ta ’Victoria żdiedet b’seba’ darbiet minn 76,000 għal 540,000. Kull xorta ta 'rekords tad-deheb ġew prodotti inkluż l- "aktar sinjur ta' goldfield alluvjali baxx fid-dinja" u l-akbar nugget tad-deheb. Victoria pproduċiet fid-deċennju 1851-1860 20 miljun uqija ta 'deheb, terz tal-produzzjoni tad-dinja [ċitazzjoni meħtieġa].</v>
      </c>
    </row>
    <row r="12086" ht="15.75" customHeight="1">
      <c r="A12086" s="2" t="s">
        <v>12086</v>
      </c>
      <c r="B12086" s="2" t="str">
        <f>IFERROR(__xludf.DUMMYFUNCTION("GOOGLETRANSLATE(A12086, ""en"", ""mt"")"),"HT kif tistinka biex tiġbor il-poter?")</f>
        <v>HT kif tistinka biex tiġbor il-poter?</v>
      </c>
    </row>
    <row r="12087" ht="15.75" customHeight="1">
      <c r="A12087" s="2" t="s">
        <v>12087</v>
      </c>
      <c r="B12087" s="2" t="str">
        <f>IFERROR(__xludf.DUMMYFUNCTION("GOOGLETRANSLATE(A12087, ""en"", ""mt"")"),"Soluzzjonijiet tal-Laħam Cargill u Foster Farms")</f>
        <v>Soluzzjonijiet tal-Laħam Cargill u Foster Farms</v>
      </c>
    </row>
    <row r="12088" ht="15.75" customHeight="1">
      <c r="A12088" s="2" t="s">
        <v>12088</v>
      </c>
      <c r="B12088" s="2" t="str">
        <f>IFERROR(__xludf.DUMMYFUNCTION("GOOGLETRANSLATE(A12088, ""en"", ""mt"")"),"X’jilimitaw it-trattati ġeneralment?")</f>
        <v>X’jilimitaw it-trattati ġeneralment?</v>
      </c>
    </row>
    <row r="12089" ht="15.75" customHeight="1">
      <c r="A12089" s="2" t="s">
        <v>12089</v>
      </c>
      <c r="B12089" s="2" t="str">
        <f>IFERROR(__xludf.DUMMYFUNCTION("GOOGLETRANSLATE(A12089, ""en"", ""mt"")"),"flus minn sistemi bankarji Iżlamisti barranin")</f>
        <v>flus minn sistemi bankarji Iżlamisti barranin</v>
      </c>
    </row>
    <row r="12090" ht="15.75" customHeight="1">
      <c r="A12090" s="2" t="s">
        <v>12090</v>
      </c>
      <c r="B12090" s="2" t="str">
        <f>IFERROR(__xludf.DUMMYFUNCTION("GOOGLETRANSLATE(A12090, ""en"", ""mt"")"),"Meta Victoria approvat referendum?")</f>
        <v>Meta Victoria approvat referendum?</v>
      </c>
    </row>
    <row r="12091" ht="15.75" customHeight="1">
      <c r="A12091" s="2" t="s">
        <v>12091</v>
      </c>
      <c r="B12091" s="2" t="str">
        <f>IFERROR(__xludf.DUMMYFUNCTION("GOOGLETRANSLATE(A12091, ""en"", ""mt"")"),"Min kien l-iżviluppatur tal-batterija Hamming?")</f>
        <v>Min kien l-iżviluppatur tal-batterija Hamming?</v>
      </c>
    </row>
    <row r="12092" ht="15.75" customHeight="1">
      <c r="A12092" s="2" t="s">
        <v>12092</v>
      </c>
      <c r="B12092" s="2" t="str">
        <f>IFERROR(__xludf.DUMMYFUNCTION("GOOGLETRANSLATE(A12092, ""en"", ""mt"")"),"X'inhu d-distakk fl-inugwaljanza tad-dħul bejn is-sessi fil-Botswana?")</f>
        <v>X'inhu d-distakk fl-inugwaljanza tad-dħul bejn is-sessi fil-Botswana?</v>
      </c>
    </row>
    <row r="12093" ht="15.75" customHeight="1">
      <c r="A12093" s="2" t="s">
        <v>12093</v>
      </c>
      <c r="B12093" s="2" t="str">
        <f>IFERROR(__xludf.DUMMYFUNCTION("GOOGLETRANSLATE(A12093, ""en"", ""mt"")"),"X'kienet l-eroj tan-nazzjonalità ta 'Ayanz?")</f>
        <v>X'kienet l-eroj tan-nazzjonalità ta 'Ayanz?</v>
      </c>
    </row>
    <row r="12094" ht="15.75" customHeight="1">
      <c r="A12094" s="2" t="s">
        <v>12094</v>
      </c>
      <c r="B12094" s="2" t="str">
        <f>IFERROR(__xludf.DUMMYFUNCTION("GOOGLETRANSLATE(A12094, ""en"", ""mt"")"),"funzjoni tad-daqs tal-istanza")</f>
        <v>funzjoni tad-daqs tal-istanza</v>
      </c>
    </row>
    <row r="12095" ht="15.75" customHeight="1">
      <c r="A12095" s="2" t="s">
        <v>12095</v>
      </c>
      <c r="B12095" s="2" t="str">
        <f>IFERROR(__xludf.DUMMYFUNCTION("GOOGLETRANSLATE(A12095, ""en"", ""mt"")"),"ħtieġa aktar milli opportunità")</f>
        <v>ħtieġa aktar milli opportunità</v>
      </c>
    </row>
    <row r="12096" ht="15.75" customHeight="1">
      <c r="A12096" s="2" t="s">
        <v>12096</v>
      </c>
      <c r="B12096" s="2" t="str">
        <f>IFERROR(__xludf.DUMMYFUNCTION("GOOGLETRANSLATE(A12096, ""en"", ""mt"")"),"tarka protettiva tar-radjazzjoni")</f>
        <v>tarka protettiva tar-radjazzjoni</v>
      </c>
    </row>
    <row r="12097" ht="15.75" customHeight="1">
      <c r="A12097" s="2" t="s">
        <v>12097</v>
      </c>
      <c r="B12097" s="2" t="str">
        <f>IFERROR(__xludf.DUMMYFUNCTION("GOOGLETRANSLATE(A12097, ""en"", ""mt"")"),"Min hu l-awtur tal-ktieb, ""Għarfien u Deċiżjonijiet""?")</f>
        <v>Min hu l-awtur tal-ktieb, "Għarfien u Deċiżjonijiet"?</v>
      </c>
    </row>
    <row r="12098" ht="15.75" customHeight="1">
      <c r="A12098" s="2" t="s">
        <v>12098</v>
      </c>
      <c r="B12098" s="2" t="str">
        <f>IFERROR(__xludf.DUMMYFUNCTION("GOOGLETRANSLATE(A12098, ""en"", ""mt"")"),"fotoni")</f>
        <v>fotoni</v>
      </c>
    </row>
    <row r="12099" ht="15.75" customHeight="1">
      <c r="A12099" s="2" t="s">
        <v>12099</v>
      </c>
      <c r="B12099" s="2" t="str">
        <f>IFERROR(__xludf.DUMMYFUNCTION("GOOGLETRANSLATE(A12099, ""en"", ""mt"")"),"swieq")</f>
        <v>swieq</v>
      </c>
    </row>
    <row r="12100" ht="15.75" customHeight="1">
      <c r="A12100" s="2" t="s">
        <v>12100</v>
      </c>
      <c r="B12100" s="2" t="str">
        <f>IFERROR(__xludf.DUMMYFUNCTION("GOOGLETRANSLATE(A12100, ""en"", ""mt"")"),"X'inhu bla importanza fis-SAR?")</f>
        <v>X'inhu bla importanza fis-SAR?</v>
      </c>
    </row>
    <row r="12101" ht="15.75" customHeight="1">
      <c r="A12101" s="2" t="s">
        <v>12101</v>
      </c>
      <c r="B12101" s="2" t="str">
        <f>IFERROR(__xludf.DUMMYFUNCTION("GOOGLETRANSLATE(A12101, ""en"", ""mt"")"),"Fejn ilhom l-ossiġnu mill-1990?")</f>
        <v>Fejn ilhom l-ossiġnu mill-1990?</v>
      </c>
    </row>
    <row r="12102" ht="15.75" customHeight="1">
      <c r="A12102" s="2" t="s">
        <v>12102</v>
      </c>
      <c r="B12102" s="2" t="str">
        <f>IFERROR(__xludf.DUMMYFUNCTION("GOOGLETRANSLATE(A12102, ""en"", ""mt"")"),"Pleurobrachia")</f>
        <v>Pleurobrachia</v>
      </c>
    </row>
    <row r="12103" ht="15.75" customHeight="1">
      <c r="A12103" s="2" t="s">
        <v>12103</v>
      </c>
      <c r="B12103" s="2" t="str">
        <f>IFERROR(__xludf.DUMMYFUNCTION("GOOGLETRANSLATE(A12103, ""en"", ""mt"")"),"X'jistgħu jitolbu lill-gruppi ta 'fidi li jagħmlu l-uffiċjal li jagħmel għalihom?")</f>
        <v>X'jistgħu jitolbu lill-gruppi ta 'fidi li jagħmlu l-uffiċjal li jagħmel għalihom?</v>
      </c>
    </row>
    <row r="12104" ht="15.75" customHeight="1">
      <c r="A12104" s="2" t="s">
        <v>12104</v>
      </c>
      <c r="B12104" s="2" t="str">
        <f>IFERROR(__xludf.DUMMYFUNCTION("GOOGLETRANSLATE(A12104, ""en"", ""mt"")"),"X'inhuma d-differenzjali tad-dħul jekk il-kontribuzzjonijiet individwali kienu rilevanti għall-prodott soċjali?")</f>
        <v>X'inhuma d-differenzjali tad-dħul jekk il-kontribuzzjonijiet individwali kienu rilevanti għall-prodott soċjali?</v>
      </c>
    </row>
    <row r="12105" ht="15.75" customHeight="1">
      <c r="A12105" s="2" t="s">
        <v>12105</v>
      </c>
      <c r="B12105" s="2" t="str">
        <f>IFERROR(__xludf.DUMMYFUNCTION("GOOGLETRANSLATE(A12105, ""en"", ""mt"")"),"Minbarra l-iskejjel tal-matematika u l-postgraduate tagħha, x'iktar tmexxi l-università?")</f>
        <v>Minbarra l-iskejjel tal-matematika u l-postgraduate tagħha, x'iktar tmexxi l-università?</v>
      </c>
    </row>
    <row r="12106" ht="15.75" customHeight="1">
      <c r="A12106" s="2" t="s">
        <v>12106</v>
      </c>
      <c r="B12106" s="2" t="str">
        <f>IFERROR(__xludf.DUMMYFUNCTION("GOOGLETRANSLATE(A12106, ""en"", ""mt"")"),"Kemm vittmi ma kisbux l-Ingliżi?")</f>
        <v>Kemm vittmi ma kisbux l-Ingliżi?</v>
      </c>
    </row>
    <row r="12107" ht="15.75" customHeight="1">
      <c r="A12107" s="2" t="s">
        <v>12107</v>
      </c>
      <c r="B12107" s="2" t="str">
        <f>IFERROR(__xludf.DUMMYFUNCTION("GOOGLETRANSLATE(A12107, ""en"", ""mt"")"),"Il-probabbiltà tal-kumplessità tal-każijiet tipprovdi probabbiltajiet varjabbli ta 'liema miżura ġenerali?")</f>
        <v>Il-probabbiltà tal-kumplessità tal-każijiet tipprovdi probabbiltajiet varjabbli ta 'liema miżura ġenerali?</v>
      </c>
    </row>
    <row r="12108" ht="15.75" customHeight="1">
      <c r="A12108" s="2" t="s">
        <v>12108</v>
      </c>
      <c r="B12108" s="2" t="str">
        <f>IFERROR(__xludf.DUMMYFUNCTION("GOOGLETRANSLATE(A12108, ""en"", ""mt"")"),"Min identifika l-gravità bħala forza?")</f>
        <v>Min identifika l-gravità bħala forza?</v>
      </c>
    </row>
    <row r="12109" ht="15.75" customHeight="1">
      <c r="A12109" s="2" t="s">
        <v>12109</v>
      </c>
      <c r="B12109" s="2" t="str">
        <f>IFERROR(__xludf.DUMMYFUNCTION("GOOGLETRANSLATE(A12109, ""en"", ""mt"")"),"Min bena fuq ix-xogħol ta 'Philo ta' Pneumatica?")</f>
        <v>Min bena fuq ix-xogħol ta 'Philo ta' Pneumatica?</v>
      </c>
    </row>
    <row r="12110" ht="15.75" customHeight="1">
      <c r="A12110" s="2" t="s">
        <v>12110</v>
      </c>
      <c r="B12110" s="2" t="str">
        <f>IFERROR(__xludf.DUMMYFUNCTION("GOOGLETRANSLATE(A12110, ""en"", ""mt"")"),"xabla")</f>
        <v>xabla</v>
      </c>
    </row>
    <row r="12111" ht="15.75" customHeight="1">
      <c r="A12111" s="2" t="s">
        <v>12111</v>
      </c>
      <c r="B12111" s="2" t="str">
        <f>IFERROR(__xludf.DUMMYFUNCTION("GOOGLETRANSLATE(A12111, ""en"", ""mt"")"),"Min kienu s-Samuron?")</f>
        <v>Min kienu s-Samuron?</v>
      </c>
    </row>
    <row r="12112" ht="15.75" customHeight="1">
      <c r="A12112" s="2" t="s">
        <v>12112</v>
      </c>
      <c r="B12112" s="2" t="str">
        <f>IFERROR(__xludf.DUMMYFUNCTION("GOOGLETRANSLATE(A12112, ""en"", ""mt"")"),"Ergäzungsschulen huma skejjel sekondarji jew post-sekondarji (mhux terzjarji), li huma mmexxija minn individwi privati, organizzazzjonijiet privati ​​jew rarament, gruppi reliġjużi u joffru tip ta 'edukazzjoni li mhix disponibbli fl-iskejjel pubbliċi. Ħaf"&amp;"na minn dawn l-iskejjel huma skejjel vokazzjonali. Madankollu, dawn l-iskejjel vokazzjonali mhumiex parti mis-sistema ta 'edukazzjoni doppja Ġermaniża. Ergäzungsschulen għandhom il-libertà li joperaw barra mir-regolamentazzjoni tal-gvern u huma ffinanzjat"&amp;"i kollha billi ċċarġjaw l-istudenti tagħhom dwar it-tariffi tat-tagħlim.")</f>
        <v>Ergäzungsschulen huma skejjel sekondarji jew post-sekondarji (mhux terzjarji), li huma mmexxija minn individwi privati, organizzazzjonijiet privati ​​jew rarament, gruppi reliġjużi u joffru tip ta 'edukazzjoni li mhix disponibbli fl-iskejjel pubbliċi. Ħafna minn dawn l-iskejjel huma skejjel vokazzjonali. Madankollu, dawn l-iskejjel vokazzjonali mhumiex parti mis-sistema ta 'edukazzjoni doppja Ġermaniża. Ergäzungsschulen għandhom il-libertà li joperaw barra mir-regolamentazzjoni tal-gvern u huma ffinanzjati kollha billi ċċarġjaw l-istudenti tagħhom dwar it-tariffi tat-tagħlim.</v>
      </c>
    </row>
    <row r="12113" ht="15.75" customHeight="1">
      <c r="A12113" s="2" t="s">
        <v>12113</v>
      </c>
      <c r="B12113" s="2" t="str">
        <f>IFERROR(__xludf.DUMMYFUNCTION("GOOGLETRANSLATE(A12113, ""en"", ""mt"")"),"Minbarra 1,3, u 7, liema numru ieħor għandu l-diviżuri distinti kollha akbar minn 5 jispiċċaw?")</f>
        <v>Minbarra 1,3, u 7, liema numru ieħor għandu l-diviżuri distinti kollha akbar minn 5 jispiċċaw?</v>
      </c>
    </row>
    <row r="12114" ht="15.75" customHeight="1">
      <c r="A12114" s="2" t="s">
        <v>12114</v>
      </c>
      <c r="B12114" s="2" t="str">
        <f>IFERROR(__xludf.DUMMYFUNCTION("GOOGLETRANSLATE(A12114, ""en"", ""mt"")"),"X'kienet il-karta patoġeni PLOS?")</f>
        <v>X'kienet il-karta patoġeni PLOS?</v>
      </c>
    </row>
    <row r="12115" ht="15.75" customHeight="1">
      <c r="A12115" s="2" t="s">
        <v>12115</v>
      </c>
      <c r="B12115" s="2" t="str">
        <f>IFERROR(__xludf.DUMMYFUNCTION("GOOGLETRANSLATE(A12115, ""en"", ""mt"")"),"Ħin tal-Miocene")</f>
        <v>Ħin tal-Miocene</v>
      </c>
    </row>
    <row r="12116" ht="15.75" customHeight="1">
      <c r="A12116" s="2" t="s">
        <v>12116</v>
      </c>
      <c r="B12116" s="2" t="str">
        <f>IFERROR(__xludf.DUMMYFUNCTION("GOOGLETRANSLATE(A12116, ""en"", ""mt"")"),"Liema komponent ta 'l-ilma huwa aktar solubbli minn nitroġenu?")</f>
        <v>Liema komponent ta 'l-ilma huwa aktar solubbli minn nitroġenu?</v>
      </c>
    </row>
    <row r="12117" ht="15.75" customHeight="1">
      <c r="A12117" s="2" t="s">
        <v>12117</v>
      </c>
      <c r="B12117" s="2" t="str">
        <f>IFERROR(__xludf.DUMMYFUNCTION("GOOGLETRANSLATE(A12117, ""en"", ""mt"")"),"Kemm provinċji kien fih l-Imperu Ottoman fis-seklu 17?")</f>
        <v>Kemm provinċji kien fih l-Imperu Ottoman fis-seklu 17?</v>
      </c>
    </row>
    <row r="12118" ht="15.75" customHeight="1">
      <c r="A12118" s="2" t="s">
        <v>12118</v>
      </c>
      <c r="B12118" s="2" t="str">
        <f>IFERROR(__xludf.DUMMYFUNCTION("GOOGLETRANSLATE(A12118, ""en"", ""mt"")"),"Għaqda politika")</f>
        <v>Għaqda politika</v>
      </c>
    </row>
    <row r="12119" ht="15.75" customHeight="1">
      <c r="A12119" s="2" t="s">
        <v>12119</v>
      </c>
      <c r="B12119" s="2" t="str">
        <f>IFERROR(__xludf.DUMMYFUNCTION("GOOGLETRANSLATE(A12119, ""en"", ""mt"")"),"Gotiku Masovjan")</f>
        <v>Gotiku Masovjan</v>
      </c>
    </row>
    <row r="12120" ht="15.75" customHeight="1">
      <c r="A12120" s="2" t="s">
        <v>12120</v>
      </c>
      <c r="B12120" s="2" t="str">
        <f>IFERROR(__xludf.DUMMYFUNCTION("GOOGLETRANSLATE(A12120, ""en"", ""mt"")"),"F'liema direzzjoni l-ilma fuq in-naħa tal-Lvant ħareġ?")</f>
        <v>F'liema direzzjoni l-ilma fuq in-naħa tal-Lvant ħareġ?</v>
      </c>
    </row>
    <row r="12121" ht="15.75" customHeight="1">
      <c r="A12121" s="2" t="s">
        <v>12121</v>
      </c>
      <c r="B12121" s="2" t="str">
        <f>IFERROR(__xludf.DUMMYFUNCTION("GOOGLETRANSLATE(A12121, ""en"", ""mt"")"),"Liema postijiet għandhom kwartjieri ġenerali fl-Università ta 'California f'Irvine?")</f>
        <v>Liema postijiet għandhom kwartjieri ġenerali fl-Università ta 'California f'Irvine?</v>
      </c>
    </row>
    <row r="12122" ht="15.75" customHeight="1">
      <c r="A12122" s="2" t="s">
        <v>12122</v>
      </c>
      <c r="B12122" s="2" t="str">
        <f>IFERROR(__xludf.DUMMYFUNCTION("GOOGLETRANSLATE(A12122, ""en"", ""mt"")"),"Meta ċellula T tiltaqa 'ma' patoġen barrani, dan jestendi riċettur ta 'vitamina D. Dan huwa essenzjalment apparat ta 'sinjalazzjoni li jippermetti li ċ-ċellola T torbot mal-forma attiva ta' vitamina D, l-ormon sterojdi calcitriol. Iċ-ċelloli T għandhom re"&amp;"lazzjoni simbjotika mal-vitamina D. Mhux biss iċ-ċellola T testendi riċettur ta 'vitamina D, essenzjalment titlob li torbot mal-verżjoni tal-ormon sterojdi tal-vitamina D, calcitriol, iżda ċ-ċellola T tesprimi l-ġene CYP27B1, li huwa l-ġene responsabbli g"&amp;"ħall-konverżjoni tal-verżjoni ta 'qabel l-ormon ta' vitamina D, calcidiol fil-verżjoni tal-ormon sterojdi, Calcitriol. Biss wara li jorbot ma 'calcitriol CAN-ċelloli T iwettqu l-funzjoni maħsuba tagħhom. Ċelloli oħra tas-sistema immuni li huma magħrufa li"&amp;" jesprimu CYP27B1 u b'hekk jattivaw il-vitamina D calcidiol, huma ċelloli dendritiċi, keratinocytes u makrofaġi.")</f>
        <v>Meta ċellula T tiltaqa 'ma' patoġen barrani, dan jestendi riċettur ta 'vitamina D. Dan huwa essenzjalment apparat ta 'sinjalazzjoni li jippermetti li ċ-ċellola T torbot mal-forma attiva ta' vitamina D, l-ormon sterojdi calcitriol. Iċ-ċelloli T għandhom relazzjoni simbjotika mal-vitamina D. Mhux biss iċ-ċellola T testendi riċettur ta 'vitamina D, essenzjalment titlob li torbot mal-verżjoni tal-ormon sterojdi tal-vitamina D, calcitriol, iżda ċ-ċellola T tesprimi l-ġene CYP27B1, li huwa l-ġene responsabbli għall-konverżjoni tal-verżjoni ta 'qabel l-ormon ta' vitamina D, calcidiol fil-verżjoni tal-ormon sterojdi, Calcitriol. Biss wara li jorbot ma 'calcitriol CAN-ċelloli T iwettqu l-funzjoni maħsuba tagħhom. Ċelloli oħra tas-sistema immuni li huma magħrufa li jesprimu CYP27B1 u b'hekk jattivaw il-vitamina D calcidiol, huma ċelloli dendritiċi, keratinocytes u makrofaġi.</v>
      </c>
    </row>
    <row r="12123" ht="15.75" customHeight="1">
      <c r="A12123" s="2" t="s">
        <v>12123</v>
      </c>
      <c r="B12123" s="2" t="str">
        <f>IFERROR(__xludf.DUMMYFUNCTION("GOOGLETRANSLATE(A12123, ""en"", ""mt"")"),"Liema perċentwali OPEC żied il-prezz taż-żejt?")</f>
        <v>Liema perċentwali OPEC żied il-prezz taż-żejt?</v>
      </c>
    </row>
    <row r="12124" ht="15.75" customHeight="1">
      <c r="A12124" s="2" t="s">
        <v>12124</v>
      </c>
      <c r="B12124" s="2" t="str">
        <f>IFERROR(__xludf.DUMMYFUNCTION("GOOGLETRANSLATE(A12124, ""en"", ""mt"")"),"Meta r-Repubblikani Franċiżi reġgħu bnew l-imperu Franċiż?")</f>
        <v>Meta r-Repubblikani Franċiżi reġgħu bnew l-imperu Franċiż?</v>
      </c>
    </row>
    <row r="12125" ht="15.75" customHeight="1">
      <c r="A12125" s="2" t="s">
        <v>12125</v>
      </c>
      <c r="B12125" s="2" t="str">
        <f>IFERROR(__xludf.DUMMYFUNCTION("GOOGLETRANSLATE(A12125, ""en"", ""mt"")"),"2001")</f>
        <v>2001</v>
      </c>
    </row>
    <row r="12126" ht="15.75" customHeight="1">
      <c r="A12126" s="2" t="s">
        <v>12126</v>
      </c>
      <c r="B12126" s="2" t="str">
        <f>IFERROR(__xludf.DUMMYFUNCTION("GOOGLETRANSLATE(A12126, ""en"", ""mt"")"),"mill-Aħżen u l-Qlib tal-Quddiem")</f>
        <v>mill-Aħżen u l-Qlib tal-Quddiem</v>
      </c>
    </row>
    <row r="12127" ht="15.75" customHeight="1">
      <c r="A12127" s="2" t="s">
        <v>12127</v>
      </c>
      <c r="B12127" s="2" t="str">
        <f>IFERROR(__xludf.DUMMYFUNCTION("GOOGLETRANSLATE(A12127, ""en"", ""mt"")"),"Fejn hu l-prinċipju ta 'proporzjonalità mhux rikonoxxut fit-trattat tal-KE?")</f>
        <v>Fejn hu l-prinċipju ta 'proporzjonalità mhux rikonoxxut fit-trattat tal-KE?</v>
      </c>
    </row>
    <row r="12128" ht="15.75" customHeight="1">
      <c r="A12128" s="2" t="s">
        <v>12128</v>
      </c>
      <c r="B12128" s="2" t="str">
        <f>IFERROR(__xludf.DUMMYFUNCTION("GOOGLETRANSLATE(A12128, ""en"", ""mt"")"),"Sybilla")</f>
        <v>Sybilla</v>
      </c>
    </row>
    <row r="12129" ht="15.75" customHeight="1">
      <c r="A12129" s="2" t="s">
        <v>12129</v>
      </c>
      <c r="B12129" s="2" t="str">
        <f>IFERROR(__xludf.DUMMYFUNCTION("GOOGLETRANSLATE(A12129, ""en"", ""mt"")"),"F'liema daqs u akbar il-mediċini jistgħu jġibu rispons immuni li jinnewtralizza?")</f>
        <v>F'liema daqs u akbar il-mediċini jistgħu jġibu rispons immuni li jinnewtralizza?</v>
      </c>
    </row>
    <row r="12130" ht="15.75" customHeight="1">
      <c r="A12130" s="2" t="s">
        <v>12130</v>
      </c>
      <c r="B12130" s="2" t="str">
        <f>IFERROR(__xludf.DUMMYFUNCTION("GOOGLETRANSLATE(A12130, ""en"", ""mt"")"),"identità")</f>
        <v>identità</v>
      </c>
    </row>
    <row r="12131" ht="15.75" customHeight="1">
      <c r="A12131" s="2" t="s">
        <v>12131</v>
      </c>
      <c r="B12131" s="2" t="str">
        <f>IFERROR(__xludf.DUMMYFUNCTION("GOOGLETRANSLATE(A12131, ""en"", ""mt"")"),"tip ta 'kumitat")</f>
        <v>tip ta 'kumitat</v>
      </c>
    </row>
    <row r="12132" ht="15.75" customHeight="1">
      <c r="A12132" s="2" t="s">
        <v>12132</v>
      </c>
      <c r="B12132" s="2" t="str">
        <f>IFERROR(__xludf.DUMMYFUNCTION("GOOGLETRANSLATE(A12132, ""en"", ""mt"")"),"X'tip ta 'sistemi topoloġiċi jinstabu f'numri fir-Rabat?")</f>
        <v>X'tip ta 'sistemi topoloġiċi jinstabu f'numri fir-Rabat?</v>
      </c>
    </row>
    <row r="12133" ht="15.75" customHeight="1">
      <c r="A12133" s="2" t="s">
        <v>12133</v>
      </c>
      <c r="B12133" s="2" t="str">
        <f>IFERROR(__xludf.DUMMYFUNCTION("GOOGLETRANSLATE(A12133, ""en"", ""mt"")"),"79 libreriji individwali")</f>
        <v>79 libreriji individwali</v>
      </c>
    </row>
    <row r="12134" ht="15.75" customHeight="1">
      <c r="A12134" s="2" t="s">
        <v>12134</v>
      </c>
      <c r="B12134" s="2" t="str">
        <f>IFERROR(__xludf.DUMMYFUNCTION("GOOGLETRANSLATE(A12134, ""en"", ""mt"")"),"titjira bajda")</f>
        <v>titjira bajda</v>
      </c>
    </row>
    <row r="12135" ht="15.75" customHeight="1">
      <c r="A12135" s="2" t="s">
        <v>12135</v>
      </c>
      <c r="B12135" s="2" t="str">
        <f>IFERROR(__xludf.DUMMYFUNCTION("GOOGLETRANSLATE(A12135, ""en"", ""mt"")"),"Kemm jiswa kull sena li tmur f'università tar-Renju Unit?")</f>
        <v>Kemm jiswa kull sena li tmur f'università tar-Renju Unit?</v>
      </c>
    </row>
    <row r="12136" ht="15.75" customHeight="1">
      <c r="A12136" s="2" t="s">
        <v>12136</v>
      </c>
      <c r="B12136" s="2" t="str">
        <f>IFERROR(__xludf.DUMMYFUNCTION("GOOGLETRANSLATE(A12136, ""en"", ""mt"")"),"Liema istitut ippubblika sejbiet f'Settembru 2012 rigward il-Forbes l-aktar sinjur 400 Amerikan?")</f>
        <v>Liema istitut ippubblika sejbiet f'Settembru 2012 rigward il-Forbes l-aktar sinjur 400 Amerikan?</v>
      </c>
    </row>
    <row r="12137" ht="15.75" customHeight="1">
      <c r="A12137" s="2" t="s">
        <v>12137</v>
      </c>
      <c r="B12137" s="2" t="str">
        <f>IFERROR(__xludf.DUMMYFUNCTION("GOOGLETRANSLATE(A12137, ""en"", ""mt"")"),"Min tradotta din il-verżjoni tal-Iskrittura?")</f>
        <v>Min tradotta din il-verżjoni tal-Iskrittura?</v>
      </c>
    </row>
    <row r="12138" ht="15.75" customHeight="1">
      <c r="A12138" s="2" t="s">
        <v>12138</v>
      </c>
      <c r="B12138" s="2" t="str">
        <f>IFERROR(__xludf.DUMMYFUNCTION("GOOGLETRANSLATE(A12138, ""en"", ""mt"")"),"Għaliex tintuża r-regola tal-maġġoranza?")</f>
        <v>Għaliex tintuża r-regola tal-maġġoranza?</v>
      </c>
    </row>
    <row r="12139" ht="15.75" customHeight="1">
      <c r="A12139" s="2" t="s">
        <v>12139</v>
      </c>
      <c r="B12139" s="2" t="str">
        <f>IFERROR(__xludf.DUMMYFUNCTION("GOOGLETRANSLATE(A12139, ""en"", ""mt"")"),"Min waqqaf Cambridge fl-1650?")</f>
        <v>Min waqqaf Cambridge fl-1650?</v>
      </c>
    </row>
    <row r="12140" ht="15.75" customHeight="1">
      <c r="A12140" s="2" t="s">
        <v>12140</v>
      </c>
      <c r="B12140" s="2" t="str">
        <f>IFERROR(__xludf.DUMMYFUNCTION("GOOGLETRANSLATE(A12140, ""en"", ""mt"")"),"1961")</f>
        <v>1961</v>
      </c>
    </row>
    <row r="12141" ht="15.75" customHeight="1">
      <c r="A12141" s="2" t="s">
        <v>12141</v>
      </c>
      <c r="B12141" s="2" t="str">
        <f>IFERROR(__xludf.DUMMYFUNCTION("GOOGLETRANSLATE(A12141, ""en"", ""mt"")"),"vot finali")</f>
        <v>vot finali</v>
      </c>
    </row>
    <row r="12142" ht="15.75" customHeight="1">
      <c r="A12142" s="2" t="s">
        <v>12142</v>
      </c>
      <c r="B12142" s="2" t="str">
        <f>IFERROR(__xludf.DUMMYFUNCTION("GOOGLETRANSLATE(A12142, ""en"", ""mt"")"),"Philo ta ’Bizanju")</f>
        <v>Philo ta ’Bizanju</v>
      </c>
    </row>
    <row r="12143" ht="15.75" customHeight="1">
      <c r="A12143" s="2" t="s">
        <v>12143</v>
      </c>
      <c r="B12143" s="2" t="str">
        <f>IFERROR(__xludf.DUMMYFUNCTION("GOOGLETRANSLATE(A12143, ""en"", ""mt"")"),"acupuncture, moxibustion, dijanjosi tal-polz, u diversi mediċini tal-ħxejjex")</f>
        <v>acupuncture, moxibustion, dijanjosi tal-polz, u diversi mediċini tal-ħxejjex</v>
      </c>
    </row>
    <row r="12144" ht="15.75" customHeight="1">
      <c r="A12144" s="2" t="s">
        <v>12144</v>
      </c>
      <c r="B12144" s="2" t="str">
        <f>IFERROR(__xludf.DUMMYFUNCTION("GOOGLETRANSLATE(A12144, ""en"", ""mt"")"),"Netwerks taż-żona lokali permessi jiġu stabbiliti ad hoc mingħajr ir-rekwiżit għal router jew server ċentralizzat")</f>
        <v>Netwerks taż-żona lokali permessi jiġu stabbiliti ad hoc mingħajr ir-rekwiżit għal router jew server ċentralizzat</v>
      </c>
    </row>
    <row r="12145" ht="15.75" customHeight="1">
      <c r="A12145" s="2" t="s">
        <v>12145</v>
      </c>
      <c r="B12145" s="2" t="str">
        <f>IFERROR(__xludf.DUMMYFUNCTION("GOOGLETRANSLATE(A12145, ""en"", ""mt"")"),"Biex ""widen [en] l-għażliet tan-nies u l-livell tal-benesseri miksub tagħhom""")</f>
        <v>Biex "widen [en] l-għażliet tan-nies u l-livell tal-benesseri miksub tagħhom"</v>
      </c>
    </row>
    <row r="12146" ht="15.75" customHeight="1">
      <c r="A12146" s="2" t="s">
        <v>12146</v>
      </c>
      <c r="B12146" s="2" t="str">
        <f>IFERROR(__xludf.DUMMYFUNCTION("GOOGLETRANSLATE(A12146, ""en"", ""mt"")"),"Liema żewġ riżorsi kkunsmati komunement minn mudelli alternattivi huma tipikament magħrufa li jvarjaw?")</f>
        <v>Liema żewġ riżorsi kkunsmati komunement minn mudelli alternattivi huma tipikament magħrufa li jvarjaw?</v>
      </c>
    </row>
    <row r="12147" ht="15.75" customHeight="1">
      <c r="A12147" s="2" t="s">
        <v>12147</v>
      </c>
      <c r="B12147" s="2" t="str">
        <f>IFERROR(__xludf.DUMMYFUNCTION("GOOGLETRANSLATE(A12147, ""en"", ""mt"")"),"Min ifakkar l-istatwa ta 'erojku żgħir?")</f>
        <v>Min ifakkar l-istatwa ta 'erojku żgħir?</v>
      </c>
    </row>
    <row r="12148" ht="15.75" customHeight="1">
      <c r="A12148" s="2" t="s">
        <v>12148</v>
      </c>
      <c r="B12148" s="2" t="str">
        <f>IFERROR(__xludf.DUMMYFUNCTION("GOOGLETRANSLATE(A12148, ""en"", ""mt"")"),"X'tip ta 'fjura hija mfittxija fuq Wianki?")</f>
        <v>X'tip ta 'fjura hija mfittxija fuq Wianki?</v>
      </c>
    </row>
    <row r="12149" ht="15.75" customHeight="1">
      <c r="A12149" s="2" t="s">
        <v>12149</v>
      </c>
      <c r="B12149" s="2" t="str">
        <f>IFERROR(__xludf.DUMMYFUNCTION("GOOGLETRANSLATE(A12149, ""en"", ""mt"")"),"Kemm kien militari Brittaniku fl-Amerika t'Isfel fil-bidu tal-gwerra?")</f>
        <v>Kemm kien militari Brittaniku fl-Amerika t'Isfel fil-bidu tal-gwerra?</v>
      </c>
    </row>
    <row r="12150" ht="15.75" customHeight="1">
      <c r="A12150" s="2" t="s">
        <v>12150</v>
      </c>
      <c r="B12150" s="2" t="str">
        <f>IFERROR(__xludf.DUMMYFUNCTION("GOOGLETRANSLATE(A12150, ""en"", ""mt"")"),"Liema formazzjoni għandha xejra asimmetrika ta 'punti ta' riferiment differenti?")</f>
        <v>Liema formazzjoni għandha xejra asimmetrika ta 'punti ta' riferiment differenti?</v>
      </c>
    </row>
    <row r="12151" ht="15.75" customHeight="1">
      <c r="A12151" s="2" t="s">
        <v>12151</v>
      </c>
      <c r="B12151" s="2" t="str">
        <f>IFERROR(__xludf.DUMMYFUNCTION("GOOGLETRANSLATE(A12151, ""en"", ""mt"")"),"ir-renju")</f>
        <v>ir-renju</v>
      </c>
    </row>
    <row r="12152" ht="15.75" customHeight="1">
      <c r="A12152" s="2" t="s">
        <v>12152</v>
      </c>
      <c r="B12152" s="2" t="str">
        <f>IFERROR(__xludf.DUMMYFUNCTION("GOOGLETRANSLATE(A12152, ""en"", ""mt"")"),"Dan il-kunċett jikkuntrasta u jikkontradixxi l-prinċipji stabbiliti minn qabel ta 'allokazzjoni minn qabel ta' bandwidth tan-netwerk")</f>
        <v>Dan il-kunċett jikkuntrasta u jikkontradixxi l-prinċipji stabbiliti minn qabel ta 'allokazzjoni minn qabel ta' bandwidth tan-netwerk</v>
      </c>
    </row>
    <row r="12153" ht="15.75" customHeight="1">
      <c r="A12153" s="2" t="s">
        <v>12153</v>
      </c>
      <c r="B12153" s="2" t="str">
        <f>IFERROR(__xludf.DUMMYFUNCTION("GOOGLETRANSLATE(A12153, ""en"", ""mt"")"),"Aqbadni Min Jista '")</f>
        <v>Aqbadni Min Jista '</v>
      </c>
    </row>
    <row r="12154" ht="15.75" customHeight="1">
      <c r="A12154" s="2" t="s">
        <v>12154</v>
      </c>
      <c r="B12154" s="2" t="str">
        <f>IFERROR(__xludf.DUMMYFUNCTION("GOOGLETRANSLATE(A12154, ""en"", ""mt"")"),"Dak li l-kumpaniji tal-Istati Uniti huma miġbura fl-aqwa 250")</f>
        <v>Dak li l-kumpaniji tal-Istati Uniti huma miġbura fl-aqwa 250</v>
      </c>
    </row>
    <row r="12155" ht="15.75" customHeight="1">
      <c r="A12155" s="2" t="s">
        <v>12155</v>
      </c>
      <c r="B12155" s="2" t="str">
        <f>IFERROR(__xludf.DUMMYFUNCTION("GOOGLETRANSLATE(A12155, ""en"", ""mt"")"),"X'jikkawża li l-għoljiet u l-kanali jonqsu?")</f>
        <v>X'jikkawża li l-għoljiet u l-kanali jonqsu?</v>
      </c>
    </row>
    <row r="12156" ht="15.75" customHeight="1">
      <c r="A12156" s="2" t="s">
        <v>12156</v>
      </c>
      <c r="B12156" s="2" t="str">
        <f>IFERROR(__xludf.DUMMYFUNCTION("GOOGLETRANSLATE(A12156, ""en"", ""mt"")"),"William MacLure")</f>
        <v>William MacLure</v>
      </c>
    </row>
    <row r="12157" ht="15.75" customHeight="1">
      <c r="A12157" s="2" t="s">
        <v>12157</v>
      </c>
      <c r="B12157" s="2" t="str">
        <f>IFERROR(__xludf.DUMMYFUNCTION("GOOGLETRANSLATE(A12157, ""en"", ""mt"")"),"Xi jfisser l-istudju tal-paleotopografija?")</f>
        <v>Xi jfisser l-istudju tal-paleotopografija?</v>
      </c>
    </row>
    <row r="12158" ht="15.75" customHeight="1">
      <c r="A12158" s="2" t="s">
        <v>12158</v>
      </c>
      <c r="B12158" s="2" t="str">
        <f>IFERROR(__xludf.DUMMYFUNCTION("GOOGLETRANSLATE(A12158, ""en"", ""mt"")"),"L-Att tal-Iskozja 2002 jestendi xiex iddevolja?")</f>
        <v>L-Att tal-Iskozja 2002 jestendi xiex iddevolja?</v>
      </c>
    </row>
    <row r="12159" ht="15.75" customHeight="1">
      <c r="A12159" s="2" t="s">
        <v>12159</v>
      </c>
      <c r="B12159" s="2" t="str">
        <f>IFERROR(__xludf.DUMMYFUNCTION("GOOGLETRANSLATE(A12159, ""en"", ""mt"")"),"2016")</f>
        <v>2016</v>
      </c>
    </row>
    <row r="12160" ht="15.75" customHeight="1">
      <c r="A12160" s="2" t="s">
        <v>12160</v>
      </c>
      <c r="B12160" s="2" t="str">
        <f>IFERROR(__xludf.DUMMYFUNCTION("GOOGLETRANSLATE(A12160, ""en"", ""mt"")"),"8 ta ’Frar 2007")</f>
        <v>8 ta ’Frar 2007</v>
      </c>
    </row>
    <row r="12161" ht="15.75" customHeight="1">
      <c r="A12161" s="2" t="s">
        <v>12161</v>
      </c>
      <c r="B12161" s="2" t="str">
        <f>IFERROR(__xludf.DUMMYFUNCTION("GOOGLETRANSLATE(A12161, ""en"", ""mt"")"),"Il-ġimgħa li għaddiet ta ’Frar 1974,")</f>
        <v>Il-ġimgħa li għaddiet ta ’Frar 1974,</v>
      </c>
    </row>
    <row r="12162" ht="15.75" customHeight="1">
      <c r="A12162" s="2" t="s">
        <v>12162</v>
      </c>
      <c r="B12162" s="2" t="str">
        <f>IFERROR(__xludf.DUMMYFUNCTION("GOOGLETRANSLATE(A12162, ""en"", ""mt"")"),"X’semmu Ghandi dwar id-dritt li jitneħħa gvern inġust fid-dikjarazzjoni tal-indipendenza?")</f>
        <v>X’semmu Ghandi dwar id-dritt li jitneħħa gvern inġust fid-dikjarazzjoni tal-indipendenza?</v>
      </c>
    </row>
    <row r="12163" ht="15.75" customHeight="1">
      <c r="A12163" s="2" t="s">
        <v>12163</v>
      </c>
      <c r="B12163" s="2" t="str">
        <f>IFERROR(__xludf.DUMMYFUNCTION("GOOGLETRANSLATE(A12163, ""en"", ""mt"")"),"X'inhu l-inqas aspett kontroversjali tal-imperjalizmu?")</f>
        <v>X'inhu l-inqas aspett kontroversjali tal-imperjalizmu?</v>
      </c>
    </row>
    <row r="12164" ht="15.75" customHeight="1">
      <c r="A12164" s="2" t="s">
        <v>12164</v>
      </c>
      <c r="B12164" s="2" t="str">
        <f>IFERROR(__xludf.DUMMYFUNCTION("GOOGLETRANSLATE(A12164, ""en"", ""mt"")"),"Hank Paulson huwa l-ex president u CEO ta 'liema ditta bankarja?")</f>
        <v>Hank Paulson huwa l-ex president u CEO ta 'liema ditta bankarja?</v>
      </c>
    </row>
    <row r="12165" ht="15.75" customHeight="1">
      <c r="A12165" s="2" t="s">
        <v>12165</v>
      </c>
      <c r="B12165" s="2" t="str">
        <f>IFERROR(__xludf.DUMMYFUNCTION("GOOGLETRANSLATE(A12165, ""en"", ""mt"")"),"Semmi mudell ta 'lussu li sar popolari f'nofs is-snin sebgħin.")</f>
        <v>Semmi mudell ta 'lussu li sar popolari f'nofs is-snin sebgħin.</v>
      </c>
    </row>
    <row r="12166" ht="15.75" customHeight="1">
      <c r="A12166" s="2" t="s">
        <v>12166</v>
      </c>
      <c r="B12166" s="2" t="str">
        <f>IFERROR(__xludf.DUMMYFUNCTION("GOOGLETRANSLATE(A12166, ""en"", ""mt"")"),"prinċipali")</f>
        <v>prinċipali</v>
      </c>
    </row>
    <row r="12167" ht="15.75" customHeight="1">
      <c r="A12167" s="2" t="s">
        <v>12167</v>
      </c>
      <c r="B12167" s="2" t="str">
        <f>IFERROR(__xludf.DUMMYFUNCTION("GOOGLETRANSLATE(A12167, ""en"", ""mt"")"),"Ġie deskritt li d-donazzjonijiet min jista 'jintuża biss għall-bini?")</f>
        <v>Ġie deskritt li d-donazzjonijiet min jista 'jintuża biss għall-bini?</v>
      </c>
    </row>
    <row r="12168" ht="15.75" customHeight="1">
      <c r="A12168" s="2" t="s">
        <v>12168</v>
      </c>
      <c r="B12168" s="2" t="str">
        <f>IFERROR(__xludf.DUMMYFUNCTION("GOOGLETRANSLATE(A12168, ""en"", ""mt"")"),"Liema varjabbli hija faċli biex tistabbilixxi f'qafas għal klassijiet ta 'kumplessità?")</f>
        <v>Liema varjabbli hija faċli biex tistabbilixxi f'qafas għal klassijiet ta 'kumplessità?</v>
      </c>
    </row>
    <row r="12169" ht="15.75" customHeight="1">
      <c r="A12169" s="2" t="s">
        <v>12169</v>
      </c>
      <c r="B12169" s="2" t="str">
        <f>IFERROR(__xludf.DUMMYFUNCTION("GOOGLETRANSLATE(A12169, ""en"", ""mt"")"),"Fl-Ingilterra, fin-nuqqas ta 'figuri taċ-ċensiment, l-istoriċi jipproponu firxa ta' figuri ta 'popolazzjoni preinent minn 7 miljun sa baxxi sa 4 miljun fl-1300, u ċifra ta' popolazzjoni postintentiva baxxa daqs 2 miljun. Sal-aħħar tal-1350, il-mewt l-Iswe"&amp;"d naqset, iżda qatt ma mietet verament fl-Ingilterra. Matul il-ftit mijiet ta 'snin li ġejjin, aktar tifqigħat seħħew fl-1361–62, 1369, 1379–83, 1389-93, u matul l-ewwel nofs tas-seklu 15. Tfaqqigħ fl-1471 ħa daqs 10-15% tal-popolazzjoni, filwaqt li r-rat"&amp;"a tal-mewt tal-pesta ta '1479-80 setgħet kienet għolja sa 20%. L-iktar tifqigħat ġenerali fi Tudor u Stuart England jidhru li bdew fl-1498, 1535, 1543, 1563, 1589, 1603, 1625, u 1636, u spiċċaw bil-pesta kbira ta ’Londra fl-1665.")</f>
        <v>Fl-Ingilterra, fin-nuqqas ta 'figuri taċ-ċensiment, l-istoriċi jipproponu firxa ta' figuri ta 'popolazzjoni preinent minn 7 miljun sa baxxi sa 4 miljun fl-1300, u ċifra ta' popolazzjoni postintentiva baxxa daqs 2 miljun. Sal-aħħar tal-1350, il-mewt l-Iswed naqset, iżda qatt ma mietet verament fl-Ingilterra. Matul il-ftit mijiet ta 'snin li ġejjin, aktar tifqigħat seħħew fl-1361–62, 1369, 1379–83, 1389-93, u matul l-ewwel nofs tas-seklu 15. Tfaqqigħ fl-1471 ħa daqs 10-15% tal-popolazzjoni, filwaqt li r-rata tal-mewt tal-pesta ta '1479-80 setgħet kienet għolja sa 20%. L-iktar tifqigħat ġenerali fi Tudor u Stuart England jidhru li bdew fl-1498, 1535, 1543, 1563, 1589, 1603, 1625, u 1636, u spiċċaw bil-pesta kbira ta ’Londra fl-1665.</v>
      </c>
    </row>
    <row r="12170" ht="15.75" customHeight="1">
      <c r="A12170" s="2" t="s">
        <v>12170</v>
      </c>
      <c r="B12170" s="2" t="str">
        <f>IFERROR(__xludf.DUMMYFUNCTION("GOOGLETRANSLATE(A12170, ""en"", ""mt"")"),"ewforiku")</f>
        <v>ewforiku</v>
      </c>
    </row>
    <row r="12171" ht="15.75" customHeight="1">
      <c r="A12171" s="2" t="s">
        <v>12171</v>
      </c>
      <c r="B12171" s="2" t="str">
        <f>IFERROR(__xludf.DUMMYFUNCTION("GOOGLETRANSLATE(A12171, ""en"", ""mt"")"),"tiffoka l-attenzjoni fuq it-theddida tal-kastig u mhux ir-raġunijiet morali biex issegwi din il-liġi")</f>
        <v>tiffoka l-attenzjoni fuq it-theddida tal-kastig u mhux ir-raġunijiet morali biex issegwi din il-liġi</v>
      </c>
    </row>
    <row r="12172" ht="15.75" customHeight="1">
      <c r="A12172" s="2" t="s">
        <v>12172</v>
      </c>
      <c r="B12172" s="2" t="str">
        <f>IFERROR(__xludf.DUMMYFUNCTION("GOOGLETRANSLATE(A12172, ""en"", ""mt"")"),"spin")</f>
        <v>spin</v>
      </c>
    </row>
    <row r="12173" ht="15.75" customHeight="1">
      <c r="A12173" s="2" t="s">
        <v>12173</v>
      </c>
      <c r="B12173" s="2" t="str">
        <f>IFERROR(__xludf.DUMMYFUNCTION("GOOGLETRANSLATE(A12173, ""en"", ""mt"")"),"lill-istat u l-liġijiet tiegħu")</f>
        <v>lill-istat u l-liġijiet tiegħu</v>
      </c>
    </row>
    <row r="12174" ht="15.75" customHeight="1">
      <c r="A12174" s="2" t="s">
        <v>12174</v>
      </c>
      <c r="B12174" s="2" t="str">
        <f>IFERROR(__xludf.DUMMYFUNCTION("GOOGLETRANSLATE(A12174, ""en"", ""mt"")"),"X'tipi ta 'kollezzjonijiet għandu Desert California?")</f>
        <v>X'tipi ta 'kollezzjonijiet għandu Desert California?</v>
      </c>
    </row>
    <row r="12175" ht="15.75" customHeight="1">
      <c r="A12175" s="2" t="s">
        <v>12175</v>
      </c>
      <c r="B12175" s="2" t="str">
        <f>IFERROR(__xludf.DUMMYFUNCTION("GOOGLETRANSLATE(A12175, ""en"", ""mt"")")," Kemm-il sena kienu jeżistu prattiki mhux imperjalistiċi?")</f>
        <v> Kemm-il sena kienu jeżistu prattiki mhux imperjalistiċi?</v>
      </c>
    </row>
    <row r="12176" ht="15.75" customHeight="1">
      <c r="A12176" s="2" t="s">
        <v>12176</v>
      </c>
      <c r="B12176" s="2" t="str">
        <f>IFERROR(__xludf.DUMMYFUNCTION("GOOGLETRANSLATE(A12176, ""en"", ""mt"")"),"Affiljat ma 'denominazzjonijiet Protestanti oħra ma' aktar membri numerużi")</f>
        <v>Affiljat ma 'denominazzjonijiet Protestanti oħra ma' aktar membri numerużi</v>
      </c>
    </row>
    <row r="12177" ht="15.75" customHeight="1">
      <c r="A12177" s="2" t="s">
        <v>12177</v>
      </c>
      <c r="B12177" s="2" t="str">
        <f>IFERROR(__xludf.DUMMYFUNCTION("GOOGLETRANSLATE(A12177, ""en"", ""mt"")"),"Għal qasam F li fih 0 u 1, liema jkun il-qasam tal-għoqda ewlenija?")</f>
        <v>Għal qasam F li fih 0 u 1, liema jkun il-qasam tal-għoqda ewlenija?</v>
      </c>
    </row>
    <row r="12178" ht="15.75" customHeight="1">
      <c r="A12178" s="2" t="s">
        <v>12178</v>
      </c>
      <c r="B12178" s="2" t="str">
        <f>IFERROR(__xludf.DUMMYFUNCTION("GOOGLETRANSLATE(A12178, ""en"", ""mt"")"),"Metro jħarreġ Melbourne")</f>
        <v>Metro jħarreġ Melbourne</v>
      </c>
    </row>
    <row r="12179" ht="15.75" customHeight="1">
      <c r="A12179" s="2" t="s">
        <v>12179</v>
      </c>
      <c r="B12179" s="2" t="str">
        <f>IFERROR(__xludf.DUMMYFUNCTION("GOOGLETRANSLATE(A12179, ""en"", ""mt"")"),"Għal liema tipi ta 'responsabbiltajiet jista' jkun li jkun responsabbli tekniku tal-ispiżerija?")</f>
        <v>Għal liema tipi ta 'responsabbiltajiet jista' jkun li jkun responsabbli tekniku tal-ispiżerija?</v>
      </c>
    </row>
    <row r="12180" ht="15.75" customHeight="1">
      <c r="A12180" s="2" t="s">
        <v>12180</v>
      </c>
      <c r="B12180" s="2" t="str">
        <f>IFERROR(__xludf.DUMMYFUNCTION("GOOGLETRANSLATE(A12180, ""en"", ""mt"")"),"ingħata l-ugwaljanza tal-Protestanti")</f>
        <v>ingħata l-ugwaljanza tal-Protestanti</v>
      </c>
    </row>
    <row r="12181" ht="15.75" customHeight="1">
      <c r="A12181" s="2" t="s">
        <v>12181</v>
      </c>
      <c r="B12181" s="2" t="str">
        <f>IFERROR(__xludf.DUMMYFUNCTION("GOOGLETRANSLATE(A12181, ""en"", ""mt"")"),"In-nazzjonaliżmu Għarbi sekulari ġie akkużat kemm għat-telfa tat-truppi Għarab kif ukoll għal liema tip ta 'staġnar?")</f>
        <v>In-nazzjonaliżmu Għarbi sekulari ġie akkużat kemm għat-telfa tat-truppi Għarab kif ukoll għal liema tip ta 'staġnar?</v>
      </c>
    </row>
    <row r="12182" ht="15.75" customHeight="1">
      <c r="A12182" s="2" t="s">
        <v>12182</v>
      </c>
      <c r="B12182" s="2" t="str">
        <f>IFERROR(__xludf.DUMMYFUNCTION("GOOGLETRANSLATE(A12182, ""en"", ""mt"")"),"Min mexxa esperiment fl-4 ta ’Awwissu, 1774?")</f>
        <v>Min mexxa esperiment fl-4 ta ’Awwissu, 1774?</v>
      </c>
    </row>
    <row r="12183" ht="15.75" customHeight="1">
      <c r="A12183" s="2" t="s">
        <v>12183</v>
      </c>
      <c r="B12183" s="2" t="str">
        <f>IFERROR(__xludf.DUMMYFUNCTION("GOOGLETRANSLATE(A12183, ""en"", ""mt"")"),"La Rochelle")</f>
        <v>La Rochelle</v>
      </c>
    </row>
    <row r="12184" ht="15.75" customHeight="1">
      <c r="A12184" s="2" t="s">
        <v>12184</v>
      </c>
      <c r="B12184" s="2" t="str">
        <f>IFERROR(__xludf.DUMMYFUNCTION("GOOGLETRANSLATE(A12184, ""en"", ""mt"")"),"Xi jfisser it-trattat dwar il-funzjonament tal-Unjoni Ewropea?")</f>
        <v>Xi jfisser it-trattat dwar il-funzjonament tal-Unjoni Ewropea?</v>
      </c>
    </row>
    <row r="12185" ht="15.75" customHeight="1">
      <c r="A12185" s="2" t="s">
        <v>12185</v>
      </c>
      <c r="B12185" s="2" t="str">
        <f>IFERROR(__xludf.DUMMYFUNCTION("GOOGLETRANSLATE(A12185, ""en"", ""mt"")"),"Wara l-WW-II fejn ir-Russja applikat ir-reġimi tsaristi qodma tagħha?")</f>
        <v>Wara l-WW-II fejn ir-Russja applikat ir-reġimi tsaristi qodma tagħha?</v>
      </c>
    </row>
    <row r="12186" ht="15.75" customHeight="1">
      <c r="A12186" s="2" t="s">
        <v>12186</v>
      </c>
      <c r="B12186" s="2" t="str">
        <f>IFERROR(__xludf.DUMMYFUNCTION("GOOGLETRANSLATE(A12186, ""en"", ""mt"")"),"Il-preżenza ta 'min hu probabbli ħafna anke fi proġetti żgħar?")</f>
        <v>Il-preżenza ta 'min hu probabbli ħafna anke fi proġetti żgħar?</v>
      </c>
    </row>
    <row r="12187" ht="15.75" customHeight="1">
      <c r="A12187" s="2" t="s">
        <v>12187</v>
      </c>
      <c r="B12187" s="2" t="str">
        <f>IFERROR(__xludf.DUMMYFUNCTION("GOOGLETRANSLATE(A12187, ""en"", ""mt"")"),"Min kien l-għadu ewlieni tan-Normanni fl-Italja, l-Imperu Biżantin u l-Armenja?")</f>
        <v>Min kien l-għadu ewlieni tan-Normanni fl-Italja, l-Imperu Biżantin u l-Armenja?</v>
      </c>
    </row>
    <row r="12188" ht="15.75" customHeight="1">
      <c r="A12188" s="2" t="s">
        <v>12188</v>
      </c>
      <c r="B12188" s="2" t="str">
        <f>IFERROR(__xludf.DUMMYFUNCTION("GOOGLETRANSLATE(A12188, ""en"", ""mt"")"),"Bajja ta 'Sullivan")</f>
        <v>Bajja ta 'Sullivan</v>
      </c>
    </row>
    <row r="12189" ht="15.75" customHeight="1">
      <c r="A12189" s="2" t="s">
        <v>12189</v>
      </c>
      <c r="B12189" s="2" t="str">
        <f>IFERROR(__xludf.DUMMYFUNCTION("GOOGLETRANSLATE(A12189, ""en"", ""mt"")"),"Fis-6 ta ’Ottubru, 1973")</f>
        <v>Fis-6 ta ’Ottubru, 1973</v>
      </c>
    </row>
    <row r="12190" ht="15.75" customHeight="1">
      <c r="A12190" s="2" t="s">
        <v>12190</v>
      </c>
      <c r="B12190" s="2" t="str">
        <f>IFERROR(__xludf.DUMMYFUNCTION("GOOGLETRANSLATE(A12190, ""en"", ""mt"")"),"""Arja Dephlogisticated")</f>
        <v>"Arja Dephlogisticated</v>
      </c>
    </row>
    <row r="12191" ht="15.75" customHeight="1">
      <c r="A12191" s="2" t="s">
        <v>12191</v>
      </c>
      <c r="B12191" s="2" t="str">
        <f>IFERROR(__xludf.DUMMYFUNCTION("GOOGLETRANSLATE(A12191, ""en"", ""mt"")"),"X'inhi l-utilità marġinali tal-ġid għal kull dħul għal kull persuna hekk kif dik il-persuna ssir iktar sinjura?")</f>
        <v>X'inhi l-utilità marġinali tal-ġid għal kull dħul għal kull persuna hekk kif dik il-persuna ssir iktar sinjura?</v>
      </c>
    </row>
    <row r="12192" ht="15.75" customHeight="1">
      <c r="A12192" s="2" t="s">
        <v>12192</v>
      </c>
      <c r="B12192" s="2" t="str">
        <f>IFERROR(__xludf.DUMMYFUNCTION("GOOGLETRANSLATE(A12192, ""en"", ""mt"")"),"Liema politika kien fih ir-rapport ta 'Kelven?")</f>
        <v>Liema politika kien fih ir-rapport ta 'Kelven?</v>
      </c>
    </row>
    <row r="12193" ht="15.75" customHeight="1">
      <c r="A12193" s="2" t="s">
        <v>12193</v>
      </c>
      <c r="B12193" s="2" t="str">
        <f>IFERROR(__xludf.DUMMYFUNCTION("GOOGLETRANSLATE(A12193, ""en"", ""mt"")"),"Il-Parlament Skoċċiż kiber")</f>
        <v>Il-Parlament Skoċċiż kiber</v>
      </c>
    </row>
    <row r="12194" ht="15.75" customHeight="1">
      <c r="A12194" s="2" t="s">
        <v>12194</v>
      </c>
      <c r="B12194" s="2" t="str">
        <f>IFERROR(__xludf.DUMMYFUNCTION("GOOGLETRANSLATE(A12194, ""en"", ""mt"")"),"Amazonia: Il-bniedem u l-kultura fi ġenna ffalsifikata.")</f>
        <v>Amazonia: Il-bniedem u l-kultura fi ġenna ffalsifikata.</v>
      </c>
    </row>
    <row r="12195" ht="15.75" customHeight="1">
      <c r="A12195" s="2" t="s">
        <v>12195</v>
      </c>
      <c r="B12195" s="2" t="str">
        <f>IFERROR(__xludf.DUMMYFUNCTION("GOOGLETRANSLATE(A12195, ""en"", ""mt"")"),"X'inhu terminu li jfisser enerġija kostanti?")</f>
        <v>X'inhu terminu li jfisser enerġija kostanti?</v>
      </c>
    </row>
    <row r="12196" ht="15.75" customHeight="1">
      <c r="A12196" s="2" t="s">
        <v>12196</v>
      </c>
      <c r="B12196" s="2" t="str">
        <f>IFERROR(__xludf.DUMMYFUNCTION("GOOGLETRANSLATE(A12196, ""en"", ""mt"")"),"distruttiv")</f>
        <v>distruttiv</v>
      </c>
    </row>
    <row r="12197" ht="15.75" customHeight="1">
      <c r="A12197" s="2" t="s">
        <v>12197</v>
      </c>
      <c r="B12197" s="2" t="str">
        <f>IFERROR(__xludf.DUMMYFUNCTION("GOOGLETRANSLATE(A12197, ""en"", ""mt"")"),"X'inhu involut f'reviżjoni ta 'mediċini preskritti?")</f>
        <v>X'inhu involut f'reviżjoni ta 'mediċini preskritti?</v>
      </c>
    </row>
    <row r="12198" ht="15.75" customHeight="1">
      <c r="A12198" s="2" t="s">
        <v>12198</v>
      </c>
      <c r="B12198" s="2" t="str">
        <f>IFERROR(__xludf.DUMMYFUNCTION("GOOGLETRANSLATE(A12198, ""en"", ""mt"")"),"Kemm jieklu ctenophore kuljum?")</f>
        <v>Kemm jieklu ctenophore kuljum?</v>
      </c>
    </row>
    <row r="12199" ht="15.75" customHeight="1">
      <c r="A12199" s="2" t="s">
        <v>12199</v>
      </c>
      <c r="B12199" s="2" t="str">
        <f>IFERROR(__xludf.DUMMYFUNCTION("GOOGLETRANSLATE(A12199, ""en"", ""mt"")"),"Liema pjanti joħolqu l-iktar qawwa tal-kombustjoni?")</f>
        <v>Liema pjanti joħolqu l-iktar qawwa tal-kombustjoni?</v>
      </c>
    </row>
    <row r="12200" ht="15.75" customHeight="1">
      <c r="A12200" s="2" t="s">
        <v>12200</v>
      </c>
      <c r="B12200" s="2" t="str">
        <f>IFERROR(__xludf.DUMMYFUNCTION("GOOGLETRANSLATE(A12200, ""en"", ""mt"")"),"Aristotile's")</f>
        <v>Aristotile's</v>
      </c>
    </row>
    <row r="12201" ht="15.75" customHeight="1">
      <c r="A12201" s="2" t="s">
        <v>12201</v>
      </c>
      <c r="B12201" s="2" t="str">
        <f>IFERROR(__xludf.DUMMYFUNCTION("GOOGLETRANSLATE(A12201, ""en"", ""mt"")"),"X'inhu mod kif tista 'turi uffiċjali tal-pulizija diżubbidjenza ċivili?")</f>
        <v>X'inhu mod kif tista 'turi uffiċjali tal-pulizija diżubbidjenza ċivili?</v>
      </c>
    </row>
    <row r="12202" ht="15.75" customHeight="1">
      <c r="A12202" s="2" t="s">
        <v>12202</v>
      </c>
      <c r="B12202" s="2" t="str">
        <f>IFERROR(__xludf.DUMMYFUNCTION("GOOGLETRANSLATE(A12202, ""en"", ""mt"")"),"Eleutherian Gunpowder Mills.")</f>
        <v>Eleutherian Gunpowder Mills.</v>
      </c>
    </row>
    <row r="12203" ht="15.75" customHeight="1">
      <c r="A12203" s="2" t="s">
        <v>12203</v>
      </c>
      <c r="B12203" s="2" t="str">
        <f>IFERROR(__xludf.DUMMYFUNCTION("GOOGLETRANSLATE(A12203, ""en"", ""mt"")"),"Biex tevita li tkun immirata mill-bojkott")</f>
        <v>Biex tevita li tkun immirata mill-bojkott</v>
      </c>
    </row>
    <row r="12204" ht="15.75" customHeight="1">
      <c r="A12204" s="2" t="s">
        <v>12204</v>
      </c>
      <c r="B12204" s="2" t="str">
        <f>IFERROR(__xludf.DUMMYFUNCTION("GOOGLETRANSLATE(A12204, ""en"", ""mt"")"),"Omnicare, Kindred Healthcare u Pharmerica")</f>
        <v>Omnicare, Kindred Healthcare u Pharmerica</v>
      </c>
    </row>
    <row r="12205" ht="15.75" customHeight="1">
      <c r="A12205" s="2" t="s">
        <v>12205</v>
      </c>
      <c r="B12205" s="2" t="str">
        <f>IFERROR(__xludf.DUMMYFUNCTION("GOOGLETRANSLATE(A12205, ""en"", ""mt"")"),"Minbarra l-istampa taċ-ċinema u l-industrija tat-televiżjoni, liema industrija ewlenija oħra hija ċċentrata f'Los Angeles?")</f>
        <v>Minbarra l-istampa taċ-ċinema u l-industrija tat-televiżjoni, liema industrija ewlenija oħra hija ċċentrata f'Los Angeles?</v>
      </c>
    </row>
    <row r="12206" ht="15.75" customHeight="1">
      <c r="A12206" s="2" t="s">
        <v>12206</v>
      </c>
      <c r="B12206" s="2" t="str">
        <f>IFERROR(__xludf.DUMMYFUNCTION("GOOGLETRANSLATE(A12206, ""en"", ""mt"")"),"Kattoliċiżmu")</f>
        <v>Kattoliċiżmu</v>
      </c>
    </row>
    <row r="12207" ht="15.75" customHeight="1">
      <c r="A12207" s="2" t="s">
        <v>12207</v>
      </c>
      <c r="B12207" s="2" t="str">
        <f>IFERROR(__xludf.DUMMYFUNCTION("GOOGLETRANSLATE(A12207, ""en"", ""mt"")"),"Meta ġiet miġġielda l-gwerra Pollakka-Bolshevik?")</f>
        <v>Meta ġiet miġġielda l-gwerra Pollakka-Bolshevik?</v>
      </c>
    </row>
    <row r="12208" ht="15.75" customHeight="1">
      <c r="A12208" s="2" t="s">
        <v>12208</v>
      </c>
      <c r="B12208" s="2" t="str">
        <f>IFERROR(__xludf.DUMMYFUNCTION("GOOGLETRANSLATE(A12208, ""en"", ""mt"")"),"Qalba Komuni")</f>
        <v>Qalba Komuni</v>
      </c>
    </row>
    <row r="12209" ht="15.75" customHeight="1">
      <c r="A12209" s="2" t="s">
        <v>12209</v>
      </c>
      <c r="B12209" s="2" t="str">
        <f>IFERROR(__xludf.DUMMYFUNCTION("GOOGLETRANSLATE(A12209, ""en"", ""mt"")"),"Il-foresta tropikali tal-Amazon tifforma liema ammont tal-foresti tropikali tad-Dinja?")</f>
        <v>Il-foresta tropikali tal-Amazon tifforma liema ammont tal-foresti tropikali tad-Dinja?</v>
      </c>
    </row>
    <row r="12210" ht="15.75" customHeight="1">
      <c r="A12210" s="2" t="s">
        <v>12210</v>
      </c>
      <c r="B12210" s="2" t="str">
        <f>IFERROR(__xludf.DUMMYFUNCTION("GOOGLETRANSLATE(A12210, ""en"", ""mt"")"),"individwalment, xi kultant jirriżultaw fi mogħdijiet differenti u kunsinna barra mill-ordni")</f>
        <v>individwalment, xi kultant jirriżultaw fi mogħdijiet differenti u kunsinna barra mill-ordni</v>
      </c>
    </row>
    <row r="12211" ht="15.75" customHeight="1">
      <c r="A12211" s="2" t="s">
        <v>12211</v>
      </c>
      <c r="B12211" s="2" t="str">
        <f>IFERROR(__xludf.DUMMYFUNCTION("GOOGLETRANSLATE(A12211, ""en"", ""mt"")"),"Meta l-uffiċċju Ewropew kontra l-frodi investiga lil John Dalli?")</f>
        <v>Meta l-uffiċċju Ewropew kontra l-frodi investiga lil John Dalli?</v>
      </c>
    </row>
    <row r="12212" ht="15.75" customHeight="1">
      <c r="A12212" s="2" t="s">
        <v>12212</v>
      </c>
      <c r="B12212" s="2" t="str">
        <f>IFERROR(__xludf.DUMMYFUNCTION("GOOGLETRANSLATE(A12212, ""en"", ""mt"")"),"Fejn kienu l-kitbiet ta 'Plato milqugħin fl-1846?")</f>
        <v>Fejn kienu l-kitbiet ta 'Plato milqugħin fl-1846?</v>
      </c>
    </row>
    <row r="12213" ht="15.75" customHeight="1">
      <c r="A12213" s="2" t="s">
        <v>12213</v>
      </c>
      <c r="B12213" s="2" t="str">
        <f>IFERROR(__xludf.DUMMYFUNCTION("GOOGLETRANSLATE(A12213, ""en"", ""mt"")"),"Fejn fl-Asja Ċentrali mxiet iċ-Ċiniżi Han?")</f>
        <v>Fejn fl-Asja Ċentrali mxiet iċ-Ċiniżi Han?</v>
      </c>
    </row>
    <row r="12214" ht="15.75" customHeight="1">
      <c r="A12214" s="2" t="s">
        <v>12214</v>
      </c>
      <c r="B12214" s="2" t="str">
        <f>IFERROR(__xludf.DUMMYFUNCTION("GOOGLETRANSLATE(A12214, ""en"", ""mt"")"),"Ċentru tad-Distribuzzjoni tad-Dejta u l-Programm Nazzjonali tal-Inventar tal-Gass Serra")</f>
        <v>Ċentru tad-Distribuzzjoni tad-Dejta u l-Programm Nazzjonali tal-Inventar tal-Gass Serra</v>
      </c>
    </row>
    <row r="12215" ht="15.75" customHeight="1">
      <c r="A12215" s="2" t="s">
        <v>12215</v>
      </c>
      <c r="B12215" s="2" t="str">
        <f>IFERROR(__xludf.DUMMYFUNCTION("GOOGLETRANSLATE(A12215, ""en"", ""mt"")"),"Għal liema skejjel tar-reliġjon jirreferu t-terminu 'skejjel parrokkjali' ġeneralment?")</f>
        <v>Għal liema skejjel tar-reliġjon jirreferu t-terminu 'skejjel parrokkjali' ġeneralment?</v>
      </c>
    </row>
    <row r="12216" ht="15.75" customHeight="1">
      <c r="A12216" s="2" t="s">
        <v>12216</v>
      </c>
      <c r="B12216" s="2" t="str">
        <f>IFERROR(__xludf.DUMMYFUNCTION("GOOGLETRANSLATE(A12216, ""en"", ""mt"")"),"naqqset il-popolazzjoni ta 'Sivilja bin-nofs")</f>
        <v>naqqset il-popolazzjoni ta 'Sivilja bin-nofs</v>
      </c>
    </row>
    <row r="12217" ht="15.75" customHeight="1">
      <c r="A12217" s="2" t="s">
        <v>12217</v>
      </c>
      <c r="B12217" s="2" t="str">
        <f>IFERROR(__xludf.DUMMYFUNCTION("GOOGLETRANSLATE(A12217, ""en"", ""mt"")"),"Apertura sintetika")</f>
        <v>Apertura sintetika</v>
      </c>
    </row>
    <row r="12218" ht="15.75" customHeight="1">
      <c r="A12218" s="2" t="s">
        <v>12218</v>
      </c>
      <c r="B12218" s="2" t="str">
        <f>IFERROR(__xludf.DUMMYFUNCTION("GOOGLETRANSLATE(A12218, ""en"", ""mt"")"),"It-tradizzjoni medika Ċiniża tal-wan kellha ""erba 'skejjel kbar"" li l-wan wirt mid-dinastija Jin. L-erba 'skejjel kienu bbażati fuq l-istess fondazzjoni intellettwali, iżda favur l-approċċi teoretiċi differenti lejn il-mediċina. Taħt il-Mongoli, il-prat"&amp;"tika tal-mediċina Ċiniża nfirxet għal partijiet oħra tal-imperu. It-tobba Ċiniżi nġabru flimkien ma ’kampanji militari mill-Mongoli hekk kif espandew lejn il-Punent. Tekniki mediċi Ċiniżi bħal acupuncture, moxibustion, dijanjosi tal-polz, u diversi mediċi"&amp;"ni tal-ħxejjex u elixirs ġew trasmessi lejn il-punent lejn il-Lvant Nofsani u l-bqija tal-imperu. Saru diversi avvanzi mediċi fil-perjodu tal-wan. It-tabib Wei Yilin (1277-1347) ivvinta metodu ta 'sospensjoni għat-tnaqqis tal-ġonot diżlokati, li huwa wett"&amp;"aq bl-użu ta' anestetiċi. It-tabib Mongoljan Hu Sihui ddeskriva l-importanza ta 'dieta tajba fi trattat mediku 1330.")</f>
        <v>It-tradizzjoni medika Ċiniża tal-wan kellha "erba 'skejjel kbar" li l-wan wirt mid-dinastija Jin. L-erba 'skejjel kienu bbażati fuq l-istess fondazzjoni intellettwali, iżda favur l-approċċi teoretiċi differenti lejn il-mediċina. Taħt il-Mongoli, il-prattika tal-mediċina Ċiniża nfirxet għal partijiet oħra tal-imperu. It-tobba Ċiniżi nġabru flimkien ma ’kampanji militari mill-Mongoli hekk kif espandew lejn il-Punent. Tekniki mediċi Ċiniżi bħal acupuncture, moxibustion, dijanjosi tal-polz, u diversi mediċini tal-ħxejjex u elixirs ġew trasmessi lejn il-punent lejn il-Lvant Nofsani u l-bqija tal-imperu. Saru diversi avvanzi mediċi fil-perjodu tal-wan. It-tabib Wei Yilin (1277-1347) ivvinta metodu ta 'sospensjoni għat-tnaqqis tal-ġonot diżlokati, li huwa wettaq bl-użu ta' anestetiċi. It-tabib Mongoljan Hu Sihui ddeskriva l-importanza ta 'dieta tajba fi trattat mediku 1330.</v>
      </c>
    </row>
    <row r="12219" ht="15.75" customHeight="1">
      <c r="A12219" s="2" t="s">
        <v>12219</v>
      </c>
      <c r="B12219" s="2" t="str">
        <f>IFERROR(__xludf.DUMMYFUNCTION("GOOGLETRANSLATE(A12219, ""en"", ""mt"")"),"bojkotts")</f>
        <v>bojkotts</v>
      </c>
    </row>
    <row r="12220" ht="15.75" customHeight="1">
      <c r="A12220" s="2" t="s">
        <v>12220</v>
      </c>
      <c r="B12220" s="2" t="str">
        <f>IFERROR(__xludf.DUMMYFUNCTION("GOOGLETRANSLATE(A12220, ""en"", ""mt"")"),"X'inhi s-suppożizzjoni ppruvata ġeneralment attribwita għall-valur tal-klassijiet ta 'kumplessità?")</f>
        <v>X'inhi s-suppożizzjoni ppruvata ġeneralment attribwita għall-valur tal-klassijiet ta 'kumplessità?</v>
      </c>
    </row>
    <row r="12221" ht="15.75" customHeight="1">
      <c r="A12221" s="2" t="s">
        <v>12221</v>
      </c>
      <c r="B12221" s="2" t="str">
        <f>IFERROR(__xludf.DUMMYFUNCTION("GOOGLETRANSLATE(A12221, ""en"", ""mt"")"),"F'numru ta 'stadji")</f>
        <v>F'numru ta 'stadji</v>
      </c>
    </row>
    <row r="12222" ht="15.75" customHeight="1">
      <c r="A12222" s="2" t="s">
        <v>12222</v>
      </c>
      <c r="B12222" s="2" t="str">
        <f>IFERROR(__xludf.DUMMYFUNCTION("GOOGLETRANSLATE(A12222, ""en"", ""mt"")"),"Għal liema industrija tat-tessuti kkontribwixxiet l-Huguenots fl-Irlanda?")</f>
        <v>Għal liema industrija tat-tessuti kkontribwixxiet l-Huguenots fl-Irlanda?</v>
      </c>
    </row>
    <row r="12223" ht="15.75" customHeight="1">
      <c r="A12223" s="2" t="s">
        <v>12223</v>
      </c>
      <c r="B12223" s="2" t="str">
        <f>IFERROR(__xludf.DUMMYFUNCTION("GOOGLETRANSLATE(A12223, ""en"", ""mt"")"),"Tiġdid ta 'ostilitajiet")</f>
        <v>Tiġdid ta 'ostilitajiet</v>
      </c>
    </row>
    <row r="12224" ht="15.75" customHeight="1">
      <c r="A12224" s="2" t="s">
        <v>12224</v>
      </c>
      <c r="B12224" s="2" t="str">
        <f>IFERROR(__xludf.DUMMYFUNCTION("GOOGLETRANSLATE(A12224, ""en"", ""mt"")"),"50")</f>
        <v>50</v>
      </c>
    </row>
    <row r="12225" ht="15.75" customHeight="1">
      <c r="A12225" s="2" t="s">
        <v>12225</v>
      </c>
      <c r="B12225" s="2" t="str">
        <f>IFERROR(__xludf.DUMMYFUNCTION("GOOGLETRANSLATE(A12225, ""en"", ""mt"")"),"Liema figuri ewlenin rivoluzzjonarji futuri qatt ma pparteċipaw f'dan l-attakk?")</f>
        <v>Liema figuri ewlenin rivoluzzjonarji futuri qatt ma pparteċipaw f'dan l-attakk?</v>
      </c>
    </row>
    <row r="12226" ht="15.75" customHeight="1">
      <c r="A12226" s="2" t="s">
        <v>12226</v>
      </c>
      <c r="B12226" s="2" t="str">
        <f>IFERROR(__xludf.DUMMYFUNCTION("GOOGLETRANSLATE(A12226, ""en"", ""mt"")")," Iqbal inkwetat li l-aktar popolazzjoni hindu tal-Indja ma tagħmilx x'inhi l-wirt u l-kultura Musulmana?")</f>
        <v> Iqbal inkwetat li l-aktar popolazzjoni hindu tal-Indja ma tagħmilx x'inhi l-wirt u l-kultura Musulmana?</v>
      </c>
    </row>
    <row r="12227" ht="15.75" customHeight="1">
      <c r="A12227" s="2" t="s">
        <v>12227</v>
      </c>
      <c r="B12227" s="2" t="str">
        <f>IFERROR(__xludf.DUMMYFUNCTION("GOOGLETRANSLATE(A12227, ""en"", ""mt"")"),"Flimkien ma 'muturi elettriċi, x'tip ta' magni ħa post turbini?")</f>
        <v>Flimkien ma 'muturi elettriċi, x'tip ta' magni ħa post turbini?</v>
      </c>
    </row>
    <row r="12228" ht="15.75" customHeight="1">
      <c r="A12228" s="2" t="s">
        <v>12228</v>
      </c>
      <c r="B12228" s="2" t="str">
        <f>IFERROR(__xludf.DUMMYFUNCTION("GOOGLETRANSLATE(A12228, ""en"", ""mt"")"),"Fejn tingħad l-eqdem spiżerija li tinsab?")</f>
        <v>Fejn tingħad l-eqdem spiżerija li tinsab?</v>
      </c>
    </row>
    <row r="12229" ht="15.75" customHeight="1">
      <c r="A12229" s="2" t="s">
        <v>12229</v>
      </c>
      <c r="B12229" s="2" t="str">
        <f>IFERROR(__xludf.DUMMYFUNCTION("GOOGLETRANSLATE(A12229, ""en"", ""mt"")"),"1754")</f>
        <v>1754</v>
      </c>
    </row>
    <row r="12230" ht="15.75" customHeight="1">
      <c r="A12230" s="2" t="s">
        <v>12230</v>
      </c>
      <c r="B12230" s="2" t="str">
        <f>IFERROR(__xludf.DUMMYFUNCTION("GOOGLETRANSLATE(A12230, ""en"", ""mt"")"),"Innovazzjoni teknoloġika")</f>
        <v>Innovazzjoni teknoloġika</v>
      </c>
    </row>
    <row r="12231" ht="15.75" customHeight="1">
      <c r="A12231" s="2" t="s">
        <v>12231</v>
      </c>
      <c r="B12231" s="2" t="str">
        <f>IFERROR(__xludf.DUMMYFUNCTION("GOOGLETRANSLATE(A12231, ""en"", ""mt"")"),"X'tip ta 'rqad ġie skopert fl-U ta' C fl-1947?")</f>
        <v>X'tip ta 'rqad ġie skopert fl-U ta' C fl-1947?</v>
      </c>
    </row>
    <row r="12232" ht="15.75" customHeight="1">
      <c r="A12232" s="2" t="s">
        <v>12232</v>
      </c>
      <c r="B12232" s="2" t="str">
        <f>IFERROR(__xludf.DUMMYFUNCTION("GOOGLETRANSLATE(A12232, ""en"", ""mt"")"),"X'inhi l-istratigrafija?")</f>
        <v>X'inhi l-istratigrafija?</v>
      </c>
    </row>
    <row r="12233" ht="15.75" customHeight="1">
      <c r="A12233" s="2" t="s">
        <v>12233</v>
      </c>
      <c r="B12233" s="2" t="str">
        <f>IFERROR(__xludf.DUMMYFUNCTION("GOOGLETRANSLATE(A12233, ""en"", ""mt"")"),"Liema magni tal-baħar kienu inqas effiċjenti minn turbini tal-gass?")</f>
        <v>Liema magni tal-baħar kienu inqas effiċjenti minn turbini tal-gass?</v>
      </c>
    </row>
    <row r="12234" ht="15.75" customHeight="1">
      <c r="A12234" s="2" t="s">
        <v>12234</v>
      </c>
      <c r="B12234" s="2" t="str">
        <f>IFERROR(__xludf.DUMMYFUNCTION("GOOGLETRANSLATE(A12234, ""en"", ""mt"")"),"Kemm ġew inklużi primes fil-lista ta 'numri ewlenin ta' Derrick Norman Lehmer?")</f>
        <v>Kemm ġew inklużi primes fil-lista ta 'numri ewlenin ta' Derrick Norman Lehmer?</v>
      </c>
    </row>
    <row r="12235" ht="15.75" customHeight="1">
      <c r="A12235" s="2" t="s">
        <v>12235</v>
      </c>
      <c r="B12235" s="2" t="str">
        <f>IFERROR(__xludf.DUMMYFUNCTION("GOOGLETRANSLATE(A12235, ""en"", ""mt"")"),"Min stabbilixxa l-Iskola Psikoloġika tar-Relazzjonijiet Internazzjonali Konservattivi?")</f>
        <v>Min stabbilixxa l-Iskola Psikoloġika tar-Relazzjonijiet Internazzjonali Konservattivi?</v>
      </c>
    </row>
    <row r="12236" ht="15.75" customHeight="1">
      <c r="A12236" s="2" t="s">
        <v>12236</v>
      </c>
      <c r="B12236" s="2" t="str">
        <f>IFERROR(__xludf.DUMMYFUNCTION("GOOGLETRANSLATE(A12236, ""en"", ""mt"")")," Kemm suċċessuri ta 'Kublai kienu l-ewwel wieħed?")</f>
        <v> Kemm suċċessuri ta 'Kublai kienu l-ewwel wieħed?</v>
      </c>
    </row>
    <row r="12237" ht="15.75" customHeight="1">
      <c r="A12237" s="2" t="s">
        <v>12237</v>
      </c>
      <c r="B12237" s="2" t="str">
        <f>IFERROR(__xludf.DUMMYFUNCTION("GOOGLETRANSLATE(A12237, ""en"", ""mt"")"),"il-perit jew l-inġinier")</f>
        <v>il-perit jew l-inġinier</v>
      </c>
    </row>
    <row r="12238" ht="15.75" customHeight="1">
      <c r="A12238" s="2" t="s">
        <v>12238</v>
      </c>
      <c r="B12238" s="2" t="str">
        <f>IFERROR(__xludf.DUMMYFUNCTION("GOOGLETRANSLATE(A12238, ""en"", ""mt"")"),"Kemm riċetturi fuq ċellola T helper għandhom ikunu marbuta ma 'kumpless MHC: antiġen sabiex iċ-ċellula tiġi attivata?")</f>
        <v>Kemm riċetturi fuq ċellola T helper għandhom ikunu marbuta ma 'kumpless MHC: antiġen sabiex iċ-ċellula tiġi attivata?</v>
      </c>
    </row>
    <row r="12239" ht="15.75" customHeight="1">
      <c r="A12239" s="2" t="s">
        <v>12239</v>
      </c>
      <c r="B12239" s="2" t="str">
        <f>IFERROR(__xludf.DUMMYFUNCTION("GOOGLETRANSLATE(A12239, ""en"", ""mt"")"),"Prinċipju lokali-globali")</f>
        <v>Prinċipju lokali-globali</v>
      </c>
    </row>
    <row r="12240" ht="15.75" customHeight="1">
      <c r="A12240" s="2" t="s">
        <v>12240</v>
      </c>
      <c r="B12240" s="2" t="str">
        <f>IFERROR(__xludf.DUMMYFUNCTION("GOOGLETRANSLATE(A12240, ""en"", ""mt"")"),"Għandhom aktar assi finanzjarji mill-inqas 48 nazzjon magħquda.")</f>
        <v>Għandhom aktar assi finanzjarji mill-inqas 48 nazzjon magħquda.</v>
      </c>
    </row>
    <row r="12241" ht="15.75" customHeight="1">
      <c r="A12241" s="2" t="s">
        <v>12241</v>
      </c>
      <c r="B12241" s="2" t="str">
        <f>IFERROR(__xludf.DUMMYFUNCTION("GOOGLETRANSLATE(A12241, ""en"", ""mt"")"),"Liema komunità ta 'Jacksonville hija magħrufa li għandha rabtiet kbar man-Navy?")</f>
        <v>Liema komunità ta 'Jacksonville hija magħrufa li għandha rabtiet kbar man-Navy?</v>
      </c>
    </row>
    <row r="12242" ht="15.75" customHeight="1">
      <c r="A12242" s="2" t="s">
        <v>12242</v>
      </c>
      <c r="B12242" s="2" t="str">
        <f>IFERROR(__xludf.DUMMYFUNCTION("GOOGLETRANSLATE(A12242, ""en"", ""mt"")"),"Għaliex is-suċċessuri ta 'Kublai tilfu l-kontroll tal-kumplament tal-imperu Mongoljan?")</f>
        <v>Għaliex is-suċċessuri ta 'Kublai tilfu l-kontroll tal-kumplament tal-imperu Mongoljan?</v>
      </c>
    </row>
    <row r="12243" ht="15.75" customHeight="1">
      <c r="A12243" s="2" t="s">
        <v>12243</v>
      </c>
      <c r="B12243" s="2" t="str">
        <f>IFERROR(__xludf.DUMMYFUNCTION("GOOGLETRANSLATE(A12243, ""en"", ""mt"")"),"Għal liema perjodu ta 'żmien il-ġeoglyphs marru lura?")</f>
        <v>Għal liema perjodu ta 'żmien il-ġeoglyphs marru lura?</v>
      </c>
    </row>
    <row r="12244" ht="15.75" customHeight="1">
      <c r="A12244" s="2" t="s">
        <v>12244</v>
      </c>
      <c r="B12244" s="2" t="str">
        <f>IFERROR(__xludf.DUMMYFUNCTION("GOOGLETRANSLATE(A12244, ""en"", ""mt"")"),"Kemm żdiedet il-popolazzjoni ta 'Victoria f'għaxar snin wara l-iskoperta tad-deheb?")</f>
        <v>Kemm żdiedet il-popolazzjoni ta 'Victoria f'għaxar snin wara l-iskoperta tad-deheb?</v>
      </c>
    </row>
    <row r="12245" ht="15.75" customHeight="1">
      <c r="A12245" s="2" t="s">
        <v>12245</v>
      </c>
      <c r="B12245" s="2" t="str">
        <f>IFERROR(__xludf.DUMMYFUNCTION("GOOGLETRANSLATE(A12245, ""en"", ""mt"")"),"1745")</f>
        <v>1745</v>
      </c>
    </row>
    <row r="12246" ht="15.75" customHeight="1">
      <c r="A12246" s="2" t="s">
        <v>12246</v>
      </c>
      <c r="B12246" s="2" t="str">
        <f>IFERROR(__xludf.DUMMYFUNCTION("GOOGLETRANSLATE(A12246, ""en"", ""mt"")"),"Għarab u ħafna mill-bqija tat-tielet dinja")</f>
        <v>Għarab u ħafna mill-bqija tat-tielet dinja</v>
      </c>
    </row>
    <row r="12247" ht="15.75" customHeight="1">
      <c r="A12247" s="2" t="s">
        <v>12247</v>
      </c>
      <c r="B12247" s="2" t="str">
        <f>IFERROR(__xludf.DUMMYFUNCTION("GOOGLETRANSLATE(A12247, ""en"", ""mt"")"),"X'jiekol Mnemiopsis?")</f>
        <v>X'jiekol Mnemiopsis?</v>
      </c>
    </row>
    <row r="12248" ht="15.75" customHeight="1">
      <c r="A12248" s="2" t="s">
        <v>12248</v>
      </c>
      <c r="B12248" s="2" t="str">
        <f>IFERROR(__xludf.DUMMYFUNCTION("GOOGLETRANSLATE(A12248, ""en"", ""mt"")"),"X'inhu l-isem tal-liġi li imponiet il-limitu tal-veloċità?")</f>
        <v>X'inhu l-isem tal-liġi li imponiet il-limitu tal-veloċità?</v>
      </c>
    </row>
    <row r="12249" ht="15.75" customHeight="1">
      <c r="A12249" s="2" t="s">
        <v>12249</v>
      </c>
      <c r="B12249" s="2" t="str">
        <f>IFERROR(__xludf.DUMMYFUNCTION("GOOGLETRANSLATE(A12249, ""en"", ""mt"")"),"F’liema seklu seħħew żviluppi importanti tal-mużika klassika fin-Normandija?")</f>
        <v>F’liema seklu seħħew żviluppi importanti tal-mużika klassika fin-Normandija?</v>
      </c>
    </row>
    <row r="12250" ht="15.75" customHeight="1">
      <c r="A12250" s="2" t="s">
        <v>12250</v>
      </c>
      <c r="B12250" s="2" t="str">
        <f>IFERROR(__xludf.DUMMYFUNCTION("GOOGLETRANSLATE(A12250, ""en"", ""mt"")"),"X’wassal għal ħolqien ta ’awtostradi fil-foresta tropikali tal-Amażonja?")</f>
        <v>X’wassal għal ħolqien ta ’awtostradi fil-foresta tropikali tal-Amażonja?</v>
      </c>
    </row>
    <row r="12251" ht="15.75" customHeight="1">
      <c r="A12251" s="2" t="s">
        <v>12251</v>
      </c>
      <c r="B12251" s="2" t="str">
        <f>IFERROR(__xludf.DUMMYFUNCTION("GOOGLETRANSLATE(A12251, ""en"", ""mt"")"),"Kien hemm ħafna Mongoli b'liema status mhux mistenni?")</f>
        <v>Kien hemm ħafna Mongoli b'liema status mhux mistenni?</v>
      </c>
    </row>
    <row r="12252" ht="15.75" customHeight="1">
      <c r="A12252" s="2" t="s">
        <v>12252</v>
      </c>
      <c r="B12252" s="2" t="str">
        <f>IFERROR(__xludf.DUMMYFUNCTION("GOOGLETRANSLATE(A12252, ""en"", ""mt"")"),"felċi")</f>
        <v>felċi</v>
      </c>
    </row>
    <row r="12253" ht="15.75" customHeight="1">
      <c r="A12253" s="2" t="s">
        <v>12253</v>
      </c>
      <c r="B12253" s="2" t="str">
        <f>IFERROR(__xludf.DUMMYFUNCTION("GOOGLETRANSLATE(A12253, ""en"", ""mt"")"),"il- ""graff tal-hockey stick""")</f>
        <v>il- "graff tal-hockey stick"</v>
      </c>
    </row>
    <row r="12254" ht="15.75" customHeight="1">
      <c r="A12254" s="2" t="s">
        <v>12254</v>
      </c>
      <c r="B12254" s="2" t="str">
        <f>IFERROR(__xludf.DUMMYFUNCTION("GOOGLETRANSLATE(A12254, ""en"", ""mt"")"),"X'inhu l-isem tal-park f'Atascadero?")</f>
        <v>X'inhu l-isem tal-park f'Atascadero?</v>
      </c>
    </row>
    <row r="12255" ht="15.75" customHeight="1">
      <c r="A12255" s="2" t="s">
        <v>12255</v>
      </c>
      <c r="B12255" s="2" t="str">
        <f>IFERROR(__xludf.DUMMYFUNCTION("GOOGLETRANSLATE(A12255, ""en"", ""mt"")"),"Liema viċinat ħoloq Huguenots f'Hamburg?")</f>
        <v>Liema viċinat ħoloq Huguenots f'Hamburg?</v>
      </c>
    </row>
    <row r="12256" ht="15.75" customHeight="1">
      <c r="A12256" s="2" t="s">
        <v>12256</v>
      </c>
      <c r="B12256" s="2" t="str">
        <f>IFERROR(__xludf.DUMMYFUNCTION("GOOGLETRANSLATE(A12256, ""en"", ""mt"")"),"X'inhuma dawk bi dħul aktar baxx li spiss ma jkunux jistgħu jimmaniġġjaw?")</f>
        <v>X'inhuma dawk bi dħul aktar baxx li spiss ma jkunux jistgħu jimmaniġġjaw?</v>
      </c>
    </row>
    <row r="12257" ht="15.75" customHeight="1">
      <c r="A12257" s="2" t="s">
        <v>12257</v>
      </c>
      <c r="B12257" s="2" t="str">
        <f>IFERROR(__xludf.DUMMYFUNCTION("GOOGLETRANSLATE(A12257, ""en"", ""mt"")"),"kumplessità")</f>
        <v>kumplessità</v>
      </c>
    </row>
    <row r="12258" ht="15.75" customHeight="1">
      <c r="A12258" s="2" t="s">
        <v>12258</v>
      </c>
      <c r="B12258" s="2" t="str">
        <f>IFERROR(__xludf.DUMMYFUNCTION("GOOGLETRANSLATE(A12258, ""en"", ""mt"")"),"Min wera li l-forzi elettriċi u manjetiċi ġew unifikati permezz ta 'żewġ teoriji konsistenti?")</f>
        <v>Min wera li l-forzi elettriċi u manjetiċi ġew unifikati permezz ta 'żewġ teoriji konsistenti?</v>
      </c>
    </row>
    <row r="12259" ht="15.75" customHeight="1">
      <c r="A12259" s="2" t="s">
        <v>12259</v>
      </c>
      <c r="B12259" s="2" t="str">
        <f>IFERROR(__xludf.DUMMYFUNCTION("GOOGLETRANSLATE(A12259, ""en"", ""mt"")"),"29 ta 'Marzu, 1883")</f>
        <v>29 ta 'Marzu, 1883</v>
      </c>
    </row>
    <row r="12260" ht="15.75" customHeight="1">
      <c r="A12260" s="2" t="s">
        <v>12260</v>
      </c>
      <c r="B12260" s="2" t="str">
        <f>IFERROR(__xludf.DUMMYFUNCTION("GOOGLETRANSLATE(A12260, ""en"", ""mt"")"),"Azzar li ma jissaddadx")</f>
        <v>Azzar li ma jissaddadx</v>
      </c>
    </row>
    <row r="12261" ht="15.75" customHeight="1">
      <c r="A12261" s="2" t="s">
        <v>12261</v>
      </c>
      <c r="B12261" s="2" t="str">
        <f>IFERROR(__xludf.DUMMYFUNCTION("GOOGLETRANSLATE(A12261, ""en"", ""mt"")"),"Disinn tipiku tal-pajjiżi tal-blokk tal-Lvant")</f>
        <v>Disinn tipiku tal-pajjiżi tal-blokk tal-Lvant</v>
      </c>
    </row>
    <row r="12262" ht="15.75" customHeight="1">
      <c r="A12262" s="2" t="s">
        <v>12262</v>
      </c>
      <c r="B12262" s="2" t="str">
        <f>IFERROR(__xludf.DUMMYFUNCTION("GOOGLETRANSLATE(A12262, ""en"", ""mt"")"),"X'inhi l-akbar reliġjon mhux Kristjana tar-Rabat?")</f>
        <v>X'inhi l-akbar reliġjon mhux Kristjana tar-Rabat?</v>
      </c>
    </row>
    <row r="12263" ht="15.75" customHeight="1">
      <c r="A12263" s="2" t="s">
        <v>12263</v>
      </c>
      <c r="B12263" s="2" t="str">
        <f>IFERROR(__xludf.DUMMYFUNCTION("GOOGLETRANSLATE(A12263, ""en"", ""mt"")"),"X'tipi ta 'impjegati u d-ditta tad-disinn interjuri normalment ikollha?")</f>
        <v>X'tipi ta 'impjegati u d-ditta tad-disinn interjuri normalment ikollha?</v>
      </c>
    </row>
    <row r="12264" ht="15.75" customHeight="1">
      <c r="A12264" s="2" t="s">
        <v>12264</v>
      </c>
      <c r="B12264" s="2" t="str">
        <f>IFERROR(__xludf.DUMMYFUNCTION("GOOGLETRANSLATE(A12264, ""en"", ""mt"")"),"Kif jgħaddu l-kontijiet mill-Parlament?")</f>
        <v>Kif jgħaddu l-kontijiet mill-Parlament?</v>
      </c>
    </row>
    <row r="12265" ht="15.75" customHeight="1">
      <c r="A12265" s="2" t="s">
        <v>12265</v>
      </c>
      <c r="B12265" s="2" t="str">
        <f>IFERROR(__xludf.DUMMYFUNCTION("GOOGLETRANSLATE(A12265, ""en"", ""mt"")"),"X'ġara meta l-iskejjel għolja pubbliċi kisbu akkreditazzjoni?")</f>
        <v>X'ġara meta l-iskejjel għolja pubbliċi kisbu akkreditazzjoni?</v>
      </c>
    </row>
    <row r="12266" ht="15.75" customHeight="1">
      <c r="A12266" s="2" t="s">
        <v>12266</v>
      </c>
      <c r="B12266" s="2" t="str">
        <f>IFERROR(__xludf.DUMMYFUNCTION("GOOGLETRANSLATE(A12266, ""en"", ""mt"")"),"430 QK")</f>
        <v>430 QK</v>
      </c>
    </row>
    <row r="12267" ht="15.75" customHeight="1">
      <c r="A12267" s="2" t="s">
        <v>12267</v>
      </c>
      <c r="B12267" s="2" t="str">
        <f>IFERROR(__xludf.DUMMYFUNCTION("GOOGLETRANSLATE(A12267, ""en"", ""mt"")"),"Liema ittra ma ppreżentatx lil Washington lil Saint-Pierre?")</f>
        <v>Liema ittra ma ppreżentatx lil Washington lil Saint-Pierre?</v>
      </c>
    </row>
    <row r="12268" ht="15.75" customHeight="1">
      <c r="A12268" s="2" t="s">
        <v>12268</v>
      </c>
      <c r="B12268" s="2" t="str">
        <f>IFERROR(__xludf.DUMMYFUNCTION("GOOGLETRANSLATE(A12268, ""en"", ""mt"")"),"Premier")</f>
        <v>Premier</v>
      </c>
    </row>
    <row r="12269" ht="15.75" customHeight="1">
      <c r="A12269" s="2" t="s">
        <v>12269</v>
      </c>
      <c r="B12269" s="2" t="str">
        <f>IFERROR(__xludf.DUMMYFUNCTION("GOOGLETRANSLATE(A12269, ""en"", ""mt"")"),"Bejn Bingen u Bonn, ir-Renu Nofsani jgħaddi minn ġol-Gorge tar-Rhine, formazzjoni li nħolqot mill-erożjoni. Ir-rata ta 'erożjoni kienet daqs l-uplift fir-reġjun, tali li x-xmara tħalliet madwar il-livell oriġinali tagħha waqt li l-artijiet tal-madwar tqaj"&amp;"mu. Il-gorge huwa pjuttost fil-fond u huwa l-medda tax-xmara li hija magħrufa għall-ħafna kastelli u dwieli tagħha. Huwa Sit ta 'Wirt Dinji tal-UNESCO (2002) u magħruf bħala ""Ir-Renu Romantiku"", b'aktar minn 40 kastell u fortizzi mill-Medju Evu u ħafna "&amp;"villaġġi ta' pajjiż pittoresk u sbieħ.")</f>
        <v>Bejn Bingen u Bonn, ir-Renu Nofsani jgħaddi minn ġol-Gorge tar-Rhine, formazzjoni li nħolqot mill-erożjoni. Ir-rata ta 'erożjoni kienet daqs l-uplift fir-reġjun, tali li x-xmara tħalliet madwar il-livell oriġinali tagħha waqt li l-artijiet tal-madwar tqajmu. Il-gorge huwa pjuttost fil-fond u huwa l-medda tax-xmara li hija magħrufa għall-ħafna kastelli u dwieli tagħha. Huwa Sit ta 'Wirt Dinji tal-UNESCO (2002) u magħruf bħala "Ir-Renu Romantiku", b'aktar minn 40 kastell u fortizzi mill-Medju Evu u ħafna villaġġi ta' pajjiż pittoresk u sbieħ.</v>
      </c>
    </row>
    <row r="12270" ht="15.75" customHeight="1">
      <c r="A12270" s="2" t="s">
        <v>12270</v>
      </c>
      <c r="B12270" s="2" t="str">
        <f>IFERROR(__xludf.DUMMYFUNCTION("GOOGLETRANSLATE(A12270, ""en"", ""mt"")"),"Iżlamisti moderati u riformisti li jaċċettaw u jaħdmu fil-proċess demokratiku jinkludu partijiet bħall-moviment Tuneżin Ennahda. Il-Jamaat-e-Islami tal-Pakistan huwa bażikament partit soċjo-politiku u Demokratiku Vanguard iżda kiseb ukoll influwenza polit"&amp;"ika permezz ta 'kolp ta' stat militari fil-passat. Il-gruppi Iżlamisti bħal Hezbollah fil-Libanu u l-Ħamas fil-Palestina jipparteċipaw fil-proċess demokratiku u politiku kif ukoll attakki armati, li jfittxu li jabolixxu l-istat ta ’Iżrael. Organizzazzjoni"&amp;"jiet Iżlamiċi radikali bħal Al-Qaeda u l-Ġiħad Iżlamiku Eġizzjan, u gruppi bħat-Taliban, jirrifjutaw kompletament id-demokrazija, li spiss jiddikjaraw bħala kuffar dawk il-Musulmani li jappoġġjawha (ara t-takfirizmu), kif ukoll jitolbu għal jihad vjolenti"&amp;" / offensiv jew li jħeġġeġ twettaq attakki fuq bażi reliġjuża.")</f>
        <v>Iżlamisti moderati u riformisti li jaċċettaw u jaħdmu fil-proċess demokratiku jinkludu partijiet bħall-moviment Tuneżin Ennahda. Il-Jamaat-e-Islami tal-Pakistan huwa bażikament partit soċjo-politiku u Demokratiku Vanguard iżda kiseb ukoll influwenza politika permezz ta 'kolp ta' stat militari fil-passat. Il-gruppi Iżlamisti bħal Hezbollah fil-Libanu u l-Ħamas fil-Palestina jipparteċipaw fil-proċess demokratiku u politiku kif ukoll attakki armati, li jfittxu li jabolixxu l-istat ta ’Iżrael. Organizzazzjonijiet Iżlamiċi radikali bħal Al-Qaeda u l-Ġiħad Iżlamiku Eġizzjan, u gruppi bħat-Taliban, jirrifjutaw kompletament id-demokrazija, li spiss jiddikjaraw bħala kuffar dawk il-Musulmani li jappoġġjawha (ara t-takfirizmu), kif ukoll jitolbu għal jihad vjolenti / offensiv jew li jħeġġeġ twettaq attakki fuq bażi reliġjuża.</v>
      </c>
    </row>
    <row r="12271" ht="15.75" customHeight="1">
      <c r="A12271" s="2" t="s">
        <v>12271</v>
      </c>
      <c r="B12271" s="2" t="str">
        <f>IFERROR(__xludf.DUMMYFUNCTION("GOOGLETRANSLATE(A12271, ""en"", ""mt"")"),"Kemm Protestanti jgħixu fi Franza llum?")</f>
        <v>Kemm Protestanti jgħixu fi Franza llum?</v>
      </c>
    </row>
    <row r="12272" ht="15.75" customHeight="1">
      <c r="A12272" s="2" t="s">
        <v>12272</v>
      </c>
      <c r="B12272" s="2" t="str">
        <f>IFERROR(__xludf.DUMMYFUNCTION("GOOGLETRANSLATE(A12272, ""en"", ""mt"")"),"Min għandu l-kompitu li jiżgura li l-membri tal-partit jivvutaw skont il-linja tal-partit?")</f>
        <v>Min għandu l-kompitu li jiżgura li l-membri tal-partit jivvutaw skont il-linja tal-partit?</v>
      </c>
    </row>
    <row r="12273" ht="15.75" customHeight="1">
      <c r="A12273" s="2" t="s">
        <v>12273</v>
      </c>
      <c r="B12273" s="2" t="str">
        <f>IFERROR(__xludf.DUMMYFUNCTION("GOOGLETRANSLATE(A12273, ""en"", ""mt"")"),"Liema organizzazzjoni rranġat għall-fondazzjoni tal-iskola?")</f>
        <v>Liema organizzazzjoni rranġat għall-fondazzjoni tal-iskola?</v>
      </c>
    </row>
    <row r="12274" ht="15.75" customHeight="1">
      <c r="A12274" s="2" t="s">
        <v>12274</v>
      </c>
      <c r="B12274" s="2" t="str">
        <f>IFERROR(__xludf.DUMMYFUNCTION("GOOGLETRANSLATE(A12274, ""en"", ""mt"")"),"Artifact")</f>
        <v>Artifact</v>
      </c>
    </row>
    <row r="12275" ht="15.75" customHeight="1">
      <c r="A12275" s="2" t="s">
        <v>12275</v>
      </c>
      <c r="B12275" s="2" t="str">
        <f>IFERROR(__xludf.DUMMYFUNCTION("GOOGLETRANSLATE(A12275, ""en"", ""mt"")"),"Is-suċċess ta 'kwalunkwe patoġen jiddependi fuq il-kapaċità tiegħu li jeħles ir-risponsi immuni ospitanti. Għalhekk, il-patoġeni evolvew diversi metodi li jippermettulhom jinfettaw b'suċċess lil host, filwaqt li jevadu d-detezzjoni jew il-qerda mis-sistem"&amp;"a immunitarja. Il-batterji ħafna drabi jegħlbu l-ostakli fiżiċi billi jneħħu enzimi li jiddiġerixxu l-barriera, pereżempju, billi jużaw sistema ta 'sekrezzjoni tat-tip II. Alternattivament, bl-użu ta 'sistema ta' sekrezzjoni tat-tip III, huma jistgħu jdaħ"&amp;"ħlu tubu vojt fiċ-ċellula ospitanti, u jipprovdu rotta diretta għall-proteini biex jimxu mill-patoġen għall-ospitanti. Dawn il-proteini ħafna drabi jintużaw biex jagħlqu d-difiżi ospitanti.")</f>
        <v>Is-suċċess ta 'kwalunkwe patoġen jiddependi fuq il-kapaċità tiegħu li jeħles ir-risponsi immuni ospitanti. Għalhekk, il-patoġeni evolvew diversi metodi li jippermettulhom jinfettaw b'suċċess lil host, filwaqt li jevadu d-detezzjoni jew il-qerda mis-sistema immunitarja. Il-batterji ħafna drabi jegħlbu l-ostakli fiżiċi billi jneħħu enzimi li jiddiġerixxu l-barriera, pereżempju, billi jużaw sistema ta 'sekrezzjoni tat-tip II. Alternattivament, bl-użu ta 'sistema ta' sekrezzjoni tat-tip III, huma jistgħu jdaħħlu tubu vojt fiċ-ċellula ospitanti, u jipprovdu rotta diretta għall-proteini biex jimxu mill-patoġen għall-ospitanti. Dawn il-proteini ħafna drabi jintużaw biex jagħlqu d-difiżi ospitanti.</v>
      </c>
    </row>
    <row r="12276" ht="15.75" customHeight="1">
      <c r="A12276" s="2" t="s">
        <v>12276</v>
      </c>
      <c r="B12276" s="2" t="str">
        <f>IFERROR(__xludf.DUMMYFUNCTION("GOOGLETRANSLATE(A12276, ""en"", ""mt"")"),"Liema liġi hija regola ta 'vettur żieda?")</f>
        <v>Liema liġi hija regola ta 'vettur żieda?</v>
      </c>
    </row>
    <row r="12277" ht="15.75" customHeight="1">
      <c r="A12277" s="2" t="s">
        <v>12277</v>
      </c>
      <c r="B12277" s="2" t="str">
        <f>IFERROR(__xludf.DUMMYFUNCTION("GOOGLETRANSLATE(A12277, ""en"", ""mt"")"),"Films tat-tieni u t-tielet ġirja, flimkien ma 'films klassiċi")</f>
        <v>Films tat-tieni u t-tielet ġirja, flimkien ma 'films klassiċi</v>
      </c>
    </row>
    <row r="12278" ht="15.75" customHeight="1">
      <c r="A12278" s="2" t="s">
        <v>12278</v>
      </c>
      <c r="B12278" s="2" t="str">
        <f>IFERROR(__xludf.DUMMYFUNCTION("GOOGLETRANSLATE(A12278, ""en"", ""mt"")"),"494,665")</f>
        <v>494,665</v>
      </c>
    </row>
    <row r="12279" ht="15.75" customHeight="1">
      <c r="A12279" s="2" t="s">
        <v>12279</v>
      </c>
      <c r="B12279" s="2" t="str">
        <f>IFERROR(__xludf.DUMMYFUNCTION("GOOGLETRANSLATE(A12279, ""en"", ""mt"")"),"mergħa għall-baqar")</f>
        <v>mergħa għall-baqar</v>
      </c>
    </row>
    <row r="12280" ht="15.75" customHeight="1">
      <c r="A12280" s="2" t="s">
        <v>12280</v>
      </c>
      <c r="B12280" s="2" t="str">
        <f>IFERROR(__xludf.DUMMYFUNCTION("GOOGLETRANSLATE(A12280, ""en"", ""mt"")"),"jirrendu ċerti liġijiet ineffettivi, biex jikkawżaw ir-revoka tagħhom")</f>
        <v>jirrendu ċerti liġijiet ineffettivi, biex jikkawżaw ir-revoka tagħhom</v>
      </c>
    </row>
    <row r="12281" ht="15.75" customHeight="1">
      <c r="A12281" s="2" t="s">
        <v>12281</v>
      </c>
      <c r="B12281" s="2" t="str">
        <f>IFERROR(__xludf.DUMMYFUNCTION("GOOGLETRANSLATE(A12281, ""en"", ""mt"")"),"X'inhu mod wieħed kif tuża diskors pur biex tilħaq kemm jista 'jkun nies biex jipprotestaw?")</f>
        <v>X'inhu mod wieħed kif tuża diskors pur biex tilħaq kemm jista 'jkun nies biex jipprotestaw?</v>
      </c>
    </row>
    <row r="12282" ht="15.75" customHeight="1">
      <c r="A12282" s="2" t="s">
        <v>12282</v>
      </c>
      <c r="B12282" s="2" t="str">
        <f>IFERROR(__xludf.DUMMYFUNCTION("GOOGLETRANSLATE(A12282, ""en"", ""mt"")"),"Liema ideat immotivaw lil Channing biex tneħħi l-Kristjaneżmu bħala dominanti fil-kurrikulu tal-kulleġġ?")</f>
        <v>Liema ideat immotivaw lil Channing biex tneħħi l-Kristjaneżmu bħala dominanti fil-kurrikulu tal-kulleġġ?</v>
      </c>
    </row>
    <row r="12283" ht="15.75" customHeight="1">
      <c r="A12283" s="2" t="s">
        <v>12283</v>
      </c>
      <c r="B12283" s="2" t="str">
        <f>IFERROR(__xludf.DUMMYFUNCTION("GOOGLETRANSLATE(A12283, ""en"", ""mt"")"),"Kif ma kinux il-familji tal-garrison Mongolja li jaqilgħu l-flus?")</f>
        <v>Kif ma kinux il-familji tal-garrison Mongolja li jaqilgħu l-flus?</v>
      </c>
    </row>
    <row r="12284" ht="15.75" customHeight="1">
      <c r="A12284" s="2" t="s">
        <v>12284</v>
      </c>
      <c r="B12284" s="2" t="str">
        <f>IFERROR(__xludf.DUMMYFUNCTION("GOOGLETRANSLATE(A12284, ""en"", ""mt"")"),"Kemm kienet żgħira l-udjenza li qalet li Bskyb ma setgħux jilħqu?")</f>
        <v>Kemm kienet żgħira l-udjenza li qalet li Bskyb ma setgħux jilħqu?</v>
      </c>
    </row>
    <row r="12285" ht="15.75" customHeight="1">
      <c r="A12285" s="2" t="s">
        <v>12285</v>
      </c>
      <c r="B12285" s="2" t="str">
        <f>IFERROR(__xludf.DUMMYFUNCTION("GOOGLETRANSLATE(A12285, ""en"", ""mt"")"),"Min ma jibbenefikax meta proġett ma jsegwix distrett residenzjali?")</f>
        <v>Min ma jibbenefikax meta proġett ma jsegwix distrett residenzjali?</v>
      </c>
    </row>
    <row r="12286" ht="15.75" customHeight="1">
      <c r="A12286" s="2" t="s">
        <v>12286</v>
      </c>
      <c r="B12286" s="2" t="str">
        <f>IFERROR(__xludf.DUMMYFUNCTION("GOOGLETRANSLATE(A12286, ""en"", ""mt"")"),"Semi-legali")</f>
        <v>Semi-legali</v>
      </c>
    </row>
    <row r="12287" ht="15.75" customHeight="1">
      <c r="A12287" s="2" t="s">
        <v>12287</v>
      </c>
      <c r="B12287" s="2" t="str">
        <f>IFERROR(__xludf.DUMMYFUNCTION("GOOGLETRANSLATE(A12287, ""en"", ""mt"")"),"Liema kumplessità tal-każ hija rrappreżentata meta jkun meħtieġ żmien limitat biex issortja interi?")</f>
        <v>Liema kumplessità tal-każ hija rrappreżentata meta jkun meħtieġ żmien limitat biex issortja interi?</v>
      </c>
    </row>
    <row r="12288" ht="15.75" customHeight="1">
      <c r="A12288" s="2" t="s">
        <v>12288</v>
      </c>
      <c r="B12288" s="2" t="str">
        <f>IFERROR(__xludf.DUMMYFUNCTION("GOOGLETRANSLATE(A12288, ""en"", ""mt"")"),"Xita")</f>
        <v>Xita</v>
      </c>
    </row>
    <row r="12289" ht="15.75" customHeight="1">
      <c r="A12289" s="2" t="s">
        <v>12289</v>
      </c>
      <c r="B12289" s="2" t="str">
        <f>IFERROR(__xludf.DUMMYFUNCTION("GOOGLETRANSLATE(A12289, ""en"", ""mt"")"),"Sybilla tan-Normandija")</f>
        <v>Sybilla tan-Normandija</v>
      </c>
    </row>
    <row r="12290" ht="15.75" customHeight="1">
      <c r="A12290" s="2" t="s">
        <v>12290</v>
      </c>
      <c r="B12290" s="2" t="str">
        <f>IFERROR(__xludf.DUMMYFUNCTION("GOOGLETRANSLATE(A12290, ""en"", ""mt"")"),"Kemm tunnellata ta 'trab jibqa' fl-arja?")</f>
        <v>Kemm tunnellata ta 'trab jibqa' fl-arja?</v>
      </c>
    </row>
    <row r="12291" ht="15.75" customHeight="1">
      <c r="A12291" s="2" t="s">
        <v>12291</v>
      </c>
      <c r="B12291" s="2" t="str">
        <f>IFERROR(__xludf.DUMMYFUNCTION("GOOGLETRANSLATE(A12291, ""en"", ""mt"")"),"inqas minn jew daqs l-għerq kwadru ta 'n")</f>
        <v>inqas minn jew daqs l-għerq kwadru ta 'n</v>
      </c>
    </row>
    <row r="12292" ht="15.75" customHeight="1">
      <c r="A12292" s="2" t="s">
        <v>12292</v>
      </c>
      <c r="B12292" s="2" t="str">
        <f>IFERROR(__xludf.DUMMYFUNCTION("GOOGLETRANSLATE(A12292, ""en"", ""mt"")"),"Kemm mill-ġid globali se jkun l-aktar sinjur 1 fil-mija sal-2016?")</f>
        <v>Kemm mill-ġid globali se jkun l-aktar sinjur 1 fil-mija sal-2016?</v>
      </c>
    </row>
    <row r="12293" ht="15.75" customHeight="1">
      <c r="A12293" s="2" t="s">
        <v>12293</v>
      </c>
      <c r="B12293" s="2" t="str">
        <f>IFERROR(__xludf.DUMMYFUNCTION("GOOGLETRANSLATE(A12293, ""en"", ""mt"")"),"X'kien ir-rwol ta 'Houghton?")</f>
        <v>X'kien ir-rwol ta 'Houghton?</v>
      </c>
    </row>
    <row r="12294" ht="15.75" customHeight="1">
      <c r="A12294" s="2" t="s">
        <v>12294</v>
      </c>
      <c r="B12294" s="2" t="str">
        <f>IFERROR(__xludf.DUMMYFUNCTION("GOOGLETRANSLATE(A12294, ""en"", ""mt"")"),"Fejn tibda d-Delta fl-Olanda?")</f>
        <v>Fejn tibda d-Delta fl-Olanda?</v>
      </c>
    </row>
    <row r="12295" ht="15.75" customHeight="1">
      <c r="A12295" s="2" t="s">
        <v>12295</v>
      </c>
      <c r="B12295" s="2" t="str">
        <f>IFERROR(__xludf.DUMMYFUNCTION("GOOGLETRANSLATE(A12295, ""en"", ""mt"")"),"Dak li ma kienx simili għat-Trattat ta 'Lisbona?")</f>
        <v>Dak li ma kienx simili għat-Trattat ta 'Lisbona?</v>
      </c>
    </row>
    <row r="12296" ht="15.75" customHeight="1">
      <c r="A12296" s="2" t="s">
        <v>12296</v>
      </c>
      <c r="B12296" s="2" t="str">
        <f>IFERROR(__xludf.DUMMYFUNCTION("GOOGLETRANSLATE(A12296, ""en"", ""mt"")"),"fond")</f>
        <v>fond</v>
      </c>
    </row>
    <row r="12297" ht="15.75" customHeight="1">
      <c r="A12297" s="2" t="s">
        <v>12297</v>
      </c>
      <c r="B12297" s="2" t="str">
        <f>IFERROR(__xludf.DUMMYFUNCTION("GOOGLETRANSLATE(A12297, ""en"", ""mt"")"),"Pressjonijiet totali baxxi")</f>
        <v>Pressjonijiet totali baxxi</v>
      </c>
    </row>
    <row r="12298" ht="15.75" customHeight="1">
      <c r="A12298" s="2" t="s">
        <v>12298</v>
      </c>
      <c r="B12298" s="2" t="str">
        <f>IFERROR(__xludf.DUMMYFUNCTION("GOOGLETRANSLATE(A12298, ""en"", ""mt"")"),"X'kien akkużat Abu Hamaz al-Masri meta ġie meħlus?")</f>
        <v>X'kien akkużat Abu Hamaz al-Masri meta ġie meħlus?</v>
      </c>
    </row>
    <row r="12299" ht="15.75" customHeight="1">
      <c r="A12299" s="2" t="s">
        <v>12299</v>
      </c>
      <c r="B12299" s="2" t="str">
        <f>IFERROR(__xludf.DUMMYFUNCTION("GOOGLETRANSLATE(A12299, ""en"", ""mt"")"),"B'liema metodu ma riedx jibdel il-qlub u l-imħuħ ta 'individwi?")</f>
        <v>B'liema metodu ma riedx jibdel il-qlub u l-imħuħ ta 'individwi?</v>
      </c>
    </row>
    <row r="12300" ht="15.75" customHeight="1">
      <c r="A12300" s="2" t="s">
        <v>12300</v>
      </c>
      <c r="B12300" s="2" t="str">
        <f>IFERROR(__xludf.DUMMYFUNCTION("GOOGLETRANSLATE(A12300, ""en"", ""mt"")"),"Afrikani-Amerikani")</f>
        <v>Afrikani-Amerikani</v>
      </c>
    </row>
    <row r="12301" ht="15.75" customHeight="1">
      <c r="A12301" s="2" t="s">
        <v>12301</v>
      </c>
      <c r="B12301" s="2" t="str">
        <f>IFERROR(__xludf.DUMMYFUNCTION("GOOGLETRANSLATE(A12301, ""en"", ""mt"")"),"X'jagħmel 23.1% tal-massa tad-Dinja?")</f>
        <v>X'jagħmel 23.1% tal-massa tad-Dinja?</v>
      </c>
    </row>
    <row r="12302" ht="15.75" customHeight="1">
      <c r="A12302" s="2" t="s">
        <v>12302</v>
      </c>
      <c r="B12302" s="2" t="str">
        <f>IFERROR(__xludf.DUMMYFUNCTION("GOOGLETRANSLATE(A12302, ""en"", ""mt"")"),"Dragons Rock")</f>
        <v>Dragons Rock</v>
      </c>
    </row>
    <row r="12303" ht="15.75" customHeight="1">
      <c r="A12303" s="2" t="s">
        <v>12303</v>
      </c>
      <c r="B12303" s="2" t="str">
        <f>IFERROR(__xludf.DUMMYFUNCTION("GOOGLETRANSLATE(A12303, ""en"", ""mt"")"),"it-tielet")</f>
        <v>it-tielet</v>
      </c>
    </row>
    <row r="12304" ht="15.75" customHeight="1">
      <c r="A12304" s="2" t="s">
        <v>12304</v>
      </c>
      <c r="B12304" s="2" t="str">
        <f>IFERROR(__xludf.DUMMYFUNCTION("GOOGLETRANSLATE(A12304, ""en"", ""mt"")"),"Liema parti hija miżjuda mal-magna Uniflow biex issolvi l-kwistjoni fiċ-ċiklu tal-kontro-fluss?")</f>
        <v>Liema parti hija miżjuda mal-magna Uniflow biex issolvi l-kwistjoni fiċ-ċiklu tal-kontro-fluss?</v>
      </c>
    </row>
    <row r="12305" ht="15.75" customHeight="1">
      <c r="A12305" s="2" t="s">
        <v>12305</v>
      </c>
      <c r="B12305" s="2" t="str">
        <f>IFERROR(__xludf.DUMMYFUNCTION("GOOGLETRANSLATE(A12305, ""en"", ""mt"")"),"X'għandu ppubblika Charles Darwin fl-1830?")</f>
        <v>X'għandu ppubblika Charles Darwin fl-1830?</v>
      </c>
    </row>
    <row r="12306" ht="15.75" customHeight="1">
      <c r="A12306" s="2" t="s">
        <v>12306</v>
      </c>
      <c r="B12306" s="2" t="str">
        <f>IFERROR(__xludf.DUMMYFUNCTION("GOOGLETRANSLATE(A12306, ""en"", ""mt"")"),"F'liema sena Samuel K. Cohn, Jr qrajt ix-xogħol ewlieni ta 'Graham Twigg?")</f>
        <v>F'liema sena Samuel K. Cohn, Jr qrajt ix-xogħol ewlieni ta 'Graham Twigg?</v>
      </c>
    </row>
    <row r="12307" ht="15.75" customHeight="1">
      <c r="A12307" s="2" t="s">
        <v>12307</v>
      </c>
      <c r="B12307" s="2" t="str">
        <f>IFERROR(__xludf.DUMMYFUNCTION("GOOGLETRANSLATE(A12307, ""en"", ""mt"")"),"Waqt li tipproduċi l-ossiġnu, liema gass jassorbi l-għarbiel taż-żeoliti?")</f>
        <v>Waqt li tipproduċi l-ossiġnu, liema gass jassorbi l-għarbiel taż-żeoliti?</v>
      </c>
    </row>
    <row r="12308" ht="15.75" customHeight="1">
      <c r="A12308" s="2" t="s">
        <v>12308</v>
      </c>
      <c r="B12308" s="2" t="str">
        <f>IFERROR(__xludf.DUMMYFUNCTION("GOOGLETRANSLATE(A12308, ""en"", ""mt"")"),"Kemm hemm abitanti li fih iż-żona ta 'Los Angeles?")</f>
        <v>Kemm hemm abitanti li fih iż-żona ta 'Los Angeles?</v>
      </c>
    </row>
    <row r="12309" ht="15.75" customHeight="1">
      <c r="A12309" s="2" t="s">
        <v>12309</v>
      </c>
      <c r="B12309" s="2" t="str">
        <f>IFERROR(__xludf.DUMMYFUNCTION("GOOGLETRANSLATE(A12309, ""en"", ""mt"")"),"vertebrati bikrija")</f>
        <v>vertebrati bikrija</v>
      </c>
    </row>
    <row r="12310" ht="15.75" customHeight="1">
      <c r="A12310" s="2" t="s">
        <v>12310</v>
      </c>
      <c r="B12310" s="2" t="str">
        <f>IFERROR(__xludf.DUMMYFUNCTION("GOOGLETRANSLATE(A12310, ""en"", ""mt"")"),"Is-suġġetti akkademiċi tas-soltu")</f>
        <v>Is-suġġetti akkademiċi tas-soltu</v>
      </c>
    </row>
    <row r="12311" ht="15.75" customHeight="1">
      <c r="A12311" s="2" t="s">
        <v>12311</v>
      </c>
      <c r="B12311" s="2" t="str">
        <f>IFERROR(__xludf.DUMMYFUNCTION("GOOGLETRANSLATE(A12311, ""en"", ""mt"")"),"negozjar kollettiv, influwenza politika, jew korruzzjoni")</f>
        <v>negozjar kollettiv, influwenza politika, jew korruzzjoni</v>
      </c>
    </row>
    <row r="12312" ht="15.75" customHeight="1">
      <c r="A12312" s="2" t="s">
        <v>12312</v>
      </c>
      <c r="B12312" s="2" t="str">
        <f>IFERROR(__xludf.DUMMYFUNCTION("GOOGLETRANSLATE(A12312, ""en"", ""mt"")"),"Kemm prinċipji ġenerali ma tiddikjarax il-karta soċjali?")</f>
        <v>Kemm prinċipji ġenerali ma tiddikjarax il-karta soċjali?</v>
      </c>
    </row>
    <row r="12313" ht="15.75" customHeight="1">
      <c r="A12313" s="2" t="s">
        <v>12313</v>
      </c>
      <c r="B12313" s="2" t="str">
        <f>IFERROR(__xludf.DUMMYFUNCTION("GOOGLETRANSLATE(A12313, ""en"", ""mt"")"),"Letteratura, Kartografija, Ġeografija, u Edukazzjoni Xjentifika")</f>
        <v>Letteratura, Kartografija, Ġeografija, u Edukazzjoni Xjentifika</v>
      </c>
    </row>
    <row r="12314" ht="15.75" customHeight="1">
      <c r="A12314" s="2" t="s">
        <v>12314</v>
      </c>
      <c r="B12314" s="2" t="str">
        <f>IFERROR(__xludf.DUMMYFUNCTION("GOOGLETRANSLATE(A12314, ""en"", ""mt"")"),"NP≡N (Mod P)")</f>
        <v>NP≡N (Mod P)</v>
      </c>
    </row>
    <row r="12315" ht="15.75" customHeight="1">
      <c r="A12315" s="2" t="s">
        <v>12315</v>
      </c>
      <c r="B12315" s="2" t="str">
        <f>IFERROR(__xludf.DUMMYFUNCTION("GOOGLETRANSLATE(A12315, ""en"", ""mt"")"),"Għal xiex huma magħrufa l-korsijiet tal-gradwati fl-U ta 'Ċ?")</f>
        <v>Għal xiex huma magħrufa l-korsijiet tal-gradwati fl-U ta 'Ċ?</v>
      </c>
    </row>
    <row r="12316" ht="15.75" customHeight="1">
      <c r="A12316" s="2" t="s">
        <v>12316</v>
      </c>
      <c r="B12316" s="2" t="str">
        <f>IFERROR(__xludf.DUMMYFUNCTION("GOOGLETRANSLATE(A12316, ""en"", ""mt"")"),"Min hu l-portijiet ewlenin kienu kkontrollati mill-Ingliż?")</f>
        <v>Min hu l-portijiet ewlenin kienu kkontrollati mill-Ingliż?</v>
      </c>
    </row>
    <row r="12317" ht="15.75" customHeight="1">
      <c r="A12317" s="2" t="s">
        <v>12317</v>
      </c>
      <c r="B12317" s="2" t="str">
        <f>IFERROR(__xludf.DUMMYFUNCTION("GOOGLETRANSLATE(A12317, ""en"", ""mt"")"),"Min ħoloq magna bl-użu ta 'fwar ta' pressjoni għolja fl-1801?")</f>
        <v>Min ħoloq magna bl-użu ta 'fwar ta' pressjoni għolja fl-1801?</v>
      </c>
    </row>
    <row r="12318" ht="15.75" customHeight="1">
      <c r="A12318" s="2" t="s">
        <v>12318</v>
      </c>
      <c r="B12318" s="2" t="str">
        <f>IFERROR(__xludf.DUMMYFUNCTION("GOOGLETRANSLATE(A12318, ""en"", ""mt"")"),"Stat ta 'triplet spin")</f>
        <v>Stat ta 'triplet spin</v>
      </c>
    </row>
    <row r="12319" ht="15.75" customHeight="1">
      <c r="A12319" s="2" t="s">
        <v>12319</v>
      </c>
      <c r="B12319" s="2" t="str">
        <f>IFERROR(__xludf.DUMMYFUNCTION("GOOGLETRANSLATE(A12319, ""en"", ""mt"")"),"inklużjonijiet u komponenti")</f>
        <v>inklużjonijiet u komponenti</v>
      </c>
    </row>
    <row r="12320" ht="15.75" customHeight="1">
      <c r="A12320" s="2" t="s">
        <v>12320</v>
      </c>
      <c r="B12320" s="2" t="str">
        <f>IFERROR(__xludf.DUMMYFUNCTION("GOOGLETRANSLATE(A12320, ""en"", ""mt"")"),"effett detrimentali fit-tul")</f>
        <v>effett detrimentali fit-tul</v>
      </c>
    </row>
    <row r="12321" ht="15.75" customHeight="1">
      <c r="A12321" s="2" t="s">
        <v>12321</v>
      </c>
      <c r="B12321" s="2" t="str">
        <f>IFERROR(__xludf.DUMMYFUNCTION("GOOGLETRANSLATE(A12321, ""en"", ""mt"")"),"L-Uffiċċju tat-Taxxa Awstraljan uża Austpac għal liema raġuni?")</f>
        <v>L-Uffiċċju tat-Taxxa Awstraljan uża Austpac għal liema raġuni?</v>
      </c>
    </row>
    <row r="12322" ht="15.75" customHeight="1">
      <c r="A12322" s="2" t="s">
        <v>12322</v>
      </c>
      <c r="B12322" s="2" t="str">
        <f>IFERROR(__xludf.DUMMYFUNCTION("GOOGLETRANSLATE(A12322, ""en"", ""mt"")"),"F'liema fluwidi ma jinstabux l-enzimi?")</f>
        <v>F'liema fluwidi ma jinstabux l-enzimi?</v>
      </c>
    </row>
    <row r="12323" ht="15.75" customHeight="1">
      <c r="A12323" s="2" t="s">
        <v>12323</v>
      </c>
      <c r="B12323" s="2" t="str">
        <f>IFERROR(__xludf.DUMMYFUNCTION("GOOGLETRANSLATE(A12323, ""en"", ""mt"")"),"760 mm")</f>
        <v>760 mm</v>
      </c>
    </row>
    <row r="12324" ht="15.75" customHeight="1">
      <c r="A12324" s="2" t="s">
        <v>12324</v>
      </c>
      <c r="B12324" s="2" t="str">
        <f>IFERROR(__xludf.DUMMYFUNCTION("GOOGLETRANSLATE(A12324, ""en"", ""mt"")"),"fl-ispazju")</f>
        <v>fl-ispazju</v>
      </c>
    </row>
    <row r="12325" ht="15.75" customHeight="1">
      <c r="A12325" s="2" t="s">
        <v>12325</v>
      </c>
      <c r="B12325" s="2" t="str">
        <f>IFERROR(__xludf.DUMMYFUNCTION("GOOGLETRANSLATE(A12325, ""en"", ""mt"")"),"Wara t-trattat sabiħ, kien hemm tentattiv biex tirriforma l-liġi kostituzzjonali tal-Unjoni Ewropea u tagħmilha aktar trasparenti; Dan kien jipproduċi wkoll dokument kostituzzjonali wieħed. Madankollu, bħala riżultat tar-referendum fi Franza u r-referendu"&amp;"m fl-Olanda, it-trattat tal-2004 li jistabbilixxi kostituzzjoni għall-Ewropa qatt ma daħal fis-seħħ. Minflok, it-Trattat ta 'Lisbona ġie promulgat. Is-sustanza tagħha kienet simili ħafna għat-trattat kostituzzjonali propost, iżda kienet formalment trattat"&amp;" li jemenda, u - għalkemm biddel b'mod sinifikanti t-trattati eżistenti - ma ħaditx kompletament.")</f>
        <v>Wara t-trattat sabiħ, kien hemm tentattiv biex tirriforma l-liġi kostituzzjonali tal-Unjoni Ewropea u tagħmilha aktar trasparenti; Dan kien jipproduċi wkoll dokument kostituzzjonali wieħed. Madankollu, bħala riżultat tar-referendum fi Franza u r-referendum fl-Olanda, it-trattat tal-2004 li jistabbilixxi kostituzzjoni għall-Ewropa qatt ma daħal fis-seħħ. Minflok, it-Trattat ta 'Lisbona ġie promulgat. Is-sustanza tagħha kienet simili ħafna għat-trattat kostituzzjonali propost, iżda kienet formalment trattat li jemenda, u - għalkemm biddel b'mod sinifikanti t-trattati eżistenti - ma ħaditx kompletament.</v>
      </c>
    </row>
    <row r="12326" ht="15.75" customHeight="1">
      <c r="A12326" s="2" t="s">
        <v>12326</v>
      </c>
      <c r="B12326" s="2" t="str">
        <f>IFERROR(__xludf.DUMMYFUNCTION("GOOGLETRANSLATE(A12326, ""en"", ""mt"")"),"L-imperu waqa '")</f>
        <v>L-imperu waqa '</v>
      </c>
    </row>
    <row r="12327" ht="15.75" customHeight="1">
      <c r="A12327" s="2" t="s">
        <v>12327</v>
      </c>
      <c r="B12327" s="2" t="str">
        <f>IFERROR(__xludf.DUMMYFUNCTION("GOOGLETRANSLATE(A12327, ""en"", ""mt"")"),"Meta kien in-nar li qered 146 bini f'Jacksonville?")</f>
        <v>Meta kien in-nar li qered 146 bini f'Jacksonville?</v>
      </c>
    </row>
    <row r="12328" ht="15.75" customHeight="1">
      <c r="A12328" s="2" t="s">
        <v>12328</v>
      </c>
      <c r="B12328" s="2" t="str">
        <f>IFERROR(__xludf.DUMMYFUNCTION("GOOGLETRANSLATE(A12328, ""en"", ""mt"")"),"Impass kostituzzjonali għandu x'jaqsam ma 'kif ċittadin għandu x'jaqsam ma' l-istat u x'inhu?")</f>
        <v>Impass kostituzzjonali għandu x'jaqsam ma 'kif ċittadin għandu x'jaqsam ma' l-istat u x'inhu?</v>
      </c>
    </row>
    <row r="12329" ht="15.75" customHeight="1">
      <c r="A12329" s="2" t="s">
        <v>12329</v>
      </c>
      <c r="B12329" s="2" t="str">
        <f>IFERROR(__xludf.DUMMYFUNCTION("GOOGLETRANSLATE(A12329, ""en"", ""mt"")"),"Jekk il-ħin polinomjali jista 'jintuża fi problema kompluta ta' NP, xi jfisser li P huwa daqs?")</f>
        <v>Jekk il-ħin polinomjali jista 'jintuża fi problema kompluta ta' NP, xi jfisser li P huwa daqs?</v>
      </c>
    </row>
    <row r="12330" ht="15.75" customHeight="1">
      <c r="A12330" s="2" t="s">
        <v>12330</v>
      </c>
      <c r="B12330" s="2" t="str">
        <f>IFERROR(__xludf.DUMMYFUNCTION("GOOGLETRANSLATE(A12330, ""en"", ""mt"")"),"L-Atlantiku")</f>
        <v>L-Atlantiku</v>
      </c>
    </row>
    <row r="12331" ht="15.75" customHeight="1">
      <c r="A12331" s="2" t="s">
        <v>12331</v>
      </c>
      <c r="B12331" s="2" t="str">
        <f>IFERROR(__xludf.DUMMYFUNCTION("GOOGLETRANSLATE(A12331, ""en"", ""mt"")"),"Gwerer orribbli")</f>
        <v>Gwerer orribbli</v>
      </c>
    </row>
    <row r="12332" ht="15.75" customHeight="1">
      <c r="A12332" s="2" t="s">
        <v>12332</v>
      </c>
      <c r="B12332" s="2" t="str">
        <f>IFERROR(__xludf.DUMMYFUNCTION("GOOGLETRANSLATE(A12332, ""en"", ""mt"")"),"Settembru 1971")</f>
        <v>Settembru 1971</v>
      </c>
    </row>
    <row r="12333" ht="15.75" customHeight="1">
      <c r="A12333" s="2" t="s">
        <v>12333</v>
      </c>
      <c r="B12333" s="2" t="str">
        <f>IFERROR(__xludf.DUMMYFUNCTION("GOOGLETRANSLATE(A12333, ""en"", ""mt"")"),"Fejn ma għexux il-kolonizzaturi Ingliżi?")</f>
        <v>Fejn ma għexux il-kolonizzaturi Ingliżi?</v>
      </c>
    </row>
    <row r="12334" ht="15.75" customHeight="1">
      <c r="A12334" s="2" t="s">
        <v>12334</v>
      </c>
      <c r="B12334" s="2" t="str">
        <f>IFERROR(__xludf.DUMMYFUNCTION("GOOGLETRANSLATE(A12334, ""en"", ""mt"")"),"Meta vapur misjub mill-pesta nżel fin-Norveġja?")</f>
        <v>Meta vapur misjub mill-pesta nżel fin-Norveġja?</v>
      </c>
    </row>
    <row r="12335" ht="15.75" customHeight="1">
      <c r="A12335" s="2" t="s">
        <v>12335</v>
      </c>
      <c r="B12335" s="2" t="str">
        <f>IFERROR(__xludf.DUMMYFUNCTION("GOOGLETRANSLATE(A12335, ""en"", ""mt"")"),"attiv")</f>
        <v>attiv</v>
      </c>
    </row>
    <row r="12336" ht="15.75" customHeight="1">
      <c r="A12336" s="2" t="s">
        <v>12336</v>
      </c>
      <c r="B12336" s="2" t="str">
        <f>IFERROR(__xludf.DUMMYFUNCTION("GOOGLETRANSLATE(A12336, ""en"", ""mt"")"),"X'inhi l-akbar karatteristika sensorja taċ-Ctenophora?")</f>
        <v>X'inhi l-akbar karatteristika sensorja taċ-Ctenophora?</v>
      </c>
    </row>
    <row r="12337" ht="15.75" customHeight="1">
      <c r="A12337" s="2" t="s">
        <v>12337</v>
      </c>
      <c r="B12337" s="2" t="str">
        <f>IFERROR(__xludf.DUMMYFUNCTION("GOOGLETRANSLATE(A12337, ""en"", ""mt"")"),"Lingwa solvuta fi żmien kwadratiku timplika l-użu ta 'liema tip ta' magna tat-Turing?")</f>
        <v>Lingwa solvuta fi żmien kwadratiku timplika l-użu ta 'liema tip ta' magna tat-Turing?</v>
      </c>
    </row>
    <row r="12338" ht="15.75" customHeight="1">
      <c r="A12338" s="2" t="s">
        <v>12338</v>
      </c>
      <c r="B12338" s="2" t="str">
        <f>IFERROR(__xludf.DUMMYFUNCTION("GOOGLETRANSLATE(A12338, ""en"", ""mt"")"),"Għaliex Harvard temm il-programm ta 'ammissjoni bikrija tiegħu?")</f>
        <v>Għaliex Harvard temm il-programm ta 'ammissjoni bikrija tiegħu?</v>
      </c>
    </row>
    <row r="12339" ht="15.75" customHeight="1">
      <c r="A12339" s="2" t="s">
        <v>12339</v>
      </c>
      <c r="B12339" s="2" t="str">
        <f>IFERROR(__xludf.DUMMYFUNCTION("GOOGLETRANSLATE(A12339, ""en"", ""mt"")"),"Diviżjoni u Amministrazzjoni")</f>
        <v>Diviżjoni u Amministrazzjoni</v>
      </c>
    </row>
    <row r="12340" ht="15.75" customHeight="1">
      <c r="A12340" s="2" t="s">
        <v>12340</v>
      </c>
      <c r="B12340" s="2" t="str">
        <f>IFERROR(__xludf.DUMMYFUNCTION("GOOGLETRANSLATE(A12340, ""en"", ""mt"")"),"il-magna atmosferika")</f>
        <v>il-magna atmosferika</v>
      </c>
    </row>
    <row r="12341" ht="15.75" customHeight="1">
      <c r="A12341" s="2" t="s">
        <v>12341</v>
      </c>
      <c r="B12341" s="2" t="str">
        <f>IFERROR(__xludf.DUMMYFUNCTION("GOOGLETRANSLATE(A12341, ""en"", ""mt"")"),"Al-Gama'a al-Islamiyya")</f>
        <v>Al-Gama'a al-Islamiyya</v>
      </c>
    </row>
    <row r="12342" ht="15.75" customHeight="1">
      <c r="A12342" s="2" t="s">
        <v>12342</v>
      </c>
      <c r="B12342" s="2" t="str">
        <f>IFERROR(__xludf.DUMMYFUNCTION("GOOGLETRANSLATE(A12342, ""en"", ""mt"")"),"In-negozji li jikkompetu kif jattiraw ħaddiema?")</f>
        <v>In-negozji li jikkompetu kif jattiraw ħaddiema?</v>
      </c>
    </row>
    <row r="12343" ht="15.75" customHeight="1">
      <c r="A12343" s="2" t="s">
        <v>12343</v>
      </c>
      <c r="B12343" s="2" t="str">
        <f>IFERROR(__xludf.DUMMYFUNCTION("GOOGLETRANSLATE(A12343, ""en"", ""mt"")"),"7,000,000 kilometru kwadru (2,70")</f>
        <v>7,000,000 kilometru kwadru (2,70</v>
      </c>
    </row>
    <row r="12344" ht="15.75" customHeight="1">
      <c r="A12344" s="2" t="s">
        <v>12344</v>
      </c>
      <c r="B12344" s="2" t="str">
        <f>IFERROR(__xludf.DUMMYFUNCTION("GOOGLETRANSLATE(A12344, ""en"", ""mt"")"),"bl-erożjoni")</f>
        <v>bl-erożjoni</v>
      </c>
    </row>
    <row r="12345" ht="15.75" customHeight="1">
      <c r="A12345" s="2" t="s">
        <v>12345</v>
      </c>
      <c r="B12345" s="2" t="str">
        <f>IFERROR(__xludf.DUMMYFUNCTION("GOOGLETRANSLATE(A12345, ""en"", ""mt"")"),"Biex tkompli tenfasizza d-differenza bejn problema u istanza, ikkunsidra l-istanza li ġejja tal-verżjoni tad-deċiżjoni tal-problema tal-bejjiegħ li jivvjaġġa: Hemm rotta ta 'l-aktar 2000 kilometru li jgħaddu mill-akbar 15-il belt tal-Ġermanja kollha? It-t"&amp;"weġiba kwantitattiva għal din il-problema partikolari hija ta 'użu żgħir biex tissolva każijiet oħra tal-problema, bħalma titlob vjaġġ bir-ritorn mis-siti kollha f'Milan li t-tul totali tagħhom huwa l-aktar 10 km. Għal din ir-raġuni, it-teorija tal-kumple"&amp;"ssità tindirizza problemi tal-komputazzjoni u mhux każijiet ta 'problema partikolari.")</f>
        <v>Biex tkompli tenfasizza d-differenza bejn problema u istanza, ikkunsidra l-istanza li ġejja tal-verżjoni tad-deċiżjoni tal-problema tal-bejjiegħ li jivvjaġġa: Hemm rotta ta 'l-aktar 2000 kilometru li jgħaddu mill-akbar 15-il belt tal-Ġermanja kollha? It-tweġiba kwantitattiva għal din il-problema partikolari hija ta 'użu żgħir biex tissolva każijiet oħra tal-problema, bħalma titlob vjaġġ bir-ritorn mis-siti kollha f'Milan li t-tul totali tagħhom huwa l-aktar 10 km. Għal din ir-raġuni, it-teorija tal-kumplessità tindirizza problemi tal-komputazzjoni u mhux każijiet ta 'problema partikolari.</v>
      </c>
    </row>
    <row r="12346" ht="15.75" customHeight="1">
      <c r="A12346" s="2" t="s">
        <v>12346</v>
      </c>
      <c r="B12346" s="2" t="str">
        <f>IFERROR(__xludf.DUMMYFUNCTION("GOOGLETRANSLATE(A12346, ""en"", ""mt"")"),"Relazzjoni Kontraenti fejn l-enfasi hija fuq relazzjoni kooperattiva")</f>
        <v>Relazzjoni Kontraenti fejn l-enfasi hija fuq relazzjoni kooperattiva</v>
      </c>
    </row>
    <row r="12347" ht="15.75" customHeight="1">
      <c r="A12347" s="2" t="s">
        <v>12347</v>
      </c>
      <c r="B12347" s="2" t="str">
        <f>IFERROR(__xludf.DUMMYFUNCTION("GOOGLETRANSLATE(A12347, ""en"", ""mt"")"),"X’għamlu l-kollezzjonisti tat-taxxa biex jipprevjenu milli jiġu installati fit-tempju?")</f>
        <v>X’għamlu l-kollezzjonisti tat-taxxa biex jipprevjenu milli jiġu installati fit-tempju?</v>
      </c>
    </row>
    <row r="12348" ht="15.75" customHeight="1">
      <c r="A12348" s="2" t="s">
        <v>12348</v>
      </c>
      <c r="B12348" s="2" t="str">
        <f>IFERROR(__xludf.DUMMYFUNCTION("GOOGLETRANSLATE(A12348, ""en"", ""mt"")"),"X'tip ta 'liġi ma jagħmilx istituzzjonijiet u stati membri tal-UE jsegwu l-liġi?")</f>
        <v>X'tip ta 'liġi ma jagħmilx istituzzjonijiet u stati membri tal-UE jsegwu l-liġi?</v>
      </c>
    </row>
    <row r="12349" ht="15.75" customHeight="1">
      <c r="A12349" s="2" t="s">
        <v>12349</v>
      </c>
      <c r="B12349" s="2" t="str">
        <f>IFERROR(__xludf.DUMMYFUNCTION("GOOGLETRANSLATE(A12349, ""en"", ""mt"")"),"ħama l-għadira")</f>
        <v>ħama l-għadira</v>
      </c>
    </row>
    <row r="12350" ht="15.75" customHeight="1">
      <c r="A12350" s="2" t="s">
        <v>12350</v>
      </c>
      <c r="B12350" s="2" t="str">
        <f>IFERROR(__xludf.DUMMYFUNCTION("GOOGLETRANSLATE(A12350, ""en"", ""mt"")"),"Fl-1060s")</f>
        <v>Fl-1060s</v>
      </c>
    </row>
    <row r="12351" ht="15.75" customHeight="1">
      <c r="A12351" s="2" t="s">
        <v>12351</v>
      </c>
      <c r="B12351" s="2" t="str">
        <f>IFERROR(__xludf.DUMMYFUNCTION("GOOGLETRANSLATE(A12351, ""en"", ""mt"")"),"1849")</f>
        <v>1849</v>
      </c>
    </row>
    <row r="12352" ht="15.75" customHeight="1">
      <c r="A12352" s="2" t="s">
        <v>12352</v>
      </c>
      <c r="B12352" s="2" t="str">
        <f>IFERROR(__xludf.DUMMYFUNCTION("GOOGLETRANSLATE(A12352, ""en"", ""mt"")"),"X'jikkommemora l-istorja erojka ta 'Varsavja?")</f>
        <v>X'jikkommemora l-istorja erojka ta 'Varsavja?</v>
      </c>
    </row>
    <row r="12353" ht="15.75" customHeight="1">
      <c r="A12353" s="2" t="s">
        <v>12353</v>
      </c>
      <c r="B12353" s="2" t="str">
        <f>IFERROR(__xludf.DUMMYFUNCTION("GOOGLETRANSLATE(A12353, ""en"", ""mt"")"),"Kemm hemm acres totali Woodward Park?")</f>
        <v>Kemm hemm acres totali Woodward Park?</v>
      </c>
    </row>
    <row r="12354" ht="15.75" customHeight="1">
      <c r="A12354" s="2" t="s">
        <v>12354</v>
      </c>
      <c r="B12354" s="2" t="str">
        <f>IFERROR(__xludf.DUMMYFUNCTION("GOOGLETRANSLATE(A12354, ""en"", ""mt"")"),"Meta jkun hemm naħa li taqbel ma 'ħafna għal ftit x'jiġri mill-ispiża?")</f>
        <v>Meta jkun hemm naħa li taqbel ma 'ħafna għal ftit x'jiġri mill-ispiża?</v>
      </c>
    </row>
    <row r="12355" ht="15.75" customHeight="1">
      <c r="A12355" s="2" t="s">
        <v>12355</v>
      </c>
      <c r="B12355" s="2" t="str">
        <f>IFERROR(__xludf.DUMMYFUNCTION("GOOGLETRANSLATE(A12355, ""en"", ""mt"")"),"Frank Burnet")</f>
        <v>Frank Burnet</v>
      </c>
    </row>
    <row r="12356" ht="15.75" customHeight="1">
      <c r="A12356" s="2" t="s">
        <v>12356</v>
      </c>
      <c r="B12356" s="2" t="str">
        <f>IFERROR(__xludf.DUMMYFUNCTION("GOOGLETRANSLATE(A12356, ""en"", ""mt"")"),"Min spjega li l-oqfsa ta 'referenza inerzjali kienu daqs frejms ta' referenza soġġetti għal aċċellerazzjoni kostanti?")</f>
        <v>Min spjega li l-oqfsa ta 'referenza inerzjali kienu daqs frejms ta' referenza soġġetti għal aċċellerazzjoni kostanti?</v>
      </c>
    </row>
    <row r="12357" ht="15.75" customHeight="1">
      <c r="A12357" s="2" t="s">
        <v>12357</v>
      </c>
      <c r="B12357" s="2" t="str">
        <f>IFERROR(__xludf.DUMMYFUNCTION("GOOGLETRANSLATE(A12357, ""en"", ""mt"")"),"Bil-bosta l-iktar xogħol famuż ta 'l-arti Norman huwa t-tapizzerija ta' Bayeux, li mhix tapizzerija imma xogħol ta 'rakkmu. Ġie kkummissjonat minn Odo, l-Isqof ta 'Bayeux u l-ewwel Earl ta' Kent, li jimpjegaw indiġeni minn Kent li tgħallmu fit-tradizzjoni"&amp;"jiet Nordiċi importati fin-nofs tas-seklu ta 'qabel mill-Vikingi Daniżi.")</f>
        <v>Bil-bosta l-iktar xogħol famuż ta 'l-arti Norman huwa t-tapizzerija ta' Bayeux, li mhix tapizzerija imma xogħol ta 'rakkmu. Ġie kkummissjonat minn Odo, l-Isqof ta 'Bayeux u l-ewwel Earl ta' Kent, li jimpjegaw indiġeni minn Kent li tgħallmu fit-tradizzjonijiet Nordiċi importati fin-nofs tas-seklu ta 'qabel mill-Vikingi Daniżi.</v>
      </c>
    </row>
    <row r="12358" ht="15.75" customHeight="1">
      <c r="A12358" s="2" t="s">
        <v>12358</v>
      </c>
      <c r="B12358" s="2" t="str">
        <f>IFERROR(__xludf.DUMMYFUNCTION("GOOGLETRANSLATE(A12358, ""en"", ""mt"")"),"Tbassir tal-istruttura tal-proteina")</f>
        <v>Tbassir tal-istruttura tal-proteina</v>
      </c>
    </row>
    <row r="12359" ht="15.75" customHeight="1">
      <c r="A12359" s="2" t="s">
        <v>12359</v>
      </c>
      <c r="B12359" s="2" t="str">
        <f>IFERROR(__xludf.DUMMYFUNCTION("GOOGLETRANSLATE(A12359, ""en"", ""mt"")"),"Għal liema gauge inbidlu xi linji fil-punent ta 'Victoria?")</f>
        <v>Għal liema gauge inbidlu xi linji fil-punent ta 'Victoria?</v>
      </c>
    </row>
    <row r="12360" ht="15.75" customHeight="1">
      <c r="A12360" s="2" t="s">
        <v>12360</v>
      </c>
      <c r="B12360" s="2" t="str">
        <f>IFERROR(__xludf.DUMMYFUNCTION("GOOGLETRANSLATE(A12360, ""en"", ""mt"")"),"Dublin")</f>
        <v>Dublin</v>
      </c>
    </row>
    <row r="12361" ht="15.75" customHeight="1">
      <c r="A12361" s="2" t="s">
        <v>12361</v>
      </c>
      <c r="B12361" s="2" t="str">
        <f>IFERROR(__xludf.DUMMYFUNCTION("GOOGLETRANSLATE(A12361, ""en"", ""mt"")"),"X'kienet raġuni mhux reliġjuża għall-massakru?")</f>
        <v>X'kienet raġuni mhux reliġjuża għall-massakru?</v>
      </c>
    </row>
    <row r="12362" ht="15.75" customHeight="1">
      <c r="A12362" s="2" t="s">
        <v>12362</v>
      </c>
      <c r="B12362" s="2" t="str">
        <f>IFERROR(__xludf.DUMMYFUNCTION("GOOGLETRANSLATE(A12362, ""en"", ""mt"")"),"Uffiċjali tal-Gvern u Esperti tat-Tibdil fil-Klima")</f>
        <v>Uffiċjali tal-Gvern u Esperti tat-Tibdil fil-Klima</v>
      </c>
    </row>
    <row r="12363" ht="15.75" customHeight="1">
      <c r="A12363" s="2" t="s">
        <v>12363</v>
      </c>
      <c r="B12363" s="2" t="str">
        <f>IFERROR(__xludf.DUMMYFUNCTION("GOOGLETRANSLATE(A12363, ""en"", ""mt"")"),"Iċ-Ċentru tad-Distribuzzjoni tad-Dejta u l-Programm Nazzjonali tal-Inventar tal-Gass Serra")</f>
        <v>Iċ-Ċentru tad-Distribuzzjoni tad-Dejta u l-Programm Nazzjonali tal-Inventar tal-Gass Serra</v>
      </c>
    </row>
    <row r="12364" ht="15.75" customHeight="1">
      <c r="A12364" s="2" t="s">
        <v>12364</v>
      </c>
      <c r="B12364" s="2" t="str">
        <f>IFERROR(__xludf.DUMMYFUNCTION("GOOGLETRANSLATE(A12364, ""en"", ""mt"")"),"Min żviluppa magna tal-fwar ta 'suċċess għal Charles Porter?")</f>
        <v>Min żviluppa magna tal-fwar ta 'suċċess għal Charles Porter?</v>
      </c>
    </row>
    <row r="12365" ht="15.75" customHeight="1">
      <c r="A12365" s="2" t="s">
        <v>12365</v>
      </c>
      <c r="B12365" s="2" t="str">
        <f>IFERROR(__xludf.DUMMYFUNCTION("GOOGLETRANSLATE(A12365, ""en"", ""mt"")"),"Fotoliżi ta 'l-ożonu")</f>
        <v>Fotoliżi ta 'l-ożonu</v>
      </c>
    </row>
    <row r="12366" ht="15.75" customHeight="1">
      <c r="A12366" s="2" t="s">
        <v>12366</v>
      </c>
      <c r="B12366" s="2" t="str">
        <f>IFERROR(__xludf.DUMMYFUNCTION("GOOGLETRANSLATE(A12366, ""en"", ""mt"")"),"Ħdejn Tamins-Reichenau, ir-Renu ta 'qabel u r-Renu ta' wara jingħaqdu u jiffurmaw ir-Renu. Ix-xmara tagħmel dawra distintiva lejn it-tramuntana ħdejn Chur. Din it-taqsima hija twila kważi 86 km, u tinżel minn għoli ta '599 m sa 396 m. Jidħol minn wied wie"&amp;"sa 'glaċjali alpin magħruf bħala l-Wied tar-Renu (Ġermaniż: Rheintal). Ħdejn Sargans diga naturali, għolja biss ftit metri, tipprevjeniha milli toħroġ fil-wied miftuħ ta 'Seeztal u mbagħad mill-Lag Walen u l-Lag Zurich fix-xmara Aare. Ir-Rhine Alpin jibda"&amp;" fl-iktar parti tal-punent tal-Canton Żvizzeru ta 'Graubünden, u aktar tard jifforma l-fruntiera bejn l-Isvizzera lejn il-punent u Liechtenstein u aktar tard l-Awstrija lejn il-lvant.")</f>
        <v>Ħdejn Tamins-Reichenau, ir-Renu ta 'qabel u r-Renu ta' wara jingħaqdu u jiffurmaw ir-Renu. Ix-xmara tagħmel dawra distintiva lejn it-tramuntana ħdejn Chur. Din it-taqsima hija twila kważi 86 km, u tinżel minn għoli ta '599 m sa 396 m. Jidħol minn wied wiesa 'glaċjali alpin magħruf bħala l-Wied tar-Renu (Ġermaniż: Rheintal). Ħdejn Sargans diga naturali, għolja biss ftit metri, tipprevjeniha milli toħroġ fil-wied miftuħ ta 'Seeztal u mbagħad mill-Lag Walen u l-Lag Zurich fix-xmara Aare. Ir-Rhine Alpin jibda fl-iktar parti tal-punent tal-Canton Żvizzeru ta 'Graubünden, u aktar tard jifforma l-fruntiera bejn l-Isvizzera lejn il-punent u Liechtenstein u aktar tard l-Awstrija lejn il-lvant.</v>
      </c>
    </row>
    <row r="12367" ht="15.75" customHeight="1">
      <c r="A12367" s="2" t="s">
        <v>12367</v>
      </c>
      <c r="B12367" s="2" t="str">
        <f>IFERROR(__xludf.DUMMYFUNCTION("GOOGLETRANSLATE(A12367, ""en"", ""mt"")"),"IgG")</f>
        <v>IgG</v>
      </c>
    </row>
    <row r="12368" ht="15.75" customHeight="1">
      <c r="A12368" s="2" t="s">
        <v>12368</v>
      </c>
      <c r="B12368" s="2" t="str">
        <f>IFERROR(__xludf.DUMMYFUNCTION("GOOGLETRANSLATE(A12368, ""en"", ""mt"")"),"X'kien il-PGD nominali totali ta 'Srodmiescie fl-2010?")</f>
        <v>X'kien il-PGD nominali totali ta 'Srodmiescie fl-2010?</v>
      </c>
    </row>
    <row r="12369" ht="15.75" customHeight="1">
      <c r="A12369" s="2" t="s">
        <v>12369</v>
      </c>
      <c r="B12369" s="2" t="str">
        <f>IFERROR(__xludf.DUMMYFUNCTION("GOOGLETRANSLATE(A12369, ""en"", ""mt"")"),"Kemm djar inbnew il-Korporazzjoni għat-Titjib tal-Paċifiku?")</f>
        <v>Kemm djar inbnew il-Korporazzjoni għat-Titjib tal-Paċifiku?</v>
      </c>
    </row>
    <row r="12370" ht="15.75" customHeight="1">
      <c r="A12370" s="2" t="s">
        <v>12370</v>
      </c>
      <c r="B12370" s="2" t="str">
        <f>IFERROR(__xludf.DUMMYFUNCTION("GOOGLETRANSLATE(A12370, ""en"", ""mt"")"),"""Macrocilia""")</f>
        <v>"Macrocilia"</v>
      </c>
    </row>
    <row r="12371" ht="15.75" customHeight="1">
      <c r="A12371" s="2" t="s">
        <v>12371</v>
      </c>
      <c r="B12371" s="2" t="str">
        <f>IFERROR(__xludf.DUMMYFUNCTION("GOOGLETRANSLATE(A12371, ""en"", ""mt"")"),"irqad")</f>
        <v>irqad</v>
      </c>
    </row>
    <row r="12372" ht="15.75" customHeight="1">
      <c r="A12372" s="2" t="s">
        <v>12372</v>
      </c>
      <c r="B12372" s="2" t="str">
        <f>IFERROR(__xludf.DUMMYFUNCTION("GOOGLETRANSLATE(A12372, ""en"", ""mt"")"),"l-ebda każ magħruf")</f>
        <v>l-ebda każ magħruf</v>
      </c>
    </row>
    <row r="12373" ht="15.75" customHeight="1">
      <c r="A12373" s="2" t="s">
        <v>12373</v>
      </c>
      <c r="B12373" s="2" t="str">
        <f>IFERROR(__xludf.DUMMYFUNCTION("GOOGLETRANSLATE(A12373, ""en"", ""mt"")"),"Projbizzjonijiet fuq kultura popolari barranija, kontroll tal-internet u platti tas-satellita mhux awtorizzati")</f>
        <v>Projbizzjonijiet fuq kultura popolari barranija, kontroll tal-internet u platti tas-satellita mhux awtorizzati</v>
      </c>
    </row>
    <row r="12374" ht="15.75" customHeight="1">
      <c r="A12374" s="2" t="s">
        <v>12374</v>
      </c>
      <c r="B12374" s="2" t="str">
        <f>IFERROR(__xludf.DUMMYFUNCTION("GOOGLETRANSLATE(A12374, ""en"", ""mt"")"),"Rhenus")</f>
        <v>Rhenus</v>
      </c>
    </row>
    <row r="12375" ht="15.75" customHeight="1">
      <c r="A12375" s="2" t="s">
        <v>12375</v>
      </c>
      <c r="B12375" s="2" t="str">
        <f>IFERROR(__xludf.DUMMYFUNCTION("GOOGLETRANSLATE(A12375, ""en"", ""mt"")"),"Min fetaħ mill-ġdid it-Teatru tat-Torri?")</f>
        <v>Min fetaħ mill-ġdid it-Teatru tat-Torri?</v>
      </c>
    </row>
    <row r="12376" ht="15.75" customHeight="1">
      <c r="A12376" s="2" t="s">
        <v>12376</v>
      </c>
      <c r="B12376" s="2" t="str">
        <f>IFERROR(__xludf.DUMMYFUNCTION("GOOGLETRANSLATE(A12376, ""en"", ""mt"")"),"antiġeni virali")</f>
        <v>antiġeni virali</v>
      </c>
    </row>
    <row r="12377" ht="15.75" customHeight="1">
      <c r="A12377" s="2" t="s">
        <v>12377</v>
      </c>
      <c r="B12377" s="2" t="str">
        <f>IFERROR(__xludf.DUMMYFUNCTION("GOOGLETRANSLATE(A12377, ""en"", ""mt"")"),"Kemm hemm nies li l-Istat Iżlamiku kkontrolla t-territorju ta 'Marzu 2015?")</f>
        <v>Kemm hemm nies li l-Istat Iżlamiku kkontrolla t-territorju ta 'Marzu 2015?</v>
      </c>
    </row>
    <row r="12378" ht="15.75" customHeight="1">
      <c r="A12378" s="2" t="s">
        <v>12378</v>
      </c>
      <c r="B12378" s="2" t="str">
        <f>IFERROR(__xludf.DUMMYFUNCTION("GOOGLETRANSLATE(A12378, ""en"", ""mt"")"),"Tassazzjoni ridistributtiva")</f>
        <v>Tassazzjoni ridistributtiva</v>
      </c>
    </row>
    <row r="12379" ht="15.75" customHeight="1">
      <c r="A12379" s="2" t="s">
        <v>12379</v>
      </c>
      <c r="B12379" s="2" t="str">
        <f>IFERROR(__xludf.DUMMYFUNCTION("GOOGLETRANSLATE(A12379, ""en"", ""mt"")"),"Ingliż modern")</f>
        <v>Ingliż modern</v>
      </c>
    </row>
    <row r="12380" ht="15.75" customHeight="1">
      <c r="A12380" s="2" t="s">
        <v>12380</v>
      </c>
      <c r="B12380" s="2" t="str">
        <f>IFERROR(__xludf.DUMMYFUNCTION("GOOGLETRANSLATE(A12380, ""en"", ""mt"")"),"kważi 25,000")</f>
        <v>kważi 25,000</v>
      </c>
    </row>
    <row r="12381" ht="15.75" customHeight="1">
      <c r="A12381" s="2" t="s">
        <v>12381</v>
      </c>
      <c r="B12381" s="2" t="str">
        <f>IFERROR(__xludf.DUMMYFUNCTION("GOOGLETRANSLATE(A12381, ""en"", ""mt"")"),"Liġi tal-Liġi")</f>
        <v>Liġi tal-Liġi</v>
      </c>
    </row>
    <row r="12382" ht="15.75" customHeight="1">
      <c r="A12382" s="2" t="s">
        <v>12382</v>
      </c>
      <c r="B12382" s="2" t="str">
        <f>IFERROR(__xludf.DUMMYFUNCTION("GOOGLETRANSLATE(A12382, ""en"", ""mt"")"),"poteri li huma ""riservati"" lill-Parlament tar-Renju Unit")</f>
        <v>poteri li huma "riservati" lill-Parlament tar-Renju Unit</v>
      </c>
    </row>
    <row r="12383" ht="15.75" customHeight="1">
      <c r="A12383" s="2" t="s">
        <v>12383</v>
      </c>
      <c r="B12383" s="2" t="str">
        <f>IFERROR(__xludf.DUMMYFUNCTION("GOOGLETRANSLATE(A12383, ""en"", ""mt"")"),"Liema mexxej tar-Riforma Żvizzera kien student ta 'Lefevre?")</f>
        <v>Liema mexxej tar-Riforma Żvizzera kien student ta 'Lefevre?</v>
      </c>
    </row>
    <row r="12384" ht="15.75" customHeight="1">
      <c r="A12384" s="2" t="s">
        <v>12384</v>
      </c>
      <c r="B12384" s="2" t="str">
        <f>IFERROR(__xludf.DUMMYFUNCTION("GOOGLETRANSLATE(A12384, ""en"", ""mt"")"),"24 sena mandat.")</f>
        <v>24 sena mandat.</v>
      </c>
    </row>
    <row r="12385" ht="15.75" customHeight="1">
      <c r="A12385" s="2" t="s">
        <v>12385</v>
      </c>
      <c r="B12385" s="2" t="str">
        <f>IFERROR(__xludf.DUMMYFUNCTION("GOOGLETRANSLATE(A12385, ""en"", ""mt"")"),"Strument finanzjarju li jista 'jintuża f'numru kbir ta' negozjanti u wkoll ippermetta lid-detenturi tal-kard iduru bilanċ")</f>
        <v>Strument finanzjarju li jista 'jintuża f'numru kbir ta' negozjanti u wkoll ippermetta lid-detenturi tal-kard iduru bilanċ</v>
      </c>
    </row>
    <row r="12386" ht="15.75" customHeight="1">
      <c r="A12386" s="2" t="s">
        <v>12386</v>
      </c>
      <c r="B12386" s="2" t="str">
        <f>IFERROR(__xludf.DUMMYFUNCTION("GOOGLETRANSLATE(A12386, ""en"", ""mt"")"),"proprju aktar minn nofs il-ġid globali sal-2016")</f>
        <v>proprju aktar minn nofs il-ġid globali sal-2016</v>
      </c>
    </row>
    <row r="12387" ht="15.75" customHeight="1">
      <c r="A12387" s="2" t="s">
        <v>12387</v>
      </c>
      <c r="B12387" s="2" t="str">
        <f>IFERROR(__xludf.DUMMYFUNCTION("GOOGLETRANSLATE(A12387, ""en"", ""mt"")"),"Liema artijiet ġew riservati għall-Franċiżi?")</f>
        <v>Liema artijiet ġew riservati għall-Franċiżi?</v>
      </c>
    </row>
    <row r="12388" ht="15.75" customHeight="1">
      <c r="A12388" s="2" t="s">
        <v>12388</v>
      </c>
      <c r="B12388" s="2" t="str">
        <f>IFERROR(__xludf.DUMMYFUNCTION("GOOGLETRANSLATE(A12388, ""en"", ""mt"")"),"Rebbiegħa tal-1329")</f>
        <v>Rebbiegħa tal-1329</v>
      </c>
    </row>
    <row r="12389" ht="15.75" customHeight="1">
      <c r="A12389" s="2" t="s">
        <v>12389</v>
      </c>
      <c r="B12389" s="2" t="str">
        <f>IFERROR(__xludf.DUMMYFUNCTION("GOOGLETRANSLATE(A12389, ""en"", ""mt"")"),"Numru kemmxejn ikbar ta '""awturi li jikkontribwixxu""")</f>
        <v>Numru kemmxejn ikbar ta '"awturi li jikkontribwixxu"</v>
      </c>
    </row>
    <row r="12390" ht="15.75" customHeight="1">
      <c r="A12390" s="2" t="s">
        <v>12390</v>
      </c>
      <c r="B12390" s="2" t="str">
        <f>IFERROR(__xludf.DUMMYFUNCTION("GOOGLETRANSLATE(A12390, ""en"", ""mt"")"),"400 m (1,300 ft).")</f>
        <v>400 m (1,300 ft).</v>
      </c>
    </row>
    <row r="12391" ht="15.75" customHeight="1">
      <c r="A12391" s="2" t="s">
        <v>12391</v>
      </c>
      <c r="B12391" s="2" t="str">
        <f>IFERROR(__xludf.DUMMYFUNCTION("GOOGLETRANSLATE(A12391, ""en"", ""mt"")"),"Meta ġie stabbilit l-ewwel borża ta 'Berlin?")</f>
        <v>Meta ġie stabbilit l-ewwel borża ta 'Berlin?</v>
      </c>
    </row>
    <row r="12392" ht="15.75" customHeight="1">
      <c r="A12392" s="2" t="s">
        <v>12392</v>
      </c>
      <c r="B12392" s="2" t="str">
        <f>IFERROR(__xludf.DUMMYFUNCTION("GOOGLETRANSLATE(A12392, ""en"", ""mt"")"),"74,000 (bp")</f>
        <v>74,000 (bp</v>
      </c>
    </row>
    <row r="12393" ht="15.75" customHeight="1">
      <c r="A12393" s="2" t="s">
        <v>12393</v>
      </c>
      <c r="B12393" s="2" t="str">
        <f>IFERROR(__xludf.DUMMYFUNCTION("GOOGLETRANSLATE(A12393, ""en"", ""mt"")"),"Rhine Gorge")</f>
        <v>Rhine Gorge</v>
      </c>
    </row>
    <row r="12394" ht="15.75" customHeight="1">
      <c r="A12394" s="2" t="s">
        <v>12394</v>
      </c>
      <c r="B12394" s="2" t="str">
        <f>IFERROR(__xludf.DUMMYFUNCTION("GOOGLETRANSLATE(A12394, ""en"", ""mt"")"),"17.")</f>
        <v>17.</v>
      </c>
    </row>
    <row r="12395" ht="15.75" customHeight="1">
      <c r="A12395" s="2" t="s">
        <v>12395</v>
      </c>
      <c r="B12395" s="2" t="str">
        <f>IFERROR(__xludf.DUMMYFUNCTION("GOOGLETRANSLATE(A12395, ""en"", ""mt"")"),"Kemm hemm kwadrangles il-kwadrangles ewlenin?")</f>
        <v>Kemm hemm kwadrangles il-kwadrangles ewlenin?</v>
      </c>
    </row>
    <row r="12396" ht="15.75" customHeight="1">
      <c r="A12396" s="2" t="s">
        <v>12396</v>
      </c>
      <c r="B12396" s="2" t="str">
        <f>IFERROR(__xludf.DUMMYFUNCTION("GOOGLETRANSLATE(A12396, ""en"", ""mt"")"),"X'inhi l-ġeoloġija strutturali?")</f>
        <v>X'inhi l-ġeoloġija strutturali?</v>
      </c>
    </row>
    <row r="12397" ht="15.75" customHeight="1">
      <c r="A12397" s="2" t="s">
        <v>12397</v>
      </c>
      <c r="B12397" s="2" t="str">
        <f>IFERROR(__xludf.DUMMYFUNCTION("GOOGLETRANSLATE(A12397, ""en"", ""mt"")"),"ossidant")</f>
        <v>ossidant</v>
      </c>
    </row>
    <row r="12398" ht="15.75" customHeight="1">
      <c r="A12398" s="2" t="s">
        <v>12398</v>
      </c>
      <c r="B12398" s="2" t="str">
        <f>IFERROR(__xludf.DUMMYFUNCTION("GOOGLETRANSLATE(A12398, ""en"", ""mt"")"),"Fejn jinsab id-Depot tal-Ferrovija ta 'Santa Fe?")</f>
        <v>Fejn jinsab id-Depot tal-Ferrovija ta 'Santa Fe?</v>
      </c>
    </row>
    <row r="12399" ht="15.75" customHeight="1">
      <c r="A12399" s="2" t="s">
        <v>12399</v>
      </c>
      <c r="B12399" s="2" t="str">
        <f>IFERROR(__xludf.DUMMYFUNCTION("GOOGLETRANSLATE(A12399, ""en"", ""mt"")"),"Ta 'liema forma huwa l-ammont infinit ta' pożittivi li jinkludu l-każijiet speċjali ta 'l-ipoteżi ta' Schinzel?")</f>
        <v>Ta 'liema forma huwa l-ammont infinit ta' pożittivi li jinkludu l-każijiet speċjali ta 'l-ipoteżi ta' Schinzel?</v>
      </c>
    </row>
    <row r="12400" ht="15.75" customHeight="1">
      <c r="A12400" s="2" t="s">
        <v>12400</v>
      </c>
      <c r="B12400" s="2" t="str">
        <f>IFERROR(__xludf.DUMMYFUNCTION("GOOGLETRANSLATE(A12400, ""en"", ""mt"")"),"L-Amerika Ingliża u Franza l-ġdida")</f>
        <v>L-Amerika Ingliża u Franza l-ġdida</v>
      </c>
    </row>
    <row r="12401" ht="15.75" customHeight="1">
      <c r="A12401" s="2" t="s">
        <v>12401</v>
      </c>
      <c r="B12401" s="2" t="str">
        <f>IFERROR(__xludf.DUMMYFUNCTION("GOOGLETRANSLATE(A12401, ""en"", ""mt"")"),"maqbud Fort Beauséjour")</f>
        <v>maqbud Fort Beauséjour</v>
      </c>
    </row>
    <row r="12402" ht="15.75" customHeight="1">
      <c r="A12402" s="2" t="s">
        <v>12402</v>
      </c>
      <c r="B12402" s="2" t="str">
        <f>IFERROR(__xludf.DUMMYFUNCTION("GOOGLETRANSLATE(A12402, ""en"", ""mt"")"),"Min kien wieħed mill-predeċessuri ta 'Lothar de Maiziere?")</f>
        <v>Min kien wieħed mill-predeċessuri ta 'Lothar de Maiziere?</v>
      </c>
    </row>
    <row r="12403" ht="15.75" customHeight="1">
      <c r="A12403" s="2" t="s">
        <v>12403</v>
      </c>
      <c r="B12403" s="2" t="str">
        <f>IFERROR(__xludf.DUMMYFUNCTION("GOOGLETRANSLATE(A12403, ""en"", ""mt"")"),"Il-fergħa ġudizzjarja")</f>
        <v>Il-fergħa ġudizzjarja</v>
      </c>
    </row>
    <row r="12404" ht="15.75" customHeight="1">
      <c r="A12404" s="2" t="s">
        <v>12404</v>
      </c>
      <c r="B12404" s="2" t="str">
        <f>IFERROR(__xludf.DUMMYFUNCTION("GOOGLETRANSLATE(A12404, ""en"", ""mt"")"),"It-teoremi tal-ġerarkija tal-ħin u l-ispazju")</f>
        <v>It-teoremi tal-ġerarkija tal-ħin u l-ispazju</v>
      </c>
    </row>
    <row r="12405" ht="15.75" customHeight="1">
      <c r="A12405" s="2" t="s">
        <v>12405</v>
      </c>
      <c r="B12405" s="2" t="str">
        <f>IFERROR(__xludf.DUMMYFUNCTION("GOOGLETRANSLATE(A12405, ""en"", ""mt"")"),"Il-politiki tal-kiri tal-kampus barra mill-kampus tal-università.")</f>
        <v>Il-politiki tal-kiri tal-kampus barra mill-kampus tal-università.</v>
      </c>
    </row>
    <row r="12406" ht="15.75" customHeight="1">
      <c r="A12406" s="2" t="s">
        <v>12406</v>
      </c>
      <c r="B12406" s="2" t="str">
        <f>IFERROR(__xludf.DUMMYFUNCTION("GOOGLETRANSLATE(A12406, ""en"", ""mt"")"),"Liema tip ta 'arkitettura ġie wara Norman fl-Ingilterra?")</f>
        <v>Liema tip ta 'arkitettura ġie wara Norman fl-Ingilterra?</v>
      </c>
    </row>
    <row r="12407" ht="15.75" customHeight="1">
      <c r="A12407" s="2" t="s">
        <v>12407</v>
      </c>
      <c r="B12407" s="2" t="str">
        <f>IFERROR(__xludf.DUMMYFUNCTION("GOOGLETRANSLATE(A12407, ""en"", ""mt"")"),"Kemm ilu li l-ġeoglifi ġew skoperti l-ewwel fuq art deforestata?")</f>
        <v>Kemm ilu li l-ġeoglifi ġew skoperti l-ewwel fuq art deforestata?</v>
      </c>
    </row>
    <row r="12408" ht="15.75" customHeight="1">
      <c r="A12408" s="2" t="s">
        <v>12408</v>
      </c>
      <c r="B12408" s="2" t="str">
        <f>IFERROR(__xludf.DUMMYFUNCTION("GOOGLETRANSLATE(A12408, ""en"", ""mt"")"),"Ariq Böke")</f>
        <v>Ariq Böke</v>
      </c>
    </row>
    <row r="12409" ht="15.75" customHeight="1">
      <c r="A12409" s="2" t="s">
        <v>12409</v>
      </c>
      <c r="B12409" s="2" t="str">
        <f>IFERROR(__xludf.DUMMYFUNCTION("GOOGLETRANSLATE(A12409, ""en"", ""mt"")"),"Fejn twieled Friedrich Ratzel?")</f>
        <v>Fejn twieled Friedrich Ratzel?</v>
      </c>
    </row>
    <row r="12410" ht="15.75" customHeight="1">
      <c r="A12410" s="2" t="s">
        <v>12410</v>
      </c>
      <c r="B12410" s="2" t="str">
        <f>IFERROR(__xludf.DUMMYFUNCTION("GOOGLETRANSLATE(A12410, ""en"", ""mt"")"),"F'liema sena Jerónimo de Ayanz y Beaumont irċieva brevett tal-magna bil-fwar?")</f>
        <v>F'liema sena Jerónimo de Ayanz y Beaumont irċieva brevett tal-magna bil-fwar?</v>
      </c>
    </row>
    <row r="12411" ht="15.75" customHeight="1">
      <c r="A12411" s="2" t="s">
        <v>12411</v>
      </c>
      <c r="B12411" s="2" t="str">
        <f>IFERROR(__xludf.DUMMYFUNCTION("GOOGLETRANSLATE(A12411, ""en"", ""mt"")"),"F'liema sena l-gazzetta ddefiniet in-Nofsinhar ta 'California?")</f>
        <v>F'liema sena l-gazzetta ddefiniet in-Nofsinhar ta 'California?</v>
      </c>
    </row>
    <row r="12412" ht="15.75" customHeight="1">
      <c r="A12412" s="2" t="s">
        <v>12412</v>
      </c>
      <c r="B12412" s="2" t="str">
        <f>IFERROR(__xludf.DUMMYFUNCTION("GOOGLETRANSLATE(A12412, ""en"", ""mt"")"),"Meta ġiet skoperta l-litosfera?")</f>
        <v>Meta ġiet skoperta l-litosfera?</v>
      </c>
    </row>
    <row r="12413" ht="15.75" customHeight="1">
      <c r="A12413" s="2" t="s">
        <v>12413</v>
      </c>
      <c r="B12413" s="2" t="str">
        <f>IFERROR(__xludf.DUMMYFUNCTION("GOOGLETRANSLATE(A12413, ""en"", ""mt"")"),"Liema organizzazzjoni għandha riċerka relatata mal-klima?")</f>
        <v>Liema organizzazzjoni għandha riċerka relatata mal-klima?</v>
      </c>
    </row>
    <row r="12414" ht="15.75" customHeight="1">
      <c r="A12414" s="2" t="s">
        <v>12414</v>
      </c>
      <c r="B12414" s="2" t="str">
        <f>IFERROR(__xludf.DUMMYFUNCTION("GOOGLETRANSLATE(A12414, ""en"", ""mt"")"),"Protokoll ta 'datagramma ta' l-utent")</f>
        <v>Protokoll ta 'datagramma ta' l-utent</v>
      </c>
    </row>
    <row r="12415" ht="15.75" customHeight="1">
      <c r="A12415" s="2" t="s">
        <v>12415</v>
      </c>
      <c r="B12415" s="2" t="str">
        <f>IFERROR(__xludf.DUMMYFUNCTION("GOOGLETRANSLATE(A12415, ""en"", ""mt"")"),"Min ipprovda definizzjoni ta 'Automata Linear Limitat fl-1960?")</f>
        <v>Min ipprovda definizzjoni ta 'Automata Linear Limitat fl-1960?</v>
      </c>
    </row>
    <row r="12416" ht="15.75" customHeight="1">
      <c r="A12416" s="2" t="s">
        <v>12416</v>
      </c>
      <c r="B12416" s="2" t="str">
        <f>IFERROR(__xludf.DUMMYFUNCTION("GOOGLETRANSLATE(A12416, ""en"", ""mt"")"),"Jalloka minn qabel il-wisa 'tal-banda tan-netwerk iddedikat speċifikament għal kull sessjoni ta' komunikazzjoni")</f>
        <v>Jalloka minn qabel il-wisa 'tal-banda tan-netwerk iddedikat speċifikament għal kull sessjoni ta' komunikazzjoni</v>
      </c>
    </row>
    <row r="12417" ht="15.75" customHeight="1">
      <c r="A12417" s="2" t="s">
        <v>12417</v>
      </c>
      <c r="B12417" s="2" t="str">
        <f>IFERROR(__xludf.DUMMYFUNCTION("GOOGLETRANSLATE(A12417, ""en"", ""mt"")"),"Anarkisti")</f>
        <v>Anarkisti</v>
      </c>
    </row>
    <row r="12418" ht="15.75" customHeight="1">
      <c r="A12418" s="2" t="s">
        <v>12418</v>
      </c>
      <c r="B12418" s="2" t="str">
        <f>IFERROR(__xludf.DUMMYFUNCTION("GOOGLETRANSLATE(A12418, ""en"", ""mt"")"),"Kemm hemm bażijiet navali f'Jacksonville?")</f>
        <v>Kemm hemm bażijiet navali f'Jacksonville?</v>
      </c>
    </row>
    <row r="12419" ht="15.75" customHeight="1">
      <c r="A12419" s="2" t="s">
        <v>12419</v>
      </c>
      <c r="B12419" s="2" t="str">
        <f>IFERROR(__xludf.DUMMYFUNCTION("GOOGLETRANSLATE(A12419, ""en"", ""mt"")"),"X'kien il-memorja intitolata li ġiet sottomessa lis-Soċjetà Filosofika Amerikana?")</f>
        <v>X'kien il-memorja intitolata li ġiet sottomessa lis-Soċjetà Filosofika Amerikana?</v>
      </c>
    </row>
    <row r="12420" ht="15.75" customHeight="1">
      <c r="A12420" s="2" t="s">
        <v>12420</v>
      </c>
      <c r="B12420" s="2" t="str">
        <f>IFERROR(__xludf.DUMMYFUNCTION("GOOGLETRANSLATE(A12420, ""en"", ""mt"")"),"Robert Bork")</f>
        <v>Robert Bork</v>
      </c>
    </row>
    <row r="12421" ht="15.75" customHeight="1">
      <c r="A12421" s="2" t="s">
        <v>12421</v>
      </c>
      <c r="B12421" s="2" t="str">
        <f>IFERROR(__xludf.DUMMYFUNCTION("GOOGLETRANSLATE(A12421, ""en"", ""mt"")"),"X'inhuma Lobata fi Plankton?")</f>
        <v>X'inhuma Lobata fi Plankton?</v>
      </c>
    </row>
    <row r="12422" ht="15.75" customHeight="1">
      <c r="A12422" s="2" t="s">
        <v>12422</v>
      </c>
      <c r="B12422" s="2" t="str">
        <f>IFERROR(__xludf.DUMMYFUNCTION("GOOGLETRANSLATE(A12422, ""en"", ""mt"")"),"bejn 1.4 u 5.8 ° C")</f>
        <v>bejn 1.4 u 5.8 ° C</v>
      </c>
    </row>
    <row r="12423" ht="15.75" customHeight="1">
      <c r="A12423" s="2" t="s">
        <v>12423</v>
      </c>
      <c r="B12423" s="2" t="str">
        <f>IFERROR(__xludf.DUMMYFUNCTION("GOOGLETRANSLATE(A12423, ""en"", ""mt"")"),"Ħong Kong")</f>
        <v>Ħong Kong</v>
      </c>
    </row>
    <row r="12424" ht="15.75" customHeight="1">
      <c r="A12424" s="2" t="s">
        <v>12424</v>
      </c>
      <c r="B12424" s="2" t="str">
        <f>IFERROR(__xludf.DUMMYFUNCTION("GOOGLETRANSLATE(A12424, ""en"", ""mt"")"),"X'inhi l-Liġi tal-Unjoni Ewropea?")</f>
        <v>X'inhi l-Liġi tal-Unjoni Ewropea?</v>
      </c>
    </row>
    <row r="12425" ht="15.75" customHeight="1">
      <c r="A12425" s="2" t="s">
        <v>12425</v>
      </c>
      <c r="B12425" s="2" t="str">
        <f>IFERROR(__xludf.DUMMYFUNCTION("GOOGLETRANSLATE(A12425, ""en"", ""mt"")"),"lokomottivi tal-fwar")</f>
        <v>lokomottivi tal-fwar</v>
      </c>
    </row>
    <row r="12426" ht="15.75" customHeight="1">
      <c r="A12426" s="2" t="s">
        <v>12426</v>
      </c>
      <c r="B12426" s="2" t="str">
        <f>IFERROR(__xludf.DUMMYFUNCTION("GOOGLETRANSLATE(A12426, ""en"", ""mt"")"),"Fuq blat, alka, jew uċuħ tal-ġisem ta 'invertebrati oħra")</f>
        <v>Fuq blat, alka, jew uċuħ tal-ġisem ta 'invertebrati oħra</v>
      </c>
    </row>
    <row r="12427" ht="15.75" customHeight="1">
      <c r="A12427" s="2" t="s">
        <v>12427</v>
      </c>
      <c r="B12427" s="2" t="str">
        <f>IFERROR(__xludf.DUMMYFUNCTION("GOOGLETRANSLATE(A12427, ""en"", ""mt"")"),"Min inħatar bħala t-tielet fil-kmand lil Lor Loudoun fl-1756?")</f>
        <v>Min inħatar bħala t-tielet fil-kmand lil Lor Loudoun fl-1756?</v>
      </c>
    </row>
    <row r="12428" ht="15.75" customHeight="1">
      <c r="A12428" s="2" t="s">
        <v>12428</v>
      </c>
      <c r="B12428" s="2" t="str">
        <f>IFERROR(__xludf.DUMMYFUNCTION("GOOGLETRANSLATE(A12428, ""en"", ""mt"")"),"Liema kumpanija ma kinitx imħassba dwar iż-żamma ta 'drittijiet ġodda?")</f>
        <v>Liema kumpanija ma kinitx imħassba dwar iż-żamma ta 'drittijiet ġodda?</v>
      </c>
    </row>
    <row r="12429" ht="15.75" customHeight="1">
      <c r="A12429" s="2" t="s">
        <v>12429</v>
      </c>
      <c r="B12429" s="2" t="str">
        <f>IFERROR(__xludf.DUMMYFUNCTION("GOOGLETRANSLATE(A12429, ""en"", ""mt"")"),"Joskura l-fatt li l-Indjani ġġieldu fuq iż-żewġ naħat tal-kunflitt, u li dan kien parti mill-gwerra tas-seba 'snin")</f>
        <v>Joskura l-fatt li l-Indjani ġġieldu fuq iż-żewġ naħat tal-kunflitt, u li dan kien parti mill-gwerra tas-seba 'snin</v>
      </c>
    </row>
    <row r="12430" ht="15.75" customHeight="1">
      <c r="A12430" s="2" t="s">
        <v>12430</v>
      </c>
      <c r="B12430" s="2" t="str">
        <f>IFERROR(__xludf.DUMMYFUNCTION("GOOGLETRANSLATE(A12430, ""en"", ""mt"")")," Kemm hemm Afrikani mressqa fl-Istati Uniti waqt il-kummerċ mhux tal-iskjavi?")</f>
        <v> Kemm hemm Afrikani mressqa fl-Istati Uniti waqt il-kummerċ mhux tal-iskjavi?</v>
      </c>
    </row>
    <row r="12431" ht="15.75" customHeight="1">
      <c r="A12431" s="2" t="s">
        <v>12431</v>
      </c>
      <c r="B12431" s="2" t="str">
        <f>IFERROR(__xludf.DUMMYFUNCTION("GOOGLETRANSLATE(A12431, ""en"", ""mt"")"),"Abitanti Aboriġini")</f>
        <v>Abitanti Aboriġini</v>
      </c>
    </row>
    <row r="12432" ht="15.75" customHeight="1">
      <c r="A12432" s="2" t="s">
        <v>12432</v>
      </c>
      <c r="B12432" s="2" t="str">
        <f>IFERROR(__xludf.DUMMYFUNCTION("GOOGLETRANSLATE(A12432, ""en"", ""mt"")"),"X'kien l-isem tal-ewwel bini mibni fuq art tal-kampus?")</f>
        <v>X'kien l-isem tal-ewwel bini mibni fuq art tal-kampus?</v>
      </c>
    </row>
    <row r="12433" ht="15.75" customHeight="1">
      <c r="A12433" s="2" t="s">
        <v>12433</v>
      </c>
      <c r="B12433" s="2" t="str">
        <f>IFERROR(__xludf.DUMMYFUNCTION("GOOGLETRANSLATE(A12433, ""en"", ""mt"")"),"Il-foresta tropikali fiha diversi speċi li jistgħu joħolqu periklu. Fost l-akbar kreaturi predatorji hemm il-Caiman Iswed, Jaguar, Cougar, u Anaconda. Fix-xmara, is-sallur elettriku jista 'jipproduċi xokk elettriku li jista' jinqata 'jew joqtol, filwaqt l"&amp;"i Piranha huma magħrufa li gidma u jweġġgħu lill-bnedmin. Diversi speċi ta 'żrinġijiet tal-velenu jnixxu tossini alkalojdi lipofiliċi minn laħamhom. Hemm ukoll bosta parassiti u vettori tal-mard. Il-friefet il-lejl tal-vampire joqogħdu fil-foresta tropika"&amp;"li u jistgħu jxerrdu l-virus tar-rabbja. Il-malarja, id-deni isfar u d-deni tad-dengue jistgħu wkoll jiġu kkuntrattati fir-reġjun tal-Amażonja.")</f>
        <v>Il-foresta tropikali fiha diversi speċi li jistgħu joħolqu periklu. Fost l-akbar kreaturi predatorji hemm il-Caiman Iswed, Jaguar, Cougar, u Anaconda. Fix-xmara, is-sallur elettriku jista 'jipproduċi xokk elettriku li jista' jinqata 'jew joqtol, filwaqt li Piranha huma magħrufa li gidma u jweġġgħu lill-bnedmin. Diversi speċi ta 'żrinġijiet tal-velenu jnixxu tossini alkalojdi lipofiliċi minn laħamhom. Hemm ukoll bosta parassiti u vettori tal-mard. Il-friefet il-lejl tal-vampire joqogħdu fil-foresta tropikali u jistgħu jxerrdu l-virus tar-rabbja. Il-malarja, id-deni isfar u d-deni tad-dengue jistgħu wkoll jiġu kkuntrattati fir-reġjun tal-Amażonja.</v>
      </c>
    </row>
    <row r="12434" ht="15.75" customHeight="1">
      <c r="A12434" s="2" t="s">
        <v>12434</v>
      </c>
      <c r="B12434" s="2" t="str">
        <f>IFERROR(__xludf.DUMMYFUNCTION("GOOGLETRANSLATE(A12434, ""en"", ""mt"")"),"Estinzjoni Kretaċeja-Paleogene")</f>
        <v>Estinzjoni Kretaċeja-Paleogene</v>
      </c>
    </row>
    <row r="12435" ht="15.75" customHeight="1">
      <c r="A12435" s="2" t="s">
        <v>12435</v>
      </c>
      <c r="B12435" s="2" t="str">
        <f>IFERROR(__xludf.DUMMYFUNCTION("GOOGLETRANSLATE(A12435, ""en"", ""mt"")"),"Ħdax-il unità akkademika separata")</f>
        <v>Ħdax-il unità akkademika separata</v>
      </c>
    </row>
    <row r="12436" ht="15.75" customHeight="1">
      <c r="A12436" s="2" t="s">
        <v>12436</v>
      </c>
      <c r="B12436" s="2" t="str">
        <f>IFERROR(__xludf.DUMMYFUNCTION("GOOGLETRANSLATE(A12436, ""en"", ""mt"")"),"B'liema metodu riedet Maududi tbiddel il-qlub u l-imħuħ ta 'individwi?")</f>
        <v>B'liema metodu riedet Maududi tbiddel il-qlub u l-imħuħ ta 'individwi?</v>
      </c>
    </row>
    <row r="12437" ht="15.75" customHeight="1">
      <c r="A12437" s="2" t="s">
        <v>12437</v>
      </c>
      <c r="B12437" s="2" t="str">
        <f>IFERROR(__xludf.DUMMYFUNCTION("GOOGLETRANSLATE(A12437, ""en"", ""mt"")"),"astenosfera")</f>
        <v>astenosfera</v>
      </c>
    </row>
    <row r="12438" ht="15.75" customHeight="1">
      <c r="A12438" s="2" t="s">
        <v>12438</v>
      </c>
      <c r="B12438" s="2" t="str">
        <f>IFERROR(__xludf.DUMMYFUNCTION("GOOGLETRANSLATE(A12438, ""en"", ""mt"")"),"Liema antropoloġi huma wkoll membri tal-alumni universitarji?")</f>
        <v>Liema antropoloġi huma wkoll membri tal-alumni universitarji?</v>
      </c>
    </row>
    <row r="12439" ht="15.75" customHeight="1">
      <c r="A12439" s="2" t="s">
        <v>12439</v>
      </c>
      <c r="B12439" s="2" t="str">
        <f>IFERROR(__xludf.DUMMYFUNCTION("GOOGLETRANSLATE(A12439, ""en"", ""mt"")"),"Liema trattat ħa l-post tat-trattat kostituzzjonali?")</f>
        <v>Liema trattat ħa l-post tat-trattat kostituzzjonali?</v>
      </c>
    </row>
    <row r="12440" ht="15.75" customHeight="1">
      <c r="A12440" s="2" t="s">
        <v>12440</v>
      </c>
      <c r="B12440" s="2" t="str">
        <f>IFERROR(__xludf.DUMMYFUNCTION("GOOGLETRANSLATE(A12440, ""en"", ""mt"")"),"Sa liema punt Fermat ikkonferma l-validità tan-numri Fermat?")</f>
        <v>Sa liema punt Fermat ikkonferma l-validità tan-numri Fermat?</v>
      </c>
    </row>
    <row r="12441" ht="15.75" customHeight="1">
      <c r="A12441" s="2" t="s">
        <v>12441</v>
      </c>
      <c r="B12441" s="2" t="str">
        <f>IFERROR(__xludf.DUMMYFUNCTION("GOOGLETRANSLATE(A12441, ""en"", ""mt"")"),"Tibgħat email lill-Libanu, New Hampshire City Councilors")</f>
        <v>Tibgħat email lill-Libanu, New Hampshire City Councilors</v>
      </c>
    </row>
    <row r="12442" ht="15.75" customHeight="1">
      <c r="A12442" s="2" t="s">
        <v>12442</v>
      </c>
      <c r="B12442" s="2" t="str">
        <f>IFERROR(__xludf.DUMMYFUNCTION("GOOGLETRANSLATE(A12442, ""en"", ""mt"")"),"1981")</f>
        <v>1981</v>
      </c>
    </row>
    <row r="12443" ht="15.75" customHeight="1">
      <c r="A12443" s="2" t="s">
        <v>12443</v>
      </c>
      <c r="B12443" s="2" t="str">
        <f>IFERROR(__xludf.DUMMYFUNCTION("GOOGLETRANSLATE(A12443, ""en"", ""mt"")"),"Meta l-kolonji Spanjoli u Portugiżi kisbu l-indipendenza tagħhom.")</f>
        <v>Meta l-kolonji Spanjoli u Portugiżi kisbu l-indipendenza tagħhom.</v>
      </c>
    </row>
    <row r="12444" ht="15.75" customHeight="1">
      <c r="A12444" s="2" t="s">
        <v>12444</v>
      </c>
      <c r="B12444" s="2" t="str">
        <f>IFERROR(__xludf.DUMMYFUNCTION("GOOGLETRANSLATE(A12444, ""en"", ""mt"")"),"Għaliex it-temperatura tista 'taffettwa t-teorija tat-tixrid tal-pesta?")</f>
        <v>Għaliex it-temperatura tista 'taffettwa t-teorija tat-tixrid tal-pesta?</v>
      </c>
    </row>
    <row r="12445" ht="15.75" customHeight="1">
      <c r="A12445" s="2" t="s">
        <v>12445</v>
      </c>
      <c r="B12445" s="2" t="str">
        <f>IFERROR(__xludf.DUMMYFUNCTION("GOOGLETRANSLATE(A12445, ""en"", ""mt"")"),"Vjaġġaturi tal-Fond")</f>
        <v>Vjaġġaturi tal-Fond</v>
      </c>
    </row>
    <row r="12446" ht="15.75" customHeight="1">
      <c r="A12446" s="2" t="s">
        <v>12446</v>
      </c>
      <c r="B12446" s="2" t="str">
        <f>IFERROR(__xludf.DUMMYFUNCTION("GOOGLETRANSLATE(A12446, ""en"", ""mt"")"),"Liema żewġ gruppi għandhom ċelloli marbuta permezz ta 'konnessjonijiet inter-ċelloli u membrani, muskoli, sistema nervuża u organi sensorji?")</f>
        <v>Liema żewġ gruppi għandhom ċelloli marbuta permezz ta 'konnessjonijiet inter-ċelloli u membrani, muskoli, sistema nervuża u organi sensorji?</v>
      </c>
    </row>
    <row r="12447" ht="15.75" customHeight="1">
      <c r="A12447" s="2" t="s">
        <v>12447</v>
      </c>
      <c r="B12447" s="2" t="str">
        <f>IFERROR(__xludf.DUMMYFUNCTION("GOOGLETRANSLATE(A12447, ""en"", ""mt"")"),"Min ried iċ-Ċiniż Han biex jgħin lill-Mongoli jiġġieldu?")</f>
        <v>Min ried iċ-Ċiniż Han biex jgħin lill-Mongoli jiġġieldu?</v>
      </c>
    </row>
    <row r="12448" ht="15.75" customHeight="1">
      <c r="A12448" s="2" t="s">
        <v>12448</v>
      </c>
      <c r="B12448" s="2" t="str">
        <f>IFERROR(__xludf.DUMMYFUNCTION("GOOGLETRANSLATE(A12448, ""en"", ""mt"")"),"Għaliex il-Franċiżi ħassew li kellhom dritt għal Ohio?")</f>
        <v>Għaliex il-Franċiżi ħassew li kellhom dritt għal Ohio?</v>
      </c>
    </row>
    <row r="12449" ht="15.75" customHeight="1">
      <c r="A12449" s="2" t="s">
        <v>12449</v>
      </c>
      <c r="B12449" s="2" t="str">
        <f>IFERROR(__xludf.DUMMYFUNCTION("GOOGLETRANSLATE(A12449, ""en"", ""mt"")")," Hobson argumenta li l-imperjalizmu ma kienx internazzjonali xiex?")</f>
        <v> Hobson argumenta li l-imperjalizmu ma kienx internazzjonali xiex?</v>
      </c>
    </row>
    <row r="12450" ht="15.75" customHeight="1">
      <c r="A12450" s="2" t="s">
        <v>12450</v>
      </c>
      <c r="B12450" s="2" t="str">
        <f>IFERROR(__xludf.DUMMYFUNCTION("GOOGLETRANSLATE(A12450, ""en"", ""mt"")"),"Kif jikkontrollaw il-Mesoglea kemm huma fluwidi tal-ġisem brackish?")</f>
        <v>Kif jikkontrollaw il-Mesoglea kemm huma fluwidi tal-ġisem brackish?</v>
      </c>
    </row>
    <row r="12451" ht="15.75" customHeight="1">
      <c r="A12451" s="2" t="s">
        <v>12451</v>
      </c>
      <c r="B12451" s="2" t="str">
        <f>IFERROR(__xludf.DUMMYFUNCTION("GOOGLETRANSLATE(A12451, ""en"", ""mt"")"),"il-lek")</f>
        <v>il-lek</v>
      </c>
    </row>
    <row r="12452" ht="15.75" customHeight="1">
      <c r="A12452" s="2" t="s">
        <v>12452</v>
      </c>
      <c r="B12452" s="2" t="str">
        <f>IFERROR(__xludf.DUMMYFUNCTION("GOOGLETRANSLATE(A12452, ""en"", ""mt"")"),"X'kien ir-rapport R-2626?")</f>
        <v>X'kien ir-rapport R-2626?</v>
      </c>
    </row>
    <row r="12453" ht="15.75" customHeight="1">
      <c r="A12453" s="2" t="s">
        <v>12453</v>
      </c>
      <c r="B12453" s="2" t="str">
        <f>IFERROR(__xludf.DUMMYFUNCTION("GOOGLETRANSLATE(A12453, ""en"", ""mt"")"),"Leonard Bernstein")</f>
        <v>Leonard Bernstein</v>
      </c>
    </row>
    <row r="12454" ht="15.75" customHeight="1">
      <c r="A12454" s="2" t="s">
        <v>12454</v>
      </c>
      <c r="B12454" s="2" t="str">
        <f>IFERROR(__xludf.DUMMYFUNCTION("GOOGLETRANSLATE(A12454, ""en"", ""mt"")"),"Skond it-tnaqqis tal-ħin polinomjali, il-kwadri jistgħu fl-aħħar jitnaqqsu loġikament għal xiex?")</f>
        <v>Skond it-tnaqqis tal-ħin polinomjali, il-kwadri jistgħu fl-aħħar jitnaqqsu loġikament għal xiex?</v>
      </c>
    </row>
    <row r="12455" ht="15.75" customHeight="1">
      <c r="A12455" s="2" t="s">
        <v>12455</v>
      </c>
      <c r="B12455" s="2" t="str">
        <f>IFERROR(__xludf.DUMMYFUNCTION("GOOGLETRANSLATE(A12455, ""en"", ""mt"")"),"Ix-Xmara Colorado")</f>
        <v>Ix-Xmara Colorado</v>
      </c>
    </row>
    <row r="12456" ht="15.75" customHeight="1">
      <c r="A12456" s="2" t="s">
        <v>12456</v>
      </c>
      <c r="B12456" s="2" t="str">
        <f>IFERROR(__xludf.DUMMYFUNCTION("GOOGLETRANSLATE(A12456, ""en"", ""mt"")"),"demokratiku")</f>
        <v>demokratiku</v>
      </c>
    </row>
    <row r="12457" ht="15.75" customHeight="1">
      <c r="A12457" s="2" t="s">
        <v>12457</v>
      </c>
      <c r="B12457" s="2" t="str">
        <f>IFERROR(__xludf.DUMMYFUNCTION("GOOGLETRANSLATE(A12457, ""en"", ""mt"")"),"sekondarja jew post-sekondarja")</f>
        <v>sekondarja jew post-sekondarja</v>
      </c>
    </row>
    <row r="12458" ht="15.75" customHeight="1">
      <c r="A12458" s="2" t="s">
        <v>12458</v>
      </c>
      <c r="B12458" s="2" t="str">
        <f>IFERROR(__xludf.DUMMYFUNCTION("GOOGLETRANSLATE(A12458, ""en"", ""mt"")"),"X’qal George Carlin lill-Kunsill tal-Belt biex jagħmel fi New Hampshire?")</f>
        <v>X’qal George Carlin lill-Kunsill tal-Belt biex jagħmel fi New Hampshire?</v>
      </c>
    </row>
    <row r="12459" ht="15.75" customHeight="1">
      <c r="A12459" s="2" t="s">
        <v>12459</v>
      </c>
      <c r="B12459" s="2" t="str">
        <f>IFERROR(__xludf.DUMMYFUNCTION("GOOGLETRANSLATE(A12459, ""en"", ""mt"")"),"Fejn huma l-aktar b'saħħithom il-minaturi tad-deheb Ażjatiċi fir-Rabat?")</f>
        <v>Fejn huma l-aktar b'saħħithom il-minaturi tad-deheb Ażjatiċi fir-Rabat?</v>
      </c>
    </row>
    <row r="12460" ht="15.75" customHeight="1">
      <c r="A12460" s="2" t="s">
        <v>12460</v>
      </c>
      <c r="B12460" s="2" t="str">
        <f>IFERROR(__xludf.DUMMYFUNCTION("GOOGLETRANSLATE(A12460, ""en"", ""mt"")")," Kemm hemm Tumens Khitan?")</f>
        <v> Kemm hemm Tumens Khitan?</v>
      </c>
    </row>
    <row r="12461" ht="15.75" customHeight="1">
      <c r="A12461" s="2" t="s">
        <v>12461</v>
      </c>
      <c r="B12461" s="2" t="str">
        <f>IFERROR(__xludf.DUMMYFUNCTION("GOOGLETRANSLATE(A12461, ""en"", ""mt"")"),"11-il miljun klijent")</f>
        <v>11-il miljun klijent</v>
      </c>
    </row>
    <row r="12462" ht="15.75" customHeight="1">
      <c r="A12462" s="2" t="s">
        <v>12462</v>
      </c>
      <c r="B12462" s="2" t="str">
        <f>IFERROR(__xludf.DUMMYFUNCTION("GOOGLETRANSLATE(A12462, ""en"", ""mt"")"),"Cobham")</f>
        <v>Cobham</v>
      </c>
    </row>
    <row r="12463" ht="15.75" customHeight="1">
      <c r="A12463" s="2" t="s">
        <v>12463</v>
      </c>
      <c r="B12463" s="2" t="str">
        <f>IFERROR(__xludf.DUMMYFUNCTION("GOOGLETRANSLATE(A12463, ""en"", ""mt"")"),"Steam_engine")</f>
        <v>Steam_engine</v>
      </c>
    </row>
    <row r="12464" ht="15.75" customHeight="1">
      <c r="A12464" s="2" t="s">
        <v>12464</v>
      </c>
      <c r="B12464" s="2" t="str">
        <f>IFERROR(__xludf.DUMMYFUNCTION("GOOGLETRANSLATE(A12464, ""en"", ""mt"")"),"Liema tribujiet ma kinux fil-gwerra ta 'Patri Le Loutre?")</f>
        <v>Liema tribujiet ma kinux fil-gwerra ta 'Patri Le Loutre?</v>
      </c>
    </row>
    <row r="12465" ht="15.75" customHeight="1">
      <c r="A12465" s="2" t="s">
        <v>12465</v>
      </c>
      <c r="B12465" s="2" t="str">
        <f>IFERROR(__xludf.DUMMYFUNCTION("GOOGLETRANSLATE(A12465, ""en"", ""mt"")"),"X'inhu eżempju wieħed ta 'primes razzjonali uniċi?")</f>
        <v>X'inhu eżempju wieħed ta 'primes razzjonali uniċi?</v>
      </c>
    </row>
    <row r="12466" ht="15.75" customHeight="1">
      <c r="A12466" s="2" t="s">
        <v>12466</v>
      </c>
      <c r="B12466" s="2" t="str">
        <f>IFERROR(__xludf.DUMMYFUNCTION("GOOGLETRANSLATE(A12466, ""en"", ""mt"")"),"Xi trid titwaqqa 'd-diżubbidjenza ċivili mhux rivoluzzjonarja?")</f>
        <v>Xi trid titwaqqa 'd-diżubbidjenza ċivili mhux rivoluzzjonarja?</v>
      </c>
    </row>
    <row r="12467" ht="15.75" customHeight="1">
      <c r="A12467" s="2" t="s">
        <v>12467</v>
      </c>
      <c r="B12467" s="2" t="str">
        <f>IFERROR(__xludf.DUMMYFUNCTION("GOOGLETRANSLATE(A12467, ""en"", ""mt"")"),"Kemm nies kienu f'regatta sponsorjata minn Harvard fl-1875?")</f>
        <v>Kemm nies kienu f'regatta sponsorjata minn Harvard fl-1875?</v>
      </c>
    </row>
    <row r="12468" ht="15.75" customHeight="1">
      <c r="A12468" s="2" t="s">
        <v>12468</v>
      </c>
      <c r="B12468" s="2" t="str">
        <f>IFERROR(__xludf.DUMMYFUNCTION("GOOGLETRANSLATE(A12468, ""en"", ""mt"")"),"Flimkien ma 'magni tad-diżil, liema magni qabżu magni tal-fwar għall-propulsjoni tal-baħar?")</f>
        <v>Flimkien ma 'magni tad-diżil, liema magni qabżu magni tal-fwar għall-propulsjoni tal-baħar?</v>
      </c>
    </row>
    <row r="12469" ht="15.75" customHeight="1">
      <c r="A12469" s="2" t="s">
        <v>12469</v>
      </c>
      <c r="B12469" s="2" t="str">
        <f>IFERROR(__xludf.DUMMYFUNCTION("GOOGLETRANSLATE(A12469, ""en"", ""mt"")"),"Liu Bingzhong u Yao Shu")</f>
        <v>Liu Bingzhong u Yao Shu</v>
      </c>
    </row>
    <row r="12470" ht="15.75" customHeight="1">
      <c r="A12470" s="2" t="s">
        <v>12470</v>
      </c>
      <c r="B12470" s="2" t="str">
        <f>IFERROR(__xludf.DUMMYFUNCTION("GOOGLETRANSLATE(A12470, ""en"", ""mt"")"),"Is-sistema immunitarja adattiva evolviet fil-vertebrati bikrija u tippermetti rispons immuni aktar b'saħħtu kif ukoll memorja immunoloġika, fejn kull patoġen huwa ""mfakkar"" minn antiġen tal-firma. Ir-rispons immunitarju adattiv huwa speċifiku għall-anti"&amp;"ġen u jirrikjedi r-rikonoxximent ta 'antiġeni speċifiċi ""mhux self"" waqt proċess imsejjaħ preżentazzjoni ta' antiġen. L-ispeċifiċità tal-antiġen tippermetti l-ġenerazzjoni ta 'tweġibiet li huma mfassla għal patoġeni speċifiċi jew ċelloli infettati bil-p"&amp;"atoġeni. Il-kapaċità li jintramaw dawn ir-risponsi mfassla tinżamm fil-ġisem permezz ta '""ċelloli tal-memorja"". Jekk patoġen jinfetta l-ġisem aktar minn darba, dawn iċ-ċelloli tal-memorja speċifiċi jintużaw biex jeliminawh malajr.")</f>
        <v>Is-sistema immunitarja adattiva evolviet fil-vertebrati bikrija u tippermetti rispons immuni aktar b'saħħtu kif ukoll memorja immunoloġika, fejn kull patoġen huwa "mfakkar" minn antiġen tal-firma. Ir-rispons immunitarju adattiv huwa speċifiku għall-antiġen u jirrikjedi r-rikonoxximent ta 'antiġeni speċifiċi "mhux self" waqt proċess imsejjaħ preżentazzjoni ta' antiġen. L-ispeċifiċità tal-antiġen tippermetti l-ġenerazzjoni ta 'tweġibiet li huma mfassla għal patoġeni speċifiċi jew ċelloli infettati bil-patoġeni. Il-kapaċità li jintramaw dawn ir-risponsi mfassla tinżamm fil-ġisem permezz ta '"ċelloli tal-memorja". Jekk patoġen jinfetta l-ġisem aktar minn darba, dawn iċ-ċelloli tal-memorja speċifiċi jintużaw biex jeliminawh malajr.</v>
      </c>
    </row>
    <row r="12471" ht="15.75" customHeight="1">
      <c r="A12471" s="2" t="s">
        <v>12471</v>
      </c>
      <c r="B12471" s="2" t="str">
        <f>IFERROR(__xludf.DUMMYFUNCTION("GOOGLETRANSLATE(A12471, ""en"", ""mt"")"),"Meta nħolqot is-Soċjetà Filosofika Amerikana?")</f>
        <v>Meta nħolqot is-Soċjetà Filosofika Amerikana?</v>
      </c>
    </row>
    <row r="12472" ht="15.75" customHeight="1">
      <c r="A12472" s="2" t="s">
        <v>12472</v>
      </c>
      <c r="B12472" s="2" t="str">
        <f>IFERROR(__xludf.DUMMYFUNCTION("GOOGLETRANSLATE(A12472, ""en"", ""mt"")"),"Biss fastidju")</f>
        <v>Biss fastidju</v>
      </c>
    </row>
    <row r="12473" ht="15.75" customHeight="1">
      <c r="A12473" s="2" t="s">
        <v>12473</v>
      </c>
      <c r="B12473" s="2" t="str">
        <f>IFERROR(__xludf.DUMMYFUNCTION("GOOGLETRANSLATE(A12473, ""en"", ""mt"")"),"nies Ċiniżi mhux nattivi")</f>
        <v>nies Ċiniżi mhux nattivi</v>
      </c>
    </row>
    <row r="12474" ht="15.75" customHeight="1">
      <c r="A12474" s="2" t="s">
        <v>12474</v>
      </c>
      <c r="B12474" s="2" t="str">
        <f>IFERROR(__xludf.DUMMYFUNCTION("GOOGLETRANSLATE(A12474, ""en"", ""mt"")"),"Liema denominazzjoni topera l-Kulleġġ ta 'San Ġużepp?")</f>
        <v>Liema denominazzjoni topera l-Kulleġġ ta 'San Ġużepp?</v>
      </c>
    </row>
    <row r="12475" ht="15.75" customHeight="1">
      <c r="A12475" s="2" t="s">
        <v>12475</v>
      </c>
      <c r="B12475" s="2" t="str">
        <f>IFERROR(__xludf.DUMMYFUNCTION("GOOGLETRANSLATE(A12475, ""en"", ""mt"")"),"542")</f>
        <v>542</v>
      </c>
    </row>
    <row r="12476" ht="15.75" customHeight="1">
      <c r="A12476" s="2" t="s">
        <v>12476</v>
      </c>
      <c r="B12476" s="2" t="str">
        <f>IFERROR(__xludf.DUMMYFUNCTION("GOOGLETRANSLATE(A12476, ""en"", ""mt"")"),"Min assedja n-Normans fis-seklu 11?")</f>
        <v>Min assedja n-Normans fis-seklu 11?</v>
      </c>
    </row>
    <row r="12477" ht="15.75" customHeight="1">
      <c r="A12477" s="2" t="s">
        <v>12477</v>
      </c>
      <c r="B12477" s="2" t="str">
        <f>IFERROR(__xludf.DUMMYFUNCTION("GOOGLETRANSLATE(A12477, ""en"", ""mt"")"),"Fiċ-ċentru ta 'Basel, l-ewwel belt ewlenija matul il-fluss, tinsab l- ""irkoppa tar-Rhine""; Din hija liwja kbira, fejn id-direzzjoni ġenerali tar-Renu tinbidel mill-punent għal tramuntana. Hawnhekk ir-Rhine Għoli jintemm. Legalment, il-pont ċentrali huwa"&amp;" l-konfini bejn ir-Renu għoli u dak ta 'fuq. Ix-xmara issa tgħaddi lejn it-tramuntana bħala r-Renu ta ’Fuq mill-pjanura ta’ fuq tar-Renu, li hija twila madwar 300 km u sa 40 km wiesgħa. L-iktar tributarji importanti f'dan il-qasam huma l-morda taħt Strasb"&amp;"urgu, l-għonq f'Mannheim u l-main minn Mainz. F'Mainz, ir-Renu jħalli l-wied tar-Renu ta 'fuq u joħroġ mill-baċin ta' Mainz.")</f>
        <v>Fiċ-ċentru ta 'Basel, l-ewwel belt ewlenija matul il-fluss, tinsab l- "irkoppa tar-Rhine"; Din hija liwja kbira, fejn id-direzzjoni ġenerali tar-Renu tinbidel mill-punent għal tramuntana. Hawnhekk ir-Rhine Għoli jintemm. Legalment, il-pont ċentrali huwa l-konfini bejn ir-Renu għoli u dak ta 'fuq. Ix-xmara issa tgħaddi lejn it-tramuntana bħala r-Renu ta ’Fuq mill-pjanura ta’ fuq tar-Renu, li hija twila madwar 300 km u sa 40 km wiesgħa. L-iktar tributarji importanti f'dan il-qasam huma l-morda taħt Strasburgu, l-għonq f'Mannheim u l-main minn Mainz. F'Mainz, ir-Renu jħalli l-wied tar-Renu ta 'fuq u joħroġ mill-baċin ta' Mainz.</v>
      </c>
    </row>
    <row r="12478" ht="15.75" customHeight="1">
      <c r="A12478" s="2" t="s">
        <v>12478</v>
      </c>
      <c r="B12478" s="2" t="str">
        <f>IFERROR(__xludf.DUMMYFUNCTION("GOOGLETRANSLATE(A12478, ""en"", ""mt"")"),"Meta rritorna l-pesta lejn l-Ewropa?")</f>
        <v>Meta rritorna l-pesta lejn l-Ewropa?</v>
      </c>
    </row>
    <row r="12479" ht="15.75" customHeight="1">
      <c r="A12479" s="2" t="s">
        <v>12479</v>
      </c>
      <c r="B12479" s="2" t="str">
        <f>IFERROR(__xludf.DUMMYFUNCTION("GOOGLETRANSLATE(A12479, ""en"", ""mt"")"),"Ftit snin wara l-ewwel kruċjata, fl-1107, in-Normanni taħt il-kmand ta 'Bohemond, iben Robert, żbarkaw f'Valona u assedjaw id-Dyrrachium billi jużaw l-iktar tagħmir militari sofistikat ta' dak iż-żmien, iżda għalxejn. Sadanittant, huma okkupaw Petrela, iċ"&amp;"-Ċittadella ta ’Mili fil-banek tax-Xmara Deabolis, Glllavenica (Ballsh), Kanina u Jericho. Din id-darba, l-Albaniżi naħat man-Normanni, mhux sodisfatti mit-taxxi tqal li l-Biżantini kienu imponew fuqhom. Bl-għajnuna tagħhom, in-Normanni assiguraw il-pass "&amp;"ta ’Arbanon u fetħu triqthom lejn Dibra. In-nuqqas ta ’provvisti, mard u reżistenza Biżantina ġiegħlu lil Bohemond jirtira mill-kampanja tiegħu u jiffirma trattat ta’ paċi mal-Biżantini fil-belt ta ’Deabolis.")</f>
        <v>Ftit snin wara l-ewwel kruċjata, fl-1107, in-Normanni taħt il-kmand ta 'Bohemond, iben Robert, żbarkaw f'Valona u assedjaw id-Dyrrachium billi jużaw l-iktar tagħmir militari sofistikat ta' dak iż-żmien, iżda għalxejn. Sadanittant, huma okkupaw Petrela, iċ-Ċittadella ta ’Mili fil-banek tax-Xmara Deabolis, Glllavenica (Ballsh), Kanina u Jericho. Din id-darba, l-Albaniżi naħat man-Normanni, mhux sodisfatti mit-taxxi tqal li l-Biżantini kienu imponew fuqhom. Bl-għajnuna tagħhom, in-Normanni assiguraw il-pass ta ’Arbanon u fetħu triqthom lejn Dibra. In-nuqqas ta ’provvisti, mard u reżistenza Biżantina ġiegħlu lil Bohemond jirtira mill-kampanja tiegħu u jiffirma trattat ta’ paċi mal-Biżantini fil-belt ta ’Deabolis.</v>
      </c>
    </row>
    <row r="12480" ht="15.75" customHeight="1">
      <c r="A12480" s="2" t="s">
        <v>12480</v>
      </c>
      <c r="B12480" s="2" t="str">
        <f>IFERROR(__xludf.DUMMYFUNCTION("GOOGLETRANSLATE(A12480, ""en"", ""mt"")"),"X'inhu l-użu ta 'djalogu morali kkunsidrat meta ma ssegwix il-liġi?")</f>
        <v>X'inhu l-użu ta 'djalogu morali kkunsidrat meta ma ssegwix il-liġi?</v>
      </c>
    </row>
    <row r="12481" ht="15.75" customHeight="1">
      <c r="A12481" s="2" t="s">
        <v>12481</v>
      </c>
      <c r="B12481" s="2" t="str">
        <f>IFERROR(__xludf.DUMMYFUNCTION("GOOGLETRANSLATE(A12481, ""en"", ""mt"")"),"Liema rikkieb rivoluzzjonarju tal-gwerra ta ’nofsillejl kien dixxendent Huguenot?")</f>
        <v>Liema rikkieb rivoluzzjonarju tal-gwerra ta ’nofsillejl kien dixxendent Huguenot?</v>
      </c>
    </row>
    <row r="12482" ht="15.75" customHeight="1">
      <c r="A12482" s="2" t="s">
        <v>12482</v>
      </c>
      <c r="B12482" s="2" t="str">
        <f>IFERROR(__xludf.DUMMYFUNCTION("GOOGLETRANSLATE(A12482, ""en"", ""mt"")"),"Skola Groton")</f>
        <v>Skola Groton</v>
      </c>
    </row>
    <row r="12483" ht="15.75" customHeight="1">
      <c r="A12483" s="2" t="s">
        <v>12483</v>
      </c>
      <c r="B12483" s="2" t="str">
        <f>IFERROR(__xludf.DUMMYFUNCTION("GOOGLETRANSLATE(A12483, ""en"", ""mt"")"),"Il-mistoqsija tal-Luteran tal-Punent hija magħrufa bħala?")</f>
        <v>Il-mistoqsija tal-Luteran tal-Punent hija magħrufa bħala?</v>
      </c>
    </row>
    <row r="12484" ht="15.75" customHeight="1">
      <c r="A12484" s="2" t="s">
        <v>12484</v>
      </c>
      <c r="B12484" s="2" t="str">
        <f>IFERROR(__xludf.DUMMYFUNCTION("GOOGLETRANSLATE(A12484, ""en"", ""mt"")"),"X'inhu t-tieni livell ta 'diviżjoni territorjali fil-Polonja?")</f>
        <v>X'inhu t-tieni livell ta 'diviżjoni territorjali fil-Polonja?</v>
      </c>
    </row>
    <row r="12485" ht="15.75" customHeight="1">
      <c r="A12485" s="2" t="s">
        <v>12485</v>
      </c>
      <c r="B12485" s="2" t="str">
        <f>IFERROR(__xludf.DUMMYFUNCTION("GOOGLETRANSLATE(A12485, ""en"", ""mt"")"),"Dak li s-soltu jġorr partiċelli tas-sediment minn post għall-ieħor?")</f>
        <v>Dak li s-soltu jġorr partiċelli tas-sediment minn post għall-ieħor?</v>
      </c>
    </row>
    <row r="12486" ht="15.75" customHeight="1">
      <c r="A12486" s="2" t="s">
        <v>12486</v>
      </c>
      <c r="B12486" s="2" t="str">
        <f>IFERROR(__xludf.DUMMYFUNCTION("GOOGLETRANSLATE(A12486, ""en"", ""mt"")"),"aktar minn 10,000 m2")</f>
        <v>aktar minn 10,000 m2</v>
      </c>
    </row>
    <row r="12487" ht="15.75" customHeight="1">
      <c r="A12487" s="2" t="s">
        <v>12487</v>
      </c>
      <c r="B12487" s="2" t="str">
        <f>IFERROR(__xludf.DUMMYFUNCTION("GOOGLETRANSLATE(A12487, ""en"", ""mt"")"),"Iċ-ċirku ta 'numru sħiħ ta' oqsma ta 'numri kwadratiċi")</f>
        <v>Iċ-ċirku ta 'numru sħiħ ta' oqsma ta 'numri kwadratiċi</v>
      </c>
    </row>
    <row r="12488" ht="15.75" customHeight="1">
      <c r="A12488" s="2" t="s">
        <v>12488</v>
      </c>
      <c r="B12488" s="2" t="str">
        <f>IFERROR(__xludf.DUMMYFUNCTION("GOOGLETRANSLATE(A12488, ""en"", ""mt"")"),"Liema battalja seħħet fis-seklu 10?")</f>
        <v>Liema battalja seħħet fis-seklu 10?</v>
      </c>
    </row>
    <row r="12489" ht="15.75" customHeight="1">
      <c r="A12489" s="2" t="s">
        <v>12489</v>
      </c>
      <c r="B12489" s="2" t="str">
        <f>IFERROR(__xludf.DUMMYFUNCTION("GOOGLETRANSLATE(A12489, ""en"", ""mt"")"),"In-Nofsinhar tal-Kalifornja tikkonsisti f'ambjent urban żviluppat ħafna, id-dar għal uħud mill-ikbar żoni urbani fl-istat, flimkien ma 'żoni vasti li tħallew mhux żviluppati. Hija t-tielet l-iktar megalopoli popolata fl-Istati Uniti, wara l-Great Lakes Me"&amp;"galopolis u l-Megalopolis tal-Grigal. Ħafna min-Nofsinhar ta 'California huwa famuż għall-komunitajiet kbar, mifruxa, suburbani u l-użu ta' karozzi u awtostradi. Iż-żoni dominanti huma Los Angeles, Orange County, San Diego, u Riverside-San Bernardino, li "&amp;"kull wieħed minnhom huwa ċ-ċentru taż-żona metropolitana rispettiva tagħha, magħmul minn bosta bliet u komunitajiet iżgħar. Iż-żona urbana hija wkoll ospitanti għal reġjun metropolitana internazzjonali fil-forma ta 'San Diego-Tijuana, maħluqa miż-żona urb"&amp;"ana li tinfirex f'Baja California.")</f>
        <v>In-Nofsinhar tal-Kalifornja tikkonsisti f'ambjent urban żviluppat ħafna, id-dar għal uħud mill-ikbar żoni urbani fl-istat, flimkien ma 'żoni vasti li tħallew mhux żviluppati. Hija t-tielet l-iktar megalopoli popolata fl-Istati Uniti, wara l-Great Lakes Megalopolis u l-Megalopolis tal-Grigal. Ħafna min-Nofsinhar ta 'California huwa famuż għall-komunitajiet kbar, mifruxa, suburbani u l-użu ta' karozzi u awtostradi. Iż-żoni dominanti huma Los Angeles, Orange County, San Diego, u Riverside-San Bernardino, li kull wieħed minnhom huwa ċ-ċentru taż-żona metropolitana rispettiva tagħha, magħmul minn bosta bliet u komunitajiet iżgħar. Iż-żona urbana hija wkoll ospitanti għal reġjun metropolitana internazzjonali fil-forma ta 'San Diego-Tijuana, maħluqa miż-żona urbana li tinfirex f'Baja California.</v>
      </c>
    </row>
    <row r="12490" ht="15.75" customHeight="1">
      <c r="A12490" s="2" t="s">
        <v>12490</v>
      </c>
      <c r="B12490" s="2" t="str">
        <f>IFERROR(__xludf.DUMMYFUNCTION("GOOGLETRANSLATE(A12490, ""en"", ""mt"")"),"X'inhu l-Istati Uniti konċernati aktar dwar l-inflazzjoni?")</f>
        <v>X'inhu l-Istati Uniti konċernati aktar dwar l-inflazzjoni?</v>
      </c>
    </row>
    <row r="12491" ht="15.75" customHeight="1">
      <c r="A12491" s="2" t="s">
        <v>12491</v>
      </c>
      <c r="B12491" s="2" t="str">
        <f>IFERROR(__xludf.DUMMYFUNCTION("GOOGLETRANSLATE(A12491, ""en"", ""mt"")"),"għoli")</f>
        <v>għoli</v>
      </c>
    </row>
    <row r="12492" ht="15.75" customHeight="1">
      <c r="A12492" s="2" t="s">
        <v>12492</v>
      </c>
      <c r="B12492" s="2" t="str">
        <f>IFERROR(__xludf.DUMMYFUNCTION("GOOGLETRANSLATE(A12492, ""en"", ""mt"")"),"Liema kotba ppubblikat Bayle?")</f>
        <v>Liema kotba ppubblikat Bayle?</v>
      </c>
    </row>
    <row r="12493" ht="15.75" customHeight="1">
      <c r="A12493" s="2" t="s">
        <v>12493</v>
      </c>
      <c r="B12493" s="2" t="str">
        <f>IFERROR(__xludf.DUMMYFUNCTION("GOOGLETRANSLATE(A12493, ""en"", ""mt"")"),"Kemm kienu skejjel Kattoliċi fir-Rabat?")</f>
        <v>Kemm kienu skejjel Kattoliċi fir-Rabat?</v>
      </c>
    </row>
    <row r="12494" ht="15.75" customHeight="1">
      <c r="A12494" s="2" t="s">
        <v>12494</v>
      </c>
      <c r="B12494" s="2" t="str">
        <f>IFERROR(__xludf.DUMMYFUNCTION("GOOGLETRANSLATE(A12494, ""en"", ""mt"")"),"X'inhu apparat xjentifiku li jimmanipula s-simboli li jinsabu fuq strixxa ta 'tejp?")</f>
        <v>X'inhu apparat xjentifiku li jimmanipula s-simboli li jinsabu fuq strixxa ta 'tejp?</v>
      </c>
    </row>
    <row r="12495" ht="15.75" customHeight="1">
      <c r="A12495" s="2" t="s">
        <v>12495</v>
      </c>
      <c r="B12495" s="2" t="str">
        <f>IFERROR(__xludf.DUMMYFUNCTION("GOOGLETRANSLATE(A12495, ""en"", ""mt"")"),"Il-mantell tad-dinja")</f>
        <v>Il-mantell tad-dinja</v>
      </c>
    </row>
    <row r="12496" ht="15.75" customHeight="1">
      <c r="A12496" s="2" t="s">
        <v>12496</v>
      </c>
      <c r="B12496" s="2" t="str">
        <f>IFERROR(__xludf.DUMMYFUNCTION("GOOGLETRANSLATE(A12496, ""en"", ""mt"")"),"F’liema sena l-OPEC ġibed mill-Bretton Woods?")</f>
        <v>F’liema sena l-OPEC ġibed mill-Bretton Woods?</v>
      </c>
    </row>
    <row r="12497" ht="15.75" customHeight="1">
      <c r="A12497" s="2" t="s">
        <v>12497</v>
      </c>
      <c r="B12497" s="2" t="str">
        <f>IFERROR(__xludf.DUMMYFUNCTION("GOOGLETRANSLATE(A12497, ""en"", ""mt"")"),"torque żbilanċjat")</f>
        <v>torque żbilanċjat</v>
      </c>
    </row>
    <row r="12498" ht="15.75" customHeight="1">
      <c r="A12498" s="2" t="s">
        <v>12498</v>
      </c>
      <c r="B12498" s="2" t="str">
        <f>IFERROR(__xludf.DUMMYFUNCTION("GOOGLETRANSLATE(A12498, ""en"", ""mt"")"),"mard tal-qalb, uġigħ kroniku, u ażma")</f>
        <v>mard tal-qalb, uġigħ kroniku, u ażma</v>
      </c>
    </row>
    <row r="12499" ht="15.75" customHeight="1">
      <c r="A12499" s="2" t="s">
        <v>12499</v>
      </c>
      <c r="B12499" s="2" t="str">
        <f>IFERROR(__xludf.DUMMYFUNCTION("GOOGLETRANSLATE(A12499, ""en"", ""mt"")")," Kemm prinċpijiet rivali kienu involuti biex jgħixu ma 'Gegeen?")</f>
        <v> Kemm prinċpijiet rivali kienu involuti biex jgħixu ma 'Gegeen?</v>
      </c>
    </row>
    <row r="12500" ht="15.75" customHeight="1">
      <c r="A12500" s="2" t="s">
        <v>12500</v>
      </c>
      <c r="B12500" s="2" t="str">
        <f>IFERROR(__xludf.DUMMYFUNCTION("GOOGLETRANSLATE(A12500, ""en"", ""mt"")"),"rati aktar baxxi")</f>
        <v>rati aktar baxxi</v>
      </c>
    </row>
    <row r="12501" ht="15.75" customHeight="1">
      <c r="A12501" s="2" t="s">
        <v>12501</v>
      </c>
      <c r="B12501" s="2" t="str">
        <f>IFERROR(__xludf.DUMMYFUNCTION("GOOGLETRANSLATE(A12501, ""en"", ""mt"")"),"Dejjem aktar")</f>
        <v>Dejjem aktar</v>
      </c>
    </row>
    <row r="12502" ht="15.75" customHeight="1">
      <c r="A12502" s="2" t="s">
        <v>12502</v>
      </c>
      <c r="B12502" s="2" t="str">
        <f>IFERROR(__xludf.DUMMYFUNCTION("GOOGLETRANSLATE(A12502, ""en"", ""mt"")"),"Għaliex AppleTalk kien ikkunsidrat plug-n-play?")</f>
        <v>Għaliex AppleTalk kien ikkunsidrat plug-n-play?</v>
      </c>
    </row>
    <row r="12503" ht="15.75" customHeight="1">
      <c r="A12503" s="2" t="s">
        <v>12503</v>
      </c>
      <c r="B12503" s="2" t="str">
        <f>IFERROR(__xludf.DUMMYFUNCTION("GOOGLETRANSLATE(A12503, ""en"", ""mt"")"),"inqas minn 10")</f>
        <v>inqas minn 10</v>
      </c>
    </row>
    <row r="12504" ht="15.75" customHeight="1">
      <c r="A12504" s="2" t="s">
        <v>12504</v>
      </c>
      <c r="B12504" s="2" t="str">
        <f>IFERROR(__xludf.DUMMYFUNCTION("GOOGLETRANSLATE(A12504, ""en"", ""mt"")"),"Jaqbad tliet negozjanti u joqtol 14-il persuna tan-Nazzjon Miami")</f>
        <v>Jaqbad tliet negozjanti u joqtol 14-il persuna tan-Nazzjon Miami</v>
      </c>
    </row>
    <row r="12505" ht="15.75" customHeight="1">
      <c r="A12505" s="2" t="s">
        <v>12505</v>
      </c>
      <c r="B12505" s="2" t="str">
        <f>IFERROR(__xludf.DUMMYFUNCTION("GOOGLETRANSLATE(A12505, ""en"", ""mt"")"),"X'tip ta 'pixxina tinsab fil-Pavillion Lavietes?")</f>
        <v>X'tip ta 'pixxina tinsab fil-Pavillion Lavietes?</v>
      </c>
    </row>
    <row r="12506" ht="15.75" customHeight="1">
      <c r="A12506" s="2" t="s">
        <v>12506</v>
      </c>
      <c r="B12506" s="2" t="str">
        <f>IFERROR(__xludf.DUMMYFUNCTION("GOOGLETRANSLATE(A12506, ""en"", ""mt"")"),"Minkejja r-repressjoni perjodika, il-fratellanza saret waħda mill-aktar movimenti influwenti fid-dinja Iżlamika, partikolarment fid-dinja Għarbija. Għal ħafna snin ġie deskritt bħala ""semi-legali"" u kien l-uniku grupp ta 'oppożizzjoni fl-Eġittu li kapaċ"&amp;"i jsaħħaħ il-kandidati waqt l-elezzjonijiet. Fl-elezzjoni Parlamentari Eġizzjana, 2011-2012, il-partiti politiċi identifikati bħala ""Iżlamisti"" (il-Partit tal-Libertà u l-Ġustizzja tal-Fratellanza, il-Partit Salafi al-Nour u l-Partit Liberali Iżlamista "&amp;"Al-Wasat) rebħu 75% tas-siġġijiet totali. Mohamed Morsi, Demokratiku Iżlamista tal-Fratellanza Musulmana, kien l-ewwel president elett demokratikament tal-Eġittu. Huwa ġie depożitat matul il-kolp ta 'stat Eġizzjan 2013.")</f>
        <v>Minkejja r-repressjoni perjodika, il-fratellanza saret waħda mill-aktar movimenti influwenti fid-dinja Iżlamika, partikolarment fid-dinja Għarbija. Għal ħafna snin ġie deskritt bħala "semi-legali" u kien l-uniku grupp ta 'oppożizzjoni fl-Eġittu li kapaċi jsaħħaħ il-kandidati waqt l-elezzjonijiet. Fl-elezzjoni Parlamentari Eġizzjana, 2011-2012, il-partiti politiċi identifikati bħala "Iżlamisti" (il-Partit tal-Libertà u l-Ġustizzja tal-Fratellanza, il-Partit Salafi al-Nour u l-Partit Liberali Iżlamista Al-Wasat) rebħu 75% tas-siġġijiet totali. Mohamed Morsi, Demokratiku Iżlamista tal-Fratellanza Musulmana, kien l-ewwel president elett demokratikament tal-Eġittu. Huwa ġie depożitat matul il-kolp ta 'stat Eġizzjan 2013.</v>
      </c>
    </row>
    <row r="12507" ht="15.75" customHeight="1">
      <c r="A12507" s="2" t="s">
        <v>12507</v>
      </c>
      <c r="B12507" s="2" t="str">
        <f>IFERROR(__xludf.DUMMYFUNCTION("GOOGLETRANSLATE(A12507, ""en"", ""mt"")"),"Tekniċi anzjani oħra tal-ispiżerija")</f>
        <v>Tekniċi anzjani oħra tal-ispiżerija</v>
      </c>
    </row>
    <row r="12508" ht="15.75" customHeight="1">
      <c r="A12508" s="2" t="s">
        <v>12508</v>
      </c>
      <c r="B12508" s="2" t="str">
        <f>IFERROR(__xludf.DUMMYFUNCTION("GOOGLETRANSLATE(A12508, ""en"", ""mt"")"),"4,404.5 persuni")</f>
        <v>4,404.5 persuni</v>
      </c>
    </row>
    <row r="12509" ht="15.75" customHeight="1">
      <c r="A12509" s="2" t="s">
        <v>12509</v>
      </c>
      <c r="B12509" s="2" t="str">
        <f>IFERROR(__xludf.DUMMYFUNCTION("GOOGLETRANSLATE(A12509, ""en"", ""mt"")"),"X'inhu l-Bassin de Kumpens de Plobsheim f'Alsace?")</f>
        <v>X'inhu l-Bassin de Kumpens de Plobsheim f'Alsace?</v>
      </c>
    </row>
    <row r="12510" ht="15.75" customHeight="1">
      <c r="A12510" s="2" t="s">
        <v>12510</v>
      </c>
      <c r="B12510" s="2" t="str">
        <f>IFERROR(__xludf.DUMMYFUNCTION("GOOGLETRANSLATE(A12510, ""en"", ""mt"")"),"Minorenni")</f>
        <v>Minorenni</v>
      </c>
    </row>
    <row r="12511" ht="15.75" customHeight="1">
      <c r="A12511" s="2" t="s">
        <v>12511</v>
      </c>
      <c r="B12511" s="2" t="str">
        <f>IFERROR(__xludf.DUMMYFUNCTION("GOOGLETRANSLATE(A12511, ""en"", ""mt"")"),"Xi jfisser ir-raba 'skala?")</f>
        <v>Xi jfisser ir-raba 'skala?</v>
      </c>
    </row>
    <row r="12512" ht="15.75" customHeight="1">
      <c r="A12512" s="2" t="s">
        <v>12512</v>
      </c>
      <c r="B12512" s="2" t="str">
        <f>IFERROR(__xludf.DUMMYFUNCTION("GOOGLETRANSLATE(A12512, ""en"", ""mt"")"),"Liema kanal kien imħaffer fi Franza biex iġorr l-ilma ta 'Rhine?")</f>
        <v>Liema kanal kien imħaffer fi Franza biex iġorr l-ilma ta 'Rhine?</v>
      </c>
    </row>
    <row r="12513" ht="15.75" customHeight="1">
      <c r="A12513" s="2" t="s">
        <v>12513</v>
      </c>
      <c r="B12513" s="2" t="str">
        <f>IFERROR(__xludf.DUMMYFUNCTION("GOOGLETRANSLATE(A12513, ""en"", ""mt"")"),"Ħażiż Spanjol")</f>
        <v>Ħażiż Spanjol</v>
      </c>
    </row>
    <row r="12514" ht="15.75" customHeight="1">
      <c r="A12514" s="2" t="s">
        <v>12514</v>
      </c>
      <c r="B12514" s="2" t="str">
        <f>IFERROR(__xludf.DUMMYFUNCTION("GOOGLETRANSLATE(A12514, ""en"", ""mt"")"),"Il-prinċipji tal-liġi tal-Unjoni Ewropea huma r-regoli tal-liġi li ġew żviluppati mill-Qorti Ewropea tal-Ġustizzja li jikkostitwixxu regoli mhux miktuba li mhumiex previsti espressament fit-trattati iżda li jaffettwaw kif il-liġi tal-Unjoni Ewropea hija i"&amp;"nterpretata u tapplika. Fil-formulazzjoni ta 'dawn il-prinċipji, il-qrati fasslu fuq varjetà ta' sorsi, inklużi: liġi internazzjonali pubblika u duttrini legali u prinċipji preżenti fis-sistemi legali tal-Istati Membri tal-Unjoni Ewropea u fil-ġurispruden"&amp;"za tal-Qorti Ewropea tad-Drittijiet tal-Bniedem. Prinċipji ġenerali aċċettati tal-liġi tal-Unjoni Ewropea jinkludu drittijiet fundamentali (ara d-drittijiet tal-bniedem), proporzjonalità, ċertezza legali, ugwaljanza quddiem il-liġi u s-sussidjarjetà.")</f>
        <v>Il-prinċipji tal-liġi tal-Unjoni Ewropea huma r-regoli tal-liġi li ġew żviluppati mill-Qorti Ewropea tal-Ġustizzja li jikkostitwixxu regoli mhux miktuba li mhumiex previsti espressament fit-trattati iżda li jaffettwaw kif il-liġi tal-Unjoni Ewropea hija interpretata u tapplika. Fil-formulazzjoni ta 'dawn il-prinċipji, il-qrati fasslu fuq varjetà ta' sorsi, inklużi: liġi internazzjonali pubblika u duttrini legali u prinċipji preżenti fis-sistemi legali tal-Istati Membri tal-Unjoni Ewropea u fil-ġurisprudenza tal-Qorti Ewropea tad-Drittijiet tal-Bniedem. Prinċipji ġenerali aċċettati tal-liġi tal-Unjoni Ewropea jinkludu drittijiet fundamentali (ara d-drittijiet tal-bniedem), proporzjonalità, ċertezza legali, ugwaljanza quddiem il-liġi u s-sussidjarjetà.</v>
      </c>
    </row>
    <row r="12515" ht="15.75" customHeight="1">
      <c r="A12515" s="2" t="s">
        <v>12515</v>
      </c>
      <c r="B12515" s="2" t="str">
        <f>IFERROR(__xludf.DUMMYFUNCTION("GOOGLETRANSLATE(A12515, ""en"", ""mt"")")," Meta l-Imperialiżmu tat-terminu l-ewwel ma ntużax mill-ewwel definizzjoni attwali tiegħu?")</f>
        <v> Meta l-Imperialiżmu tat-terminu l-ewwel ma ntużax mill-ewwel definizzjoni attwali tiegħu?</v>
      </c>
    </row>
    <row r="12516" ht="15.75" customHeight="1">
      <c r="A12516" s="2" t="s">
        <v>12516</v>
      </c>
      <c r="B12516" s="2" t="str">
        <f>IFERROR(__xludf.DUMMYFUNCTION("GOOGLETRANSLATE(A12516, ""en"", ""mt"")"),"Ir-reġjun tal-Amazon huwa d-dar għal kemm speċi ta 'insetti?")</f>
        <v>Ir-reġjun tal-Amazon huwa d-dar għal kemm speċi ta 'insetti?</v>
      </c>
    </row>
    <row r="12517" ht="15.75" customHeight="1">
      <c r="A12517" s="2" t="s">
        <v>12517</v>
      </c>
      <c r="B12517" s="2" t="str">
        <f>IFERROR(__xludf.DUMMYFUNCTION("GOOGLETRANSLATE(A12517, ""en"", ""mt"")"),"Immunità adattiva (jew akkwistata)")</f>
        <v>Immunità adattiva (jew akkwistata)</v>
      </c>
    </row>
    <row r="12518" ht="15.75" customHeight="1">
      <c r="A12518" s="2" t="s">
        <v>12518</v>
      </c>
      <c r="B12518" s="2" t="str">
        <f>IFERROR(__xludf.DUMMYFUNCTION("GOOGLETRANSLATE(A12518, ""en"", ""mt"")"),"X'inhuma ħafna klassijiet ta 'kumplessità mhux definiti?")</f>
        <v>X'inhuma ħafna klassijiet ta 'kumplessità mhux definiti?</v>
      </c>
    </row>
    <row r="12519" ht="15.75" customHeight="1">
      <c r="A12519" s="2" t="s">
        <v>12519</v>
      </c>
      <c r="B12519" s="2" t="str">
        <f>IFERROR(__xludf.DUMMYFUNCTION("GOOGLETRANSLATE(A12519, ""en"", ""mt"")"),"ħtieġa")</f>
        <v>ħtieġa</v>
      </c>
    </row>
    <row r="12520" ht="15.75" customHeight="1">
      <c r="A12520" s="2" t="s">
        <v>12520</v>
      </c>
      <c r="B12520" s="2" t="str">
        <f>IFERROR(__xludf.DUMMYFUNCTION("GOOGLETRANSLATE(A12520, ""en"", ""mt"")"),"Fl-Afrika t'Isfel, flimkien ma 'skejjel regolati, liema skejjel huma kklassifikati bħala indipendenti?")</f>
        <v>Fl-Afrika t'Isfel, flimkien ma 'skejjel regolati, liema skejjel huma kklassifikati bħala indipendenti?</v>
      </c>
    </row>
    <row r="12521" ht="15.75" customHeight="1">
      <c r="A12521" s="2" t="s">
        <v>12521</v>
      </c>
      <c r="B12521" s="2" t="str">
        <f>IFERROR(__xludf.DUMMYFUNCTION("GOOGLETRANSLATE(A12521, ""en"", ""mt"")"),"prestiġju")</f>
        <v>prestiġju</v>
      </c>
    </row>
    <row r="12522" ht="15.75" customHeight="1">
      <c r="A12522" s="2" t="s">
        <v>12522</v>
      </c>
      <c r="B12522" s="2" t="str">
        <f>IFERROR(__xludf.DUMMYFUNCTION("GOOGLETRANSLATE(A12522, ""en"", ""mt"")"),"1654")</f>
        <v>1654</v>
      </c>
    </row>
    <row r="12523" ht="15.75" customHeight="1">
      <c r="A12523" s="2" t="s">
        <v>12523</v>
      </c>
      <c r="B12523" s="2" t="str">
        <f>IFERROR(__xludf.DUMMYFUNCTION("GOOGLETRANSLATE(A12523, ""en"", ""mt"")"),"Osama bin Laden")</f>
        <v>Osama bin Laden</v>
      </c>
    </row>
    <row r="12524" ht="15.75" customHeight="1">
      <c r="A12524" s="2" t="s">
        <v>12524</v>
      </c>
      <c r="B12524" s="2" t="str">
        <f>IFERROR(__xludf.DUMMYFUNCTION("GOOGLETRANSLATE(A12524, ""en"", ""mt"")"),"Massachusetts")</f>
        <v>Massachusetts</v>
      </c>
    </row>
    <row r="12525" ht="15.75" customHeight="1">
      <c r="A12525" s="2" t="s">
        <v>12525</v>
      </c>
      <c r="B12525" s="2" t="str">
        <f>IFERROR(__xludf.DUMMYFUNCTION("GOOGLETRANSLATE(A12525, ""en"", ""mt"")"),"Ma 'liema denominazzjoni kienet il-Professur tad-Divinità Hollis marbut magħha?")</f>
        <v>Ma 'liema denominazzjoni kienet il-Professur tad-Divinità Hollis marbut magħha?</v>
      </c>
    </row>
    <row r="12526" ht="15.75" customHeight="1">
      <c r="A12526" s="2" t="s">
        <v>12526</v>
      </c>
      <c r="B12526" s="2" t="str">
        <f>IFERROR(__xludf.DUMMYFUNCTION("GOOGLETRANSLATE(A12526, ""en"", ""mt"")"),"X'evidenza uża Plato biex jispjega l-forom tal-ħajja?")</f>
        <v>X'evidenza uża Plato biex jispjega l-forom tal-ħajja?</v>
      </c>
    </row>
    <row r="12527" ht="15.75" customHeight="1">
      <c r="A12527" s="2" t="s">
        <v>12527</v>
      </c>
      <c r="B12527" s="2" t="str">
        <f>IFERROR(__xludf.DUMMYFUNCTION("GOOGLETRANSLATE(A12527, ""en"", ""mt"")"),"Densità akbar ta 'ilma kiesaħ")</f>
        <v>Densità akbar ta 'ilma kiesaħ</v>
      </c>
    </row>
    <row r="12528" ht="15.75" customHeight="1">
      <c r="A12528" s="2" t="s">
        <v>12528</v>
      </c>
      <c r="B12528" s="2" t="str">
        <f>IFERROR(__xludf.DUMMYFUNCTION("GOOGLETRANSLATE(A12528, ""en"", ""mt"")"),"il-Parlament")</f>
        <v>il-Parlament</v>
      </c>
    </row>
    <row r="12529" ht="15.75" customHeight="1">
      <c r="A12529" s="2" t="s">
        <v>12529</v>
      </c>
      <c r="B12529" s="2" t="str">
        <f>IFERROR(__xludf.DUMMYFUNCTION("GOOGLETRANSLATE(A12529, ""en"", ""mt"")"),"X'tip ta 'sistema tirrilaxxa l-fwar tal-egżost fil-bojler?")</f>
        <v>X'tip ta 'sistema tirrilaxxa l-fwar tal-egżost fil-bojler?</v>
      </c>
    </row>
    <row r="12530" ht="15.75" customHeight="1">
      <c r="A12530" s="2" t="s">
        <v>12530</v>
      </c>
      <c r="B12530" s="2" t="str">
        <f>IFERROR(__xludf.DUMMYFUNCTION("GOOGLETRANSLATE(A12530, ""en"", ""mt"")"),"Kemm membri fis-siġġijiet tal-Parlament Skoċċiż huma membri tal-gvern Skoċċiż?")</f>
        <v>Kemm membri fis-siġġijiet tal-Parlament Skoċċiż huma membri tal-gvern Skoċċiż?</v>
      </c>
    </row>
    <row r="12531" ht="15.75" customHeight="1">
      <c r="A12531" s="2" t="s">
        <v>12531</v>
      </c>
      <c r="B12531" s="2" t="str">
        <f>IFERROR(__xludf.DUMMYFUNCTION("GOOGLETRANSLATE(A12531, ""en"", ""mt"")"),"fossa tal-moħħ")</f>
        <v>fossa tal-moħħ</v>
      </c>
    </row>
    <row r="12532" ht="15.75" customHeight="1">
      <c r="A12532" s="2" t="s">
        <v>12532</v>
      </c>
      <c r="B12532" s="2" t="str">
        <f>IFERROR(__xludf.DUMMYFUNCTION("GOOGLETRANSLATE(A12532, ""en"", ""mt"")"),"Kif jista 'xi għoqda tkun indikata b'mod distint?")</f>
        <v>Kif jista 'xi għoqda tkun indikata b'mod distint?</v>
      </c>
    </row>
    <row r="12533" ht="15.75" customHeight="1">
      <c r="A12533" s="2" t="s">
        <v>12533</v>
      </c>
      <c r="B12533" s="2" t="str">
        <f>IFERROR(__xludf.DUMMYFUNCTION("GOOGLETRANSLATE(A12533, ""en"", ""mt"")"),"post")</f>
        <v>post</v>
      </c>
    </row>
    <row r="12534" ht="15.75" customHeight="1">
      <c r="A12534" s="2" t="s">
        <v>12534</v>
      </c>
      <c r="B12534" s="2" t="str">
        <f>IFERROR(__xludf.DUMMYFUNCTION("GOOGLETRANSLATE(A12534, ""en"", ""mt"")"),"Liema ġeokimista żviluppa l-metodu ta 'dating taċ-ċomb tal-uranju fid-dating taċ-ċomb?")</f>
        <v>Liema ġeokimista żviluppa l-metodu ta 'dating taċ-ċomb tal-uranju fid-dating taċ-ċomb?</v>
      </c>
    </row>
    <row r="12535" ht="15.75" customHeight="1">
      <c r="A12535" s="2" t="s">
        <v>12535</v>
      </c>
      <c r="B12535" s="2" t="str">
        <f>IFERROR(__xludf.DUMMYFUNCTION("GOOGLETRANSLATE(A12535, ""en"", ""mt"")"),"Fundamentalist Iżlamiku jew Neofundamentalist")</f>
        <v>Fundamentalist Iżlamiku jew Neofundamentalist</v>
      </c>
    </row>
    <row r="12536" ht="15.75" customHeight="1">
      <c r="A12536" s="2" t="s">
        <v>12536</v>
      </c>
      <c r="B12536" s="2" t="str">
        <f>IFERROR(__xludf.DUMMYFUNCTION("GOOGLETRANSLATE(A12536, ""en"", ""mt"")"),"Kif huma spjegati l-forzi tal-partikuli u l-aċċelerazzjonijiet kif mill-iskambju tal-bosons tal-kejl?")</f>
        <v>Kif huma spjegati l-forzi tal-partikuli u l-aċċelerazzjonijiet kif mill-iskambju tal-bosons tal-kejl?</v>
      </c>
    </row>
    <row r="12537" ht="15.75" customHeight="1">
      <c r="A12537" s="2" t="s">
        <v>12537</v>
      </c>
      <c r="B12537" s="2" t="str">
        <f>IFERROR(__xludf.DUMMYFUNCTION("GOOGLETRANSLATE(A12537, ""en"", ""mt"")"),"L-isferi kollha")</f>
        <v>L-isferi kollha</v>
      </c>
    </row>
    <row r="12538" ht="15.75" customHeight="1">
      <c r="A12538" s="2" t="s">
        <v>12538</v>
      </c>
      <c r="B12538" s="2" t="str">
        <f>IFERROR(__xludf.DUMMYFUNCTION("GOOGLETRANSLATE(A12538, ""en"", ""mt"")"),"38–41 ° C.")</f>
        <v>38–41 ° C.</v>
      </c>
    </row>
    <row r="12539" ht="15.75" customHeight="1">
      <c r="A12539" s="2" t="s">
        <v>12539</v>
      </c>
      <c r="B12539" s="2" t="str">
        <f>IFERROR(__xludf.DUMMYFUNCTION("GOOGLETRANSLATE(A12539, ""en"", ""mt"")"),"Aktar tard Architecture Arpanet")</f>
        <v>Aktar tard Architecture Arpanet</v>
      </c>
    </row>
    <row r="12540" ht="15.75" customHeight="1">
      <c r="A12540" s="2" t="s">
        <v>12540</v>
      </c>
      <c r="B12540" s="2" t="str">
        <f>IFERROR(__xludf.DUMMYFUNCTION("GOOGLETRANSLATE(A12540, ""en"", ""mt"")"),"Fuq liema ferrovija ntuża Salamanca?")</f>
        <v>Fuq liema ferrovija ntuża Salamanca?</v>
      </c>
    </row>
    <row r="12541" ht="15.75" customHeight="1">
      <c r="A12541" s="2" t="s">
        <v>12541</v>
      </c>
      <c r="B12541" s="2" t="str">
        <f>IFERROR(__xludf.DUMMYFUNCTION("GOOGLETRANSLATE(A12541, ""en"", ""mt"")"),"tinforma lill-ġurija u lill-pubbliku dwar iċ-ċirkostanzi politiċi")</f>
        <v>tinforma lill-ġurija u lill-pubbliku dwar iċ-ċirkostanzi politiċi</v>
      </c>
    </row>
    <row r="12542" ht="15.75" customHeight="1">
      <c r="A12542" s="2" t="s">
        <v>12542</v>
      </c>
      <c r="B12542" s="2" t="str">
        <f>IFERROR(__xludf.DUMMYFUNCTION("GOOGLETRANSLATE(A12542, ""en"", ""mt"")"),"Aqta 'b'suċċess il-Frontier Franċiż Fortizzi aktar lejn il-Punent u n-Nofsinhar")</f>
        <v>Aqta 'b'suċċess il-Frontier Franċiż Fortizzi aktar lejn il-Punent u n-Nofsinhar</v>
      </c>
    </row>
    <row r="12543" ht="15.75" customHeight="1">
      <c r="A12543" s="2" t="s">
        <v>12543</v>
      </c>
      <c r="B12543" s="2" t="str">
        <f>IFERROR(__xludf.DUMMYFUNCTION("GOOGLETRANSLATE(A12543, ""en"", ""mt"")"),"Għal xiex tittraduċi l-kelma Rheinrinne?")</f>
        <v>Għal xiex tittraduċi l-kelma Rheinrinne?</v>
      </c>
    </row>
    <row r="12544" ht="15.75" customHeight="1">
      <c r="A12544" s="2" t="s">
        <v>12544</v>
      </c>
      <c r="B12544" s="2" t="str">
        <f>IFERROR(__xludf.DUMMYFUNCTION("GOOGLETRANSLATE(A12544, ""en"", ""mt"")"),"Xi jfisser li d-dollaru jitla '?")</f>
        <v>Xi jfisser li d-dollaru jitla '?</v>
      </c>
    </row>
    <row r="12545" ht="15.75" customHeight="1">
      <c r="A12545" s="2" t="s">
        <v>12545</v>
      </c>
      <c r="B12545" s="2" t="str">
        <f>IFERROR(__xludf.DUMMYFUNCTION("GOOGLETRANSLATE(A12545, ""en"", ""mt"")"),"Liema pajjiż jiltaqa 'ma' r-Renu huwa tributarji ewlenin?")</f>
        <v>Liema pajjiż jiltaqa 'ma' r-Renu huwa tributarji ewlenin?</v>
      </c>
    </row>
    <row r="12546" ht="15.75" customHeight="1">
      <c r="A12546" s="2" t="s">
        <v>12546</v>
      </c>
      <c r="B12546" s="2" t="str">
        <f>IFERROR(__xludf.DUMMYFUNCTION("GOOGLETRANSLATE(A12546, ""en"", ""mt"")"),"X'tipi ta 'preparazzjoni għandhom l-ispiżjara?")</f>
        <v>X'tipi ta 'preparazzjoni għandhom l-ispiżjara?</v>
      </c>
    </row>
    <row r="12547" ht="15.75" customHeight="1">
      <c r="A12547" s="2" t="s">
        <v>12547</v>
      </c>
      <c r="B12547" s="2" t="str">
        <f>IFERROR(__xludf.DUMMYFUNCTION("GOOGLETRANSLATE(A12547, ""en"", ""mt"")"),"Kif tissejjaħ meta l-fwar jimbotta ġeneratur turbo bi propulsjoni bil-mutur tad-diżil?")</f>
        <v>Kif tissejjaħ meta l-fwar jimbotta ġeneratur turbo bi propulsjoni bil-mutur tad-diżil?</v>
      </c>
    </row>
    <row r="12548" ht="15.75" customHeight="1">
      <c r="A12548" s="2" t="s">
        <v>12548</v>
      </c>
      <c r="B12548" s="2" t="str">
        <f>IFERROR(__xludf.DUMMYFUNCTION("GOOGLETRANSLATE(A12548, ""en"", ""mt"")"),"Meta nbiegħet ir-Rhine ta ’Fuq lil Burgundy?")</f>
        <v>Meta nbiegħet ir-Rhine ta ’Fuq lil Burgundy?</v>
      </c>
    </row>
    <row r="12549" ht="15.75" customHeight="1">
      <c r="A12549" s="2" t="s">
        <v>12549</v>
      </c>
      <c r="B12549" s="2" t="str">
        <f>IFERROR(__xludf.DUMMYFUNCTION("GOOGLETRANSLATE(A12549, ""en"", ""mt"")"),"Iqbal esprima l-biżgħat li mhux biss is-sekulariżmu u n-nazzjonaliżmu sekulari jdgħajfu l-pedamenti spiritwali tal-Iżlam u tas-soċjetà Musulmana, iżda wkoll li l-popolazzjoni tal-maġġoranza hindu tal-Indja kienet tiffranka l-wirt, il-kultura u l-influwenz"&amp;"a politika Musulmana. Fil-vjaġġi tiegħu lejn l-Eġittu, l-Afganistan, il-Palestina u s-Sirja, huwa ppromwova ideat ta 'kooperazzjoni politika u għaqda Iżlamika akbar, u talab għat-twaqqigħ tad-differenzi nazzjonalisti. Sir Muhammad Iqbal ġie elett presiden"&amp;"t tal-Lega Musulmana fl-1930 fis-sessjoni tiegħu f'Allahabad kif ukoll għas-sessjoni f'Lahore fl-1932. Fl-indirizz ta 'Allahabad tiegħu fid-29 ta' Diċembru 1930, Iqbal iddeskriva viżjoni ta 'stat indipendenti għall-provinċji ta' maġġoranza Musulmana fil-m"&amp;"ajjistral tal-Indja. Dan l-indirizz aktar tard ispirat il-moviment tal-Pakistan.")</f>
        <v>Iqbal esprima l-biżgħat li mhux biss is-sekulariżmu u n-nazzjonaliżmu sekulari jdgħajfu l-pedamenti spiritwali tal-Iżlam u tas-soċjetà Musulmana, iżda wkoll li l-popolazzjoni tal-maġġoranza hindu tal-Indja kienet tiffranka l-wirt, il-kultura u l-influwenza politika Musulmana. Fil-vjaġġi tiegħu lejn l-Eġittu, l-Afganistan, il-Palestina u s-Sirja, huwa ppromwova ideat ta 'kooperazzjoni politika u għaqda Iżlamika akbar, u talab għat-twaqqigħ tad-differenzi nazzjonalisti. Sir Muhammad Iqbal ġie elett president tal-Lega Musulmana fl-1930 fis-sessjoni tiegħu f'Allahabad kif ukoll għas-sessjoni f'Lahore fl-1932. Fl-indirizz ta 'Allahabad tiegħu fid-29 ta' Diċembru 1930, Iqbal iddeskriva viżjoni ta 'stat indipendenti għall-provinċji ta' maġġoranza Musulmana fil-majjistral tal-Indja. Dan l-indirizz aktar tard ispirat il-moviment tal-Pakistan.</v>
      </c>
    </row>
    <row r="12550" ht="15.75" customHeight="1">
      <c r="A12550" s="2" t="s">
        <v>12550</v>
      </c>
      <c r="B12550" s="2" t="str">
        <f>IFERROR(__xludf.DUMMYFUNCTION("GOOGLETRANSLATE(A12550, ""en"", ""mt"")"),"X'inhu l-eqdem sit tal-wirja f'Varsavja?")</f>
        <v>X'inhu l-eqdem sit tal-wirja f'Varsavja?</v>
      </c>
    </row>
    <row r="12551" ht="15.75" customHeight="1">
      <c r="A12551" s="2" t="s">
        <v>12551</v>
      </c>
      <c r="B12551" s="2" t="str">
        <f>IFERROR(__xludf.DUMMYFUNCTION("GOOGLETRANSLATE(A12551, ""en"", ""mt"")"),"Liema teorema tkun invalida jekk in-numru 1 kien ikkunsidrat bħala ewlieni?")</f>
        <v>Liema teorema tkun invalida jekk in-numru 1 kien ikkunsidrat bħala ewlieni?</v>
      </c>
    </row>
    <row r="12552" ht="15.75" customHeight="1">
      <c r="A12552" s="2" t="s">
        <v>12552</v>
      </c>
      <c r="B12552" s="2" t="str">
        <f>IFERROR(__xludf.DUMMYFUNCTION("GOOGLETRANSLATE(A12552, ""en"", ""mt"")"),"ġid u dħul")</f>
        <v>ġid u dħul</v>
      </c>
    </row>
    <row r="12553" ht="15.75" customHeight="1">
      <c r="A12553" s="2" t="s">
        <v>12553</v>
      </c>
      <c r="B12553" s="2" t="str">
        <f>IFERROR(__xludf.DUMMYFUNCTION("GOOGLETRANSLATE(A12553, ""en"", ""mt"")"),"Meta bdiet il-kriżi taż-żejt tal-1973?")</f>
        <v>Meta bdiet il-kriżi taż-żejt tal-1973?</v>
      </c>
    </row>
    <row r="12554" ht="15.75" customHeight="1">
      <c r="A12554" s="2" t="s">
        <v>12554</v>
      </c>
      <c r="B12554" s="2" t="str">
        <f>IFERROR(__xludf.DUMMYFUNCTION("GOOGLETRANSLATE(A12554, ""en"", ""mt"")"),"Aktar minn 200,000 persuna kienu jgħixu f'foresta tropikali matul liema għaxar snin?")</f>
        <v>Aktar minn 200,000 persuna kienu jgħixu f'foresta tropikali matul liema għaxar snin?</v>
      </c>
    </row>
    <row r="12555" ht="15.75" customHeight="1">
      <c r="A12555" s="2" t="s">
        <v>12555</v>
      </c>
      <c r="B12555" s="2" t="str">
        <f>IFERROR(__xludf.DUMMYFUNCTION("GOOGLETRANSLATE(A12555, ""en"", ""mt"")"),"X'inhu l-arranġament ta 'bilqiegħda tal-kamra tad-dibattitu?")</f>
        <v>X'inhu l-arranġament ta 'bilqiegħda tal-kamra tad-dibattitu?</v>
      </c>
    </row>
    <row r="12556" ht="15.75" customHeight="1">
      <c r="A12556" s="2" t="s">
        <v>12556</v>
      </c>
      <c r="B12556" s="2" t="str">
        <f>IFERROR(__xludf.DUMMYFUNCTION("GOOGLETRANSLATE(A12556, ""en"", ""mt"")"),"X'tipprovdi Relay Frame?")</f>
        <v>X'tipprovdi Relay Frame?</v>
      </c>
    </row>
    <row r="12557" ht="15.75" customHeight="1">
      <c r="A12557" s="2" t="s">
        <v>12557</v>
      </c>
      <c r="B12557" s="2" t="str">
        <f>IFERROR(__xludf.DUMMYFUNCTION("GOOGLETRANSLATE(A12557, ""en"", ""mt"")"),"L-iskola privata fl-Istati Uniti ġiet diskussa minn edukaturi, leġislaturi u ġenituri, mill-bidu tal-edukazzjoni obbligatorja fil-Massachusetts fl-1852. Il-preċedent tal-Qorti Suprema jidher li jiffavorixxi l-għażla edukattiva, sakemm l-istati jistgħu jis"&amp;"tabbilixxu standards għat-twettiq edukattiv. Uħud mill-aktar ġurisprudenza tal-Qorti Suprema rilevanti dwar dan huwa kif ġej: Runyon v. McCrary, 427 U.S. 160 (1976); Wisconsin v. Yoder, 406 U.S. 205 (1972); Pierce v. Society of Sisters, 268 U.S. 510 (1925"&amp;"); Meyer v. Nebraska, 262 U.S. 390 (1923).")</f>
        <v>L-iskola privata fl-Istati Uniti ġiet diskussa minn edukaturi, leġislaturi u ġenituri, mill-bidu tal-edukazzjoni obbligatorja fil-Massachusetts fl-1852. Il-preċedent tal-Qorti Suprema jidher li jiffavorixxi l-għażla edukattiva, sakemm l-istati jistgħu jistabbilixxu standards għat-twettiq edukattiv. Uħud mill-aktar ġurisprudenza tal-Qorti Suprema rilevanti dwar dan huwa kif ġej: Runyon v. McCrary, 427 U.S. 160 (1976); Wisconsin v. Yoder, 406 U.S. 205 (1972); Pierce v. Society of Sisters, 268 U.S. 510 (1925); Meyer v. Nebraska, 262 U.S. 390 (1923).</v>
      </c>
    </row>
    <row r="12558" ht="15.75" customHeight="1">
      <c r="A12558" s="2" t="s">
        <v>12558</v>
      </c>
      <c r="B12558" s="2" t="str">
        <f>IFERROR(__xludf.DUMMYFUNCTION("GOOGLETRANSLATE(A12558, ""en"", ""mt"")"),"Wara li waqa 'fil-qiegħ tal-baħar")</f>
        <v>Wara li waqa 'fil-qiegħ tal-baħar</v>
      </c>
    </row>
    <row r="12559" ht="15.75" customHeight="1">
      <c r="A12559" s="2" t="s">
        <v>12559</v>
      </c>
      <c r="B12559" s="2" t="str">
        <f>IFERROR(__xludf.DUMMYFUNCTION("GOOGLETRANSLATE(A12559, ""en"", ""mt"")"),"Il-magna tal-fwar ikkontribwiet ħafna għall-iżvilupp tat-teorija termodinamika; Madankollu, l-uniċi applikazzjonijiet tat-teorija xjentifika li influwenzaw il-magna tal-fwar kienu l-kunċetti oriġinali ta 'l-użu tal-qawwa tal-fwar u tal-pressjoni atmosferi"&amp;"ka u l-għarfien tal-proprjetajiet tas-sħana u tal-fwar. Il-kejl sperimentali magħmul minn Watt fuq mudell tal-magna tal-fwar wassal għall-iżvilupp tal-kondensatur separat. Watt skopra b'mod indipendenti s-sħana moħbija, li ġiet ikkonfermata mill-iskoperta"&amp;"ur oriġinali Joseph Black, li wkoll ta parir lil Watt dwar proċeduri sperimentali. Watt kien konxju wkoll tal-bidla fil-punt tat-togħlija tal-ilma bi pressjoni. Inkella, it-titjib fil-magna nnifisha kien ta ’natura iktar mekkanika. Il-kunċetti termodinami"&amp;"ċi taċ-ċiklu ta 'Rankine taw lill-inġiniera l-fehim meħtieġ biex tikkalkula l-effiċjenza li għenet l-iżvilupp ta' bojlers moderni ta 'pressjoni għolja u temperatura u t-turbina tal-fwar.")</f>
        <v>Il-magna tal-fwar ikkontribwiet ħafna għall-iżvilupp tat-teorija termodinamika; Madankollu, l-uniċi applikazzjonijiet tat-teorija xjentifika li influwenzaw il-magna tal-fwar kienu l-kunċetti oriġinali ta 'l-użu tal-qawwa tal-fwar u tal-pressjoni atmosferika u l-għarfien tal-proprjetajiet tas-sħana u tal-fwar. Il-kejl sperimentali magħmul minn Watt fuq mudell tal-magna tal-fwar wassal għall-iżvilupp tal-kondensatur separat. Watt skopra b'mod indipendenti s-sħana moħbija, li ġiet ikkonfermata mill-iskopertaur oriġinali Joseph Black, li wkoll ta parir lil Watt dwar proċeduri sperimentali. Watt kien konxju wkoll tal-bidla fil-punt tat-togħlija tal-ilma bi pressjoni. Inkella, it-titjib fil-magna nnifisha kien ta ’natura iktar mekkanika. Il-kunċetti termodinamiċi taċ-ċiklu ta 'Rankine taw lill-inġiniera l-fehim meħtieġ biex tikkalkula l-effiċjenza li għenet l-iżvilupp ta' bojlers moderni ta 'pressjoni għolja u temperatura u t-turbina tal-fwar.</v>
      </c>
    </row>
    <row r="12560" ht="15.75" customHeight="1">
      <c r="A12560" s="2" t="s">
        <v>12560</v>
      </c>
      <c r="B12560" s="2" t="str">
        <f>IFERROR(__xludf.DUMMYFUNCTION("GOOGLETRANSLATE(A12560, ""en"", ""mt"")"),"Iġbed")</f>
        <v>Iġbed</v>
      </c>
    </row>
    <row r="12561" ht="15.75" customHeight="1">
      <c r="A12561" s="2" t="s">
        <v>12561</v>
      </c>
      <c r="B12561" s="2" t="str">
        <f>IFERROR(__xludf.DUMMYFUNCTION("GOOGLETRANSLATE(A12561, ""en"", ""mt"")"),"12%")</f>
        <v>12%</v>
      </c>
    </row>
    <row r="12562" ht="15.75" customHeight="1">
      <c r="A12562" s="2" t="s">
        <v>12562</v>
      </c>
      <c r="B12562" s="2" t="str">
        <f>IFERROR(__xludf.DUMMYFUNCTION("GOOGLETRANSLATE(A12562, ""en"", ""mt"")"),"Ossidi tas-silikon")</f>
        <v>Ossidi tas-silikon</v>
      </c>
    </row>
    <row r="12563" ht="15.75" customHeight="1">
      <c r="A12563" s="2" t="s">
        <v>12563</v>
      </c>
      <c r="B12563" s="2" t="str">
        <f>IFERROR(__xludf.DUMMYFUNCTION("GOOGLETRANSLATE(A12563, ""en"", ""mt"")"),"biex tuża l-proċeduri bħala forum")</f>
        <v>biex tuża l-proċeduri bħala forum</v>
      </c>
    </row>
    <row r="12564" ht="15.75" customHeight="1">
      <c r="A12564" s="2" t="s">
        <v>12564</v>
      </c>
      <c r="B12564" s="2" t="str">
        <f>IFERROR(__xludf.DUMMYFUNCTION("GOOGLETRANSLATE(A12564, ""en"", ""mt"")"),"jissupplimentah.")</f>
        <v>jissupplimentah.</v>
      </c>
    </row>
    <row r="12565" ht="15.75" customHeight="1">
      <c r="A12565" s="2" t="s">
        <v>12565</v>
      </c>
      <c r="B12565" s="2" t="str">
        <f>IFERROR(__xludf.DUMMYFUNCTION("GOOGLETRANSLATE(A12565, ""en"", ""mt"")"),"X'tip ta 'belt ilha Berlin sakemm ilha belt?")</f>
        <v>X'tip ta 'belt ilha Berlin sakemm ilha belt?</v>
      </c>
    </row>
    <row r="12566" ht="15.75" customHeight="1">
      <c r="A12566" s="2" t="s">
        <v>12566</v>
      </c>
      <c r="B12566" s="2" t="str">
        <f>IFERROR(__xludf.DUMMYFUNCTION("GOOGLETRANSLATE(A12566, ""en"", ""mt"")"),"""Imbotta""")</f>
        <v>"Imbotta"</v>
      </c>
    </row>
    <row r="12567" ht="15.75" customHeight="1">
      <c r="A12567" s="2" t="s">
        <v>12567</v>
      </c>
      <c r="B12567" s="2" t="str">
        <f>IFERROR(__xludf.DUMMYFUNCTION("GOOGLETRANSLATE(A12567, ""en"", ""mt"")"),"Internet2 sar dak fl-2007?")</f>
        <v>Internet2 sar dak fl-2007?</v>
      </c>
    </row>
    <row r="12568" ht="15.75" customHeight="1">
      <c r="A12568" s="2" t="s">
        <v>12568</v>
      </c>
      <c r="B12568" s="2" t="str">
        <f>IFERROR(__xludf.DUMMYFUNCTION("GOOGLETRANSLATE(A12568, ""en"", ""mt"")"),"1,000")</f>
        <v>1,000</v>
      </c>
    </row>
    <row r="12569" ht="15.75" customHeight="1">
      <c r="A12569" s="2" t="s">
        <v>12569</v>
      </c>
      <c r="B12569" s="2" t="str">
        <f>IFERROR(__xludf.DUMMYFUNCTION("GOOGLETRANSLATE(A12569, ""en"", ""mt"")"),"foresta miftuħa u ħaxix")</f>
        <v>foresta miftuħa u ħaxix</v>
      </c>
    </row>
    <row r="12570" ht="15.75" customHeight="1">
      <c r="A12570" s="2" t="s">
        <v>12570</v>
      </c>
      <c r="B12570" s="2" t="str">
        <f>IFERROR(__xludf.DUMMYFUNCTION("GOOGLETRANSLATE(A12570, ""en"", ""mt"")"),"Fl-2010 l-Amazon Rainforest esperjenzat nixfa kbira oħra, b'xi modi aktar estrema min-nixfa tal-2005. Ir-reġjun affettwat kien approssimattiv ta '1,160,000 mil kwadru (3,000,000 km2) ta' foresta tropikali, meta mqabbel ma '734,000 mil kwadru (1,900,000 km"&amp;"2) fl-2005. In-nixfa tal-2010 kellha tliet epiċentri fejn il-veġetazzjoni mietet, filwaqt li fl-2005 in-nixfa kienet iffokata fuq il-parti tal-Lbiċ. Is-sejbiet ġew ippubblikati fil-ġurnal Science. F’sena tipika l-Amazon tassorbi 1.5 gigatons ta ’dijossidu"&amp;" tal-karbonju; Matul l-2005 minflok ġew rilaxxati 5 gigatons u fl-2010 ġew rilaxxati 8 gigatons.")</f>
        <v>Fl-2010 l-Amazon Rainforest esperjenzat nixfa kbira oħra, b'xi modi aktar estrema min-nixfa tal-2005. Ir-reġjun affettwat kien approssimattiv ta '1,160,000 mil kwadru (3,000,000 km2) ta' foresta tropikali, meta mqabbel ma '734,000 mil kwadru (1,900,000 km2) fl-2005. In-nixfa tal-2010 kellha tliet epiċentri fejn il-veġetazzjoni mietet, filwaqt li fl-2005 in-nixfa kienet iffokata fuq il-parti tal-Lbiċ. Is-sejbiet ġew ippubblikati fil-ġurnal Science. F’sena tipika l-Amazon tassorbi 1.5 gigatons ta ’dijossidu tal-karbonju; Matul l-2005 minflok ġew rilaxxati 5 gigatons u fl-2010 ġew rilaxxati 8 gigatons.</v>
      </c>
    </row>
    <row r="12571" ht="15.75" customHeight="1">
      <c r="A12571" s="2" t="s">
        <v>12571</v>
      </c>
      <c r="B12571" s="2" t="str">
        <f>IFERROR(__xludf.DUMMYFUNCTION("GOOGLETRANSLATE(A12571, ""en"", ""mt"")"),"Minbarra li tinsab fuq il-kosta, dak li jikkontribwixxi għan-nuqqas ta 'temp kiesaħ ta' Jacksonville?")</f>
        <v>Minbarra li tinsab fuq il-kosta, dak li jikkontribwixxi għan-nuqqas ta 'temp kiesaħ ta' Jacksonville?</v>
      </c>
    </row>
    <row r="12572" ht="15.75" customHeight="1">
      <c r="A12572" s="2" t="s">
        <v>12572</v>
      </c>
      <c r="B12572" s="2" t="str">
        <f>IFERROR(__xludf.DUMMYFUNCTION("GOOGLETRANSLATE(A12572, ""en"", ""mt"")"),"Liema tip ta 'liġi tikkonċerna l-istruttura ta' governanza tal-UE?")</f>
        <v>Liema tip ta 'liġi tikkonċerna l-istruttura ta' governanza tal-UE?</v>
      </c>
    </row>
    <row r="12573" ht="15.75" customHeight="1">
      <c r="A12573" s="2" t="s">
        <v>12573</v>
      </c>
      <c r="B12573" s="2" t="str">
        <f>IFERROR(__xludf.DUMMYFUNCTION("GOOGLETRANSLATE(A12573, ""en"", ""mt"")"),"evidenza")</f>
        <v>evidenza</v>
      </c>
    </row>
    <row r="12574" ht="15.75" customHeight="1">
      <c r="A12574" s="2" t="s">
        <v>12574</v>
      </c>
      <c r="B12574" s="2" t="str">
        <f>IFERROR(__xludf.DUMMYFUNCTION("GOOGLETRANSLATE(A12574, ""en"", ""mt"")"),"F’liema raħal waqaf Triton biex jistrieħ fuq bajja bir-ramel")</f>
        <v>F’liema raħal waqaf Triton biex jistrieħ fuq bajja bir-ramel</v>
      </c>
    </row>
    <row r="12575" ht="15.75" customHeight="1">
      <c r="A12575" s="2" t="s">
        <v>12575</v>
      </c>
      <c r="B12575" s="2" t="str">
        <f>IFERROR(__xludf.DUMMYFUNCTION("GOOGLETRANSLATE(A12575, ""en"", ""mt"")"),"Rivoluzzjoni Dinjija")</f>
        <v>Rivoluzzjoni Dinjija</v>
      </c>
    </row>
    <row r="12576" ht="15.75" customHeight="1">
      <c r="A12576" s="2" t="s">
        <v>12576</v>
      </c>
      <c r="B12576" s="2" t="str">
        <f>IFERROR(__xludf.DUMMYFUNCTION("GOOGLETRANSLATE(A12576, ""en"", ""mt"")"),"Xandir tas-sema Brittaniku")</f>
        <v>Xandir tas-sema Brittaniku</v>
      </c>
    </row>
    <row r="12577" ht="15.75" customHeight="1">
      <c r="A12577" s="2" t="s">
        <v>12577</v>
      </c>
      <c r="B12577" s="2" t="str">
        <f>IFERROR(__xludf.DUMMYFUNCTION("GOOGLETRANSLATE(A12577, ""en"", ""mt"")"),"Artikoli 106 u 107")</f>
        <v>Artikoli 106 u 107</v>
      </c>
    </row>
    <row r="12578" ht="15.75" customHeight="1">
      <c r="A12578" s="2" t="s">
        <v>12578</v>
      </c>
      <c r="B12578" s="2" t="str">
        <f>IFERROR(__xludf.DUMMYFUNCTION("GOOGLETRANSLATE(A12578, ""en"", ""mt"")"),"L-antiġeni tat-tumur huma kumplessi bil-molekuli tal-klassi I MHC bl-istess mod bħal liema antiġeni?")</f>
        <v>L-antiġeni tat-tumur huma kumplessi bil-molekuli tal-klassi I MHC bl-istess mod bħal liema antiġeni?</v>
      </c>
    </row>
    <row r="12579" ht="15.75" customHeight="1">
      <c r="A12579" s="2" t="s">
        <v>12579</v>
      </c>
      <c r="B12579" s="2" t="str">
        <f>IFERROR(__xludf.DUMMYFUNCTION("GOOGLETRANSLATE(A12579, ""en"", ""mt"")"),"F'liema każ il-Qorti tal-Ġustizzja ddikjarat li r-rifjut li jammetti avukat fil-bar Belġjan għax ma kellux wirt Belġjan ma setax ikun ġustifikat?")</f>
        <v>F'liema każ il-Qorti tal-Ġustizzja ddikjarat li r-rifjut li jammetti avukat fil-bar Belġjan għax ma kellux wirt Belġjan ma setax ikun ġustifikat?</v>
      </c>
    </row>
    <row r="12580" ht="15.75" customHeight="1">
      <c r="A12580" s="2" t="s">
        <v>12580</v>
      </c>
      <c r="B12580" s="2" t="str">
        <f>IFERROR(__xludf.DUMMYFUNCTION("GOOGLETRANSLATE(A12580, ""en"", ""mt"")"),"Kif kienet tissejjaħ il-bażi navali?")</f>
        <v>Kif kienet tissejjaħ il-bażi navali?</v>
      </c>
    </row>
    <row r="12581" ht="15.75" customHeight="1">
      <c r="A12581" s="2" t="s">
        <v>12581</v>
      </c>
      <c r="B12581" s="2" t="str">
        <f>IFERROR(__xludf.DUMMYFUNCTION("GOOGLETRANSLATE(A12581, ""en"", ""mt"")"),"Liema pjattaforma kienet Sentanta Sports ippjanar biex tevita t-tnedija?")</f>
        <v>Liema pjattaforma kienet Sentanta Sports ippjanar biex tevita t-tnedija?</v>
      </c>
    </row>
    <row r="12582" ht="15.75" customHeight="1">
      <c r="A12582" s="2" t="s">
        <v>12582</v>
      </c>
      <c r="B12582" s="2" t="str">
        <f>IFERROR(__xludf.DUMMYFUNCTION("GOOGLETRANSLATE(A12582, ""en"", ""mt"")"),"Il-kumplessità tal-problemi ħafna drabi tiddependi fuq xiex?")</f>
        <v>Il-kumplessità tal-problemi ħafna drabi tiddependi fuq xiex?</v>
      </c>
    </row>
    <row r="12583" ht="15.75" customHeight="1">
      <c r="A12583" s="2" t="s">
        <v>12583</v>
      </c>
      <c r="B12583" s="2" t="str">
        <f>IFERROR(__xludf.DUMMYFUNCTION("GOOGLETRANSLATE(A12583, ""en"", ""mt"")"),"Luteran u Riformat")</f>
        <v>Luteran u Riformat</v>
      </c>
    </row>
    <row r="12584" ht="15.75" customHeight="1">
      <c r="A12584" s="2" t="s">
        <v>12584</v>
      </c>
      <c r="B12584" s="2" t="str">
        <f>IFERROR(__xludf.DUMMYFUNCTION("GOOGLETRANSLATE(A12584, ""en"", ""mt"")"),"Interazzjoni aktar fundamentali tal-elettroweak.")</f>
        <v>Interazzjoni aktar fundamentali tal-elettroweak.</v>
      </c>
    </row>
    <row r="12585" ht="15.75" customHeight="1">
      <c r="A12585" s="2" t="s">
        <v>12585</v>
      </c>
      <c r="B12585" s="2" t="str">
        <f>IFERROR(__xludf.DUMMYFUNCTION("GOOGLETRANSLATE(A12585, ""en"", ""mt"")"),"Rich u sew")</f>
        <v>Rich u sew</v>
      </c>
    </row>
    <row r="12586" ht="15.75" customHeight="1">
      <c r="A12586" s="2" t="s">
        <v>12586</v>
      </c>
      <c r="B12586" s="2" t="str">
        <f>IFERROR(__xludf.DUMMYFUNCTION("GOOGLETRANSLATE(A12586, ""en"", ""mt"")"),"F'liema sena kien iddeċieda Wisconsin v. Yoder fil-Qorti Suprema?")</f>
        <v>F'liema sena kien iddeċieda Wisconsin v. Yoder fil-Qorti Suprema?</v>
      </c>
    </row>
    <row r="12587" ht="15.75" customHeight="1">
      <c r="A12587" s="2" t="s">
        <v>12587</v>
      </c>
      <c r="B12587" s="2" t="str">
        <f>IFERROR(__xludf.DUMMYFUNCTION("GOOGLETRANSLATE(A12587, ""en"", ""mt"")"),"Mandatorju")</f>
        <v>Mandatorju</v>
      </c>
    </row>
    <row r="12588" ht="15.75" customHeight="1">
      <c r="A12588" s="2" t="s">
        <v>12588</v>
      </c>
      <c r="B12588" s="2" t="str">
        <f>IFERROR(__xludf.DUMMYFUNCTION("GOOGLETRANSLATE(A12588, ""en"", ""mt"")"),"art vojta")</f>
        <v>art vojta</v>
      </c>
    </row>
    <row r="12589" ht="15.75" customHeight="1">
      <c r="A12589" s="2" t="s">
        <v>12589</v>
      </c>
      <c r="B12589" s="2" t="str">
        <f>IFERROR(__xludf.DUMMYFUNCTION("GOOGLETRANSLATE(A12589, ""en"", ""mt"")"),"X'inhu l-isem ta 'tip wieħed ta' metodu ta 'komputazzjoni li jintuża biex jinstab 100 miljun primes?")</f>
        <v>X'inhu l-isem ta 'tip wieħed ta' metodu ta 'komputazzjoni li jintuża biex jinstab 100 miljun primes?</v>
      </c>
    </row>
    <row r="12590" ht="15.75" customHeight="1">
      <c r="A12590" s="2" t="s">
        <v>12590</v>
      </c>
      <c r="B12590" s="2" t="str">
        <f>IFERROR(__xludf.DUMMYFUNCTION("GOOGLETRANSLATE(A12590, ""en"", ""mt"")"),"Uża l-proċeduri bħala forum biex tinforma lill-ġurija u lill-pubbliku dwar iċ-ċirkostanzi politiċi")</f>
        <v>Uża l-proċeduri bħala forum biex tinforma lill-ġurija u lill-pubbliku dwar iċ-ċirkostanzi politiċi</v>
      </c>
    </row>
    <row r="12591" ht="15.75" customHeight="1">
      <c r="A12591" s="2" t="s">
        <v>12591</v>
      </c>
      <c r="B12591" s="2" t="str">
        <f>IFERROR(__xludf.DUMMYFUNCTION("GOOGLETRANSLATE(A12591, ""en"", ""mt"")"),"Liema teorija waslet fl-1811 li ppreżentat is-suppożizzjoni ta 'molekuli diatomiċi?")</f>
        <v>Liema teorija waslet fl-1811 li ppreżentat is-suppożizzjoni ta 'molekuli diatomiċi?</v>
      </c>
    </row>
    <row r="12592" ht="15.75" customHeight="1">
      <c r="A12592" s="2" t="s">
        <v>12592</v>
      </c>
      <c r="B12592" s="2" t="str">
        <f>IFERROR(__xludf.DUMMYFUNCTION("GOOGLETRANSLATE(A12592, ""en"", ""mt"")"),"X'kienet il-kanal SD Lineari Virgin Media SD minn Novembru 2006 sa Lulju 2009?")</f>
        <v>X'kienet il-kanal SD Lineari Virgin Media SD minn Novembru 2006 sa Lulju 2009?</v>
      </c>
    </row>
    <row r="12593" ht="15.75" customHeight="1">
      <c r="A12593" s="2" t="s">
        <v>12593</v>
      </c>
      <c r="B12593" s="2" t="str">
        <f>IFERROR(__xludf.DUMMYFUNCTION("GOOGLETRANSLATE(A12593, ""en"", ""mt"")"),"F'liema parti tas-seklu 19 fejn introduċew il-ġeneraturi?")</f>
        <v>F'liema parti tas-seklu 19 fejn introduċew il-ġeneraturi?</v>
      </c>
    </row>
    <row r="12594" ht="15.75" customHeight="1">
      <c r="A12594" s="2" t="s">
        <v>12594</v>
      </c>
      <c r="B12594" s="2" t="str">
        <f>IFERROR(__xludf.DUMMYFUNCTION("GOOGLETRANSLATE(A12594, ""en"", ""mt"")"),"Ir-reġjun ċentrali, li jikkonsisti f'Hebei preżenti, Shandong, Shanxi, il-parti tax-xlokk tal-Mongolja ta 'ġewwa preżenti u ż-żoni ta' Henan fit-tramuntana tax-Xmara Isfar, kienet ikkunsidrata bħala l-iktar reġjun importanti tad-dinastija u rregolat diret"&amp;"tament mis-Segretarjat Ċentrali (jew Zhongshu Sheng) f'Khanbaliq (Beijing modern); Bl-istess mod, dipartiment amministrattiv ieħor tal-ogħla livell sejjaħ il-Bureau tal-Affarijiet Buddisti u tat-Tibet (jew Xuanzheng Yuan) kellu regola amministrattiva fuq "&amp;"it-Tibet tal-ġurnata moderna u parti minn Sichuan, Qinghai u l-Kashmir.")</f>
        <v>Ir-reġjun ċentrali, li jikkonsisti f'Hebei preżenti, Shandong, Shanxi, il-parti tax-xlokk tal-Mongolja ta 'ġewwa preżenti u ż-żoni ta' Henan fit-tramuntana tax-Xmara Isfar, kienet ikkunsidrata bħala l-iktar reġjun importanti tad-dinastija u rregolat direttament mis-Segretarjat Ċentrali (jew Zhongshu Sheng) f'Khanbaliq (Beijing modern); Bl-istess mod, dipartiment amministrattiv ieħor tal-ogħla livell sejjaħ il-Bureau tal-Affarijiet Buddisti u tat-Tibet (jew Xuanzheng Yuan) kellu regola amministrattiva fuq it-Tibet tal-ġurnata moderna u parti minn Sichuan, Qinghai u l-Kashmir.</v>
      </c>
    </row>
    <row r="12595" ht="15.75" customHeight="1">
      <c r="A12595" s="2" t="s">
        <v>12595</v>
      </c>
      <c r="B12595" s="2" t="str">
        <f>IFERROR(__xludf.DUMMYFUNCTION("GOOGLETRANSLATE(A12595, ""en"", ""mt"")"),"X'inhi d-distakk fl-inugwaljanza tad-dħul bejn is-sessi fil-Botswana?")</f>
        <v>X'inhi d-distakk fl-inugwaljanza tad-dħul bejn is-sessi fil-Botswana?</v>
      </c>
    </row>
    <row r="12596" ht="15.75" customHeight="1">
      <c r="A12596" s="2" t="s">
        <v>12596</v>
      </c>
      <c r="B12596" s="2" t="str">
        <f>IFERROR(__xludf.DUMMYFUNCTION("GOOGLETRANSLATE(A12596, ""en"", ""mt"")"),"Meta kien ir-reġim fil-Pakistan imwaqqa 'mill-Ġeneral Zia-ul-Haq?")</f>
        <v>Meta kien ir-reġim fil-Pakistan imwaqqa 'mill-Ġeneral Zia-ul-Haq?</v>
      </c>
    </row>
    <row r="12597" ht="15.75" customHeight="1">
      <c r="A12597" s="2" t="s">
        <v>12597</v>
      </c>
      <c r="B12597" s="2" t="str">
        <f>IFERROR(__xludf.DUMMYFUNCTION("GOOGLETRANSLATE(A12597, ""en"", ""mt"")"),"Min hu l-fundatur ta ’The Chicago Cubs u awtur tal-ewwel ktieb tal-kontabilità tal-ġestjoni?")</f>
        <v>Min hu l-fundatur ta ’The Chicago Cubs u awtur tal-ewwel ktieb tal-kontabilità tal-ġestjoni?</v>
      </c>
    </row>
    <row r="12598" ht="15.75" customHeight="1">
      <c r="A12598" s="2" t="s">
        <v>12598</v>
      </c>
      <c r="B12598" s="2" t="str">
        <f>IFERROR(__xludf.DUMMYFUNCTION("GOOGLETRANSLATE(A12598, ""en"", ""mt"")"),"Id-distrett tat-torri huwa ċċentrat madwar liema teatru storiku?")</f>
        <v>Id-distrett tat-torri huwa ċċentrat madwar liema teatru storiku?</v>
      </c>
    </row>
    <row r="12599" ht="15.75" customHeight="1">
      <c r="A12599" s="2" t="s">
        <v>12599</v>
      </c>
      <c r="B12599" s="2" t="str">
        <f>IFERROR(__xludf.DUMMYFUNCTION("GOOGLETRANSLATE(A12599, ""en"", ""mt"")"),"Min immappjat ix-Xmara San Ġwann fl-1562?")</f>
        <v>Min immappjat ix-Xmara San Ġwann fl-1562?</v>
      </c>
    </row>
    <row r="12600" ht="15.75" customHeight="1">
      <c r="A12600" s="2" t="s">
        <v>12600</v>
      </c>
      <c r="B12600" s="2" t="str">
        <f>IFERROR(__xludf.DUMMYFUNCTION("GOOGLETRANSLATE(A12600, ""en"", ""mt"")"),"Par ta 'tentakli li jġorru t-tentilla")</f>
        <v>Par ta 'tentakli li jġorru t-tentilla</v>
      </c>
    </row>
    <row r="12601" ht="15.75" customHeight="1">
      <c r="A12601" s="2" t="s">
        <v>12601</v>
      </c>
      <c r="B12601" s="2" t="str">
        <f>IFERROR(__xludf.DUMMYFUNCTION("GOOGLETRANSLATE(A12601, ""en"", ""mt"")"),"'S Napuljun")</f>
        <v>'S Napuljun</v>
      </c>
    </row>
    <row r="12602" ht="15.75" customHeight="1">
      <c r="A12602" s="2" t="s">
        <v>12602</v>
      </c>
      <c r="B12602" s="2" t="str">
        <f>IFERROR(__xludf.DUMMYFUNCTION("GOOGLETRANSLATE(A12602, ""en"", ""mt"")"),"F'din l-ekwazzjoni, kostanti dimensjonali tintuża biex tiddeskrivi s-saħħa relattiva tal-gravità. Din il-kostanti saret magħrufa bħala l-kostanti tal-gravitazzjoni universali ta 'Newton, għalkemm il-valur tagħha ma kienx magħruf f'ħajja ta' Newton. Mhux s"&amp;"al-1798 kien Henry Cavendish kapaċi jagħmel l-ewwel kejl tal-użu ta 'bilanċ tat-torsjoni; Dan kien irrappurtat b'mod wiesa 'fl-istampa bħala kejl tal-massa tad-dinja peress li jaf jista' jippermetti li wieħed isolvi għall-massa tad-dinja minħabba l-ekwazz"&amp;"joni ta 'hawn fuq. Newton, madankollu, induna li peress li l-korpi ċelesti kollha segwew l-istess liġijiet tal-mozzjoni, il-liġi tal-gravità tiegħu kellha tkun universali. Iddikjarat b'mod konċiż, il-liġi ta 'gravitazzjoni ta' Newton tiddikjara li l-forza"&amp;" fuq oġġett sferiku ta 'massa minħabba l-ġibda gravitazzjonali tal-massa hija")</f>
        <v>F'din l-ekwazzjoni, kostanti dimensjonali tintuża biex tiddeskrivi s-saħħa relattiva tal-gravità. Din il-kostanti saret magħrufa bħala l-kostanti tal-gravitazzjoni universali ta 'Newton, għalkemm il-valur tagħha ma kienx magħruf f'ħajja ta' Newton. Mhux sal-1798 kien Henry Cavendish kapaċi jagħmel l-ewwel kejl tal-użu ta 'bilanċ tat-torsjoni; Dan kien irrappurtat b'mod wiesa 'fl-istampa bħala kejl tal-massa tad-dinja peress li jaf jista' jippermetti li wieħed isolvi għall-massa tad-dinja minħabba l-ekwazzjoni ta 'hawn fuq. Newton, madankollu, induna li peress li l-korpi ċelesti kollha segwew l-istess liġijiet tal-mozzjoni, il-liġi tal-gravità tiegħu kellha tkun universali. Iddikjarat b'mod konċiż, il-liġi ta 'gravitazzjoni ta' Newton tiddikjara li l-forza fuq oġġett sferiku ta 'massa minħabba l-ġibda gravitazzjonali tal-massa hija</v>
      </c>
    </row>
    <row r="12603" ht="15.75" customHeight="1">
      <c r="A12603" s="2" t="s">
        <v>12603</v>
      </c>
      <c r="B12603" s="2" t="str">
        <f>IFERROR(__xludf.DUMMYFUNCTION("GOOGLETRANSLATE(A12603, ""en"", ""mt"")"),"Tard 19")</f>
        <v>Tard 19</v>
      </c>
    </row>
    <row r="12604" ht="15.75" customHeight="1">
      <c r="A12604" s="2" t="s">
        <v>12604</v>
      </c>
      <c r="B12604" s="2" t="str">
        <f>IFERROR(__xludf.DUMMYFUNCTION("GOOGLETRANSLATE(A12604, ""en"", ""mt"")"),"Fejn hi Triq D'Olier?")</f>
        <v>Fejn hi Triq D'Olier?</v>
      </c>
    </row>
    <row r="12605" ht="15.75" customHeight="1">
      <c r="A12605" s="2" t="s">
        <v>12605</v>
      </c>
      <c r="B12605" s="2" t="str">
        <f>IFERROR(__xludf.DUMMYFUNCTION("GOOGLETRANSLATE(A12605, ""en"", ""mt"")"),"Kemm hemm MSPs?")</f>
        <v>Kemm hemm MSPs?</v>
      </c>
    </row>
    <row r="12606" ht="15.75" customHeight="1">
      <c r="A12606" s="2" t="s">
        <v>12606</v>
      </c>
      <c r="B12606" s="2" t="str">
        <f>IFERROR(__xludf.DUMMYFUNCTION("GOOGLETRANSLATE(A12606, ""en"", ""mt"")"),"X'inhu l-wied alpin glaċjali magħruf bħala?")</f>
        <v>X'inhu l-wied alpin glaċjali magħruf bħala?</v>
      </c>
    </row>
    <row r="12607" ht="15.75" customHeight="1">
      <c r="A12607" s="2" t="s">
        <v>12607</v>
      </c>
      <c r="B12607" s="2" t="str">
        <f>IFERROR(__xludf.DUMMYFUNCTION("GOOGLETRANSLATE(A12607, ""en"", ""mt"")"),"Kemm-il sena ħadet biex il-għata tas-silġ tar-rebbiegħa ddub?")</f>
        <v>Kemm-il sena ħadet biex il-għata tas-silġ tar-rebbiegħa ddub?</v>
      </c>
    </row>
    <row r="12608" ht="15.75" customHeight="1">
      <c r="A12608" s="2" t="s">
        <v>12608</v>
      </c>
      <c r="B12608" s="2" t="str">
        <f>IFERROR(__xludf.DUMMYFUNCTION("GOOGLETRANSLATE(A12608, ""en"", ""mt"")"),"X'kien iddevjat u issa flussi paralleli mar-Rhine?")</f>
        <v>X'kien iddevjat u issa flussi paralleli mar-Rhine?</v>
      </c>
    </row>
    <row r="12609" ht="15.75" customHeight="1">
      <c r="A12609" s="2" t="s">
        <v>12609</v>
      </c>
      <c r="B12609" s="2" t="str">
        <f>IFERROR(__xludf.DUMMYFUNCTION("GOOGLETRANSLATE(A12609, ""en"", ""mt"")"),"Aristokrazija")</f>
        <v>Aristokrazija</v>
      </c>
    </row>
    <row r="12610" ht="15.75" customHeight="1">
      <c r="A12610" s="2" t="s">
        <v>12610</v>
      </c>
      <c r="B12610" s="2" t="str">
        <f>IFERROR(__xludf.DUMMYFUNCTION("GOOGLETRANSLATE(A12610, ""en"", ""mt"")"),"X'inhi l-ewwel belt ewlenija matul ir-Renu?")</f>
        <v>X'inhi l-ewwel belt ewlenija matul ir-Renu?</v>
      </c>
    </row>
    <row r="12611" ht="15.75" customHeight="1">
      <c r="A12611" s="2" t="s">
        <v>12611</v>
      </c>
      <c r="B12611" s="2" t="str">
        <f>IFERROR(__xludf.DUMMYFUNCTION("GOOGLETRANSLATE(A12611, ""en"", ""mt"")"),"X'tip ta 'qerda tat-terremot tal-1994 ikkawża l-iktar fl-istorja tal-Istati Uniti?")</f>
        <v>X'tip ta 'qerda tat-terremot tal-1994 ikkawża l-iktar fl-istorja tal-Istati Uniti?</v>
      </c>
    </row>
    <row r="12612" ht="15.75" customHeight="1">
      <c r="A12612" s="2" t="s">
        <v>12612</v>
      </c>
      <c r="B12612" s="2" t="str">
        <f>IFERROR(__xludf.DUMMYFUNCTION("GOOGLETRANSLATE(A12612, ""en"", ""mt"")"),"Suite ta 'protokolli tan-netwerk maħluqa minn Digital Equipment Corporation")</f>
        <v>Suite ta 'protokolli tan-netwerk maħluqa minn Digital Equipment Corporation</v>
      </c>
    </row>
    <row r="12613" ht="15.75" customHeight="1">
      <c r="A12613" s="2" t="s">
        <v>12613</v>
      </c>
      <c r="B12613" s="2" t="str">
        <f>IFERROR(__xludf.DUMMYFUNCTION("GOOGLETRANSLATE(A12613, ""en"", ""mt"")"),"X'inhu żżid jew tnaqqis b'reazzjoni għal frizzjoni applikata?")</f>
        <v>X'inhu żżid jew tnaqqis b'reazzjoni għal frizzjoni applikata?</v>
      </c>
    </row>
    <row r="12614" ht="15.75" customHeight="1">
      <c r="A12614" s="2" t="s">
        <v>12614</v>
      </c>
      <c r="B12614" s="2" t="str">
        <f>IFERROR(__xludf.DUMMYFUNCTION("GOOGLETRANSLATE(A12614, ""en"", ""mt"")"),"X'kienet Varsavja l-iktar diversa fil-Polonja?")</f>
        <v>X'kienet Varsavja l-iktar diversa fil-Polonja?</v>
      </c>
    </row>
    <row r="12615" ht="15.75" customHeight="1">
      <c r="A12615" s="2" t="s">
        <v>12615</v>
      </c>
      <c r="B12615" s="2" t="str">
        <f>IFERROR(__xludf.DUMMYFUNCTION("GOOGLETRANSLATE(A12615, ""en"", ""mt"")"),"Pereżempju, ikkunsidra l-algoritmu ta 'l-issortjar deterministiku Quicksort. Dan isolvi l-problema tal-għażla ta 'lista ta' numri interi li tingħata bħala l-input. L-agħar każ huwa meta l-input jiġi magħżul jew magħżul f'ordni invers, u l-algoritmu jieħu "&amp;"ż-żmien O (N2) għal dan il-każ. Jekk nassumu li l-permutazzjonijiet kollha possibbli tal-lista tal-input huma ugwalment probabbli, il-ħin medju meħud għall-issortjar huwa O (n log n). L-aħjar każ iseħħ meta kull pivoting jaqsam il-lista bin-nofs, jeħtieġ "&amp;"ukoll il-ħin O (n log n).")</f>
        <v>Pereżempju, ikkunsidra l-algoritmu ta 'l-issortjar deterministiku Quicksort. Dan isolvi l-problema tal-għażla ta 'lista ta' numri interi li tingħata bħala l-input. L-agħar każ huwa meta l-input jiġi magħżul jew magħżul f'ordni invers, u l-algoritmu jieħu ż-żmien O (N2) għal dan il-każ. Jekk nassumu li l-permutazzjonijiet kollha possibbli tal-lista tal-input huma ugwalment probabbli, il-ħin medju meħud għall-issortjar huwa O (n log n). L-aħjar każ iseħħ meta kull pivoting jaqsam il-lista bin-nofs, jeħtieġ ukoll il-ħin O (n log n).</v>
      </c>
    </row>
    <row r="12616" ht="15.75" customHeight="1">
      <c r="A12616" s="2" t="s">
        <v>12616</v>
      </c>
      <c r="B12616" s="2" t="str">
        <f>IFERROR(__xludf.DUMMYFUNCTION("GOOGLETRANSLATE(A12616, ""en"", ""mt"")"),"Meta Galor u Zeria wrew informazzjoni ġdida dwar l-inugwaljanza?")</f>
        <v>Meta Galor u Zeria wrew informazzjoni ġdida dwar l-inugwaljanza?</v>
      </c>
    </row>
    <row r="12617" ht="15.75" customHeight="1">
      <c r="A12617" s="2" t="s">
        <v>12617</v>
      </c>
      <c r="B12617" s="2" t="str">
        <f>IFERROR(__xludf.DUMMYFUNCTION("GOOGLETRANSLATE(A12617, ""en"", ""mt"")"),"Unifikazzjoni awto-konsistenti")</f>
        <v>Unifikazzjoni awto-konsistenti</v>
      </c>
    </row>
    <row r="12618" ht="15.75" customHeight="1">
      <c r="A12618" s="2" t="s">
        <v>12618</v>
      </c>
      <c r="B12618" s="2" t="str">
        <f>IFERROR(__xludf.DUMMYFUNCTION("GOOGLETRANSLATE(A12618, ""en"", ""mt"")"),"Fluss tal-ilma")</f>
        <v>Fluss tal-ilma</v>
      </c>
    </row>
    <row r="12619" ht="15.75" customHeight="1">
      <c r="A12619" s="2" t="s">
        <v>12619</v>
      </c>
      <c r="B12619" s="2" t="str">
        <f>IFERROR(__xludf.DUMMYFUNCTION("GOOGLETRANSLATE(A12619, ""en"", ""mt"")"),"Dan ifisser li f'sistema magħluqa ta 'partiċelli, m'hemm l-ebda forzi interni li huma żbilanċjati. Jiġifieri, il-forza ta 'reazzjoni ta' azzjoni maqsuma bejn kwalunkwe żewġ oġġetti f'sistema magħluqa ma tikkawżax li ċ-ċentru tal-massa tas-sistema jaċċelle"&amp;"ra. L-oġġetti kostitwenti jaċċelleraw biss fir-rigward ta 'xulxin, is-sistema nnifisha tibqa' mhux aċċellerata. Alternattivament, jekk forza esterna taġixxi fis-sistema, allura ċ-ċentru tal-massa jesperjenza aċċelerazzjoni proporzjonali għall-kobor tal-fo"&amp;"rza esterna diviż bil-massa tas-sistema.")</f>
        <v>Dan ifisser li f'sistema magħluqa ta 'partiċelli, m'hemm l-ebda forzi interni li huma żbilanċjati. Jiġifieri, il-forza ta 'reazzjoni ta' azzjoni maqsuma bejn kwalunkwe żewġ oġġetti f'sistema magħluqa ma tikkawżax li ċ-ċentru tal-massa tas-sistema jaċċellera. L-oġġetti kostitwenti jaċċelleraw biss fir-rigward ta 'xulxin, is-sistema nnifisha tibqa' mhux aċċellerata. Alternattivament, jekk forza esterna taġixxi fis-sistema, allura ċ-ċentru tal-massa jesperjenza aċċelerazzjoni proporzjonali għall-kobor tal-forza esterna diviż bil-massa tas-sistema.</v>
      </c>
    </row>
    <row r="12620" ht="15.75" customHeight="1">
      <c r="A12620" s="2" t="s">
        <v>12620</v>
      </c>
      <c r="B12620" s="2" t="str">
        <f>IFERROR(__xludf.DUMMYFUNCTION("GOOGLETRANSLATE(A12620, ""en"", ""mt"")"),"kontra entitajiet governattivi")</f>
        <v>kontra entitajiet governattivi</v>
      </c>
    </row>
    <row r="12621" ht="15.75" customHeight="1">
      <c r="A12621" s="2" t="s">
        <v>12621</v>
      </c>
      <c r="B12621" s="2" t="str">
        <f>IFERROR(__xludf.DUMMYFUNCTION("GOOGLETRANSLATE(A12621, ""en"", ""mt"")"),"Meta l-gvern Brittaniku ta l-art għall-iżvilupp tal-pajjiż tal-Ohio?")</f>
        <v>Meta l-gvern Brittaniku ta l-art għall-iżvilupp tal-pajjiż tal-Ohio?</v>
      </c>
    </row>
    <row r="12622" ht="15.75" customHeight="1">
      <c r="A12622" s="2" t="s">
        <v>12622</v>
      </c>
      <c r="B12622" s="2" t="str">
        <f>IFERROR(__xludf.DUMMYFUNCTION("GOOGLETRANSLATE(A12622, ""en"", ""mt"")"),"għomor tal-ħajja")</f>
        <v>għomor tal-ħajja</v>
      </c>
    </row>
    <row r="12623" ht="15.75" customHeight="1">
      <c r="A12623" s="2" t="s">
        <v>12623</v>
      </c>
      <c r="B12623" s="2" t="str">
        <f>IFERROR(__xludf.DUMMYFUNCTION("GOOGLETRANSLATE(A12623, ""en"", ""mt"")"),"1024")</f>
        <v>1024</v>
      </c>
    </row>
    <row r="12624" ht="15.75" customHeight="1">
      <c r="A12624" s="2" t="s">
        <v>12624</v>
      </c>
      <c r="B12624" s="2" t="str">
        <f>IFERROR(__xludf.DUMMYFUNCTION("GOOGLETRANSLATE(A12624, ""en"", ""mt"")"),"elettriku")</f>
        <v>elettriku</v>
      </c>
    </row>
    <row r="12625" ht="15.75" customHeight="1">
      <c r="A12625" s="2" t="s">
        <v>12625</v>
      </c>
      <c r="B12625" s="2" t="str">
        <f>IFERROR(__xludf.DUMMYFUNCTION("GOOGLETRANSLATE(A12625, ""en"", ""mt"")"),"Sabiex tkun ikkunsidrata fil-perċentili tal-qiegħ, persuna jkollha bżonn tiġbor kemm flus kull sena?")</f>
        <v>Sabiex tkun ikkunsidrata fil-perċentili tal-qiegħ, persuna jkollha bżonn tiġbor kemm flus kull sena?</v>
      </c>
    </row>
    <row r="12626" ht="15.75" customHeight="1">
      <c r="A12626" s="2" t="s">
        <v>12626</v>
      </c>
      <c r="B12626" s="2" t="str">
        <f>IFERROR(__xludf.DUMMYFUNCTION("GOOGLETRANSLATE(A12626, ""en"", ""mt"")"),"X'inhu l-isem tal-propjetà li tinnomina numru bħala effiċjenti jew le?")</f>
        <v>X'inhu l-isem tal-propjetà li tinnomina numru bħala effiċjenti jew le?</v>
      </c>
    </row>
    <row r="12627" ht="15.75" customHeight="1">
      <c r="A12627" s="2" t="s">
        <v>12627</v>
      </c>
      <c r="B12627" s="2" t="str">
        <f>IFERROR(__xludf.DUMMYFUNCTION("GOOGLETRANSLATE(A12627, ""en"", ""mt"")"),"X'inhi d-densità tal-primes kollha kompatibbli ma 'Modulo 9?")</f>
        <v>X'inhi d-densità tal-primes kollha kompatibbli ma 'Modulo 9?</v>
      </c>
    </row>
    <row r="12628" ht="15.75" customHeight="1">
      <c r="A12628" s="2" t="s">
        <v>12628</v>
      </c>
      <c r="B12628" s="2" t="str">
        <f>IFERROR(__xludf.DUMMYFUNCTION("GOOGLETRANSLATE(A12628, ""en"", ""mt"")"),"X'inhi l-iktar biċċa magħrufa ta 'Norman Art?")</f>
        <v>X'inhi l-iktar biċċa magħrufa ta 'Norman Art?</v>
      </c>
    </row>
    <row r="12629" ht="15.75" customHeight="1">
      <c r="A12629" s="2" t="s">
        <v>12629</v>
      </c>
      <c r="B12629" s="2" t="str">
        <f>IFERROR(__xludf.DUMMYFUNCTION("GOOGLETRANSLATE(A12629, ""en"", ""mt"")"),"patoġen speċifiku")</f>
        <v>patoġen speċifiku</v>
      </c>
    </row>
    <row r="12630" ht="15.75" customHeight="1">
      <c r="A12630" s="2" t="s">
        <v>12630</v>
      </c>
      <c r="B12630" s="2" t="str">
        <f>IFERROR(__xludf.DUMMYFUNCTION("GOOGLETRANSLATE(A12630, ""en"", ""mt"")"),"Liema artikolu TFEU jiddefinixxi l-proċedura leġiżlattiva ordinarja li tapplika għal maġġoranza ta 'atti ta' l-UE?")</f>
        <v>Liema artikolu TFEU jiddefinixxi l-proċedura leġiżlattiva ordinarja li tapplika għal maġġoranza ta 'atti ta' l-UE?</v>
      </c>
    </row>
    <row r="12631" ht="15.75" customHeight="1">
      <c r="A12631" s="2" t="s">
        <v>12631</v>
      </c>
      <c r="B12631" s="2" t="str">
        <f>IFERROR(__xludf.DUMMYFUNCTION("GOOGLETRANSLATE(A12631, ""en"", ""mt"")"),"Matul l-2012-2013, kemm studenti setgħu jieħdu l-klassijiet tal-qalba f'ħin wieħed?")</f>
        <v>Matul l-2012-2013, kemm studenti setgħu jieħdu l-klassijiet tal-qalba f'ħin wieħed?</v>
      </c>
    </row>
    <row r="12632" ht="15.75" customHeight="1">
      <c r="A12632" s="2" t="s">
        <v>12632</v>
      </c>
      <c r="B12632" s="2" t="str">
        <f>IFERROR(__xludf.DUMMYFUNCTION("GOOGLETRANSLATE(A12632, ""en"", ""mt"")"),"Liema dinastija waslet wara l-wan?")</f>
        <v>Liema dinastija waslet wara l-wan?</v>
      </c>
    </row>
    <row r="12633" ht="15.75" customHeight="1">
      <c r="A12633" s="2" t="s">
        <v>12633</v>
      </c>
      <c r="B12633" s="2" t="str">
        <f>IFERROR(__xludf.DUMMYFUNCTION("GOOGLETRANSLATE(A12633, ""en"", ""mt"")"),"sfurzar limitat")</f>
        <v>sfurzar limitat</v>
      </c>
    </row>
    <row r="12634" ht="15.75" customHeight="1">
      <c r="A12634" s="2" t="s">
        <v>12634</v>
      </c>
      <c r="B12634" s="2" t="str">
        <f>IFERROR(__xludf.DUMMYFUNCTION("GOOGLETRANSLATE(A12634, ""en"", ""mt"")"),"X'kienet waħda mill-alleati tar-Russja fil-Gwerra l-Kbira tat-Tramuntana?")</f>
        <v>X'kienet waħda mill-alleati tar-Russja fil-Gwerra l-Kbira tat-Tramuntana?</v>
      </c>
    </row>
    <row r="12635" ht="15.75" customHeight="1">
      <c r="A12635" s="2" t="s">
        <v>12635</v>
      </c>
      <c r="B12635" s="2" t="str">
        <f>IFERROR(__xludf.DUMMYFUNCTION("GOOGLETRANSLATE(A12635, ""en"", ""mt"")"),"Min wera li jekk P = NQ allura jeżistu problemi f'NQ li la huma P u lanqas NQ-Complete?")</f>
        <v>Min wera li jekk P = NQ allura jeżistu problemi f'NQ li la huma P u lanqas NQ-Complete?</v>
      </c>
    </row>
    <row r="12636" ht="15.75" customHeight="1">
      <c r="A12636" s="2" t="s">
        <v>12636</v>
      </c>
      <c r="B12636" s="2" t="str">
        <f>IFERROR(__xludf.DUMMYFUNCTION("GOOGLETRANSLATE(A12636, ""en"", ""mt"")"),"F'liema sena saru l-aħħar klassijiet fl-università?")</f>
        <v>F'liema sena saru l-aħħar klassijiet fl-università?</v>
      </c>
    </row>
    <row r="12637" ht="15.75" customHeight="1">
      <c r="A12637" s="2" t="s">
        <v>12637</v>
      </c>
      <c r="B12637" s="2" t="str">
        <f>IFERROR(__xludf.DUMMYFUNCTION("GOOGLETRANSLATE(A12637, ""en"", ""mt"")"),"Liema parlament m'għandu l-ebda poter li jilleġiżla f'xi oqsma?")</f>
        <v>Liema parlament m'għandu l-ebda poter li jilleġiżla f'xi oqsma?</v>
      </c>
    </row>
    <row r="12638" ht="15.75" customHeight="1">
      <c r="A12638" s="2" t="s">
        <v>12638</v>
      </c>
      <c r="B12638" s="2" t="str">
        <f>IFERROR(__xludf.DUMMYFUNCTION("GOOGLETRANSLATE(A12638, ""en"", ""mt"")"),"Mit-twaqqif tagħha, l-UE ħadmet fost pluralità dejjem tiżdied ta 'sistemi legali nazzjonali u globalizzanti. Dan fisser kemm il-Qorti Ewropea tal-Ġustizzja kif ukoll l-ogħla qrati nazzjonali kellhom jiżviluppaw prinċipji biex isolvu kunflitti ta 'liġijiet"&amp;" bejn sistemi differenti. Fi ħdan l-UE nnifisha, il-fehma tal-Qorti tal-Ġustizzja hija li jekk il-liġi tal-UE tkun f’kunflitti ma ’dispożizzjoni tal-liġi nazzjonali, allura l-liġi tal-UE għandha l-primat. Fl-ewwel każ ewlieni fl-1964, Costa v Enel, avukat"&amp;" Milanese, u ex-azzjonist ta 'kumpanija tal-enerġija, bl-isem is-Sur Costa rrifjutaw li jħallsu l-kont tal-elettriku tiegħu biex jeħlu, bħala protesta kontra n-nazzjonalizzazzjoni tal-korporazzjonijiet tal-enerġija Taljani. Huwa ddikjara li l-liġi tan-naz"&amp;"zjonalizzazzjoni Taljana kienet f’kunflitt mat-Trattat ta ’Ruma, u talab referenza kemm lill-Qorti Kostituzzjonali Taljana kif ukoll lill-Qorti tal-Ġustizzja taħt l-Artikolu 267. Il-Qorti Kostituzzjonali Taljana tat opinjoni li minħabba l-liġi tan-nazzjon"&amp;"alizzazzjoni kienet mill-1962 , u t-trattat kien fis-seħħ mill-1958, Costa ma kellha l-ebda talba. B'kuntrast, il-Qorti tal-Ġustizzja ddeċidiet li fl-aħħar it-Trattat ta 'Ruma bl-ebda mod ma evita n-nazzjonalizzazzjoni tal-enerġija, u fi kwalunkwe każ taħ"&amp;"t id-dispożizzjonijiet tat-trattati biss il-Kummissjoni setgħet ġabet talba, mhux is-Sur Costa. Madankollu, fil-prinċipju, is-Sur Costa kien intitolat li jinvoka li t-trattat kien f’kunflitt mal-liġi nazzjonali, u l-qorti jkollha d-dmir li tikkunsidra t-t"&amp;"alba tiegħu li tagħmel referenza jekk ma jkun hemm l-ebda appell kontra d-deċiżjoni tiegħu. Il-Qorti tal-Ġustizzja, li rrepetiet il-fehma tagħha f'Van Gend en Loos, qalet li l-istati membri ""għalkemm fi sferi limitati, illimitaw id-drittijiet sovrani tag"&amp;"ħhom u ħolqu korp ta 'liġi applikabbli kemm għaċ-ċittadini tagħhom kif ukoll lilhom infushom"" fuq il- ""bażi ta' reċiproċità"" - Il-liġi tal-UE ma tkunx ""twarrab minn dispożizzjonijiet legali domestiċi, madankollu inkwadrata ... mingħajr il-bażi legali "&amp;"tal-komunità nnifisha ma tkunx ikkontestata."" Dan kien ifisser kull ""att unilaterali sussegwenti"" ta 'l-Istat Membru inapplikabbli. Bl-istess mod, f'Amministrazione Delle Finanze vs Simmenthal Spa, kumpanija, Simmenthal Spa, sostniet li ħlas ta 'spezzj"&amp;"oni tas-saħħa pubblika taħt il-liġi Taljana tal-1970 għall-importazzjoni taċ-ċanga minn Franza lejn l-Italja għall-Italja kien kuntrarju għal żewġ regolamenti mill-1964 u l-1968. Il-prinċipju tal-preċedenza tal-liġi tal-komunità, ""qalet il-Qorti tal-Ġust"&amp;"izzja,"" il-miżuri applikabbli direttament tal-istituzzjonijiet ""(bħar-regolamenti fil-każ)"" tirrendi awtomatikament inapplikabbli kwalunkwe dispożizzjoni konfliġġenti tal-liġi nazzjonali attwali "". Dan kien meħtieġ biex jiġi evitat ""ċaħda korrisponde"&amp;"nti"" ta 'obbligi ta' trattat ""imwettqa mingħajr kundizzjonijiet u irrevokabbilment mill-istati membri"", li jistgħu ""jimperixxu l-pedamenti stess ta 'l-UE. Iżda minkejja l-opinjonijiet tal-Qorti tal-Ġustizzja, il-Qrati Nazzjonali tal-Istati Membri ma a"&amp;"ċċettawx l-istess analiżi.")</f>
        <v>Mit-twaqqif tagħha, l-UE ħadmet fost pluralità dejjem tiżdied ta 'sistemi legali nazzjonali u globalizzanti. Dan fisser kemm il-Qorti Ewropea tal-Ġustizzja kif ukoll l-ogħla qrati nazzjonali kellhom jiżviluppaw prinċipji biex isolvu kunflitti ta 'liġijiet bejn sistemi differenti. Fi ħdan l-UE nnifisha, il-fehma tal-Qorti tal-Ġustizzja hija li jekk il-liġi tal-UE tkun f’kunflitti ma ’dispożizzjoni tal-liġi nazzjonali, allura l-liġi tal-UE għandha l-primat. Fl-ewwel każ ewlieni fl-1964, Costa v Enel, avukat Milanese, u ex-azzjonist ta 'kumpanija tal-enerġija, bl-isem is-Sur Costa rrifjutaw li jħallsu l-kont tal-elettriku tiegħu biex jeħlu, bħala protesta kontra n-nazzjonalizzazzjoni tal-korporazzjonijiet tal-enerġija Taljani. Huwa ddikjara li l-liġi tan-nazzjonalizzazzjoni Taljana kienet f’kunflitt mat-Trattat ta ’Ruma, u talab referenza kemm lill-Qorti Kostituzzjonali Taljana kif ukoll lill-Qorti tal-Ġustizzja taħt l-Artikolu 267. Il-Qorti Kostituzzjonali Taljana tat opinjoni li minħabba l-liġi tan-nazzjonalizzazzjoni kienet mill-1962 , u t-trattat kien fis-seħħ mill-1958, Costa ma kellha l-ebda talba. B'kuntrast, il-Qorti tal-Ġustizzja ddeċidiet li fl-aħħar it-Trattat ta 'Ruma bl-ebda mod ma evita n-nazzjonalizzazzjoni tal-enerġija, u fi kwalunkwe każ taħt id-dispożizzjonijiet tat-trattati biss il-Kummissjoni setgħet ġabet talba, mhux is-Sur Costa. Madankollu, fil-prinċipju, is-Sur Costa kien intitolat li jinvoka li t-trattat kien f’kunflitt mal-liġi nazzjonali, u l-qorti jkollha d-dmir li tikkunsidra t-talba tiegħu li tagħmel referenza jekk ma jkun hemm l-ebda appell kontra d-deċiżjoni tiegħu. Il-Qorti tal-Ġustizzja, li rrepetiet il-fehma tagħha f'Van Gend en Loos, qalet li l-istati membri "għalkemm fi sferi limitati, illimitaw id-drittijiet sovrani tagħhom u ħolqu korp ta 'liġi applikabbli kemm għaċ-ċittadini tagħhom kif ukoll lilhom infushom" fuq il- "bażi ta' reċiproċità" - Il-liġi tal-UE ma tkunx "twarrab minn dispożizzjonijiet legali domestiċi, madankollu inkwadrata ... mingħajr il-bażi legali tal-komunità nnifisha ma tkunx ikkontestata." Dan kien ifisser kull "att unilaterali sussegwenti" ta 'l-Istat Membru inapplikabbli. Bl-istess mod, f'Amministrazione Delle Finanze vs Simmenthal Spa, kumpanija, Simmenthal Spa, sostniet li ħlas ta 'spezzjoni tas-saħħa pubblika taħt il-liġi Taljana tal-1970 għall-importazzjoni taċ-ċanga minn Franza lejn l-Italja għall-Italja kien kuntrarju għal żewġ regolamenti mill-1964 u l-1968. Il-prinċipju tal-preċedenza tal-liġi tal-komunità, "qalet il-Qorti tal-Ġustizzja," il-miżuri applikabbli direttament tal-istituzzjonijiet "(bħar-regolamenti fil-każ)" tirrendi awtomatikament inapplikabbli kwalunkwe dispożizzjoni konfliġġenti tal-liġi nazzjonali attwali ". Dan kien meħtieġ biex jiġi evitat "ċaħda korrispondenti" ta 'obbligi ta' trattat "imwettqa mingħajr kundizzjonijiet u irrevokabbilment mill-istati membri", li jistgħu "jimperixxu l-pedamenti stess ta 'l-UE. Iżda minkejja l-opinjonijiet tal-Qorti tal-Ġustizzja, il-Qrati Nazzjonali tal-Istati Membri ma aċċettawx l-istess analiżi.</v>
      </c>
    </row>
    <row r="12639" ht="15.75" customHeight="1">
      <c r="A12639" s="2" t="s">
        <v>12639</v>
      </c>
      <c r="B12639" s="2" t="str">
        <f>IFERROR(__xludf.DUMMYFUNCTION("GOOGLETRANSLATE(A12639, ""en"", ""mt"")"),"Mill-aħħar tas-snin 1340 'il quddiem, in-nies fil-kampanja sofrew minn diżastri naturali frekwenti bħal nixfiet, għargħar u l-ġuħ li jirriżulta, u n-nuqqas ta' politika effettiva tal-gvern wassal għal telf ta 'appoġġ popolari. Fl-1351, ir-Rebellion Turban"&amp;" Red bdiet u kibret f'rewwixta nazzjonali. Fl-1354, meta Toghtogha mexxa armata kbira biex tfarrak ir-ribelli tar-Red Turban, Toghun Temür f'daqqa waħda ċaħadlu minħabba l-biża 'ta' tradiment. Dan irriżulta fir-restawr tal-poter ta 'Toghun Temür minn naħa"&amp;" u dgħajjef rapidu tal-gvern ċentrali mill-ieħor. Huwa ma kellu l-ebda għażla ħlief li jiddependi fuq il-poter militari tal-kmandanti lokali, u gradwalment tilef l-interess tiegħu fil-politika u ma baqax jintervjeni fi ġlidiet politiċi. Huwa ħarab lejn it"&amp;"-tramuntana lejn Shangdu minn Khanbaliq (Beijing preżenti) fl-1368 wara l-approċċ tal-forzi tad-dinastija Míng (1368-1644), imwaqqfa minn Zhu Yuanzhang fin-nofsinhar. Huwa kien ipprova jerġa 'jikseb Khanbaliq, li eventwalment falla; Huwa miet f'Yingchang "&amp;"(li jinsab fil-Mongolja ta 'ġewwa preżenti) sentejn wara (1370). Yingchang ġie maqbud mill-Ming ftit wara mewtu. Xi membri tal-familja rjali għadhom għexu f’Henan illum.")</f>
        <v>Mill-aħħar tas-snin 1340 'il quddiem, in-nies fil-kampanja sofrew minn diżastri naturali frekwenti bħal nixfiet, għargħar u l-ġuħ li jirriżulta, u n-nuqqas ta' politika effettiva tal-gvern wassal għal telf ta 'appoġġ popolari. Fl-1351, ir-Rebellion Turban Red bdiet u kibret f'rewwixta nazzjonali. Fl-1354, meta Toghtogha mexxa armata kbira biex tfarrak ir-ribelli tar-Red Turban, Toghun Temür f'daqqa waħda ċaħadlu minħabba l-biża 'ta' tradiment. Dan irriżulta fir-restawr tal-poter ta 'Toghun Temür minn naħa u dgħajjef rapidu tal-gvern ċentrali mill-ieħor. Huwa ma kellu l-ebda għażla ħlief li jiddependi fuq il-poter militari tal-kmandanti lokali, u gradwalment tilef l-interess tiegħu fil-politika u ma baqax jintervjeni fi ġlidiet politiċi. Huwa ħarab lejn it-tramuntana lejn Shangdu minn Khanbaliq (Beijing preżenti) fl-1368 wara l-approċċ tal-forzi tad-dinastija Míng (1368-1644), imwaqqfa minn Zhu Yuanzhang fin-nofsinhar. Huwa kien ipprova jerġa 'jikseb Khanbaliq, li eventwalment falla; Huwa miet f'Yingchang (li jinsab fil-Mongolja ta 'ġewwa preżenti) sentejn wara (1370). Yingchang ġie maqbud mill-Ming ftit wara mewtu. Xi membri tal-familja rjali għadhom għexu f’Henan illum.</v>
      </c>
    </row>
    <row r="12640" ht="15.75" customHeight="1">
      <c r="A12640" s="2" t="s">
        <v>12640</v>
      </c>
      <c r="B12640" s="2" t="str">
        <f>IFERROR(__xludf.DUMMYFUNCTION("GOOGLETRANSLATE(A12640, ""en"", ""mt"")"),"L-invażjoni falliet kemm militarment kif ukoll politikament")</f>
        <v>L-invażjoni falliet kemm militarment kif ukoll politikament</v>
      </c>
    </row>
    <row r="12641" ht="15.75" customHeight="1">
      <c r="A12641" s="2" t="s">
        <v>12641</v>
      </c>
      <c r="B12641" s="2" t="str">
        <f>IFERROR(__xludf.DUMMYFUNCTION("GOOGLETRANSLATE(A12641, ""en"", ""mt"")"),"aktar kapital")</f>
        <v>aktar kapital</v>
      </c>
    </row>
    <row r="12642" ht="15.75" customHeight="1">
      <c r="A12642" s="2" t="s">
        <v>12642</v>
      </c>
      <c r="B12642" s="2" t="str">
        <f>IFERROR(__xludf.DUMMYFUNCTION("GOOGLETRANSLATE(A12642, ""en"", ""mt"")"),"Seklu 17.")</f>
        <v>Seklu 17.</v>
      </c>
    </row>
    <row r="12643" ht="15.75" customHeight="1">
      <c r="A12643" s="2" t="s">
        <v>12643</v>
      </c>
      <c r="B12643" s="2" t="str">
        <f>IFERROR(__xludf.DUMMYFUNCTION("GOOGLETRANSLATE(A12643, ""en"", ""mt"")"),"armi")</f>
        <v>armi</v>
      </c>
    </row>
    <row r="12644" ht="15.75" customHeight="1">
      <c r="A12644" s="2" t="s">
        <v>12644</v>
      </c>
      <c r="B12644" s="2" t="str">
        <f>IFERROR(__xludf.DUMMYFUNCTION("GOOGLETRANSLATE(A12644, ""en"", ""mt"")"),"Ir-Reġina Eliżabetta II")</f>
        <v>Ir-Reġina Eliżabetta II</v>
      </c>
    </row>
    <row r="12645" ht="15.75" customHeight="1">
      <c r="A12645" s="2" t="s">
        <v>12645</v>
      </c>
      <c r="B12645" s="2" t="str">
        <f>IFERROR(__xludf.DUMMYFUNCTION("GOOGLETRANSLATE(A12645, ""en"", ""mt"")"),"&gt; 3.")</f>
        <v>&gt; 3.</v>
      </c>
    </row>
    <row r="12646" ht="15.75" customHeight="1">
      <c r="A12646" s="2" t="s">
        <v>12646</v>
      </c>
      <c r="B12646" s="2" t="str">
        <f>IFERROR(__xludf.DUMMYFUNCTION("GOOGLETRANSLATE(A12646, ""en"", ""mt"")"),"X'jiġri għaż-żrar misjub fil-ksenoliti?")</f>
        <v>X'jiġri għaż-żrar misjub fil-ksenoliti?</v>
      </c>
    </row>
    <row r="12647" ht="15.75" customHeight="1">
      <c r="A12647" s="2" t="s">
        <v>12647</v>
      </c>
      <c r="B12647" s="2" t="str">
        <f>IFERROR(__xludf.DUMMYFUNCTION("GOOGLETRANSLATE(A12647, ""en"", ""mt"")"),"X'tissel il-kloni barranin ta 'Datapac")</f>
        <v>X'tissel il-kloni barranin ta 'Datapac</v>
      </c>
    </row>
    <row r="12648" ht="15.75" customHeight="1">
      <c r="A12648" s="2" t="s">
        <v>12648</v>
      </c>
      <c r="B12648" s="2" t="str">
        <f>IFERROR(__xludf.DUMMYFUNCTION("GOOGLETRANSLATE(A12648, ""en"", ""mt"")"),"Liema miżura hija adottata meta hemm għażla bejn bosta miżuri mhux xierqa?")</f>
        <v>Liema miżura hija adottata meta hemm għażla bejn bosta miżuri mhux xierqa?</v>
      </c>
    </row>
    <row r="12649" ht="15.75" customHeight="1">
      <c r="A12649" s="2" t="s">
        <v>12649</v>
      </c>
      <c r="B12649" s="2" t="str">
        <f>IFERROR(__xludf.DUMMYFUNCTION("GOOGLETRANSLATE(A12649, ""en"", ""mt"")"),"Huma jipproduċu sekrezzjonijiet (linka) li luminesce")</f>
        <v>Huma jipproduċu sekrezzjonijiet (linka) li luminesce</v>
      </c>
    </row>
    <row r="12650" ht="15.75" customHeight="1">
      <c r="A12650" s="2" t="s">
        <v>12650</v>
      </c>
      <c r="B12650" s="2" t="str">
        <f>IFERROR(__xludf.DUMMYFUNCTION("GOOGLETRANSLATE(A12650, ""en"", ""mt"")"),"Liema ġeneru kien jidher l-awto-fertilizzazzjoni?")</f>
        <v>Liema ġeneru kien jidher l-awto-fertilizzazzjoni?</v>
      </c>
    </row>
    <row r="12651" ht="15.75" customHeight="1">
      <c r="A12651" s="2" t="s">
        <v>12651</v>
      </c>
      <c r="B12651" s="2" t="str">
        <f>IFERROR(__xludf.DUMMYFUNCTION("GOOGLETRANSLATE(A12651, ""en"", ""mt"")"),"X’esponi l-eks kosti tal-Ewropa?")</f>
        <v>X’esponi l-eks kosti tal-Ewropa?</v>
      </c>
    </row>
    <row r="12652" ht="15.75" customHeight="1">
      <c r="A12652" s="2" t="s">
        <v>12652</v>
      </c>
      <c r="B12652" s="2" t="str">
        <f>IFERROR(__xludf.DUMMYFUNCTION("GOOGLETRANSLATE(A12652, ""en"", ""mt"")"),"L-MSPs eletti")</f>
        <v>L-MSPs eletti</v>
      </c>
    </row>
    <row r="12653" ht="15.75" customHeight="1">
      <c r="A12653" s="2" t="s">
        <v>12653</v>
      </c>
      <c r="B12653" s="2" t="str">
        <f>IFERROR(__xludf.DUMMYFUNCTION("GOOGLETRANSLATE(A12653, ""en"", ""mt"")"),"L-iskejjel privati ​​ġeneralment jippreferu jissejħu skejjel indipendenti, minħabba l-libertà tagħhom li joperaw barra mill-kontroll tal-gvern u tal-gvern lokali. Uħud minn dawn huma magħrufa wkoll bħala skejjel pubbliċi. Skejjel preparatorji fir-Renju Un"&amp;"it iħejju studenti ta ’sa 13-il sena biex jidħlu fl-iskejjel pubbliċi. L-isem ""skola pubblika"" huwa bbażat fuq il-fatt li l-iskejjel kienu miftuħa għall-istudenti minn kullimkien, u mhux biss għal dawk minn ċerta lokalità, u ta 'kwalunkwe reliġjon jew o"&amp;"kkupazzjoni. Skond il-gwida tal-iskejjel tajbin madwar 9 fil-mija tat-tfal li qed jiġu edukati fir-Renju Unit qed jagħmlu dan fi skejjel li jħallsu l-ħlas fil-livell tal-GSCE u 13 fil-mija fil-livell A. [Ċitazzjoni meħtieġa] Ħafna skejjel indipendenti hum"&amp;"a sess wieħed (għalkemm Dan qed isir inqas komuni). It-tariffi jvarjaw minn inqas minn £ 3,000 sa £ 21,000 u aktar fis-sena għall-istudenti ta 'kuljum, li jiżdiedu għal £ 27,000 + fis-sena għall-boarders. Għal dettalji fl-Iskozja, ara ""Tiltaqa 'mal-Ispiż"&amp;"a"".")</f>
        <v>L-iskejjel privati ​​ġeneralment jippreferu jissejħu skejjel indipendenti, minħabba l-libertà tagħhom li joperaw barra mill-kontroll tal-gvern u tal-gvern lokali. Uħud minn dawn huma magħrufa wkoll bħala skejjel pubbliċi. Skejjel preparatorji fir-Renju Unit iħejju studenti ta ’sa 13-il sena biex jidħlu fl-iskejjel pubbliċi. L-isem "skola pubblika" huwa bbażat fuq il-fatt li l-iskejjel kienu miftuħa għall-istudenti minn kullimkien, u mhux biss għal dawk minn ċerta lokalità, u ta 'kwalunkwe reliġjon jew okkupazzjoni. Skond il-gwida tal-iskejjel tajbin madwar 9 fil-mija tat-tfal li qed jiġu edukati fir-Renju Unit qed jagħmlu dan fi skejjel li jħallsu l-ħlas fil-livell tal-GSCE u 13 fil-mija fil-livell A. [Ċitazzjoni meħtieġa] Ħafna skejjel indipendenti huma sess wieħed (għalkemm Dan qed isir inqas komuni). It-tariffi jvarjaw minn inqas minn £ 3,000 sa £ 21,000 u aktar fis-sena għall-istudenti ta 'kuljum, li jiżdiedu għal £ 27,000 + fis-sena għall-boarders. Għal dettalji fl-Iskozja, ara "Tiltaqa 'mal-Ispiża".</v>
      </c>
    </row>
    <row r="12654" ht="15.75" customHeight="1">
      <c r="A12654" s="2" t="s">
        <v>12654</v>
      </c>
      <c r="B12654" s="2" t="str">
        <f>IFERROR(__xludf.DUMMYFUNCTION("GOOGLETRANSLATE(A12654, ""en"", ""mt"")"),"Ma kienx il-pjan għall-missjoni Langlades?")</f>
        <v>Ma kienx il-pjan għall-missjoni Langlades?</v>
      </c>
    </row>
    <row r="12655" ht="15.75" customHeight="1">
      <c r="A12655" s="2" t="s">
        <v>12655</v>
      </c>
      <c r="B12655" s="2" t="str">
        <f>IFERROR(__xludf.DUMMYFUNCTION("GOOGLETRANSLATE(A12655, ""en"", ""mt"")"),"Żona amorfa tal-Ewropa Ċentrali.")</f>
        <v>Żona amorfa tal-Ewropa Ċentrali.</v>
      </c>
    </row>
    <row r="12656" ht="15.75" customHeight="1">
      <c r="A12656" s="2" t="s">
        <v>12656</v>
      </c>
      <c r="B12656" s="2" t="str">
        <f>IFERROR(__xludf.DUMMYFUNCTION("GOOGLETRANSLATE(A12656, ""en"", ""mt"")"),"Għaliex il-Fratellanza Musulmana ma ffaċilitatx ċerimonji ta 'żwieġ tal-massa rħas?")</f>
        <v>Għaliex il-Fratellanza Musulmana ma ffaċilitatx ċerimonji ta 'żwieġ tal-massa rħas?</v>
      </c>
    </row>
    <row r="12657" ht="15.75" customHeight="1">
      <c r="A12657" s="2" t="s">
        <v>12657</v>
      </c>
      <c r="B12657" s="2" t="str">
        <f>IFERROR(__xludf.DUMMYFUNCTION("GOOGLETRANSLATE(A12657, ""en"", ""mt"")"),"X'inhu mod ieħor kif tiddikjara l-kundizzjoni li infinitament ħafna primes jistgħu jeżistu biss jekk A u Q huma koprime?")</f>
        <v>X'inhu mod ieħor kif tiddikjara l-kundizzjoni li infinitament ħafna primes jistgħu jeżistu biss jekk A u Q huma koprime?</v>
      </c>
    </row>
    <row r="12658" ht="15.75" customHeight="1">
      <c r="A12658" s="2" t="s">
        <v>12658</v>
      </c>
      <c r="B12658" s="2" t="str">
        <f>IFERROR(__xludf.DUMMYFUNCTION("GOOGLETRANSLATE(A12658, ""en"", ""mt"")"),"Għal xiex huma magħrufa l-ibliet tal-ankra rikonoxxuti globalment?")</f>
        <v>Għal xiex huma magħrufa l-ibliet tal-ankra rikonoxxuti globalment?</v>
      </c>
    </row>
    <row r="12659" ht="15.75" customHeight="1">
      <c r="A12659" s="2" t="s">
        <v>12659</v>
      </c>
      <c r="B12659" s="2" t="str">
        <f>IFERROR(__xludf.DUMMYFUNCTION("GOOGLETRANSLATE(A12659, ""en"", ""mt"")"),"Xi tirrifletti t-taħlita ta 'stili arkitettoniċi ta' Varsavja?")</f>
        <v>Xi tirrifletti t-taħlita ta 'stili arkitettoniċi ta' Varsavja?</v>
      </c>
    </row>
    <row r="12660" ht="15.75" customHeight="1">
      <c r="A12660" s="2" t="s">
        <v>12660</v>
      </c>
      <c r="B12660" s="2" t="str">
        <f>IFERROR(__xludf.DUMMYFUNCTION("GOOGLETRANSLATE(A12660, ""en"", ""mt"")"),"Meta kien iċ-ċessjoni mill-moviment tal-Afrika t'Isfel?")</f>
        <v>Meta kien iċ-ċessjoni mill-moviment tal-Afrika t'Isfel?</v>
      </c>
    </row>
    <row r="12661" ht="15.75" customHeight="1">
      <c r="A12661" s="2" t="s">
        <v>12661</v>
      </c>
      <c r="B12661" s="2" t="str">
        <f>IFERROR(__xludf.DUMMYFUNCTION("GOOGLETRANSLATE(A12661, ""en"", ""mt"")"),"X'inhi t-tarf għoli tal-firxa tat-temperatura fix-xitwa?")</f>
        <v>X'inhi t-tarf għoli tal-firxa tat-temperatura fix-xitwa?</v>
      </c>
    </row>
    <row r="12662" ht="15.75" customHeight="1">
      <c r="A12662" s="2" t="s">
        <v>12662</v>
      </c>
      <c r="B12662" s="2" t="str">
        <f>IFERROR(__xludf.DUMMYFUNCTION("GOOGLETRANSLATE(A12662, ""en"", ""mt"")"),"lejn il-lvant")</f>
        <v>lejn il-lvant</v>
      </c>
    </row>
    <row r="12663" ht="15.75" customHeight="1">
      <c r="A12663" s="2" t="s">
        <v>12663</v>
      </c>
      <c r="B12663" s="2" t="str">
        <f>IFERROR(__xludf.DUMMYFUNCTION("GOOGLETRANSLATE(A12663, ""en"", ""mt"")"),"Fis-snin 1840 u 50, kien hemm tentattivi biex tingħeleb din il-problema permezz ta 'diversi gerijiet tal-valv tal-privattivi b'valv ta' espansjoni separat u varjabbli ta 'rkib fuq wara tal-valv tal-pjastra prinċipali; Dawn tal-aħħar ġeneralment kellhom qt"&amp;"ugħ fiss jew limitat. Is-setup ikkombinat ta approssimazzjoni ġusta tal-avvenimenti ideali, bi spejjeż ta 'żieda fil-frizzjoni u l-ilbies, u l-mekkaniżmu kellu tendenza li jkun ikkumplikat. Is-soluzzjoni ta 'kompromess tas-soltu kienet li tipprovdi dawra "&amp;"billi tittawwal l-uċuħ tal-valv b'tali mod li jirkbu fuq il-port fuq in-naħa tad-dħul, bl-effett li n-naħa tal-egżost tibqa' miftuħa għal perjodu itwal wara li tinqata 'fuq l-ammissjoni il-ġenb seħħ. Dan l-ispedjent minn dakinhar ġeneralment kien ikkunsid"&amp;"rat sodisfaċenti għal ħafna skopijiet u jagħmilha possibbli l-użu tal-mozzjonijiet aktar sempliċi ta 'Stephenson, Joy u Walschaerts. Corliss, u aktar tard, il-gerijiet tal-valv tal-poppet kellhom ammissjoni separati u valvi ta 'l-egżost misjuqa minn mekka"&amp;"niżmi ta' vjaġġ jew cams profilati sabiex jagħtu avvenimenti ideali; Ħafna minn dawn l-irkaptu qatt ma rnexxielhom barra mis-suq wieqaf minħabba diversi kwistjonijiet oħra inkluż tnixxija u mekkaniżmi aktar delikati.")</f>
        <v>Fis-snin 1840 u 50, kien hemm tentattivi biex tingħeleb din il-problema permezz ta 'diversi gerijiet tal-valv tal-privattivi b'valv ta' espansjoni separat u varjabbli ta 'rkib fuq wara tal-valv tal-pjastra prinċipali; Dawn tal-aħħar ġeneralment kellhom qtugħ fiss jew limitat. Is-setup ikkombinat ta approssimazzjoni ġusta tal-avvenimenti ideali, bi spejjeż ta 'żieda fil-frizzjoni u l-ilbies, u l-mekkaniżmu kellu tendenza li jkun ikkumplikat. Is-soluzzjoni ta 'kompromess tas-soltu kienet li tipprovdi dawra billi tittawwal l-uċuħ tal-valv b'tali mod li jirkbu fuq il-port fuq in-naħa tad-dħul, bl-effett li n-naħa tal-egżost tibqa' miftuħa għal perjodu itwal wara li tinqata 'fuq l-ammissjoni il-ġenb seħħ. Dan l-ispedjent minn dakinhar ġeneralment kien ikkunsidrat sodisfaċenti għal ħafna skopijiet u jagħmilha possibbli l-użu tal-mozzjonijiet aktar sempliċi ta 'Stephenson, Joy u Walschaerts. Corliss, u aktar tard, il-gerijiet tal-valv tal-poppet kellhom ammissjoni separati u valvi ta 'l-egżost misjuqa minn mekkaniżmi ta' vjaġġ jew cams profilati sabiex jagħtu avvenimenti ideali; Ħafna minn dawn l-irkaptu qatt ma rnexxielhom barra mis-suq wieqaf minħabba diversi kwistjonijiet oħra inkluż tnixxija u mekkaniżmi aktar delikati.</v>
      </c>
    </row>
    <row r="12664" ht="15.75" customHeight="1">
      <c r="A12664" s="2" t="s">
        <v>12664</v>
      </c>
      <c r="B12664" s="2" t="str">
        <f>IFERROR(__xludf.DUMMYFUNCTION("GOOGLETRANSLATE(A12664, ""en"", ""mt"")"),"Dak li kien Telenet")</f>
        <v>Dak li kien Telenet</v>
      </c>
    </row>
    <row r="12665" ht="15.75" customHeight="1">
      <c r="A12665" s="2" t="s">
        <v>12665</v>
      </c>
      <c r="B12665" s="2" t="str">
        <f>IFERROR(__xludf.DUMMYFUNCTION("GOOGLETRANSLATE(A12665, ""en"", ""mt"")"),"Kemm kilometru kwadru ta 'foresta tropikali huwa kopert fil-baċin?")</f>
        <v>Kemm kilometru kwadru ta 'foresta tropikali huwa kopert fil-baċin?</v>
      </c>
    </row>
    <row r="12666" ht="15.75" customHeight="1">
      <c r="A12666" s="2" t="s">
        <v>12666</v>
      </c>
      <c r="B12666" s="2" t="str">
        <f>IFERROR(__xludf.DUMMYFUNCTION("GOOGLETRANSLATE(A12666, ""en"", ""mt"")"),"Min Kublai ried jirnexxi?")</f>
        <v>Min Kublai ried jirnexxi?</v>
      </c>
    </row>
    <row r="12667" ht="15.75" customHeight="1">
      <c r="A12667" s="2" t="s">
        <v>12667</v>
      </c>
      <c r="B12667" s="2" t="str">
        <f>IFERROR(__xludf.DUMMYFUNCTION("GOOGLETRANSLATE(A12667, ""en"", ""mt"")"),"X'kienet il-Qorti tal-Kolonja tal-Bajja ta 'Massachusetts li vvota lil John Harvard fl-1650?")</f>
        <v>X'kienet il-Qorti tal-Kolonja tal-Bajja ta 'Massachusetts li vvota lil John Harvard fl-1650?</v>
      </c>
    </row>
    <row r="12668" ht="15.75" customHeight="1">
      <c r="A12668" s="2" t="s">
        <v>12668</v>
      </c>
      <c r="B12668" s="2" t="str">
        <f>IFERROR(__xludf.DUMMYFUNCTION("GOOGLETRANSLATE(A12668, ""en"", ""mt"")"),"Meta r-rifuġju ta 'Edward The Confessor refence?")</f>
        <v>Meta r-rifuġju ta 'Edward The Confessor refence?</v>
      </c>
    </row>
    <row r="12669" ht="15.75" customHeight="1">
      <c r="A12669" s="2" t="s">
        <v>12669</v>
      </c>
      <c r="B12669" s="2" t="str">
        <f>IFERROR(__xludf.DUMMYFUNCTION("GOOGLETRANSLATE(A12669, ""en"", ""mt"")"),"X’għamel Guo Shoujing għall-kalendarji?")</f>
        <v>X’għamel Guo Shoujing għall-kalendarji?</v>
      </c>
    </row>
    <row r="12670" ht="15.75" customHeight="1">
      <c r="A12670" s="2" t="s">
        <v>12670</v>
      </c>
      <c r="B12670" s="2" t="str">
        <f>IFERROR(__xludf.DUMMYFUNCTION("GOOGLETRANSLATE(A12670, ""en"", ""mt"")"),"Kemm-il ġurnata l-għoli ma jilħaqx 90 f'Diċembru?")</f>
        <v>Kemm-il ġurnata l-għoli ma jilħaqx 90 f'Diċembru?</v>
      </c>
    </row>
    <row r="12671" ht="15.75" customHeight="1">
      <c r="A12671" s="2" t="s">
        <v>12671</v>
      </c>
      <c r="B12671" s="2" t="str">
        <f>IFERROR(__xludf.DUMMYFUNCTION("GOOGLETRANSLATE(A12671, ""en"", ""mt"")"),"Trioxygen")</f>
        <v>Trioxygen</v>
      </c>
    </row>
    <row r="12672" ht="15.75" customHeight="1">
      <c r="A12672" s="2" t="s">
        <v>12672</v>
      </c>
      <c r="B12672" s="2" t="str">
        <f>IFERROR(__xludf.DUMMYFUNCTION("GOOGLETRANSLATE(A12672, ""en"", ""mt"")"),"Xi jfisser id-Dinja għandha proporzjon ogħla ta 'ossiġenu-16 minn?")</f>
        <v>Xi jfisser id-Dinja għandha proporzjon ogħla ta 'ossiġenu-16 minn?</v>
      </c>
    </row>
    <row r="12673" ht="15.75" customHeight="1">
      <c r="A12673" s="2" t="s">
        <v>12673</v>
      </c>
      <c r="B12673" s="2" t="str">
        <f>IFERROR(__xludf.DUMMYFUNCTION("GOOGLETRANSLATE(A12673, ""en"", ""mt"")"),"X'inhu l-isem tad-donatur li għen biex jistabbilixxi l-Hutchinson Commons?")</f>
        <v>X'inhu l-isem tad-donatur li għen biex jistabbilixxi l-Hutchinson Commons?</v>
      </c>
    </row>
    <row r="12674" ht="15.75" customHeight="1">
      <c r="A12674" s="2" t="s">
        <v>12674</v>
      </c>
      <c r="B12674" s="2" t="str">
        <f>IFERROR(__xludf.DUMMYFUNCTION("GOOGLETRANSLATE(A12674, ""en"", ""mt"")"),"Biex tagħmel l-ospiti responsabbli għal twassil affidabbli ta 'dejta, aktar milli n-netwerk innifsu")</f>
        <v>Biex tagħmel l-ospiti responsabbli għal twassil affidabbli ta 'dejta, aktar milli n-netwerk innifsu</v>
      </c>
    </row>
    <row r="12675" ht="15.75" customHeight="1">
      <c r="A12675" s="2" t="s">
        <v>12675</v>
      </c>
      <c r="B12675" s="2" t="str">
        <f>IFERROR(__xludf.DUMMYFUNCTION("GOOGLETRANSLATE(A12675, ""en"", ""mt"")"),"Liema faxxa hija mwaħħla fin-nofs tad-dixx tas-satellita?")</f>
        <v>Liema faxxa hija mwaħħla fin-nofs tad-dixx tas-satellita?</v>
      </c>
    </row>
    <row r="12676" ht="15.75" customHeight="1">
      <c r="A12676" s="2" t="s">
        <v>12676</v>
      </c>
      <c r="B12676" s="2" t="str">
        <f>IFERROR(__xludf.DUMMYFUNCTION("GOOGLETRANSLATE(A12676, ""en"", ""mt"")"),"Kemm mili fil-lvant ta 'Berlin hija Vistula?")</f>
        <v>Kemm mili fil-lvant ta 'Berlin hija Vistula?</v>
      </c>
    </row>
    <row r="12677" ht="15.75" customHeight="1">
      <c r="A12677" s="2" t="s">
        <v>12677</v>
      </c>
      <c r="B12677" s="2" t="str">
        <f>IFERROR(__xludf.DUMMYFUNCTION("GOOGLETRANSLATE(A12677, ""en"", ""mt"")"),"1948")</f>
        <v>1948</v>
      </c>
    </row>
    <row r="12678" ht="15.75" customHeight="1">
      <c r="A12678" s="2" t="s">
        <v>12678</v>
      </c>
      <c r="B12678" s="2" t="str">
        <f>IFERROR(__xludf.DUMMYFUNCTION("GOOGLETRANSLATE(A12678, ""en"", ""mt"")"),"1636")</f>
        <v>1636</v>
      </c>
    </row>
    <row r="12679" ht="15.75" customHeight="1">
      <c r="A12679" s="2" t="s">
        <v>12679</v>
      </c>
      <c r="B12679" s="2" t="str">
        <f>IFERROR(__xludf.DUMMYFUNCTION("GOOGLETRANSLATE(A12679, ""en"", ""mt"")"),"X'għamlu l-klijenti Bankamericard li ma setgħux jagħmlu bi strumenti finanzjarji preċedenti?")</f>
        <v>X'għamlu l-klijenti Bankamericard li ma setgħux jagħmlu bi strumenti finanzjarji preċedenti?</v>
      </c>
    </row>
    <row r="12680" ht="15.75" customHeight="1">
      <c r="A12680" s="2" t="s">
        <v>12680</v>
      </c>
      <c r="B12680" s="2" t="str">
        <f>IFERROR(__xludf.DUMMYFUNCTION("GOOGLETRANSLATE(A12680, ""en"", ""mt"")"),"Kemm avvenimenti jseħħu f'ċiklu tal-magna?")</f>
        <v>Kemm avvenimenti jseħħu f'ċiklu tal-magna?</v>
      </c>
    </row>
    <row r="12681" ht="15.75" customHeight="1">
      <c r="A12681" s="2" t="s">
        <v>12681</v>
      </c>
      <c r="B12681" s="2" t="str">
        <f>IFERROR(__xludf.DUMMYFUNCTION("GOOGLETRANSLATE(A12681, ""en"", ""mt"")"),"Kemm hemm kanali televiżivi u tar-radju li s-servizz diġitali l-ġdid jista 'jġorr?")</f>
        <v>Kemm hemm kanali televiżivi u tar-radju li s-servizz diġitali l-ġdid jista 'jġorr?</v>
      </c>
    </row>
    <row r="12682" ht="15.75" customHeight="1">
      <c r="A12682" s="2" t="s">
        <v>12682</v>
      </c>
      <c r="B12682" s="2" t="str">
        <f>IFERROR(__xludf.DUMMYFUNCTION("GOOGLETRANSLATE(A12682, ""en"", ""mt"")"),"X'għandhom ikunu soċjetajiet estremament mhux ugwali?")</f>
        <v>X'għandhom ikunu soċjetajiet estremament mhux ugwali?</v>
      </c>
    </row>
    <row r="12683" ht="15.75" customHeight="1">
      <c r="A12683" s="2" t="s">
        <v>12683</v>
      </c>
      <c r="B12683" s="2" t="str">
        <f>IFERROR(__xludf.DUMMYFUNCTION("GOOGLETRANSLATE(A12683, ""en"", ""mt"")"),"Suite proprjetarja ta 'protokolli ta' netwerking żviluppati minn Apple Inc. fl-1985")</f>
        <v>Suite proprjetarja ta 'protokolli ta' netwerking żviluppati minn Apple Inc. fl-1985</v>
      </c>
    </row>
    <row r="12684" ht="15.75" customHeight="1">
      <c r="A12684" s="2" t="s">
        <v>12684</v>
      </c>
      <c r="B12684" s="2" t="str">
        <f>IFERROR(__xludf.DUMMYFUNCTION("GOOGLETRANSLATE(A12684, ""en"", ""mt"")"),"Għal liema tip ta 'ħiliet is-suq joffri kumpens?")</f>
        <v>Għal liema tip ta 'ħiliet is-suq joffri kumpens?</v>
      </c>
    </row>
    <row r="12685" ht="15.75" customHeight="1">
      <c r="A12685" s="2" t="s">
        <v>12685</v>
      </c>
      <c r="B12685" s="2" t="str">
        <f>IFERROR(__xludf.DUMMYFUNCTION("GOOGLETRANSLATE(A12685, ""en"", ""mt"")"),"It-TFEU kif tirrevedi leġislazzjoni antika?")</f>
        <v>It-TFEU kif tirrevedi leġislazzjoni antika?</v>
      </c>
    </row>
    <row r="12686" ht="15.75" customHeight="1">
      <c r="A12686" s="2" t="s">
        <v>12686</v>
      </c>
      <c r="B12686" s="2" t="str">
        <f>IFERROR(__xludf.DUMMYFUNCTION("GOOGLETRANSLATE(A12686, ""en"", ""mt"")"),"In-naħa tal-punent ta 'Fresno hija ċ-ċentru ta' liema komunità etnika?")</f>
        <v>In-naħa tal-punent ta 'Fresno hija ċ-ċentru ta' liema komunità etnika?</v>
      </c>
    </row>
    <row r="12687" ht="15.75" customHeight="1">
      <c r="A12687" s="2" t="s">
        <v>12687</v>
      </c>
      <c r="B12687" s="2" t="str">
        <f>IFERROR(__xludf.DUMMYFUNCTION("GOOGLETRANSLATE(A12687, ""en"", ""mt"")"),"Espansjoni Tripla tal-Baħar")</f>
        <v>Espansjoni Tripla tal-Baħar</v>
      </c>
    </row>
    <row r="12688" ht="15.75" customHeight="1">
      <c r="A12688" s="2" t="s">
        <v>12688</v>
      </c>
      <c r="B12688" s="2" t="str">
        <f>IFERROR(__xludf.DUMMYFUNCTION("GOOGLETRANSLATE(A12688, ""en"", ""mt"")"),"vot maġġoranza sempliċi")</f>
        <v>vot maġġoranza sempliċi</v>
      </c>
    </row>
    <row r="12689" ht="15.75" customHeight="1">
      <c r="A12689" s="2" t="s">
        <v>12689</v>
      </c>
      <c r="B12689" s="2" t="str">
        <f>IFERROR(__xludf.DUMMYFUNCTION("GOOGLETRANSLATE(A12689, ""en"", ""mt"")"),"Ix-Xitwa tal-1973–74")</f>
        <v>Ix-Xitwa tal-1973–74</v>
      </c>
    </row>
    <row r="12690" ht="15.75" customHeight="1">
      <c r="A12690" s="2" t="s">
        <v>12690</v>
      </c>
      <c r="B12690" s="2" t="str">
        <f>IFERROR(__xludf.DUMMYFUNCTION("GOOGLETRANSLATE(A12690, ""en"", ""mt"")"),"X'inhu l-isem mogħti lil-librerija ewlenija tal-università?")</f>
        <v>X'inhu l-isem mogħti lil-librerija ewlenija tal-università?</v>
      </c>
    </row>
    <row r="12691" ht="15.75" customHeight="1">
      <c r="A12691" s="2" t="s">
        <v>12691</v>
      </c>
      <c r="B12691" s="2" t="str">
        <f>IFERROR(__xludf.DUMMYFUNCTION("GOOGLETRANSLATE(A12691, ""en"", ""mt"")"),"Fresno huwa mmarkat minn klima semi-arida (Köppen BSH), bi xtiewi ħfief u niedja u sjuf sħan u niexfa, u b'hekk juru karatteristiċi tal-Mediterran. Diċembru u Jannar huma l-iktar xhur kesħin, u medja ta 'madwar 46.5 ° F (8.1 ° C), u hemm 14-il lejl b'live"&amp;"lli ffriżati kull sena, bil-lejl l-iktar kiesaħ tas-sena tipikament tiffoka taħt it-30 ° F (−1.1 ° C) - Lulju huwa l-iktar xahar sħun, b'medja ta '83 .0 ° F (28.3 ° C); Normalment, hemm 32 jum ta '100 ° F (37.8 ° C) + għoljin u 106 ijiem ta' 90 ° F (32.2 "&amp;"° C) + għoljin, u f'Lulju u Awwissu, hemm biss tlieta jew erbat ijiem fejn jilħqu 90 ° F (32.2 ° C). Is-Summers jipprovdu xemx konsiderevoli, b'Lulju jilħaq il-livell ta '97 fil-mija tas-sigħat totali possibbli tax-xemx; Bil-maqlub, Jannar huwa l-inqas b'"&amp;"46 fil-mija biss tal-ħin tax-xemx minħabba ċ-ċpar oħxon. Madankollu, is-sena medja ta '81% tax-xemx possibbli, għal total ta '3550 siegħa. Il-preċipitazzjoni medja annwali hija ta 'madwar 11.5 pulzier (292.1 mm), li, bid-definizzjoni, tikklassifika ż-żona"&amp;" bħala semidesert. Il-biċċa l-kbira tal-ġrajjiet tad-direzzjoni tal-warda tar-riħ joħorġu mill-majjistral, hekk kif irjieħ huma mmexxija 'l isfel tul l-assi tal-Wied Ċentrali ta' Kalifornja; F'Diċembru, Jannar u Frar hemm preżenza akbar ta 'direzzjonijiet"&amp;" tar-riħ tax-xlokk fl-istatistiċi tar-riħ. Il-meteoroloġija Fresno ġiet magħżula fi studju nazzjonali tal-Aġenzija għall-Protezzjoni Ambjentali tal-Istati Uniti għall-analiżi tat-temperatura tal-ekwilibriju għall-użu ta 'dejta meteoroloġika ta' għaxar sni"&amp;"n biex tirrappreżenta locale sħuna u niexfa tal-Punent tal-Istati Uniti.")</f>
        <v>Fresno huwa mmarkat minn klima semi-arida (Köppen BSH), bi xtiewi ħfief u niedja u sjuf sħan u niexfa, u b'hekk juru karatteristiċi tal-Mediterran. Diċembru u Jannar huma l-iktar xhur kesħin, u medja ta 'madwar 46.5 ° F (8.1 ° C), u hemm 14-il lejl b'livelli ffriżati kull sena, bil-lejl l-iktar kiesaħ tas-sena tipikament tiffoka taħt it-30 ° F (−1.1 ° C) - Lulju huwa l-iktar xahar sħun, b'medja ta '83 .0 ° F (28.3 ° C); Normalment, hemm 32 jum ta '100 ° F (37.8 ° C) + għoljin u 106 ijiem ta' 90 ° F (32.2 ° C) + għoljin, u f'Lulju u Awwissu, hemm biss tlieta jew erbat ijiem fejn jilħqu 90 ° F (32.2 ° C). Is-Summers jipprovdu xemx konsiderevoli, b'Lulju jilħaq il-livell ta '97 fil-mija tas-sigħat totali possibbli tax-xemx; Bil-maqlub, Jannar huwa l-inqas b'46 fil-mija biss tal-ħin tax-xemx minħabba ċ-ċpar oħxon. Madankollu, is-sena medja ta '81% tax-xemx possibbli, għal total ta '3550 siegħa. Il-preċipitazzjoni medja annwali hija ta 'madwar 11.5 pulzier (292.1 mm), li, bid-definizzjoni, tikklassifika ż-żona bħala semidesert. Il-biċċa l-kbira tal-ġrajjiet tad-direzzjoni tal-warda tar-riħ joħorġu mill-majjistral, hekk kif irjieħ huma mmexxija 'l isfel tul l-assi tal-Wied Ċentrali ta' Kalifornja; F'Diċembru, Jannar u Frar hemm preżenza akbar ta 'direzzjonijiet tar-riħ tax-xlokk fl-istatistiċi tar-riħ. Il-meteoroloġija Fresno ġiet magħżula fi studju nazzjonali tal-Aġenzija għall-Protezzjoni Ambjentali tal-Istati Uniti għall-analiżi tat-temperatura tal-ekwilibriju għall-użu ta 'dejta meteoroloġika ta' għaxar snin biex tirrappreżenta locale sħuna u niexfa tal-Punent tal-Istati Uniti.</v>
      </c>
    </row>
    <row r="12692" ht="15.75" customHeight="1">
      <c r="A12692" s="2" t="s">
        <v>12692</v>
      </c>
      <c r="B12692" s="2" t="str">
        <f>IFERROR(__xludf.DUMMYFUNCTION("GOOGLETRANSLATE(A12692, ""en"", ""mt"")"),"klijent magħruf")</f>
        <v>klijent magħruf</v>
      </c>
    </row>
    <row r="12693" ht="15.75" customHeight="1">
      <c r="A12693" s="2" t="s">
        <v>12693</v>
      </c>
      <c r="B12693" s="2" t="str">
        <f>IFERROR(__xludf.DUMMYFUNCTION("GOOGLETRANSLATE(A12693, ""en"", ""mt"")"),"F'liema tip ta 'postijiet jintużaw torrijiet tat-tkessiħ niexef?")</f>
        <v>F'liema tip ta 'postijiet jintużaw torrijiet tat-tkessiħ niexef?</v>
      </c>
    </row>
    <row r="12694" ht="15.75" customHeight="1">
      <c r="A12694" s="2" t="s">
        <v>12694</v>
      </c>
      <c r="B12694" s="2" t="str">
        <f>IFERROR(__xludf.DUMMYFUNCTION("GOOGLETRANSLATE(A12694, ""en"", ""mt"")"),"Territorju fil-Lvant tal-Mississippi")</f>
        <v>Territorju fil-Lvant tal-Mississippi</v>
      </c>
    </row>
    <row r="12695" ht="15.75" customHeight="1">
      <c r="A12695" s="2" t="s">
        <v>12695</v>
      </c>
      <c r="B12695" s="2" t="str">
        <f>IFERROR(__xludf.DUMMYFUNCTION("GOOGLETRANSLATE(A12695, ""en"", ""mt"")"),"L-uffiċjal li jippresiedi")</f>
        <v>L-uffiċjal li jippresiedi</v>
      </c>
    </row>
    <row r="12696" ht="15.75" customHeight="1">
      <c r="A12696" s="2" t="s">
        <v>12696</v>
      </c>
      <c r="B12696" s="2" t="str">
        <f>IFERROR(__xludf.DUMMYFUNCTION("GOOGLETRANSLATE(A12696, ""en"", ""mt"")"),"Min kiteb in-Nong Shu?")</f>
        <v>Min kiteb in-Nong Shu?</v>
      </c>
    </row>
    <row r="12697" ht="15.75" customHeight="1">
      <c r="A12697" s="2" t="s">
        <v>12697</v>
      </c>
      <c r="B12697" s="2" t="str">
        <f>IFERROR(__xludf.DUMMYFUNCTION("GOOGLETRANSLATE(A12697, ""en"", ""mt"")"),"Ferrovija tal-Kosta tal-Lvant tal-Florida")</f>
        <v>Ferrovija tal-Kosta tal-Lvant tal-Florida</v>
      </c>
    </row>
    <row r="12698" ht="15.75" customHeight="1">
      <c r="A12698" s="2" t="s">
        <v>12698</v>
      </c>
      <c r="B12698" s="2" t="str">
        <f>IFERROR(__xludf.DUMMYFUNCTION("GOOGLETRANSLATE(A12698, ""en"", ""mt"")"),"Min ta parir lil Buyantu?")</f>
        <v>Min ta parir lil Buyantu?</v>
      </c>
    </row>
    <row r="12699" ht="15.75" customHeight="1">
      <c r="A12699" s="2" t="s">
        <v>12699</v>
      </c>
      <c r="B12699" s="2" t="str">
        <f>IFERROR(__xludf.DUMMYFUNCTION("GOOGLETRANSLATE(A12699, ""en"", ""mt"")"),"tarka tar-radjazzjoni")</f>
        <v>tarka tar-radjazzjoni</v>
      </c>
    </row>
    <row r="12700" ht="15.75" customHeight="1">
      <c r="A12700" s="2" t="s">
        <v>12700</v>
      </c>
      <c r="B12700" s="2" t="str">
        <f>IFERROR(__xludf.DUMMYFUNCTION("GOOGLETRANSLATE(A12700, ""en"", ""mt"")"),"Disturbi fl-ilma maħluqa miċ-ċili")</f>
        <v>Disturbi fl-ilma maħluqa miċ-ċili</v>
      </c>
    </row>
    <row r="12701" ht="15.75" customHeight="1">
      <c r="A12701" s="2" t="s">
        <v>12701</v>
      </c>
      <c r="B12701" s="2" t="str">
        <f>IFERROR(__xludf.DUMMYFUNCTION("GOOGLETRANSLATE(A12701, ""en"", ""mt"")"),"Liema kontea kienet Jacksonville is-sede ta 'qabel l-1968?")</f>
        <v>Liema kontea kienet Jacksonville is-sede ta 'qabel l-1968?</v>
      </c>
    </row>
    <row r="12702" ht="15.75" customHeight="1">
      <c r="A12702" s="2" t="s">
        <v>12702</v>
      </c>
      <c r="B12702" s="2" t="str">
        <f>IFERROR(__xludf.DUMMYFUNCTION("GOOGLETRANSLATE(A12702, ""en"", ""mt"")"),"X'kien ir-riżultat tar-referendum tal-1967?")</f>
        <v>X'kien ir-riżultat tar-referendum tal-1967?</v>
      </c>
    </row>
    <row r="12703" ht="15.75" customHeight="1">
      <c r="A12703" s="2" t="s">
        <v>12703</v>
      </c>
      <c r="B12703" s="2" t="str">
        <f>IFERROR(__xludf.DUMMYFUNCTION("GOOGLETRANSLATE(A12703, ""en"", ""mt"")"),"Il-kolonna ta 'King Sigimund hija eżempju ta' x'tip ta 'attrazzjoni f'Varsavja?")</f>
        <v>Il-kolonna ta 'King Sigimund hija eżempju ta' x'tip ta 'attrazzjoni f'Varsavja?</v>
      </c>
    </row>
    <row r="12704" ht="15.75" customHeight="1">
      <c r="A12704" s="2" t="s">
        <v>12704</v>
      </c>
      <c r="B12704" s="2" t="str">
        <f>IFERROR(__xludf.DUMMYFUNCTION("GOOGLETRANSLATE(A12704, ""en"", ""mt"")"),"Beroida huma magħrufa minn liema isem ieħor?")</f>
        <v>Beroida huma magħrufa minn liema isem ieħor?</v>
      </c>
    </row>
    <row r="12705" ht="15.75" customHeight="1">
      <c r="A12705" s="2" t="s">
        <v>12705</v>
      </c>
      <c r="B12705" s="2" t="str">
        <f>IFERROR(__xludf.DUMMYFUNCTION("GOOGLETRANSLATE(A12705, ""en"", ""mt"")"),"Fi żmien it-30 jum kemm kien inbiegħ digiboxes?")</f>
        <v>Fi żmien it-30 jum kemm kien inbiegħ digiboxes?</v>
      </c>
    </row>
    <row r="12706" ht="15.75" customHeight="1">
      <c r="A12706" s="2" t="s">
        <v>12706</v>
      </c>
      <c r="B12706" s="2" t="str">
        <f>IFERROR(__xludf.DUMMYFUNCTION("GOOGLETRANSLATE(A12706, ""en"", ""mt"")"),"Goldbach's")</f>
        <v>Goldbach's</v>
      </c>
    </row>
    <row r="12707" ht="15.75" customHeight="1">
      <c r="A12707" s="2" t="s">
        <v>12707</v>
      </c>
      <c r="B12707" s="2" t="str">
        <f>IFERROR(__xludf.DUMMYFUNCTION("GOOGLETRANSLATE(A12707, ""en"", ""mt"")"),"X'għandha ekwivalenza bejn il-massa u l-ispazju-ħin?")</f>
        <v>X'għandha ekwivalenza bejn il-massa u l-ispazju-ħin?</v>
      </c>
    </row>
    <row r="12708" ht="15.75" customHeight="1">
      <c r="A12708" s="2" t="s">
        <v>12708</v>
      </c>
      <c r="B12708" s="2" t="str">
        <f>IFERROR(__xludf.DUMMYFUNCTION("GOOGLETRANSLATE(A12708, ""en"", ""mt"")"),"X'kienet il-popolazzjoni ta 'Berlin fl-1901?")</f>
        <v>X'kienet il-popolazzjoni ta 'Berlin fl-1901?</v>
      </c>
    </row>
    <row r="12709" ht="15.75" customHeight="1">
      <c r="A12709" s="2" t="s">
        <v>12709</v>
      </c>
      <c r="B12709" s="2" t="str">
        <f>IFERROR(__xludf.DUMMYFUNCTION("GOOGLETRANSLATE(A12709, ""en"", ""mt"")"),"X'inhu użat biex itejbu l-effetti ta 'infjammazzjoni?")</f>
        <v>X'inhu użat biex itejbu l-effetti ta 'infjammazzjoni?</v>
      </c>
    </row>
    <row r="12710" ht="15.75" customHeight="1">
      <c r="A12710" s="2" t="s">
        <v>12710</v>
      </c>
      <c r="B12710" s="2" t="str">
        <f>IFERROR(__xludf.DUMMYFUNCTION("GOOGLETRANSLATE(A12710, ""en"", ""mt"")"),"Ukoll qabel it-tluq ta 'Braddock għall-Amerika ta' Fuq")</f>
        <v>Ukoll qabel it-tluq ta 'Braddock għall-Amerika ta' Fuq</v>
      </c>
    </row>
    <row r="12711" ht="15.75" customHeight="1">
      <c r="A12711" s="2" t="s">
        <v>12711</v>
      </c>
      <c r="B12711" s="2" t="str">
        <f>IFERROR(__xludf.DUMMYFUNCTION("GOOGLETRANSLATE(A12711, ""en"", ""mt"")"),"Kemm djar kellhom servizz BSKYB fl-1994?")</f>
        <v>Kemm djar kellhom servizz BSKYB fl-1994?</v>
      </c>
    </row>
    <row r="12712" ht="15.75" customHeight="1">
      <c r="A12712" s="2" t="s">
        <v>12712</v>
      </c>
      <c r="B12712" s="2" t="str">
        <f>IFERROR(__xludf.DUMMYFUNCTION("GOOGLETRANSLATE(A12712, ""en"", ""mt"")"),"Francisco de Orellana")</f>
        <v>Francisco de Orellana</v>
      </c>
    </row>
    <row r="12713" ht="15.75" customHeight="1">
      <c r="A12713" s="2" t="s">
        <v>12713</v>
      </c>
      <c r="B12713" s="2" t="str">
        <f>IFERROR(__xludf.DUMMYFUNCTION("GOOGLETRANSLATE(A12713, ""en"", ""mt"")"),"Dai Ön Ulus")</f>
        <v>Dai Ön Ulus</v>
      </c>
    </row>
    <row r="12714" ht="15.75" customHeight="1">
      <c r="A12714" s="2" t="s">
        <v>12714</v>
      </c>
      <c r="B12714" s="2" t="str">
        <f>IFERROR(__xludf.DUMMYFUNCTION("GOOGLETRANSLATE(A12714, ""en"", ""mt"")"),"F'liema sena kienet il-magna Rumford brevettata?")</f>
        <v>F'liema sena kienet il-magna Rumford brevettata?</v>
      </c>
    </row>
    <row r="12715" ht="15.75" customHeight="1">
      <c r="A12715" s="2" t="s">
        <v>12715</v>
      </c>
      <c r="B12715" s="2" t="str">
        <f>IFERROR(__xludf.DUMMYFUNCTION("GOOGLETRANSLATE(A12715, ""en"", ""mt"")"),"Matul liema perjodu reġgħet fetħet it-Teatru tat-Torri?")</f>
        <v>Matul liema perjodu reġgħet fetħet it-Teatru tat-Torri?</v>
      </c>
    </row>
    <row r="12716" ht="15.75" customHeight="1">
      <c r="A12716" s="2" t="s">
        <v>12716</v>
      </c>
      <c r="B12716" s="2" t="str">
        <f>IFERROR(__xludf.DUMMYFUNCTION("GOOGLETRANSLATE(A12716, ""en"", ""mt"")"),"Għal xi għexieren ta ’snin qabel l-ewwel Palestina Intifada fl-1987, il-Fratellanza Musulmana fil-Palestina ħadet pożizzjoni"" kwieti ”lejn l-Iżrael, li tiffoka fuq il-predikazzjoni, l-edukazzjoni u s-servizzi soċjali, u tibbenefika minn"" indulġenza ""ta"&amp;"l-Iżrael biex tibni netwerk ta 'moskej u Organizzazzjonijiet ta 'karità. Hekk kif l-ewwel intifada ġabret il-momentum u x-xerrejja Palestinjani għalqu l-ħwienet tagħhom b'appoġġ għar-rewwixta, il-fratellanza ħabbret il-formazzjoni tal-Ħamas (""Zeal""), id"&amp;"dedikata għall-jihad kontra l-Iżrael. Minflok ma kien aktar moderat mill-PLO, il-Karta tal-Hamas tal-1988 ħadet pożizzjoni aktar mingħajr kompromess, li talbet il-qerda ta 'l-Iżrael u t-twaqqif ta' stat Iżlamiku fil-Palestina. Malajr kien qed jikkompeti m"&amp;"a 'u mbagħad qabeż il-PLO għall-kontroll tal-intifada. Il-bażi tal-Fratellanza tal-klassi tan-nofs devota sabet kawża komuni maż-żgħażagħ fqar tal-Intifada fil-konservattiviżmu kulturali tagħhom u l-antipatija għal attivitajiet tal-klassi tan-nofs sekular"&amp;"i bħal tixrob l-alkoħol u għaddejjin mingħajr hijab.")</f>
        <v>Għal xi għexieren ta ’snin qabel l-ewwel Palestina Intifada fl-1987, il-Fratellanza Musulmana fil-Palestina ħadet pożizzjoni" kwieti ”lejn l-Iżrael, li tiffoka fuq il-predikazzjoni, l-edukazzjoni u s-servizzi soċjali, u tibbenefika minn" indulġenza "tal-Iżrael biex tibni netwerk ta 'moskej u Organizzazzjonijiet ta 'karità. Hekk kif l-ewwel intifada ġabret il-momentum u x-xerrejja Palestinjani għalqu l-ħwienet tagħhom b'appoġġ għar-rewwixta, il-fratellanza ħabbret il-formazzjoni tal-Ħamas ("Zeal"), iddedikata għall-jihad kontra l-Iżrael. Minflok ma kien aktar moderat mill-PLO, il-Karta tal-Hamas tal-1988 ħadet pożizzjoni aktar mingħajr kompromess, li talbet il-qerda ta 'l-Iżrael u t-twaqqif ta' stat Iżlamiku fil-Palestina. Malajr kien qed jikkompeti ma 'u mbagħad qabeż il-PLO għall-kontroll tal-intifada. Il-bażi tal-Fratellanza tal-klassi tan-nofs devota sabet kawża komuni maż-żgħażagħ fqar tal-Intifada fil-konservattiviżmu kulturali tagħhom u l-antipatija għal attivitajiet tal-klassi tan-nofs sekulari bħal tixrob l-alkoħol u għaddejjin mingħajr hijab.</v>
      </c>
    </row>
    <row r="12717" ht="15.75" customHeight="1">
      <c r="A12717" s="2" t="s">
        <v>12717</v>
      </c>
      <c r="B12717" s="2" t="str">
        <f>IFERROR(__xludf.DUMMYFUNCTION("GOOGLETRANSLATE(A12717, ""en"", ""mt"")"),"Meta saret il-Prussja ċ-ċentru tal-Kungress tal-Polonja?")</f>
        <v>Meta saret il-Prussja ċ-ċentru tal-Kungress tal-Polonja?</v>
      </c>
    </row>
    <row r="12718" ht="15.75" customHeight="1">
      <c r="A12718" s="2" t="s">
        <v>12718</v>
      </c>
      <c r="B12718" s="2" t="str">
        <f>IFERROR(__xludf.DUMMYFUNCTION("GOOGLETRANSLATE(A12718, ""en"", ""mt"")"),"55,000")</f>
        <v>55,000</v>
      </c>
    </row>
    <row r="12719" ht="15.75" customHeight="1">
      <c r="A12719" s="2" t="s">
        <v>12719</v>
      </c>
      <c r="B12719" s="2" t="str">
        <f>IFERROR(__xludf.DUMMYFUNCTION("GOOGLETRANSLATE(A12719, ""en"", ""mt"")"),"Fuq liema hija l-biċċa l-kbira tat-tkabbir modern ta 'Varsavja?")</f>
        <v>Fuq liema hija l-biċċa l-kbira tat-tkabbir modern ta 'Varsavja?</v>
      </c>
    </row>
    <row r="12720" ht="15.75" customHeight="1">
      <c r="A12720" s="2" t="s">
        <v>12720</v>
      </c>
      <c r="B12720" s="2" t="str">
        <f>IFERROR(__xludf.DUMMYFUNCTION("GOOGLETRANSLATE(A12720, ""en"", ""mt"")"),"1823")</f>
        <v>1823</v>
      </c>
    </row>
    <row r="12721" ht="15.75" customHeight="1">
      <c r="A12721" s="2" t="s">
        <v>12721</v>
      </c>
      <c r="B12721" s="2" t="str">
        <f>IFERROR(__xludf.DUMMYFUNCTION("GOOGLETRANSLATE(A12721, ""en"", ""mt"")")," Meta twaqqfet il-FLIS?")</f>
        <v> Meta twaqqfet il-FLIS?</v>
      </c>
    </row>
    <row r="12722" ht="15.75" customHeight="1">
      <c r="A12722" s="2" t="s">
        <v>12722</v>
      </c>
      <c r="B12722" s="2" t="str">
        <f>IFERROR(__xludf.DUMMYFUNCTION("GOOGLETRANSLATE(A12722, ""en"", ""mt"")"),"X'inhuma l-kannizzata tal-kristall imkejla?")</f>
        <v>X'inhuma l-kannizzata tal-kristall imkejla?</v>
      </c>
    </row>
    <row r="12723" ht="15.75" customHeight="1">
      <c r="A12723" s="2" t="s">
        <v>12723</v>
      </c>
      <c r="B12723" s="2" t="str">
        <f>IFERROR(__xludf.DUMMYFUNCTION("GOOGLETRANSLATE(A12723, ""en"", ""mt"")")," Maududi kien imħarreġ bħala avukat, imma għażel liema reliġjon għalih minflok?")</f>
        <v> Maududi kien imħarreġ bħala avukat, imma għażel liema reliġjon għalih minflok?</v>
      </c>
    </row>
    <row r="12724" ht="15.75" customHeight="1">
      <c r="A12724" s="2" t="s">
        <v>12724</v>
      </c>
      <c r="B12724" s="2" t="str">
        <f>IFERROR(__xludf.DUMMYFUNCTION("GOOGLETRANSLATE(A12724, ""en"", ""mt"")"),"Taħt it-teorija ċellulari ta 'Elie Metchnikoff, liema ċelloli kienu responsabbli għar-rispons immuni?")</f>
        <v>Taħt it-teorija ċellulari ta 'Elie Metchnikoff, liema ċelloli kienu responsabbli għar-rispons immuni?</v>
      </c>
    </row>
    <row r="12725" ht="15.75" customHeight="1">
      <c r="A12725" s="2" t="s">
        <v>12725</v>
      </c>
      <c r="B12725" s="2" t="str">
        <f>IFERROR(__xludf.DUMMYFUNCTION("GOOGLETRANSLATE(A12725, ""en"", ""mt"")"),"Meta ġie miktub il-ħames rapport ta 'valutazzjoni?")</f>
        <v>Meta ġie miktub il-ħames rapport ta 'valutazzjoni?</v>
      </c>
    </row>
    <row r="12726" ht="15.75" customHeight="1">
      <c r="A12726" s="2" t="s">
        <v>12726</v>
      </c>
      <c r="B12726" s="2" t="str">
        <f>IFERROR(__xludf.DUMMYFUNCTION("GOOGLETRANSLATE(A12726, ""en"", ""mt"")"),"1980s")</f>
        <v>1980s</v>
      </c>
    </row>
    <row r="12727" ht="15.75" customHeight="1">
      <c r="A12727" s="2" t="s">
        <v>12727</v>
      </c>
      <c r="B12727" s="2" t="str">
        <f>IFERROR(__xludf.DUMMYFUNCTION("GOOGLETRANSLATE(A12727, ""en"", ""mt"")"),"livell aktar baxx")</f>
        <v>livell aktar baxx</v>
      </c>
    </row>
    <row r="12728" ht="15.75" customHeight="1">
      <c r="A12728" s="2" t="s">
        <v>12728</v>
      </c>
      <c r="B12728" s="2" t="str">
        <f>IFERROR(__xludf.DUMMYFUNCTION("GOOGLETRANSLATE(A12728, ""en"", ""mt"")"),"Min hu magħruf għall-invenzjoni tal-ewwel kalkulatur tal-ħlas elementari?")</f>
        <v>Min hu magħruf għall-invenzjoni tal-ewwel kalkulatur tal-ħlas elementari?</v>
      </c>
    </row>
    <row r="12729" ht="15.75" customHeight="1">
      <c r="A12729" s="2" t="s">
        <v>12729</v>
      </c>
      <c r="B12729" s="2" t="str">
        <f>IFERROR(__xludf.DUMMYFUNCTION("GOOGLETRANSLATE(A12729, ""en"", ""mt"")"),"Amtrak San Joaquins")</f>
        <v>Amtrak San Joaquins</v>
      </c>
    </row>
    <row r="12730" ht="15.75" customHeight="1">
      <c r="A12730" s="2" t="s">
        <v>12730</v>
      </c>
      <c r="B12730" s="2" t="str">
        <f>IFERROR(__xludf.DUMMYFUNCTION("GOOGLETRANSLATE(A12730, ""en"", ""mt"")"),"X'inhu l-liberaliżmu ekonomiku mhux waħda mill-kawżi ta '?")</f>
        <v>X'inhu l-liberaliżmu ekonomiku mhux waħda mill-kawżi ta '?</v>
      </c>
    </row>
    <row r="12731" ht="15.75" customHeight="1">
      <c r="A12731" s="2" t="s">
        <v>12731</v>
      </c>
      <c r="B12731" s="2" t="str">
        <f>IFERROR(__xludf.DUMMYFUNCTION("GOOGLETRANSLATE(A12731, ""en"", ""mt"")"),"Kif tista 'tiġi indirizzata l-inugwaljanza umana mingħajr ma tirriżulta fi tnaqqis tal-ħsara ambjentali?")</f>
        <v>Kif tista 'tiġi indirizzata l-inugwaljanza umana mingħajr ma tirriżulta fi tnaqqis tal-ħsara ambjentali?</v>
      </c>
    </row>
    <row r="12732" ht="15.75" customHeight="1">
      <c r="A12732" s="2" t="s">
        <v>12732</v>
      </c>
      <c r="B12732" s="2" t="str">
        <f>IFERROR(__xludf.DUMMYFUNCTION("GOOGLETRANSLATE(A12732, ""en"", ""mt"")"),"l-assiomi tal-kumplessità tal-blum")</f>
        <v>l-assiomi tal-kumplessità tal-blum</v>
      </c>
    </row>
    <row r="12733" ht="15.75" customHeight="1">
      <c r="A12733" s="2" t="s">
        <v>12733</v>
      </c>
      <c r="B12733" s="2" t="str">
        <f>IFERROR(__xludf.DUMMYFUNCTION("GOOGLETRANSLATE(A12733, ""en"", ""mt"")"),"Dan jikkawża li l-unità tal-blat kollha kemm hi ssir itwal u irqaq.")</f>
        <v>Dan jikkawża li l-unità tal-blat kollha kemm hi ssir itwal u irqaq.</v>
      </c>
    </row>
    <row r="12734" ht="15.75" customHeight="1">
      <c r="A12734" s="2" t="s">
        <v>12734</v>
      </c>
      <c r="B12734" s="2" t="str">
        <f>IFERROR(__xludf.DUMMYFUNCTION("GOOGLETRANSLATE(A12734, ""en"", ""mt"")"),"Fejn hi ż-żrar minn dak jinstab fil-ksenoliti?")</f>
        <v>Fejn hi ż-żrar minn dak jinstab fil-ksenoliti?</v>
      </c>
    </row>
    <row r="12735" ht="15.75" customHeight="1">
      <c r="A12735" s="2" t="s">
        <v>12735</v>
      </c>
      <c r="B12735" s="2" t="str">
        <f>IFERROR(__xludf.DUMMYFUNCTION("GOOGLETRANSLATE(A12735, ""en"", ""mt"")"),"Indjani ġġieldu fuq iż-żewġ naħat tal-kunflitt")</f>
        <v>Indjani ġġieldu fuq iż-żewġ naħat tal-kunflitt</v>
      </c>
    </row>
    <row r="12736" ht="15.75" customHeight="1">
      <c r="A12736" s="2" t="s">
        <v>12736</v>
      </c>
      <c r="B12736" s="2" t="str">
        <f>IFERROR(__xludf.DUMMYFUNCTION("GOOGLETRANSLATE(A12736, ""en"", ""mt"")"),"aktar minn madwar 1015 Kelvins")</f>
        <v>aktar minn madwar 1015 Kelvins</v>
      </c>
    </row>
    <row r="12737" ht="15.75" customHeight="1">
      <c r="A12737" s="2" t="s">
        <v>12737</v>
      </c>
      <c r="B12737" s="2" t="str">
        <f>IFERROR(__xludf.DUMMYFUNCTION("GOOGLETRANSLATE(A12737, ""en"", ""mt"")"),"Meta ġiet iffirmata l-karta għal din il-knisja?")</f>
        <v>Meta ġiet iffirmata l-karta għal din il-knisja?</v>
      </c>
    </row>
    <row r="12738" ht="15.75" customHeight="1">
      <c r="A12738" s="2" t="s">
        <v>12738</v>
      </c>
      <c r="B12738" s="2" t="str">
        <f>IFERROR(__xludf.DUMMYFUNCTION("GOOGLETRANSLATE(A12738, ""en"", ""mt"")"),"billi jkollok kolloblasti")</f>
        <v>billi jkollok kolloblasti</v>
      </c>
    </row>
    <row r="12739" ht="15.75" customHeight="1">
      <c r="A12739" s="2" t="s">
        <v>12739</v>
      </c>
      <c r="B12739" s="2" t="str">
        <f>IFERROR(__xludf.DUMMYFUNCTION("GOOGLETRANSLATE(A12739, ""en"", ""mt"")"),"Jekk 1 kien ikkunsidrat bħala prim")</f>
        <v>Jekk 1 kien ikkunsidrat bħala prim</v>
      </c>
    </row>
    <row r="12740" ht="15.75" customHeight="1">
      <c r="A12740" s="2" t="s">
        <v>12740</v>
      </c>
      <c r="B12740" s="2" t="str">
        <f>IFERROR(__xludf.DUMMYFUNCTION("GOOGLETRANSLATE(A12740, ""en"", ""mt"")"),"Il-Lega Musulmana kollha tal-Indja")</f>
        <v>Il-Lega Musulmana kollha tal-Indja</v>
      </c>
    </row>
    <row r="12741" ht="15.75" customHeight="1">
      <c r="A12741" s="2" t="s">
        <v>12741</v>
      </c>
      <c r="B12741" s="2" t="str">
        <f>IFERROR(__xludf.DUMMYFUNCTION("GOOGLETRANSLATE(A12741, ""en"", ""mt"")"),"X'kien l-għan tal-proklamazzjoni rjali tal-1763?")</f>
        <v>X'kien l-għan tal-proklamazzjoni rjali tal-1763?</v>
      </c>
    </row>
    <row r="12742" ht="15.75" customHeight="1">
      <c r="A12742" s="2" t="s">
        <v>12742</v>
      </c>
      <c r="B12742" s="2" t="str">
        <f>IFERROR(__xludf.DUMMYFUNCTION("GOOGLETRANSLATE(A12742, ""en"", ""mt"")"),"Fl-Istati tal-Istati Uniti, x'jiġri mill-istennija tal-ħajja f'dawk inqas ekonomikament ugwali?")</f>
        <v>Fl-Istati tal-Istati Uniti, x'jiġri mill-istennija tal-ħajja f'dawk inqas ekonomikament ugwali?</v>
      </c>
    </row>
    <row r="12743" ht="15.75" customHeight="1">
      <c r="A12743" s="2" t="s">
        <v>12743</v>
      </c>
      <c r="B12743" s="2" t="str">
        <f>IFERROR(__xludf.DUMMYFUNCTION("GOOGLETRANSLATE(A12743, ""en"", ""mt"")"),"il-perjodu tan-nofs tal-antikità klassika")</f>
        <v>il-perjodu tan-nofs tal-antikità klassika</v>
      </c>
    </row>
    <row r="12744" ht="15.75" customHeight="1">
      <c r="A12744" s="2" t="s">
        <v>12744</v>
      </c>
      <c r="B12744" s="2" t="str">
        <f>IFERROR(__xludf.DUMMYFUNCTION("GOOGLETRANSLATE(A12744, ""en"", ""mt"")"),"""Ħin ta 'mistoqsija"" twil ta '60 minuta jseħħ f'liema ħin?")</f>
        <v>"Ħin ta 'mistoqsija" twil ta '60 minuta jseħħ f'liema ħin?</v>
      </c>
    </row>
    <row r="12745" ht="15.75" customHeight="1">
      <c r="A12745" s="2" t="s">
        <v>12745</v>
      </c>
      <c r="B12745" s="2" t="str">
        <f>IFERROR(__xludf.DUMMYFUNCTION("GOOGLETRANSLATE(A12745, ""en"", ""mt"")"),"X'tip ta 'professjonisti huma l-ispiżjara?")</f>
        <v>X'tip ta 'professjonisti huma l-ispiżjara?</v>
      </c>
    </row>
    <row r="12746" ht="15.75" customHeight="1">
      <c r="A12746" s="2" t="s">
        <v>12746</v>
      </c>
      <c r="B12746" s="2" t="str">
        <f>IFERROR(__xludf.DUMMYFUNCTION("GOOGLETRANSLATE(A12746, ""en"", ""mt"")"),"Braddock (ma 'George Washington bħala wieħed mill-assistenti tiegħu) mexxa madwar 1,500 truppa tal-armata")</f>
        <v>Braddock (ma 'George Washington bħala wieħed mill-assistenti tiegħu) mexxa madwar 1,500 truppa tal-armata</v>
      </c>
    </row>
    <row r="12747" ht="15.75" customHeight="1">
      <c r="A12747" s="2" t="s">
        <v>12747</v>
      </c>
      <c r="B12747" s="2" t="str">
        <f>IFERROR(__xludf.DUMMYFUNCTION("GOOGLETRANSLATE(A12747, ""en"", ""mt"")"),"Fil-proċess ta 'tilqim, x'inhu introdott sabiex tiġi żviluppata immunità speċifika?")</f>
        <v>Fil-proċess ta 'tilqim, x'inhu introdott sabiex tiġi żviluppata immunità speċifika?</v>
      </c>
    </row>
    <row r="12748" ht="15.75" customHeight="1">
      <c r="A12748" s="2" t="s">
        <v>12748</v>
      </c>
      <c r="B12748" s="2" t="str">
        <f>IFERROR(__xludf.DUMMYFUNCTION("GOOGLETRANSLATE(A12748, ""en"", ""mt"")"),"Min ivvinta sors ta 'enerġija bi pressjoni għolja madwar l-1800?")</f>
        <v>Min ivvinta sors ta 'enerġija bi pressjoni għolja madwar l-1800?</v>
      </c>
    </row>
    <row r="12749" ht="15.75" customHeight="1">
      <c r="A12749" s="2" t="s">
        <v>12749</v>
      </c>
      <c r="B12749" s="2" t="str">
        <f>IFERROR(__xludf.DUMMYFUNCTION("GOOGLETRANSLATE(A12749, ""en"", ""mt"")"),"Mill-abitanti tal-Polonja fl-1901, liema persentaġġ kien Kattoliku?")</f>
        <v>Mill-abitanti tal-Polonja fl-1901, liema persentaġġ kien Kattoliku?</v>
      </c>
    </row>
    <row r="12750" ht="15.75" customHeight="1">
      <c r="A12750" s="2" t="s">
        <v>12750</v>
      </c>
      <c r="B12750" s="2" t="str">
        <f>IFERROR(__xludf.DUMMYFUNCTION("GOOGLETRANSLATE(A12750, ""en"", ""mt"")"),"Drogi ċitotossiċi")</f>
        <v>Drogi ċitotossiċi</v>
      </c>
    </row>
    <row r="12751" ht="15.75" customHeight="1">
      <c r="A12751" s="2" t="s">
        <v>12751</v>
      </c>
      <c r="B12751" s="2" t="str">
        <f>IFERROR(__xludf.DUMMYFUNCTION("GOOGLETRANSLATE(A12751, ""en"", ""mt"")"),"X'żieda dwar il-korp ta 'studenti ta' Harvard fl-2005?")</f>
        <v>X'żieda dwar il-korp ta 'studenti ta' Harvard fl-2005?</v>
      </c>
    </row>
    <row r="12752" ht="15.75" customHeight="1">
      <c r="A12752" s="2" t="s">
        <v>12752</v>
      </c>
      <c r="B12752" s="2" t="str">
        <f>IFERROR(__xludf.DUMMYFUNCTION("GOOGLETRANSLATE(A12752, ""en"", ""mt"")"),"Imblokk Ingliż tal-kosta Franċiża")</f>
        <v>Imblokk Ingliż tal-kosta Franċiża</v>
      </c>
    </row>
    <row r="12753" ht="15.75" customHeight="1">
      <c r="A12753" s="2" t="s">
        <v>12753</v>
      </c>
      <c r="B12753" s="2" t="str">
        <f>IFERROR(__xludf.DUMMYFUNCTION("GOOGLETRANSLATE(A12753, ""en"", ""mt"")"),"Liema ċellula ma tistax taġixxi bħala kennies?")</f>
        <v>Liema ċellula ma tistax taġixxi bħala kennies?</v>
      </c>
    </row>
    <row r="12754" ht="15.75" customHeight="1">
      <c r="A12754" s="2" t="s">
        <v>12754</v>
      </c>
      <c r="B12754" s="2" t="str">
        <f>IFERROR(__xludf.DUMMYFUNCTION("GOOGLETRANSLATE(A12754, ""en"", ""mt"")"),"Demografikament")</f>
        <v>Demografikament</v>
      </c>
    </row>
    <row r="12755" ht="15.75" customHeight="1">
      <c r="A12755" s="2" t="s">
        <v>12755</v>
      </c>
      <c r="B12755" s="2" t="str">
        <f>IFERROR(__xludf.DUMMYFUNCTION("GOOGLETRANSLATE(A12755, ""en"", ""mt"")"),"Wara l-Gwerra Franko-Ġermaniża,")</f>
        <v>Wara l-Gwerra Franko-Ġermaniża,</v>
      </c>
    </row>
    <row r="12756" ht="15.75" customHeight="1">
      <c r="A12756" s="2" t="s">
        <v>12756</v>
      </c>
      <c r="B12756" s="2" t="str">
        <f>IFERROR(__xludf.DUMMYFUNCTION("GOOGLETRANSLATE(A12756, ""en"", ""mt"")"),"Għaliex Al-Qaeda qal lil ISIL biex tieħu tlugħ?")</f>
        <v>Għaliex Al-Qaeda qal lil ISIL biex tieħu tlugħ?</v>
      </c>
    </row>
    <row r="12757" ht="15.75" customHeight="1">
      <c r="A12757" s="2" t="s">
        <v>12757</v>
      </c>
      <c r="B12757" s="2" t="str">
        <f>IFERROR(__xludf.DUMMYFUNCTION("GOOGLETRANSLATE(A12757, ""en"", ""mt"")"),"Il-larva tal-ħut aċċidentalment ġiet introdotta fiż-żewġ korpi ta 'l-ilma?")</f>
        <v>Il-larva tal-ħut aċċidentalment ġiet introdotta fiż-żewġ korpi ta 'l-ilma?</v>
      </c>
    </row>
    <row r="12758" ht="15.75" customHeight="1">
      <c r="A12758" s="2" t="s">
        <v>12758</v>
      </c>
      <c r="B12758" s="2" t="str">
        <f>IFERROR(__xludf.DUMMYFUNCTION("GOOGLETRANSLATE(A12758, ""en"", ""mt"")"),"Ir-riċetturi fuq ċellola T qattiel għandhom jorbtu ma 'kemm MHC: kumplessi ta' antiġen sabiex jattivaw iċ-ċellula?")</f>
        <v>Ir-riċetturi fuq ċellola T qattiel għandhom jorbtu ma 'kemm MHC: kumplessi ta' antiġen sabiex jattivaw iċ-ċellula?</v>
      </c>
    </row>
    <row r="12759" ht="15.75" customHeight="1">
      <c r="A12759" s="2" t="s">
        <v>12759</v>
      </c>
      <c r="B12759" s="2" t="str">
        <f>IFERROR(__xludf.DUMMYFUNCTION("GOOGLETRANSLATE(A12759, ""en"", ""mt"")"),"Liema fruntieri temmew il-Franċiżi matul il-Medju Evu?")</f>
        <v>Liema fruntieri temmew il-Franċiżi matul il-Medju Evu?</v>
      </c>
    </row>
    <row r="12760" ht="15.75" customHeight="1">
      <c r="A12760" s="2" t="s">
        <v>12760</v>
      </c>
      <c r="B12760" s="2" t="str">
        <f>IFERROR(__xludf.DUMMYFUNCTION("GOOGLETRANSLATE(A12760, ""en"", ""mt"")"),"Għerq kwadru ta 'n")</f>
        <v>Għerq kwadru ta 'n</v>
      </c>
    </row>
    <row r="12761" ht="15.75" customHeight="1">
      <c r="A12761" s="2" t="s">
        <v>12761</v>
      </c>
      <c r="B12761" s="2" t="str">
        <f>IFERROR(__xludf.DUMMYFUNCTION("GOOGLETRANSLATE(A12761, ""en"", ""mt"")"),"Kemm mill-volum tal-fluss tal-ilma tar-Rhine flussi aktar lejn il-lvant?")</f>
        <v>Kemm mill-volum tal-fluss tal-ilma tar-Rhine flussi aktar lejn il-lvant?</v>
      </c>
    </row>
    <row r="12762" ht="15.75" customHeight="1">
      <c r="A12762" s="2" t="s">
        <v>12762</v>
      </c>
      <c r="B12762" s="2" t="str">
        <f>IFERROR(__xludf.DUMMYFUNCTION("GOOGLETRANSLATE(A12762, ""en"", ""mt"")"),"X'qed jitqies dan l-aħħar bħala status fundamentali ta 'ċittadini tal-istat membru mill-Qorti tal-Ġustizzja?")</f>
        <v>X'qed jitqies dan l-aħħar bħala status fundamentali ta 'ċittadini tal-istat membru mill-Qorti tal-Ġustizzja?</v>
      </c>
    </row>
    <row r="12763" ht="15.75" customHeight="1">
      <c r="A12763" s="2" t="s">
        <v>12763</v>
      </c>
      <c r="B12763" s="2" t="str">
        <f>IFERROR(__xludf.DUMMYFUNCTION("GOOGLETRANSLATE(A12763, ""en"", ""mt"")"),"Permezz ta ’assoċjazzjonijiet varji u arranġamenti oħra")</f>
        <v>Permezz ta ’assoċjazzjonijiet varji u arranġamenti oħra</v>
      </c>
    </row>
    <row r="12764" ht="15.75" customHeight="1">
      <c r="A12764" s="2" t="s">
        <v>12764</v>
      </c>
      <c r="B12764" s="2" t="str">
        <f>IFERROR(__xludf.DUMMYFUNCTION("GOOGLETRANSLATE(A12764, ""en"", ""mt"")"),"Il-għant huma usa 'jew idjaq fid-daqs ħdejn il-ħalq?")</f>
        <v>Il-għant huma usa 'jew idjaq fid-daqs ħdejn il-ħalq?</v>
      </c>
    </row>
    <row r="12765" ht="15.75" customHeight="1">
      <c r="A12765" s="2" t="s">
        <v>12765</v>
      </c>
      <c r="B12765" s="2" t="str">
        <f>IFERROR(__xludf.DUMMYFUNCTION("GOOGLETRANSLATE(A12765, ""en"", ""mt"")"),"Il-korp leġiżlattiv, il-kunsill, huwa magħmul minn liema tip ta 'individwi?")</f>
        <v>Il-korp leġiżlattiv, il-kunsill, huwa magħmul minn liema tip ta 'individwi?</v>
      </c>
    </row>
    <row r="12766" ht="15.75" customHeight="1">
      <c r="A12766" s="2" t="s">
        <v>12766</v>
      </c>
      <c r="B12766" s="2" t="str">
        <f>IFERROR(__xludf.DUMMYFUNCTION("GOOGLETRANSLATE(A12766, ""en"", ""mt"")"),"Ir-Rhine t'isfel tgħaddi minn North Rhine-Westphalia. Il-banek tagħha huma ġeneralment popolati ħafna u industrijalizzati, b'mod partikolari l-agglomerazzjonijiet Cologne, Düsseldorf u ż-żona ta 'Ruhr. Hawnhekk ir-Rhine joħroġ mill-ikbar konurbazzjoni fil"&amp;"-Ġermanja, ir-reġjun tar-Rhine-Ruhr. Waħda mill-iktar bliet importanti f'dan ir-reġjun hija Duisburg bl-akbar port tax-xmajjar fl-Ewropa (Duisport). Ir-reġjun 'l isfel ta' Duisburg huwa aktar agrikolu. F'Wesel, 30 km 'l isfel minn Duisburg, jinsab it-tarf"&amp;" tal-punent tat-tieni rotta tat-tbaħħir tal-Lvant-Punent, il-Kanal Wesel-Datteln, li jimxi parallel mal-lippe. Bejn Emmerich u Cleves il-Pont ta 'Emmerich Rhine, l-itwal pont ta' sospensjoni fil-Ġermanja, jaqsam ix-xmara wiesgħa ta '400 m. Ħdejn Krefeld, "&amp;"ix-xmara taqsam il-linja Uerdingen, il-linja li tifred iż-żoni fejn jitkellmu Ġermaniż baxx u għoli Ġermaniż.")</f>
        <v>Ir-Rhine t'isfel tgħaddi minn North Rhine-Westphalia. Il-banek tagħha huma ġeneralment popolati ħafna u industrijalizzati, b'mod partikolari l-agglomerazzjonijiet Cologne, Düsseldorf u ż-żona ta 'Ruhr. Hawnhekk ir-Rhine joħroġ mill-ikbar konurbazzjoni fil-Ġermanja, ir-reġjun tar-Rhine-Ruhr. Waħda mill-iktar bliet importanti f'dan ir-reġjun hija Duisburg bl-akbar port tax-xmajjar fl-Ewropa (Duisport). Ir-reġjun 'l isfel ta' Duisburg huwa aktar agrikolu. F'Wesel, 30 km 'l isfel minn Duisburg, jinsab it-tarf tal-punent tat-tieni rotta tat-tbaħħir tal-Lvant-Punent, il-Kanal Wesel-Datteln, li jimxi parallel mal-lippe. Bejn Emmerich u Cleves il-Pont ta 'Emmerich Rhine, l-itwal pont ta' sospensjoni fil-Ġermanja, jaqsam ix-xmara wiesgħa ta '400 m. Ħdejn Krefeld, ix-xmara taqsam il-linja Uerdingen, il-linja li tifred iż-żoni fejn jitkellmu Ġermaniż baxx u għoli Ġermaniż.</v>
      </c>
    </row>
    <row r="12767" ht="15.75" customHeight="1">
      <c r="A12767" s="2" t="s">
        <v>12767</v>
      </c>
      <c r="B12767" s="2" t="str">
        <f>IFERROR(__xludf.DUMMYFUNCTION("GOOGLETRANSLATE(A12767, ""en"", ""mt"")"),"X'inhuma l-kaxxi ta 'fuq tas-Sema Q mini li jistgħu jgħaqqdu?")</f>
        <v>X'inhuma l-kaxxi ta 'fuq tas-Sema Q mini li jistgħu jgħaqqdu?</v>
      </c>
    </row>
    <row r="12768" ht="15.75" customHeight="1">
      <c r="A12768" s="2" t="s">
        <v>12768</v>
      </c>
      <c r="B12768" s="2" t="str">
        <f>IFERROR(__xludf.DUMMYFUNCTION("GOOGLETRANSLATE(A12768, ""en"", ""mt"")"),"jerġa 'jikseb l-awtorità fuq in-nies tiegħu stess")</f>
        <v>jerġa 'jikseb l-awtorità fuq in-nies tiegħu stess</v>
      </c>
    </row>
    <row r="12769" ht="15.75" customHeight="1">
      <c r="A12769" s="2" t="s">
        <v>12769</v>
      </c>
      <c r="B12769" s="2" t="str">
        <f>IFERROR(__xludf.DUMMYFUNCTION("GOOGLETRANSLATE(A12769, ""en"", ""mt"")"),"F’liema sena skoprew il-vittmi tal-mewt iswed fil-Lvant ta ’Smithfield?")</f>
        <v>F’liema sena skoprew il-vittmi tal-mewt iswed fil-Lvant ta ’Smithfield?</v>
      </c>
    </row>
    <row r="12770" ht="15.75" customHeight="1">
      <c r="A12770" s="2" t="s">
        <v>12770</v>
      </c>
      <c r="B12770" s="2" t="str">
        <f>IFERROR(__xludf.DUMMYFUNCTION("GOOGLETRANSLATE(A12770, ""en"", ""mt"")"),"Ta 'liema forma jieħdu n-numri Euler?")</f>
        <v>Ta 'liema forma jieħdu n-numri Euler?</v>
      </c>
    </row>
    <row r="12771" ht="15.75" customHeight="1">
      <c r="A12771" s="2" t="s">
        <v>12771</v>
      </c>
      <c r="B12771" s="2" t="str">
        <f>IFERROR(__xludf.DUMMYFUNCTION("GOOGLETRANSLATE(A12771, ""en"", ""mt"")"),"madwar $ 200 miljun")</f>
        <v>madwar $ 200 miljun</v>
      </c>
    </row>
    <row r="12772" ht="15.75" customHeight="1">
      <c r="A12772" s="2" t="s">
        <v>12772</v>
      </c>
      <c r="B12772" s="2" t="str">
        <f>IFERROR(__xludf.DUMMYFUNCTION("GOOGLETRANSLATE(A12772, ""en"", ""mt"")"),"X’bnew bdew jagħmlu l-ħamrija tal-ħamrija ffriżata u l-glaċieri alpini estiżi?")</f>
        <v>X’bnew bdew jagħmlu l-ħamrija tal-ħamrija ffriżata u l-glaċieri alpini estiżi?</v>
      </c>
    </row>
    <row r="12773" ht="15.75" customHeight="1">
      <c r="A12773" s="2" t="s">
        <v>12773</v>
      </c>
      <c r="B12773" s="2" t="str">
        <f>IFERROR(__xludf.DUMMYFUNCTION("GOOGLETRANSLATE(A12773, ""en"", ""mt"")"),"Kumpanija Ohio,")</f>
        <v>Kumpanija Ohio,</v>
      </c>
    </row>
    <row r="12774" ht="15.75" customHeight="1">
      <c r="A12774" s="2" t="s">
        <v>12774</v>
      </c>
      <c r="B12774" s="2" t="str">
        <f>IFERROR(__xludf.DUMMYFUNCTION("GOOGLETRANSLATE(A12774, ""en"", ""mt"")"),"L-IPCC")</f>
        <v>L-IPCC</v>
      </c>
    </row>
    <row r="12775" ht="15.75" customHeight="1">
      <c r="A12775" s="2" t="s">
        <v>12775</v>
      </c>
      <c r="B12775" s="2" t="str">
        <f>IFERROR(__xludf.DUMMYFUNCTION("GOOGLETRANSLATE(A12775, ""en"", ""mt"")"),"Riżoluzzjoni 43/53")</f>
        <v>Riżoluzzjoni 43/53</v>
      </c>
    </row>
    <row r="12776" ht="15.75" customHeight="1">
      <c r="A12776" s="2" t="s">
        <v>12776</v>
      </c>
      <c r="B12776" s="2" t="str">
        <f>IFERROR(__xludf.DUMMYFUNCTION("GOOGLETRANSLATE(A12776, ""en"", ""mt"")"),"BSKYB ma jġorr l-ebda kontroll")</f>
        <v>BSKYB ma jġorr l-ebda kontroll</v>
      </c>
    </row>
    <row r="12777" ht="15.75" customHeight="1">
      <c r="A12777" s="2" t="s">
        <v>12777</v>
      </c>
      <c r="B12777" s="2" t="str">
        <f>IFERROR(__xludf.DUMMYFUNCTION("GOOGLETRANSLATE(A12777, ""en"", ""mt"")"),"X'kienu l-pjanijiet ta 'Loudoun għall-1757?")</f>
        <v>X'kienu l-pjanijiet ta 'Loudoun għall-1757?</v>
      </c>
    </row>
    <row r="12778" ht="15.75" customHeight="1">
      <c r="A12778" s="2" t="s">
        <v>12778</v>
      </c>
      <c r="B12778" s="2" t="str">
        <f>IFERROR(__xludf.DUMMYFUNCTION("GOOGLETRANSLATE(A12778, ""en"", ""mt"")"),"Fejn huma wħud mill-aqwa faċilitajiet mediċi fl-Ewropa tal-Lvant-Ċentrali?")</f>
        <v>Fejn huma wħud mill-aqwa faċilitajiet mediċi fl-Ewropa tal-Lvant-Ċentrali?</v>
      </c>
    </row>
    <row r="12779" ht="15.75" customHeight="1">
      <c r="A12779" s="2" t="s">
        <v>12779</v>
      </c>
      <c r="B12779" s="2" t="str">
        <f>IFERROR(__xludf.DUMMYFUNCTION("GOOGLETRANSLATE(A12779, ""en"", ""mt"")"),"Liema phylum huwa iktar kumpless minn sponoż?")</f>
        <v>Liema phylum huwa iktar kumpless minn sponoż?</v>
      </c>
    </row>
    <row r="12780" ht="15.75" customHeight="1">
      <c r="A12780" s="2" t="s">
        <v>12780</v>
      </c>
      <c r="B12780" s="2" t="str">
        <f>IFERROR(__xludf.DUMMYFUNCTION("GOOGLETRANSLATE(A12780, ""en"", ""mt"")"),"Kważi ċ-ċtenofori kollha huma predaturi, li jieħdu priża li jvarjaw minn larva mikroskopika u rotifers għall-adulti ta 'krustaċji żgħar; L-eċċezzjonijiet huma minorenni ta 'żewġ speċi, li jgħixu bħala parassiti fuq is-salps li fuqhom jitimgħu adulti ta' l"&amp;"-ispeċi tagħhom. F’ċirkostanzi favorevoli, iċ-ctenophores jistgħu jieklu għaxar darbiet il-piż tagħhom stess f’ġurnata. 100-150 speċi biss ġew ivvalidati, u possibbilment 25 oħra ma ġewx deskritti u msemmija għal kollox. L-eżempji tal-ktieb tat-test huma "&amp;"cydippids b'korpi b'forma ta 'bajd u par ta' tentakli li jistgħu jinġibdu lura bil-fringed bit-tentilla (""ftit tentakli"") li huma miksija bil-kolloblasti, ċelloli li jwaħħlu li jaqbdu l-priża. Il-phylum għandu firxa wiesgħa ta 'forom tal-ġisem, inklużi "&amp;"l-plattenids iċċattjati, fil-fond tal-baħar, li fihom l-adulti tal-biċċa l-kbira tal-ispeċi m'għandhomx pettnijiet, u l-beroids kostali, li m'għandhomx tentakli u priża fuq ctenophores oħra billi jużaw ħalq enormi armati bi gruppi ta' Ċili kbar u mwebbsa "&amp;"li jaġixxu bħala snien. Dawn il-varjazzjonijiet jippermettu speċi differenti biex jibnu popolazzjonijiet kbar fl-istess żona, minħabba li jispeċjalizzaw f'tipi differenti ta 'priża, li huma jaqbdu b'firxa wiesgħa ta' metodi kif jużaw il-brimb.")</f>
        <v>Kważi ċ-ċtenofori kollha huma predaturi, li jieħdu priża li jvarjaw minn larva mikroskopika u rotifers għall-adulti ta 'krustaċji żgħar; L-eċċezzjonijiet huma minorenni ta 'żewġ speċi, li jgħixu bħala parassiti fuq is-salps li fuqhom jitimgħu adulti ta' l-ispeċi tagħhom. F’ċirkostanzi favorevoli, iċ-ctenophores jistgħu jieklu għaxar darbiet il-piż tagħhom stess f’ġurnata. 100-150 speċi biss ġew ivvalidati, u possibbilment 25 oħra ma ġewx deskritti u msemmija għal kollox. L-eżempji tal-ktieb tat-test huma cydippids b'korpi b'forma ta 'bajd u par ta' tentakli li jistgħu jinġibdu lura bil-fringed bit-tentilla ("ftit tentakli") li huma miksija bil-kolloblasti, ċelloli li jwaħħlu li jaqbdu l-priża. Il-phylum għandu firxa wiesgħa ta 'forom tal-ġisem, inklużi l-plattenids iċċattjati, fil-fond tal-baħar, li fihom l-adulti tal-biċċa l-kbira tal-ispeċi m'għandhomx pettnijiet, u l-beroids kostali, li m'għandhomx tentakli u priża fuq ctenophores oħra billi jużaw ħalq enormi armati bi gruppi ta' Ċili kbar u mwebbsa li jaġixxu bħala snien. Dawn il-varjazzjonijiet jippermettu speċi differenti biex jibnu popolazzjonijiet kbar fl-istess żona, minħabba li jispeċjalizzaw f'tipi differenti ta 'priża, li huma jaqbdu b'firxa wiesgħa ta' metodi kif jużaw il-brimb.</v>
      </c>
    </row>
    <row r="12781" ht="15.75" customHeight="1">
      <c r="A12781" s="2" t="s">
        <v>12781</v>
      </c>
      <c r="B12781" s="2" t="str">
        <f>IFERROR(__xludf.DUMMYFUNCTION("GOOGLETRANSLATE(A12781, ""en"", ""mt"")"),"Kumitati tal-Abbozzi Privati")</f>
        <v>Kumitati tal-Abbozzi Privati</v>
      </c>
    </row>
    <row r="12782" ht="15.75" customHeight="1">
      <c r="A12782" s="2" t="s">
        <v>12782</v>
      </c>
      <c r="B12782" s="2" t="str">
        <f>IFERROR(__xludf.DUMMYFUNCTION("GOOGLETRANSLATE(A12782, ""en"", ""mt"")"),"Mediċina Musulmana")</f>
        <v>Mediċina Musulmana</v>
      </c>
    </row>
    <row r="12783" ht="15.75" customHeight="1">
      <c r="A12783" s="2" t="s">
        <v>12783</v>
      </c>
      <c r="B12783" s="2" t="str">
        <f>IFERROR(__xludf.DUMMYFUNCTION("GOOGLETRANSLATE(A12783, ""en"", ""mt"")"),"""Lag t'Isfel""")</f>
        <v>"Lag t'Isfel"</v>
      </c>
    </row>
    <row r="12784" ht="15.75" customHeight="1">
      <c r="A12784" s="2" t="s">
        <v>12784</v>
      </c>
      <c r="B12784" s="2" t="str">
        <f>IFERROR(__xludf.DUMMYFUNCTION("GOOGLETRANSLATE(A12784, ""en"", ""mt"")"),"X'inhi l-forma tas-soltu ta 'komposti marbuta mal-ossiġnu?")</f>
        <v>X'inhi l-forma tas-soltu ta 'komposti marbuta mal-ossiġnu?</v>
      </c>
    </row>
    <row r="12785" ht="15.75" customHeight="1">
      <c r="A12785" s="2" t="s">
        <v>12785</v>
      </c>
      <c r="B12785" s="2" t="str">
        <f>IFERROR(__xludf.DUMMYFUNCTION("GOOGLETRANSLATE(A12785, ""en"", ""mt"")"),"Mappa barra l-artijiet antenati tagħhom biex tgħin biex isaħħu t-talbiet territorjali tagħhom")</f>
        <v>Mappa barra l-artijiet antenati tagħhom biex tgħin biex isaħħu t-talbiet territorjali tagħhom</v>
      </c>
    </row>
    <row r="12786" ht="15.75" customHeight="1">
      <c r="A12786" s="2" t="s">
        <v>12786</v>
      </c>
      <c r="B12786" s="2" t="str">
        <f>IFERROR(__xludf.DUMMYFUNCTION("GOOGLETRANSLATE(A12786, ""en"", ""mt"")"),"Xi jfittex li jikseb ir-reċiproċità kwadratika?")</f>
        <v>Xi jfittex li jikseb ir-reċiproċità kwadratika?</v>
      </c>
    </row>
    <row r="12787" ht="15.75" customHeight="1">
      <c r="A12787" s="2" t="s">
        <v>12787</v>
      </c>
      <c r="B12787" s="2" t="str">
        <f>IFERROR(__xludf.DUMMYFUNCTION("GOOGLETRANSLATE(A12787, ""en"", ""mt"")"),"F'liema tliet subsetturi tal-kostruzzjoni huma ditti li jimmaniġġjaw proġetti ta 'kostruzzjoni maqsuma?")</f>
        <v>F'liema tliet subsetturi tal-kostruzzjoni huma ditti li jimmaniġġjaw proġetti ta 'kostruzzjoni maqsuma?</v>
      </c>
    </row>
    <row r="12788" ht="15.75" customHeight="1">
      <c r="A12788" s="2" t="s">
        <v>12788</v>
      </c>
      <c r="B12788" s="2" t="str">
        <f>IFERROR(__xludf.DUMMYFUNCTION("GOOGLETRANSLATE(A12788, ""en"", ""mt"")"),"Ijsselmeer")</f>
        <v>Ijsselmeer</v>
      </c>
    </row>
    <row r="12789" ht="15.75" customHeight="1">
      <c r="A12789" s="2" t="s">
        <v>12789</v>
      </c>
      <c r="B12789" s="2" t="str">
        <f>IFERROR(__xludf.DUMMYFUNCTION("GOOGLETRANSLATE(A12789, ""en"", ""mt"")"),"Min jistaqsi mistoqsijiet supplimentari u mbagħad mistoqsija ġenerali tal-ewwel ministru?")</f>
        <v>Min jistaqsi mistoqsijiet supplimentari u mbagħad mistoqsija ġenerali tal-ewwel ministru?</v>
      </c>
    </row>
    <row r="12790" ht="15.75" customHeight="1">
      <c r="A12790" s="2" t="s">
        <v>12790</v>
      </c>
      <c r="B12790" s="2" t="str">
        <f>IFERROR(__xludf.DUMMYFUNCTION("GOOGLETRANSLATE(A12790, ""en"", ""mt"")"),"Għaliex hemm bżonn it-tieni skeda ta 'żmien?")</f>
        <v>Għaliex hemm bżonn it-tieni skeda ta 'żmien?</v>
      </c>
    </row>
    <row r="12791" ht="15.75" customHeight="1">
      <c r="A12791" s="2" t="s">
        <v>12791</v>
      </c>
      <c r="B12791" s="2" t="str">
        <f>IFERROR(__xludf.DUMMYFUNCTION("GOOGLETRANSLATE(A12791, ""en"", ""mt"")"),"Matul liema proċess huma estiżi tubi tal-lava?")</f>
        <v>Matul liema proċess huma estiżi tubi tal-lava?</v>
      </c>
    </row>
    <row r="12792" ht="15.75" customHeight="1">
      <c r="A12792" s="2" t="s">
        <v>12792</v>
      </c>
      <c r="B12792" s="2" t="str">
        <f>IFERROR(__xludf.DUMMYFUNCTION("GOOGLETRANSLATE(A12792, ""en"", ""mt"")"),"aktar korrużjoni")</f>
        <v>aktar korrużjoni</v>
      </c>
    </row>
    <row r="12793" ht="15.75" customHeight="1">
      <c r="A12793" s="2" t="s">
        <v>12793</v>
      </c>
      <c r="B12793" s="2" t="str">
        <f>IFERROR(__xludf.DUMMYFUNCTION("GOOGLETRANSLATE(A12793, ""en"", ""mt"")"),"Il-baqar ingħataw")</f>
        <v>Il-baqar ingħataw</v>
      </c>
    </row>
    <row r="12794" ht="15.75" customHeight="1">
      <c r="A12794" s="2" t="s">
        <v>12794</v>
      </c>
      <c r="B12794" s="2" t="str">
        <f>IFERROR(__xludf.DUMMYFUNCTION("GOOGLETRANSLATE(A12794, ""en"", ""mt"")"),"Uħud mill-eqdem skejjel fl-Afrika t'Isfel huma skejjel tal-knisja privata li ġew stabbiliti minn missjunarji fil-bidu tas-seklu dsatax. Is-settur privat kiber minn dakinhar. Wara l-abolizzjoni tal-apartheid, il-liġijiet li jirregolaw l-edukazzjoni privata"&amp;" fl-Afrika t'Isfel inbidlu b'mod sinifikanti. L-Att dwar l-Iskejjel tal-Afrika t'Isfel tal-1996 jirrikonoxxi żewġ kategoriji ta 'skejjel: ""pubbliċi"" (ikkontrollati mill-istat) u ""indipendenti"" (li jinkludu skejjel u skejjel privati ​​tradizzjonali li "&amp;"huma rregolati privatament [kjarifika meħtieġa].)")</f>
        <v>Uħud mill-eqdem skejjel fl-Afrika t'Isfel huma skejjel tal-knisja privata li ġew stabbiliti minn missjunarji fil-bidu tas-seklu dsatax. Is-settur privat kiber minn dakinhar. Wara l-abolizzjoni tal-apartheid, il-liġijiet li jirregolaw l-edukazzjoni privata fl-Afrika t'Isfel inbidlu b'mod sinifikanti. L-Att dwar l-Iskejjel tal-Afrika t'Isfel tal-1996 jirrikonoxxi żewġ kategoriji ta 'skejjel: "pubbliċi" (ikkontrollati mill-istat) u "indipendenti" (li jinkludu skejjel u skejjel privati ​​tradizzjonali li huma rregolati privatament [kjarifika meħtieġa].)</v>
      </c>
    </row>
    <row r="12795" ht="15.75" customHeight="1">
      <c r="A12795" s="2" t="s">
        <v>12795</v>
      </c>
      <c r="B12795" s="2" t="str">
        <f>IFERROR(__xludf.DUMMYFUNCTION("GOOGLETRANSLATE(A12795, ""en"", ""mt"")"),"L-abitanti ta 'Varsavja fl-1901, liema perċentwali kien Kattoliku?")</f>
        <v>L-abitanti ta 'Varsavja fl-1901, liema perċentwali kien Kattoliku?</v>
      </c>
    </row>
    <row r="12796" ht="15.75" customHeight="1">
      <c r="A12796" s="2" t="s">
        <v>12796</v>
      </c>
      <c r="B12796" s="2" t="str">
        <f>IFERROR(__xludf.DUMMYFUNCTION("GOOGLETRANSLATE(A12796, ""en"", ""mt"")"),"X'inhu terminu ieħor għall-kurrenti tal-baħar?")</f>
        <v>X'inhu terminu ieħor għall-kurrenti tal-baħar?</v>
      </c>
    </row>
    <row r="12797" ht="15.75" customHeight="1">
      <c r="A12797" s="2" t="s">
        <v>12797</v>
      </c>
      <c r="B12797" s="2" t="str">
        <f>IFERROR(__xludf.DUMMYFUNCTION("GOOGLETRANSLATE(A12797, ""en"", ""mt"")"),"jikkostitwixxu diżubbidjenza ċivili")</f>
        <v>jikkostitwixxu diżubbidjenza ċivili</v>
      </c>
    </row>
    <row r="12798" ht="15.75" customHeight="1">
      <c r="A12798" s="2" t="s">
        <v>12798</v>
      </c>
      <c r="B12798" s="2" t="str">
        <f>IFERROR(__xludf.DUMMYFUNCTION("GOOGLETRANSLATE(A12798, ""en"", ""mt"")"),"miżata ta 'kull xahar")</f>
        <v>miżata ta 'kull xahar</v>
      </c>
    </row>
    <row r="12799" ht="15.75" customHeight="1">
      <c r="A12799" s="2" t="s">
        <v>12799</v>
      </c>
      <c r="B12799" s="2" t="str">
        <f>IFERROR(__xludf.DUMMYFUNCTION("GOOGLETRANSLATE(A12799, ""en"", ""mt"")"),"F'liema direzzjoni tinsab in-naħa tal-punent tal-viċinat ta 'Fresno għad-99 Freeway?")</f>
        <v>F'liema direzzjoni tinsab in-naħa tal-punent tal-viċinat ta 'Fresno għad-99 Freeway?</v>
      </c>
    </row>
    <row r="12800" ht="15.75" customHeight="1">
      <c r="A12800" s="2" t="s">
        <v>12800</v>
      </c>
      <c r="B12800" s="2" t="str">
        <f>IFERROR(__xludf.DUMMYFUNCTION("GOOGLETRANSLATE(A12800, ""en"", ""mt"")"),"2,400")</f>
        <v>2,400</v>
      </c>
    </row>
    <row r="12801" ht="15.75" customHeight="1">
      <c r="A12801" s="2" t="s">
        <v>12801</v>
      </c>
      <c r="B12801" s="2" t="str">
        <f>IFERROR(__xludf.DUMMYFUNCTION("GOOGLETRANSLATE(A12801, ""en"", ""mt"")"),"aktar b'saħħithom")</f>
        <v>aktar b'saħħithom</v>
      </c>
    </row>
    <row r="12802" ht="15.75" customHeight="1">
      <c r="A12802" s="2" t="s">
        <v>12802</v>
      </c>
      <c r="B12802" s="2" t="str">
        <f>IFERROR(__xludf.DUMMYFUNCTION("GOOGLETRANSLATE(A12802, ""en"", ""mt"")"),"Dħul rilevanti aħjar")</f>
        <v>Dħul rilevanti aħjar</v>
      </c>
    </row>
    <row r="12803" ht="15.75" customHeight="1">
      <c r="A12803" s="2" t="s">
        <v>12803</v>
      </c>
      <c r="B12803" s="2" t="str">
        <f>IFERROR(__xludf.DUMMYFUNCTION("GOOGLETRANSLATE(A12803, ""en"", ""mt"")"),"Kemm drogi approvati mill-FDA fl-2011 kienu drogi speċjalizzati?")</f>
        <v>Kemm drogi approvati mill-FDA fl-2011 kienu drogi speċjalizzati?</v>
      </c>
    </row>
    <row r="12804" ht="15.75" customHeight="1">
      <c r="A12804" s="2" t="s">
        <v>12804</v>
      </c>
      <c r="B12804" s="2" t="str">
        <f>IFERROR(__xludf.DUMMYFUNCTION("GOOGLETRANSLATE(A12804, ""en"", ""mt"")"),"X'tip ta 'numri juru difett bit-test tal-primalità Fermat?")</f>
        <v>X'tip ta 'numri juru difett bit-test tal-primalità Fermat?</v>
      </c>
    </row>
    <row r="12805" ht="15.75" customHeight="1">
      <c r="A12805" s="2" t="s">
        <v>12805</v>
      </c>
      <c r="B12805" s="2" t="str">
        <f>IFERROR(__xludf.DUMMYFUNCTION("GOOGLETRANSLATE(A12805, ""en"", ""mt"")"),"Meta l-ammont preżenti ta 'finanzjament ma jistax ikopri l-ispejjeż kurrenti għax-xogħol u l-materjali")</f>
        <v>Meta l-ammont preżenti ta 'finanzjament ma jistax ikopri l-ispejjeż kurrenti għax-xogħol u l-materjali</v>
      </c>
    </row>
    <row r="12806" ht="15.75" customHeight="1">
      <c r="A12806" s="2" t="s">
        <v>12806</v>
      </c>
      <c r="B12806" s="2" t="str">
        <f>IFERROR(__xludf.DUMMYFUNCTION("GOOGLETRANSLATE(A12806, ""en"", ""mt"")"),"L-ebda armata regolari Franċiża")</f>
        <v>L-ebda armata regolari Franċiża</v>
      </c>
    </row>
    <row r="12807" ht="15.75" customHeight="1">
      <c r="A12807" s="2" t="s">
        <v>12807</v>
      </c>
      <c r="B12807" s="2" t="str">
        <f>IFERROR(__xludf.DUMMYFUNCTION("GOOGLETRANSLATE(A12807, ""en"", ""mt"")"),"X'tip ta 'friefet il-lejl li jgħix fil-foresta tropikali tal-Amazon jista' jinfirex ir-rabbja?")</f>
        <v>X'tip ta 'friefet il-lejl li jgħix fil-foresta tropikali tal-Amazon jista' jinfirex ir-rabbja?</v>
      </c>
    </row>
    <row r="12808" ht="15.75" customHeight="1">
      <c r="A12808" s="2" t="s">
        <v>12808</v>
      </c>
      <c r="B12808" s="2" t="str">
        <f>IFERROR(__xludf.DUMMYFUNCTION("GOOGLETRANSLATE(A12808, ""en"", ""mt"")"),"Minn liema skala l-liberalizzazzjoni tal-kummerċ tbiddel l-inugwaljanza ekonomika?")</f>
        <v>Minn liema skala l-liberalizzazzjoni tal-kummerċ tbiddel l-inugwaljanza ekonomika?</v>
      </c>
    </row>
    <row r="12809" ht="15.75" customHeight="1">
      <c r="A12809" s="2" t="s">
        <v>12809</v>
      </c>
      <c r="B12809" s="2" t="str">
        <f>IFERROR(__xludf.DUMMYFUNCTION("GOOGLETRANSLATE(A12809, ""en"", ""mt"")"),"Ġeneraturi tan-Numru tal-Pseudorandom")</f>
        <v>Ġeneraturi tan-Numru tal-Pseudorandom</v>
      </c>
    </row>
    <row r="12810" ht="15.75" customHeight="1">
      <c r="A12810" s="2" t="s">
        <v>12810</v>
      </c>
      <c r="B12810" s="2" t="str">
        <f>IFERROR(__xludf.DUMMYFUNCTION("GOOGLETRANSLATE(A12810, ""en"", ""mt"")"),"Fl-1785 James Hutton ippreżenta liema dokument lis-Soċjetà Irjali ta 'Edinburgh?")</f>
        <v>Fl-1785 James Hutton ippreżenta liema dokument lis-Soċjetà Irjali ta 'Edinburgh?</v>
      </c>
    </row>
    <row r="12811" ht="15.75" customHeight="1">
      <c r="A12811" s="2" t="s">
        <v>12811</v>
      </c>
      <c r="B12811" s="2" t="str">
        <f>IFERROR(__xludf.DUMMYFUNCTION("GOOGLETRANSLATE(A12811, ""en"", ""mt"")"),"Metodu aktar konvenjenti u privat")</f>
        <v>Metodu aktar konvenjenti u privat</v>
      </c>
    </row>
    <row r="12812" ht="15.75" customHeight="1">
      <c r="A12812" s="2" t="s">
        <v>12812</v>
      </c>
      <c r="B12812" s="2" t="str">
        <f>IFERROR(__xludf.DUMMYFUNCTION("GOOGLETRANSLATE(A12812, ""en"", ""mt"")"),"Kemm hemm bits ta 'spiss fil-primes użati għall-algoritmi ta' kriptografija ta 'ċavetta pubblika RSA?")</f>
        <v>Kemm hemm bits ta 'spiss fil-primes użati għall-algoritmi ta' kriptografija ta 'ċavetta pubblika RSA?</v>
      </c>
    </row>
    <row r="12813" ht="15.75" customHeight="1">
      <c r="A12813" s="2" t="s">
        <v>12813</v>
      </c>
      <c r="B12813" s="2" t="str">
        <f>IFERROR(__xludf.DUMMYFUNCTION("GOOGLETRANSLATE(A12813, ""en"", ""mt"")"),"X'inhuma l-injetturi użati biex ifornu?")</f>
        <v>X'inhuma l-injetturi użati biex ifornu?</v>
      </c>
    </row>
    <row r="12814" ht="15.75" customHeight="1">
      <c r="A12814" s="2" t="s">
        <v>12814</v>
      </c>
      <c r="B12814" s="2" t="str">
        <f>IFERROR(__xludf.DUMMYFUNCTION("GOOGLETRANSLATE(A12814, ""en"", ""mt"")"),"[Data]")</f>
        <v>[Data]</v>
      </c>
    </row>
    <row r="12815" ht="15.75" customHeight="1">
      <c r="A12815" s="2" t="s">
        <v>12815</v>
      </c>
      <c r="B12815" s="2" t="str">
        <f>IFERROR(__xludf.DUMMYFUNCTION("GOOGLETRANSLATE(A12815, ""en"", ""mt"")"),"Zhongtong")</f>
        <v>Zhongtong</v>
      </c>
    </row>
    <row r="12816" ht="15.75" customHeight="1">
      <c r="A12816" s="2" t="s">
        <v>12816</v>
      </c>
      <c r="B12816" s="2" t="str">
        <f>IFERROR(__xludf.DUMMYFUNCTION("GOOGLETRANSLATE(A12816, ""en"", ""mt"")"),"molekuli awto u mhux awto")</f>
        <v>molekuli awto u mhux awto</v>
      </c>
    </row>
    <row r="12817" ht="15.75" customHeight="1">
      <c r="A12817" s="2" t="s">
        <v>12817</v>
      </c>
      <c r="B12817" s="2" t="str">
        <f>IFERROR(__xludf.DUMMYFUNCTION("GOOGLETRANSLATE(A12817, ""en"", ""mt"")"),"Liema persentaġġ ta 'nies mietu waqt il-pesta l-kbira ta' Londra fl-1665?")</f>
        <v>Liema persentaġġ ta 'nies mietu waqt il-pesta l-kbira ta' Londra fl-1665?</v>
      </c>
    </row>
    <row r="12818" ht="15.75" customHeight="1">
      <c r="A12818" s="2" t="s">
        <v>12818</v>
      </c>
      <c r="B12818" s="2" t="str">
        <f>IFERROR(__xludf.DUMMYFUNCTION("GOOGLETRANSLATE(A12818, ""en"", ""mt"")"),"Liema persentaġġ ta 'nies mietu fil-Krimea tal-Mewt l-Iswed?")</f>
        <v>Liema persentaġġ ta 'nies mietu fil-Krimea tal-Mewt l-Iswed?</v>
      </c>
    </row>
    <row r="12819" ht="15.75" customHeight="1">
      <c r="A12819" s="2" t="s">
        <v>12819</v>
      </c>
      <c r="B12819" s="2" t="str">
        <f>IFERROR(__xludf.DUMMYFUNCTION("GOOGLETRANSLATE(A12819, ""en"", ""mt"")"),"Demografikament, kienet l-iktar belt diversa fil-Polonja, b'numru sinifikanti ta 'abitanti ta' twelid barrani. Minbarra l-maġġoranza Pollakka, kien hemm minoranza Lhudija sinifikanti f'Varsavja. Skond iċ-ċensiment Russu tal-1897, mill-popolazzjoni totali "&amp;"ta '638,000, il-Lhud kienu jikkostitwixxu 219,000 (madwar 34% fil-mija). Il-popolazzjoni Lhudija ta 'Varsavja qabel aktar minn 350,000 kienet tikkostitwixxi madwar 30 fil-mija tal-popolazzjoni totali tal-belt. Fl-1933, minn 1,178,914 abitant 833,500 kienu"&amp;" ta 'lingwa materna Pollakka. It-Tieni Gwerra Dinjija biddlet id-demografija tal-belt, u sal-lum hemm ħafna inqas diversità etnika milli fit-300 sena preċedenti ta 'l-istorja ta' Varsavja. Il-biċċa l-kbira tat-tkabbir tal-popolazzjoni moderna tal-ġurnata "&amp;"huwa bbażat fuq il-migrazzjoni interna u l-urbanizzazzjoni.")</f>
        <v>Demografikament, kienet l-iktar belt diversa fil-Polonja, b'numru sinifikanti ta 'abitanti ta' twelid barrani. Minbarra l-maġġoranza Pollakka, kien hemm minoranza Lhudija sinifikanti f'Varsavja. Skond iċ-ċensiment Russu tal-1897, mill-popolazzjoni totali ta '638,000, il-Lhud kienu jikkostitwixxu 219,000 (madwar 34% fil-mija). Il-popolazzjoni Lhudija ta 'Varsavja qabel aktar minn 350,000 kienet tikkostitwixxi madwar 30 fil-mija tal-popolazzjoni totali tal-belt. Fl-1933, minn 1,178,914 abitant 833,500 kienu ta 'lingwa materna Pollakka. It-Tieni Gwerra Dinjija biddlet id-demografija tal-belt, u sal-lum hemm ħafna inqas diversità etnika milli fit-300 sena preċedenti ta 'l-istorja ta' Varsavja. Il-biċċa l-kbira tat-tkabbir tal-popolazzjoni moderna tal-ġurnata huwa bbażat fuq il-migrazzjoni interna u l-urbanizzazzjoni.</v>
      </c>
    </row>
    <row r="12820" ht="15.75" customHeight="1">
      <c r="A12820" s="2" t="s">
        <v>12820</v>
      </c>
      <c r="B12820" s="2" t="str">
        <f>IFERROR(__xludf.DUMMYFUNCTION("GOOGLETRANSLATE(A12820, ""en"", ""mt"")"),"Bastimenti tal-ħażna")</f>
        <v>Bastimenti tal-ħażna</v>
      </c>
    </row>
    <row r="12821" ht="15.75" customHeight="1">
      <c r="A12821" s="2" t="s">
        <v>12821</v>
      </c>
      <c r="B12821" s="2" t="str">
        <f>IFERROR(__xludf.DUMMYFUNCTION("GOOGLETRANSLATE(A12821, ""en"", ""mt"")"),"91.3")</f>
        <v>91.3</v>
      </c>
    </row>
    <row r="12822" ht="15.75" customHeight="1">
      <c r="A12822" s="2" t="s">
        <v>12822</v>
      </c>
      <c r="B12822" s="2" t="str">
        <f>IFERROR(__xludf.DUMMYFUNCTION("GOOGLETRANSLATE(A12822, ""en"", ""mt"")"),"Tbattal l-art tal-madwar u l-polders")</f>
        <v>Tbattal l-art tal-madwar u l-polders</v>
      </c>
    </row>
    <row r="12823" ht="15.75" customHeight="1">
      <c r="A12823" s="2" t="s">
        <v>12823</v>
      </c>
      <c r="B12823" s="2" t="str">
        <f>IFERROR(__xludf.DUMMYFUNCTION("GOOGLETRANSLATE(A12823, ""en"", ""mt"")"),"Teatru tat-Torri")</f>
        <v>Teatru tat-Torri</v>
      </c>
    </row>
    <row r="12824" ht="15.75" customHeight="1">
      <c r="A12824" s="2" t="s">
        <v>12824</v>
      </c>
      <c r="B12824" s="2" t="str">
        <f>IFERROR(__xludf.DUMMYFUNCTION("GOOGLETRANSLATE(A12824, ""en"", ""mt"")"),"Meta l-liġi hija mira diretta tal-protesta, kif jissejjaħ dan?")</f>
        <v>Meta l-liġi hija mira diretta tal-protesta, kif jissejjaħ dan?</v>
      </c>
    </row>
    <row r="12825" ht="15.75" customHeight="1">
      <c r="A12825" s="2" t="s">
        <v>12825</v>
      </c>
      <c r="B12825" s="2" t="str">
        <f>IFERROR(__xludf.DUMMYFUNCTION("GOOGLETRANSLATE(A12825, ""en"", ""mt"")"),"X'tip ta 'arkata vvinta n-Normans?")</f>
        <v>X'tip ta 'arkata vvinta n-Normans?</v>
      </c>
    </row>
    <row r="12826" ht="15.75" customHeight="1">
      <c r="A12826" s="2" t="s">
        <v>12826</v>
      </c>
      <c r="B12826" s="2" t="str">
        <f>IFERROR(__xludf.DUMMYFUNCTION("GOOGLETRANSLATE(A12826, ""en"", ""mt"")"),"tmien ringieli")</f>
        <v>tmien ringieli</v>
      </c>
    </row>
    <row r="12827" ht="15.75" customHeight="1">
      <c r="A12827" s="2" t="s">
        <v>12827</v>
      </c>
      <c r="B12827" s="2" t="str">
        <f>IFERROR(__xludf.DUMMYFUNCTION("GOOGLETRANSLATE(A12827, ""en"", ""mt"")"),"Liema teorija ssuġġeriet li n-nies fit-tropiċi ma kinux inkarigati?")</f>
        <v>Liema teorija ssuġġeriet li n-nies fit-tropiċi ma kinux inkarigati?</v>
      </c>
    </row>
    <row r="12828" ht="15.75" customHeight="1">
      <c r="A12828" s="2" t="s">
        <v>12828</v>
      </c>
      <c r="B12828" s="2" t="str">
        <f>IFERROR(__xludf.DUMMYFUNCTION("GOOGLETRANSLATE(A12828, ""en"", ""mt"")"),"Min iddisinja Salamanca?")</f>
        <v>Min iddisinja Salamanca?</v>
      </c>
    </row>
    <row r="12829" ht="15.75" customHeight="1">
      <c r="A12829" s="2" t="s">
        <v>12829</v>
      </c>
      <c r="B12829" s="2" t="str">
        <f>IFERROR(__xludf.DUMMYFUNCTION("GOOGLETRANSLATE(A12829, ""en"", ""mt"")"),"Min għamel 19% tal-korp tal-istudenti fil-kwart tar-rebbiegħa tal-2012?")</f>
        <v>Min għamel 19% tal-korp tal-istudenti fil-kwart tar-rebbiegħa tal-2012?</v>
      </c>
    </row>
    <row r="12830" ht="15.75" customHeight="1">
      <c r="A12830" s="2" t="s">
        <v>12830</v>
      </c>
      <c r="B12830" s="2" t="str">
        <f>IFERROR(__xludf.DUMMYFUNCTION("GOOGLETRANSLATE(A12830, ""en"", ""mt"")"),"L-ex president tal-IPCC Robert Watson qal li ""l-iżbalji kollha jidhru li marru fid-direzzjoni li jidhru li t-tibdil fil-klima huwa iktar serju billi jnissel l-impatt. Dan huwa inkwetanti. L-IPCC jeħtieġ li jħares lejn din ix-xejra fl-iżbalji u jistaqsu G"&amp;"ħaliex ġara "". Martin Parry, espert fil-klima li kien ko-president tal-Grupp ta 'Ħidma II tal-IPCC, qal li ""dak li beda bi żball wieħed sfortunat fuq il-glaċieri tal-Ħimalaja sar clamor mingħajr sustanza"" u l-IPCC kien investiga l-allegati żbalji l-oħr"&amp;"a l-oħra, li kienu ""ġeneralment infondati u marġinali wkoll għall-valutazzjoni"".")</f>
        <v>L-ex president tal-IPCC Robert Watson qal li "l-iżbalji kollha jidhru li marru fid-direzzjoni li jidhru li t-tibdil fil-klima huwa iktar serju billi jnissel l-impatt. Dan huwa inkwetanti. L-IPCC jeħtieġ li jħares lejn din ix-xejra fl-iżbalji u jistaqsu Għaliex ġara ". Martin Parry, espert fil-klima li kien ko-president tal-Grupp ta 'Ħidma II tal-IPCC, qal li "dak li beda bi żball wieħed sfortunat fuq il-glaċieri tal-Ħimalaja sar clamor mingħajr sustanza" u l-IPCC kien investiga l-allegati żbalji l-oħra l-oħra, li kienu "ġeneralment infondati u marġinali wkoll għall-valutazzjoni".</v>
      </c>
    </row>
    <row r="12831" ht="15.75" customHeight="1">
      <c r="A12831" s="2" t="s">
        <v>12831</v>
      </c>
      <c r="B12831" s="2" t="str">
        <f>IFERROR(__xludf.DUMMYFUNCTION("GOOGLETRANSLATE(A12831, ""en"", ""mt"")"),"Att dwar il-Kostituzzjoni tar-Rabat 1855")</f>
        <v>Att dwar il-Kostituzzjoni tar-Rabat 1855</v>
      </c>
    </row>
    <row r="12832" ht="15.75" customHeight="1">
      <c r="A12832" s="2" t="s">
        <v>12832</v>
      </c>
      <c r="B12832" s="2" t="str">
        <f>IFERROR(__xludf.DUMMYFUNCTION("GOOGLETRANSLATE(A12832, ""en"", ""mt"")"),"X'Jirrifjutaw il-Votanti fl-1967")</f>
        <v>X'Jirrifjutaw il-Votanti fl-1967</v>
      </c>
    </row>
    <row r="12833" ht="15.75" customHeight="1">
      <c r="A12833" s="2" t="s">
        <v>12833</v>
      </c>
      <c r="B12833" s="2" t="str">
        <f>IFERROR(__xludf.DUMMYFUNCTION("GOOGLETRANSLATE(A12833, ""en"", ""mt"")"),"Għal xiex kien imsemmi Jacksonville qabel il-konsolidazzjoni?")</f>
        <v>Għal xiex kien imsemmi Jacksonville qabel il-konsolidazzjoni?</v>
      </c>
    </row>
    <row r="12834" ht="15.75" customHeight="1">
      <c r="A12834" s="2" t="s">
        <v>12834</v>
      </c>
      <c r="B12834" s="2" t="str">
        <f>IFERROR(__xludf.DUMMYFUNCTION("GOOGLETRANSLATE(A12834, ""en"", ""mt"")"),"tisħin addizzjonali tal-wiċċ tad-dinja")</f>
        <v>tisħin addizzjonali tal-wiċċ tad-dinja</v>
      </c>
    </row>
    <row r="12835" ht="15.75" customHeight="1">
      <c r="A12835" s="2" t="s">
        <v>12835</v>
      </c>
      <c r="B12835" s="2" t="str">
        <f>IFERROR(__xludf.DUMMYFUNCTION("GOOGLETRANSLATE(A12835, ""en"", ""mt"")"),"X'inhu t-tieni l-iktar element abbundanti?")</f>
        <v>X'inhu t-tieni l-iktar element abbundanti?</v>
      </c>
    </row>
    <row r="12836" ht="15.75" customHeight="1">
      <c r="A12836" s="2" t="s">
        <v>12836</v>
      </c>
      <c r="B12836" s="2" t="str">
        <f>IFERROR(__xludf.DUMMYFUNCTION("GOOGLETRANSLATE(A12836, ""en"", ""mt"")"),"Liema kwistjoni finanzjarja hija notorjament prevalenti fil-qasam tal-kostruzzjoni?")</f>
        <v>Liema kwistjoni finanzjarja hija notorjament prevalenti fil-qasam tal-kostruzzjoni?</v>
      </c>
    </row>
    <row r="12837" ht="15.75" customHeight="1">
      <c r="A12837" s="2" t="s">
        <v>12837</v>
      </c>
      <c r="B12837" s="2" t="str">
        <f>IFERROR(__xludf.DUMMYFUNCTION("GOOGLETRANSLATE(A12837, ""en"", ""mt"")"),"agħar")</f>
        <v>agħar</v>
      </c>
    </row>
    <row r="12838" ht="15.75" customHeight="1">
      <c r="A12838" s="2" t="s">
        <v>12838</v>
      </c>
      <c r="B12838" s="2" t="str">
        <f>IFERROR(__xludf.DUMMYFUNCTION("GOOGLETRANSLATE(A12838, ""en"", ""mt"")"),"Madwar 3,000 mil (4,800 km) bejn Ġunju u Novembru 1749.")</f>
        <v>Madwar 3,000 mil (4,800 km) bejn Ġunju u Novembru 1749.</v>
      </c>
    </row>
    <row r="12839" ht="15.75" customHeight="1">
      <c r="A12839" s="2" t="s">
        <v>12839</v>
      </c>
      <c r="B12839" s="2" t="str">
        <f>IFERROR(__xludf.DUMMYFUNCTION("GOOGLETRANSLATE(A12839, ""en"", ""mt"")"),"X'tiprezzaw il-mudelli klimatiċi se jiżdiedu daqs 0.6 gradi C fil-100 sena li ġejjin?")</f>
        <v>X'tiprezzaw il-mudelli klimatiċi se jiżdiedu daqs 0.6 gradi C fil-100 sena li ġejjin?</v>
      </c>
    </row>
    <row r="12840" ht="15.75" customHeight="1">
      <c r="A12840" s="2" t="s">
        <v>12840</v>
      </c>
      <c r="B12840" s="2" t="str">
        <f>IFERROR(__xludf.DUMMYFUNCTION("GOOGLETRANSLATE(A12840, ""en"", ""mt"")"),"Henry ta ’Navarra")</f>
        <v>Henry ta ’Navarra</v>
      </c>
    </row>
    <row r="12841" ht="15.75" customHeight="1">
      <c r="A12841" s="2" t="s">
        <v>12841</v>
      </c>
      <c r="B12841" s="2" t="str">
        <f>IFERROR(__xludf.DUMMYFUNCTION("GOOGLETRANSLATE(A12841, ""en"", ""mt"")"),"Akkademja Imperjali tal-Mediċina")</f>
        <v>Akkademja Imperjali tal-Mediċina</v>
      </c>
    </row>
    <row r="12842" ht="15.75" customHeight="1">
      <c r="A12842" s="2" t="s">
        <v>12842</v>
      </c>
      <c r="B12842" s="2" t="str">
        <f>IFERROR(__xludf.DUMMYFUNCTION("GOOGLETRANSLATE(A12842, ""en"", ""mt"")"),"il-konġettura Twin Prime")</f>
        <v>il-konġettura Twin Prime</v>
      </c>
    </row>
    <row r="12843" ht="15.75" customHeight="1">
      <c r="A12843" s="2" t="s">
        <v>12843</v>
      </c>
      <c r="B12843" s="2" t="str">
        <f>IFERROR(__xludf.DUMMYFUNCTION("GOOGLETRANSLATE(A12843, ""en"", ""mt"")"),"Canterbury")</f>
        <v>Canterbury</v>
      </c>
    </row>
    <row r="12844" ht="15.75" customHeight="1">
      <c r="A12844" s="2" t="s">
        <v>12844</v>
      </c>
      <c r="B12844" s="2" t="str">
        <f>IFERROR(__xludf.DUMMYFUNCTION("GOOGLETRANSLATE(A12844, ""en"", ""mt"")"),"Stil Art Deco")</f>
        <v>Stil Art Deco</v>
      </c>
    </row>
    <row r="12845" ht="15.75" customHeight="1">
      <c r="A12845" s="2" t="s">
        <v>12845</v>
      </c>
      <c r="B12845" s="2" t="str">
        <f>IFERROR(__xludf.DUMMYFUNCTION("GOOGLETRANSLATE(A12845, ""en"", ""mt"")"),"Sherwood Boehlert, President tal-Kumitat tax-Xjenza tal-Kamra")</f>
        <v>Sherwood Boehlert, President tal-Kumitat tax-Xjenza tal-Kamra</v>
      </c>
    </row>
    <row r="12846" ht="15.75" customHeight="1">
      <c r="A12846" s="2" t="s">
        <v>12846</v>
      </c>
      <c r="B12846" s="2" t="str">
        <f>IFERROR(__xludf.DUMMYFUNCTION("GOOGLETRANSLATE(A12846, ""en"", ""mt"")"),"X'tip ta 'gwerra ċivili ġiet miġġielda bejn kmandanti tal-gwerra politiċi u tribali?")</f>
        <v>X'tip ta 'gwerra ċivili ġiet miġġielda bejn kmandanti tal-gwerra politiċi u tribali?</v>
      </c>
    </row>
    <row r="12847" ht="15.75" customHeight="1">
      <c r="A12847" s="2" t="s">
        <v>12847</v>
      </c>
      <c r="B12847" s="2" t="str">
        <f>IFERROR(__xludf.DUMMYFUNCTION("GOOGLETRANSLATE(A12847, ""en"", ""mt"")"),"Tnaqqis fil-prezz tax-xogħol tas-sengħa")</f>
        <v>Tnaqqis fil-prezz tax-xogħol tas-sengħa</v>
      </c>
    </row>
    <row r="12848" ht="15.75" customHeight="1">
      <c r="A12848" s="2" t="s">
        <v>12848</v>
      </c>
      <c r="B12848" s="2" t="str">
        <f>IFERROR(__xludf.DUMMYFUNCTION("GOOGLETRANSLATE(A12848, ""en"", ""mt"")"),"Liema kliem huma miktuba fuq il-Mace tal-Parlament?")</f>
        <v>Liema kliem huma miktuba fuq il-Mace tal-Parlament?</v>
      </c>
    </row>
    <row r="12849" ht="15.75" customHeight="1">
      <c r="A12849" s="2" t="s">
        <v>12849</v>
      </c>
      <c r="B12849" s="2" t="str">
        <f>IFERROR(__xludf.DUMMYFUNCTION("GOOGLETRANSLATE(A12849, ""en"", ""mt"")"),"Għal xiex skużat l-IPCC?")</f>
        <v>Għal xiex skużat l-IPCC?</v>
      </c>
    </row>
    <row r="12850" ht="15.75" customHeight="1">
      <c r="A12850" s="2" t="s">
        <v>12850</v>
      </c>
      <c r="B12850" s="2" t="str">
        <f>IFERROR(__xludf.DUMMYFUNCTION("GOOGLETRANSLATE(A12850, ""en"", ""mt"")"),"X'inhuma r-riżervi totali ta 'għajnuna finanzjarja ta' Harvard?")</f>
        <v>X'inhuma r-riżervi totali ta 'għajnuna finanzjarja ta' Harvard?</v>
      </c>
    </row>
    <row r="12851" ht="15.75" customHeight="1">
      <c r="A12851" s="2" t="s">
        <v>12851</v>
      </c>
      <c r="B12851" s="2" t="str">
        <f>IFERROR(__xludf.DUMMYFUNCTION("GOOGLETRANSLATE(A12851, ""en"", ""mt"")"),"L-Oude Maas")</f>
        <v>L-Oude Maas</v>
      </c>
    </row>
    <row r="12852" ht="15.75" customHeight="1">
      <c r="A12852" s="2" t="s">
        <v>12852</v>
      </c>
      <c r="B12852" s="2" t="str">
        <f>IFERROR(__xludf.DUMMYFUNCTION("GOOGLETRANSLATE(A12852, ""en"", ""mt"")"),"It-tieni u t-tielet ġirja")</f>
        <v>It-tieni u t-tielet ġirja</v>
      </c>
    </row>
    <row r="12853" ht="15.75" customHeight="1">
      <c r="A12853" s="2" t="s">
        <v>12853</v>
      </c>
      <c r="B12853" s="2" t="str">
        <f>IFERROR(__xludf.DUMMYFUNCTION("GOOGLETRANSLATE(A12853, ""en"", ""mt"")"),"F'liema sena ġie vvintat l-ewwel apparat kummerċjali li jaħdem bil-fwar?")</f>
        <v>F'liema sena ġie vvintat l-ewwel apparat kummerċjali li jaħdem bil-fwar?</v>
      </c>
    </row>
    <row r="12854" ht="15.75" customHeight="1">
      <c r="A12854" s="2" t="s">
        <v>12854</v>
      </c>
      <c r="B12854" s="2" t="str">
        <f>IFERROR(__xludf.DUMMYFUNCTION("GOOGLETRANSLATE(A12854, ""en"", ""mt"")"),"Fil-modalità mingħajr konnessjoni kull pakkett jinkludi informazzjoni kompluta dwar l-indirizzar. Il-pakketti huma mgħoddija individwalment, u xi kultant jirriżultaw fi mogħdijiet differenti u kunsinna barra mill-ordni. Kull pakkett huwa ttikkettjat b'ind"&amp;"irizz ta 'destinazzjoni, indirizz tas-sors, u numri tal-port. Jista 'jkun ukoll ittikkettat bin-numru tas-sekwenza tal-pakkett. Dan jipprekludi l-ħtieġa għal triq iddedikata biex tgħin lill-pakkett isib triqtu lejn id-destinazzjoni tiegħu, iżda jfisser li"&amp;" hemm bżonn ta 'ħafna aktar informazzjoni fl-intestatura tal-pakkett, li hija għalhekk ikbar, u din l-informazzjoni teħtieġ li titħares fil-kontenut bil-ġuħ tal-enerġija Memorja Addressabbli. Kull pakkett jintbagħat u jista 'jmur permezz ta' rotot differe"&amp;"nti; Potenzjalment, is-sistema trid tagħmel daqshekk xogħol għal kull pakkett kif is-sistema orjentata lejn il-konnessjoni għandha tagħmel f'konnessjoni stabbilita, iżda b'inqas informazzjoni dwar ir-rekwiżiti tal-applikazzjoni. Fid-destinazzjoni, il-mess"&amp;"aġġ / dejta oriġinali huwa mmuntat mill-ġdid fl-ordni korretta, ibbażat fuq in-numru tas-sekwenza tal-pakketti. Għalhekk konnessjoni virtwali, magħrufa wkoll bħala ċirkwit virtwali jew fluss ta 'byte hija pprovduta lill-utent aħħari minn protokoll ta' saf"&amp;"f tat-trasport, għalkemm l-għoqiedi tan-netwerk intermedju jipprovdi biss servizz ta 'saff ta' netwerk mingħajr konnessjoni.")</f>
        <v>Fil-modalità mingħajr konnessjoni kull pakkett jinkludi informazzjoni kompluta dwar l-indirizzar. Il-pakketti huma mgħoddija individwalment, u xi kultant jirriżultaw fi mogħdijiet differenti u kunsinna barra mill-ordni. Kull pakkett huwa ttikkettjat b'indirizz ta 'destinazzjoni, indirizz tas-sors, u numri tal-port. Jista 'jkun ukoll ittikkettat bin-numru tas-sekwenza tal-pakkett. Dan jipprekludi l-ħtieġa għal triq iddedikata biex tgħin lill-pakkett isib triqtu lejn id-destinazzjoni tiegħu, iżda jfisser li hemm bżonn ta 'ħafna aktar informazzjoni fl-intestatura tal-pakkett, li hija għalhekk ikbar, u din l-informazzjoni teħtieġ li titħares fil-kontenut bil-ġuħ tal-enerġija Memorja Addressabbli. Kull pakkett jintbagħat u jista 'jmur permezz ta' rotot differenti; Potenzjalment, is-sistema trid tagħmel daqshekk xogħol għal kull pakkett kif is-sistema orjentata lejn il-konnessjoni għandha tagħmel f'konnessjoni stabbilita, iżda b'inqas informazzjoni dwar ir-rekwiżiti tal-applikazzjoni. Fid-destinazzjoni, il-messaġġ / dejta oriġinali huwa mmuntat mill-ġdid fl-ordni korretta, ibbażat fuq in-numru tas-sekwenza tal-pakketti. Għalhekk konnessjoni virtwali, magħrufa wkoll bħala ċirkwit virtwali jew fluss ta 'byte hija pprovduta lill-utent aħħari minn protokoll ta' saff tat-trasport, għalkemm l-għoqiedi tan-netwerk intermedju jipprovdi biss servizz ta 'saff ta' netwerk mingħajr konnessjoni.</v>
      </c>
    </row>
    <row r="12855" ht="15.75" customHeight="1">
      <c r="A12855" s="2" t="s">
        <v>12855</v>
      </c>
      <c r="B12855" s="2" t="str">
        <f>IFERROR(__xludf.DUMMYFUNCTION("GOOGLETRANSLATE(A12855, ""en"", ""mt"")"),"N - S")</f>
        <v>N - S</v>
      </c>
    </row>
    <row r="12856" ht="15.75" customHeight="1">
      <c r="A12856" s="2" t="s">
        <v>12856</v>
      </c>
      <c r="B12856" s="2" t="str">
        <f>IFERROR(__xludf.DUMMYFUNCTION("GOOGLETRANSLATE(A12856, ""en"", ""mt"")"),"Sforzi speċjali")</f>
        <v>Sforzi speċjali</v>
      </c>
    </row>
    <row r="12857" ht="15.75" customHeight="1">
      <c r="A12857" s="2" t="s">
        <v>12857</v>
      </c>
      <c r="B12857" s="2" t="str">
        <f>IFERROR(__xludf.DUMMYFUNCTION("GOOGLETRANSLATE(A12857, ""en"", ""mt"")"),"Kalifat")</f>
        <v>Kalifat</v>
      </c>
    </row>
    <row r="12858" ht="15.75" customHeight="1">
      <c r="A12858" s="2" t="s">
        <v>12858</v>
      </c>
      <c r="B12858" s="2" t="str">
        <f>IFERROR(__xludf.DUMMYFUNCTION("GOOGLETRANSLATE(A12858, ""en"", ""mt"")"),"Kemm huwa Fresno minn Los Angeles?")</f>
        <v>Kemm huwa Fresno minn Los Angeles?</v>
      </c>
    </row>
    <row r="12859" ht="15.75" customHeight="1">
      <c r="A12859" s="2" t="s">
        <v>12859</v>
      </c>
      <c r="B12859" s="2" t="str">
        <f>IFERROR(__xludf.DUMMYFUNCTION("GOOGLETRANSLATE(A12859, ""en"", ""mt"")"),"Depressurizzazzjoni tal-kabina")</f>
        <v>Depressurizzazzjoni tal-kabina</v>
      </c>
    </row>
    <row r="12860" ht="15.75" customHeight="1">
      <c r="A12860" s="2" t="s">
        <v>12860</v>
      </c>
      <c r="B12860" s="2" t="str">
        <f>IFERROR(__xludf.DUMMYFUNCTION("GOOGLETRANSLATE(A12860, ""en"", ""mt"")"),"760 mm (2 ft 6 in) Linji ta 'gauge dojoq")</f>
        <v>760 mm (2 ft 6 in) Linji ta 'gauge dojoq</v>
      </c>
    </row>
    <row r="12861" ht="15.75" customHeight="1">
      <c r="A12861" s="2" t="s">
        <v>12861</v>
      </c>
      <c r="B12861" s="2" t="str">
        <f>IFERROR(__xludf.DUMMYFUNCTION("GOOGLETRANSLATE(A12861, ""en"", ""mt"")"),"Fil-livell A, liema persentaġġ ta 'studenti Ingliżi jattendu skejjel li jħallsu l-miżati?")</f>
        <v>Fil-livell A, liema persentaġġ ta 'studenti Ingliżi jattendu skejjel li jħallsu l-miżati?</v>
      </c>
    </row>
    <row r="12862" ht="15.75" customHeight="1">
      <c r="A12862" s="2" t="s">
        <v>12862</v>
      </c>
      <c r="B12862" s="2" t="str">
        <f>IFERROR(__xludf.DUMMYFUNCTION("GOOGLETRANSLATE(A12862, ""en"", ""mt"")"),"Min aċċetta li jiffirma l-karta soċjali u kien eżentat mil-leġiżlazzjoni li tkopri kwistjonijiet ta 'charter soċjali?")</f>
        <v>Min aċċetta li jiffirma l-karta soċjali u kien eżentat mil-leġiżlazzjoni li tkopri kwistjonijiet ta 'charter soċjali?</v>
      </c>
    </row>
    <row r="12863" ht="15.75" customHeight="1">
      <c r="A12863" s="2" t="s">
        <v>12863</v>
      </c>
      <c r="B12863" s="2" t="str">
        <f>IFERROR(__xludf.DUMMYFUNCTION("GOOGLETRANSLATE(A12863, ""en"", ""mt"")"),"50,000")</f>
        <v>50,000</v>
      </c>
    </row>
    <row r="12864" ht="15.75" customHeight="1">
      <c r="A12864" s="2" t="s">
        <v>12864</v>
      </c>
      <c r="B12864" s="2" t="str">
        <f>IFERROR(__xludf.DUMMYFUNCTION("GOOGLETRANSLATE(A12864, ""en"", ""mt"")"),"Liema proteini jintużaw minn ftit organiżmi?")</f>
        <v>Liema proteini jintużaw minn ftit organiżmi?</v>
      </c>
    </row>
    <row r="12865" ht="15.75" customHeight="1">
      <c r="A12865" s="2" t="s">
        <v>12865</v>
      </c>
      <c r="B12865" s="2" t="str">
        <f>IFERROR(__xludf.DUMMYFUNCTION("GOOGLETRANSLATE(A12865, ""en"", ""mt"")"),"1964 u 1968")</f>
        <v>1964 u 1968</v>
      </c>
    </row>
    <row r="12866" ht="15.75" customHeight="1">
      <c r="A12866" s="2" t="s">
        <v>12866</v>
      </c>
      <c r="B12866" s="2" t="str">
        <f>IFERROR(__xludf.DUMMYFUNCTION("GOOGLETRANSLATE(A12866, ""en"", ""mt"")"),"Dak li ħoloq router jew server ċentralizzat?")</f>
        <v>Dak li ħoloq router jew server ċentralizzat?</v>
      </c>
    </row>
    <row r="12867" ht="15.75" customHeight="1">
      <c r="A12867" s="2" t="s">
        <v>12867</v>
      </c>
      <c r="B12867" s="2" t="str">
        <f>IFERROR(__xludf.DUMMYFUNCTION("GOOGLETRANSLATE(A12867, ""en"", ""mt"")"),"Rijn")</f>
        <v>Rijn</v>
      </c>
    </row>
    <row r="12868" ht="15.75" customHeight="1">
      <c r="A12868" s="2" t="s">
        <v>12868</v>
      </c>
      <c r="B12868" s="2" t="str">
        <f>IFERROR(__xludf.DUMMYFUNCTION("GOOGLETRANSLATE(A12868, ""en"", ""mt"")"),"Għal kemm dam Huguenots kompla juża ismijiet Franċiżi?")</f>
        <v>Għal kemm dam Huguenots kompla juża ismijiet Franċiżi?</v>
      </c>
    </row>
    <row r="12869" ht="15.75" customHeight="1">
      <c r="A12869" s="2" t="s">
        <v>12869</v>
      </c>
      <c r="B12869" s="2" t="str">
        <f>IFERROR(__xludf.DUMMYFUNCTION("GOOGLETRANSLATE(A12869, ""en"", ""mt"")"),"X’jikkawża li r-rispons intrinsiku jiġi diżarmat?")</f>
        <v>X’jikkawża li r-rispons intrinsiku jiġi diżarmat?</v>
      </c>
    </row>
    <row r="12870" ht="15.75" customHeight="1">
      <c r="A12870" s="2" t="s">
        <v>12870</v>
      </c>
      <c r="B12870" s="2" t="str">
        <f>IFERROR(__xludf.DUMMYFUNCTION("GOOGLETRANSLATE(A12870, ""en"", ""mt"")"),"Fejn ma kienx hemm dgħjufija fil-katina tal-provvista Ingliża?")</f>
        <v>Fejn ma kienx hemm dgħjufija fil-katina tal-provvista Ingliża?</v>
      </c>
    </row>
    <row r="12871" ht="15.75" customHeight="1">
      <c r="A12871" s="2" t="s">
        <v>12871</v>
      </c>
      <c r="B12871" s="2" t="str">
        <f>IFERROR(__xludf.DUMMYFUNCTION("GOOGLETRANSLATE(A12871, ""en"", ""mt"")"),"Min waqqaf l-Uffiċċju tal-Mediċina tal-Lvant?")</f>
        <v>Min waqqaf l-Uffiċċju tal-Mediċina tal-Lvant?</v>
      </c>
    </row>
    <row r="12872" ht="15.75" customHeight="1">
      <c r="A12872" s="2" t="s">
        <v>12872</v>
      </c>
      <c r="B12872" s="2" t="str">
        <f>IFERROR(__xludf.DUMMYFUNCTION("GOOGLETRANSLATE(A12872, ""en"", ""mt"")"),"X'inhu r-riżultat ta 'ribelljoni skond id-Dizzjunarju tal-Liġi ta' l-Iswed?")</f>
        <v>X'inhu r-riżultat ta 'ribelljoni skond id-Dizzjunarju tal-Liġi ta' l-Iswed?</v>
      </c>
    </row>
    <row r="12873" ht="15.75" customHeight="1">
      <c r="A12873" s="2" t="s">
        <v>12873</v>
      </c>
      <c r="B12873" s="2" t="str">
        <f>IFERROR(__xludf.DUMMYFUNCTION("GOOGLETRANSLATE(A12873, ""en"", ""mt"")"),"Kunsill Reġjonali Lothian dwar George IV Bridge")</f>
        <v>Kunsill Reġjonali Lothian dwar George IV Bridge</v>
      </c>
    </row>
    <row r="12874" ht="15.75" customHeight="1">
      <c r="A12874" s="2" t="s">
        <v>12874</v>
      </c>
      <c r="B12874" s="2" t="str">
        <f>IFERROR(__xludf.DUMMYFUNCTION("GOOGLETRANSLATE(A12874, ""en"", ""mt"")"),"Xi tfisser kritikament għax-xejn?")</f>
        <v>Xi tfisser kritikament għax-xejn?</v>
      </c>
    </row>
    <row r="12875" ht="15.75" customHeight="1">
      <c r="A12875" s="2" t="s">
        <v>12875</v>
      </c>
      <c r="B12875" s="2" t="str">
        <f>IFERROR(__xludf.DUMMYFUNCTION("GOOGLETRANSLATE(A12875, ""en"", ""mt"")"),"vjolenza")</f>
        <v>vjolenza</v>
      </c>
    </row>
    <row r="12876" ht="15.75" customHeight="1">
      <c r="A12876" s="2" t="s">
        <v>12876</v>
      </c>
      <c r="B12876" s="2" t="str">
        <f>IFERROR(__xludf.DUMMYFUNCTION("GOOGLETRANSLATE(A12876, ""en"", ""mt"")"),"Kemm tappoġġja l-evidenza għall-fehma li l-flessibilità tas-suq tax-xogħol ittejjeb ir-riżultati tas-suq tax-xogħol?")</f>
        <v>Kemm tappoġġja l-evidenza għall-fehma li l-flessibilità tas-suq tax-xogħol ittejjeb ir-riżultati tas-suq tax-xogħol?</v>
      </c>
    </row>
    <row r="12877" ht="15.75" customHeight="1">
      <c r="A12877" s="2" t="s">
        <v>12877</v>
      </c>
      <c r="B12877" s="2" t="str">
        <f>IFERROR(__xludf.DUMMYFUNCTION("GOOGLETRANSLATE(A12877, ""en"", ""mt"")"),"Aqbad it-TV")</f>
        <v>Aqbad it-TV</v>
      </c>
    </row>
    <row r="12878" ht="15.75" customHeight="1">
      <c r="A12878" s="2" t="s">
        <v>12878</v>
      </c>
      <c r="B12878" s="2" t="str">
        <f>IFERROR(__xludf.DUMMYFUNCTION("GOOGLETRANSLATE(A12878, ""en"", ""mt"")"),"Liema Teorema tiddikjara li kull numru sħiħ kbir jista 'jinkiteb bħala prim fil-qosor ma' semiprime?")</f>
        <v>Liema Teorema tiddikjara li kull numru sħiħ kbir jista 'jinkiteb bħala prim fil-qosor ma' semiprime?</v>
      </c>
    </row>
    <row r="12879" ht="15.75" customHeight="1">
      <c r="A12879" s="2" t="s">
        <v>12879</v>
      </c>
      <c r="B12879" s="2" t="str">
        <f>IFERROR(__xludf.DUMMYFUNCTION("GOOGLETRANSLATE(A12879, ""en"", ""mt"")"),"F'liema prattika jidħlu xi spiżeriji fuq l-internet?")</f>
        <v>F'liema prattika jidħlu xi spiżeriji fuq l-internet?</v>
      </c>
    </row>
    <row r="12880" ht="15.75" customHeight="1">
      <c r="A12880" s="2" t="s">
        <v>12880</v>
      </c>
      <c r="B12880" s="2" t="str">
        <f>IFERROR(__xludf.DUMMYFUNCTION("GOOGLETRANSLATE(A12880, ""en"", ""mt"")"),"""Villes de Sûreté""")</f>
        <v>"Villes de Sûreté"</v>
      </c>
    </row>
    <row r="12881" ht="15.75" customHeight="1">
      <c r="A12881" s="2" t="s">
        <v>12881</v>
      </c>
      <c r="B12881" s="2" t="str">
        <f>IFERROR(__xludf.DUMMYFUNCTION("GOOGLETRANSLATE(A12881, ""en"", ""mt"")"),"Għal min kien jismu Yersinia Pestis?")</f>
        <v>Għal min kien jismu Yersinia Pestis?</v>
      </c>
    </row>
    <row r="12882" ht="15.75" customHeight="1">
      <c r="A12882" s="2" t="s">
        <v>12882</v>
      </c>
      <c r="B12882" s="2" t="str">
        <f>IFERROR(__xludf.DUMMYFUNCTION("GOOGLETRANSLATE(A12882, ""en"", ""mt"")"),"325")</f>
        <v>325</v>
      </c>
    </row>
    <row r="12883" ht="15.75" customHeight="1">
      <c r="A12883" s="2" t="s">
        <v>12883</v>
      </c>
      <c r="B12883" s="2" t="str">
        <f>IFERROR(__xludf.DUMMYFUNCTION("GOOGLETRANSLATE(A12883, ""en"", ""mt"")"),"X'inhuma magħrufa ċ-ċelloli bojod tad-demm?")</f>
        <v>X'inhuma magħrufa ċ-ċelloli bojod tad-demm?</v>
      </c>
    </row>
    <row r="12884" ht="15.75" customHeight="1">
      <c r="A12884" s="2" t="s">
        <v>12884</v>
      </c>
      <c r="B12884" s="2" t="str">
        <f>IFERROR(__xludf.DUMMYFUNCTION("GOOGLETRANSLATE(A12884, ""en"", ""mt"")"),"Oġġetti tridimensjonali")</f>
        <v>Oġġetti tridimensjonali</v>
      </c>
    </row>
    <row r="12885" ht="15.75" customHeight="1">
      <c r="A12885" s="2" t="s">
        <v>12885</v>
      </c>
      <c r="B12885" s="2" t="str">
        <f>IFERROR(__xludf.DUMMYFUNCTION("GOOGLETRANSLATE(A12885, ""en"", ""mt"")"),"90 sa 95 fil-mija")</f>
        <v>90 sa 95 fil-mija</v>
      </c>
    </row>
    <row r="12886" ht="15.75" customHeight="1">
      <c r="A12886" s="2" t="s">
        <v>12886</v>
      </c>
      <c r="B12886" s="2" t="str">
        <f>IFERROR(__xludf.DUMMYFUNCTION("GOOGLETRANSLATE(A12886, ""en"", ""mt"")"),"Liema varjazzjoni mhux magħrufa ta 'aritmetika tippreżenta problema ta' deċiżjoni li ma ġietx murija f'P?")</f>
        <v>Liema varjazzjoni mhux magħrufa ta 'aritmetika tippreżenta problema ta' deċiżjoni li ma ġietx murija f'P?</v>
      </c>
    </row>
    <row r="12887" ht="15.75" customHeight="1">
      <c r="A12887" s="2" t="s">
        <v>12887</v>
      </c>
      <c r="B12887" s="2" t="str">
        <f>IFERROR(__xludf.DUMMYFUNCTION("GOOGLETRANSLATE(A12887, ""en"", ""mt"")"),"Tony Hawk")</f>
        <v>Tony Hawk</v>
      </c>
    </row>
    <row r="12888" ht="15.75" customHeight="1">
      <c r="A12888" s="2" t="s">
        <v>12888</v>
      </c>
      <c r="B12888" s="2" t="str">
        <f>IFERROR(__xludf.DUMMYFUNCTION("GOOGLETRANSLATE(A12888, ""en"", ""mt"")"),"konkret")</f>
        <v>konkret</v>
      </c>
    </row>
    <row r="12889" ht="15.75" customHeight="1">
      <c r="A12889" s="2" t="s">
        <v>12889</v>
      </c>
      <c r="B12889" s="2" t="str">
        <f>IFERROR(__xludf.DUMMYFUNCTION("GOOGLETRANSLATE(A12889, ""en"", ""mt"")"),"F'liema sena beda William MacLure l-proċess tal-ħolqien tal-ewwel mappa ġeoloġika tal-Istati Uniti?")</f>
        <v>F'liema sena beda William MacLure l-proċess tal-ħolqien tal-ewwel mappa ġeoloġika tal-Istati Uniti?</v>
      </c>
    </row>
    <row r="12890" ht="15.75" customHeight="1">
      <c r="A12890" s="2" t="s">
        <v>12890</v>
      </c>
      <c r="B12890" s="2" t="str">
        <f>IFERROR(__xludf.DUMMYFUNCTION("GOOGLETRANSLATE(A12890, ""en"", ""mt"")"),"konfini konverġenti")</f>
        <v>konfini konverġenti</v>
      </c>
    </row>
    <row r="12891" ht="15.75" customHeight="1">
      <c r="A12891" s="2" t="s">
        <v>12891</v>
      </c>
      <c r="B12891" s="2" t="str">
        <f>IFERROR(__xludf.DUMMYFUNCTION("GOOGLETRANSLATE(A12891, ""en"", ""mt"")"),"X'inhi biċċa oħra maħluqa minn Neumes?")</f>
        <v>X'inhi biċċa oħra maħluqa minn Neumes?</v>
      </c>
    </row>
    <row r="12892" ht="15.75" customHeight="1">
      <c r="A12892" s="2" t="s">
        <v>12892</v>
      </c>
      <c r="B12892" s="2" t="str">
        <f>IFERROR(__xludf.DUMMYFUNCTION("GOOGLETRANSLATE(A12892, ""en"", ""mt"")"),"X'tagħmel l-ilma tal-oċean għall-luminixxenza minn ċerti annimali?")</f>
        <v>X'tagħmel l-ilma tal-oċean għall-luminixxenza minn ċerti annimali?</v>
      </c>
    </row>
    <row r="12893" ht="15.75" customHeight="1">
      <c r="A12893" s="2" t="s">
        <v>12893</v>
      </c>
      <c r="B12893" s="2" t="str">
        <f>IFERROR(__xludf.DUMMYFUNCTION("GOOGLETRANSLATE(A12893, ""en"", ""mt"")"),"Kemm Vittorjani huma Musulmani?")</f>
        <v>Kemm Vittorjani huma Musulmani?</v>
      </c>
    </row>
    <row r="12894" ht="15.75" customHeight="1">
      <c r="A12894" s="2" t="s">
        <v>12894</v>
      </c>
      <c r="B12894" s="2" t="str">
        <f>IFERROR(__xludf.DUMMYFUNCTION("GOOGLETRANSLATE(A12894, ""en"", ""mt"")"),"X'tip ta 'miżura hija l-kumplessità tal-komunikazzjoni mhux eżempju?")</f>
        <v>X'tip ta 'miżura hija l-kumplessità tal-komunikazzjoni mhux eżempju?</v>
      </c>
    </row>
    <row r="12895" ht="15.75" customHeight="1">
      <c r="A12895" s="2" t="s">
        <v>12895</v>
      </c>
      <c r="B12895" s="2" t="str">
        <f>IFERROR(__xludf.DUMMYFUNCTION("GOOGLETRANSLATE(A12895, ""en"", ""mt"")"),"L-imperjalizmu huwa responsabbli għat-tixrid rapidu ta 'xiex?")</f>
        <v>L-imperjalizmu huwa responsabbli għat-tixrid rapidu ta 'xiex?</v>
      </c>
    </row>
    <row r="12896" ht="15.75" customHeight="1">
      <c r="A12896" s="2" t="s">
        <v>12896</v>
      </c>
      <c r="B12896" s="2" t="str">
        <f>IFERROR(__xludf.DUMMYFUNCTION("GOOGLETRANSLATE(A12896, ""en"", ""mt"")"),"klima")</f>
        <v>klima</v>
      </c>
    </row>
    <row r="12897" ht="15.75" customHeight="1">
      <c r="A12897" s="2" t="s">
        <v>12897</v>
      </c>
      <c r="B12897" s="2" t="str">
        <f>IFERROR(__xludf.DUMMYFUNCTION("GOOGLETRANSLATE(A12897, ""en"", ""mt"")"),"X'inhi unità ta 'massa użata rarament ħafna fis-sistema metrika?")</f>
        <v>X'inhi unità ta 'massa użata rarament ħafna fis-sistema metrika?</v>
      </c>
    </row>
    <row r="12898" ht="15.75" customHeight="1">
      <c r="A12898" s="2" t="s">
        <v>12898</v>
      </c>
      <c r="B12898" s="2" t="str">
        <f>IFERROR(__xludf.DUMMYFUNCTION("GOOGLETRANSLATE(A12898, ""en"", ""mt"")"),"Count Ludwig von Nassau-Saarbrücken")</f>
        <v>Count Ludwig von Nassau-Saarbrücken</v>
      </c>
    </row>
    <row r="12899" ht="15.75" customHeight="1">
      <c r="A12899" s="2" t="s">
        <v>12899</v>
      </c>
      <c r="B12899" s="2" t="str">
        <f>IFERROR(__xludf.DUMMYFUNCTION("GOOGLETRANSLATE(A12899, ""en"", ""mt"")"),"Il-port ta 'Long Beach jappartjeni għal liema reġjun ta' Kalifornja?")</f>
        <v>Il-port ta 'Long Beach jappartjeni għal liema reġjun ta' Kalifornja?</v>
      </c>
    </row>
    <row r="12900" ht="15.75" customHeight="1">
      <c r="A12900" s="2" t="s">
        <v>12900</v>
      </c>
      <c r="B12900" s="2" t="str">
        <f>IFERROR(__xludf.DUMMYFUNCTION("GOOGLETRANSLATE(A12900, ""en"", ""mt"")"),"V8 u sitt magni taċ-ċilindru")</f>
        <v>V8 u sitt magni taċ-ċilindru</v>
      </c>
    </row>
    <row r="12901" ht="15.75" customHeight="1">
      <c r="A12901" s="2" t="s">
        <v>12901</v>
      </c>
      <c r="B12901" s="2" t="str">
        <f>IFERROR(__xludf.DUMMYFUNCTION("GOOGLETRANSLATE(A12901, ""en"", ""mt"")"),"Biex testendi l-benefiċċji tan-netwerking, għal dipartimenti tax-xjenza tal-kompjuter f'istituzzjonijiet akkademiċi u ta 'riċerka li ma jistgħux ikunu konnessi direttament ma' arpanet")</f>
        <v>Biex testendi l-benefiċċji tan-netwerking, għal dipartimenti tax-xjenza tal-kompjuter f'istituzzjonijiet akkademiċi u ta 'riċerka li ma jistgħux ikunu konnessi direttament ma' arpanet</v>
      </c>
    </row>
    <row r="12902" ht="15.75" customHeight="1">
      <c r="A12902" s="2" t="s">
        <v>12902</v>
      </c>
      <c r="B12902" s="2" t="str">
        <f>IFERROR(__xludf.DUMMYFUNCTION("GOOGLETRANSLATE(A12902, ""en"", ""mt"")"),"Minbarra x-xmajjar, x'inhi s-sedimentazzjoni tax-xmajjar?")</f>
        <v>Minbarra x-xmajjar, x'inhi s-sedimentazzjoni tax-xmajjar?</v>
      </c>
    </row>
    <row r="12903" ht="15.75" customHeight="1">
      <c r="A12903" s="2" t="s">
        <v>12903</v>
      </c>
      <c r="B12903" s="2" t="str">
        <f>IFERROR(__xludf.DUMMYFUNCTION("GOOGLETRANSLATE(A12903, ""en"", ""mt"")"),"1⁄3")</f>
        <v>1⁄3</v>
      </c>
    </row>
    <row r="12904" ht="15.75" customHeight="1">
      <c r="A12904" s="2" t="s">
        <v>12904</v>
      </c>
      <c r="B12904" s="2" t="str">
        <f>IFERROR(__xludf.DUMMYFUNCTION("GOOGLETRANSLATE(A12904, ""en"", ""mt"")"),"X'tip ta 'żwieġ interetniku sar mhux komuni fid-dinastija Jin?")</f>
        <v>X'tip ta 'żwieġ interetniku sar mhux komuni fid-dinastija Jin?</v>
      </c>
    </row>
    <row r="12905" ht="15.75" customHeight="1">
      <c r="A12905" s="2" t="s">
        <v>12905</v>
      </c>
      <c r="B12905" s="2" t="str">
        <f>IFERROR(__xludf.DUMMYFUNCTION("GOOGLETRANSLATE(A12905, ""en"", ""mt"")"),"X'inhu l-isem tal-iskema li tipprovdi tagħlim u għajnuna għall-miżati lill-istudenti minħabba l-iskrizzjoni żejda?")</f>
        <v>X'inhu l-isem tal-iskema li tipprovdi tagħlim u għajnuna għall-miżati lill-istudenti minħabba l-iskrizzjoni żejda?</v>
      </c>
    </row>
    <row r="12906" ht="15.75" customHeight="1">
      <c r="A12906" s="2" t="s">
        <v>12906</v>
      </c>
      <c r="B12906" s="2" t="str">
        <f>IFERROR(__xludf.DUMMYFUNCTION("GOOGLETRANSLATE(A12906, ""en"", ""mt"")"),"L-ekosanojdi jinkludu liema komposti li jirriżultaw fid-dilatazzjoni tad-deni u tal-bastiment tad-demm?")</f>
        <v>L-ekosanojdi jinkludu liema komposti li jirriżultaw fid-dilatazzjoni tad-deni u tal-bastiment tad-demm?</v>
      </c>
    </row>
    <row r="12907" ht="15.75" customHeight="1">
      <c r="A12907" s="2" t="s">
        <v>12907</v>
      </c>
      <c r="B12907" s="2" t="str">
        <f>IFERROR(__xludf.DUMMYFUNCTION("GOOGLETRANSLATE(A12907, ""en"", ""mt"")"),"Liema entità qanqlet it-tkabbir tal-Istazzjon Fresno?")</f>
        <v>Liema entità qanqlet it-tkabbir tal-Istazzjon Fresno?</v>
      </c>
    </row>
    <row r="12908" ht="15.75" customHeight="1">
      <c r="A12908" s="2" t="s">
        <v>12908</v>
      </c>
      <c r="B12908" s="2" t="str">
        <f>IFERROR(__xludf.DUMMYFUNCTION("GOOGLETRANSLATE(A12908, ""en"", ""mt"")"),"Bażi legali xierqa")</f>
        <v>Bażi legali xierqa</v>
      </c>
    </row>
    <row r="12909" ht="15.75" customHeight="1">
      <c r="A12909" s="2" t="s">
        <v>12909</v>
      </c>
      <c r="B12909" s="2" t="str">
        <f>IFERROR(__xludf.DUMMYFUNCTION("GOOGLETRANSLATE(A12909, ""en"", ""mt"")"),"Liema ċelloli huma t-tieni fergħa tas-sistema immuni innata?")</f>
        <v>Liema ċelloli huma t-tieni fergħa tas-sistema immuni innata?</v>
      </c>
    </row>
    <row r="12910" ht="15.75" customHeight="1">
      <c r="A12910" s="2" t="s">
        <v>12910</v>
      </c>
      <c r="B12910" s="2" t="str">
        <f>IFERROR(__xludf.DUMMYFUNCTION("GOOGLETRANSLATE(A12910, ""en"", ""mt"")"),"Liema distrett tan-negozju ieħor jagħmel il-Kontea ta 'Orange barra mill-belt ta' Santa Ana u ċ-Ċentru ta 'Newport?")</f>
        <v>Liema distrett tan-negozju ieħor jagħmel il-Kontea ta 'Orange barra mill-belt ta' Santa Ana u ċ-Ċentru ta 'Newport?</v>
      </c>
    </row>
    <row r="12911" ht="15.75" customHeight="1">
      <c r="A12911" s="2" t="s">
        <v>12911</v>
      </c>
      <c r="B12911" s="2" t="str">
        <f>IFERROR(__xludf.DUMMYFUNCTION("GOOGLETRANSLATE(A12911, ""en"", ""mt"")"),"X'għandhom il-forzi fir-rigward ta 'kwantitajiet addittivi?")</f>
        <v>X'għandhom il-forzi fir-rigward ta 'kwantitajiet addittivi?</v>
      </c>
    </row>
    <row r="12912" ht="15.75" customHeight="1">
      <c r="A12912" s="2" t="s">
        <v>12912</v>
      </c>
      <c r="B12912" s="2" t="str">
        <f>IFERROR(__xludf.DUMMYFUNCTION("GOOGLETRANSLATE(A12912, ""en"", ""mt"")"),"Ma 'min iffirma Rollo t-Trattat ta' Saint-Clair-sur-Epte?")</f>
        <v>Ma 'min iffirma Rollo t-Trattat ta' Saint-Clair-sur-Epte?</v>
      </c>
    </row>
    <row r="12913" ht="15.75" customHeight="1">
      <c r="A12913" s="2" t="s">
        <v>12913</v>
      </c>
      <c r="B12913" s="2" t="str">
        <f>IFERROR(__xludf.DUMMYFUNCTION("GOOGLETRANSLATE(A12913, ""en"", ""mt"")"),"Liema grandmaster taċ-ċess huwa wkoll alumni tal-università?")</f>
        <v>Liema grandmaster taċ-ċess huwa wkoll alumni tal-università?</v>
      </c>
    </row>
    <row r="12914" ht="15.75" customHeight="1">
      <c r="A12914" s="2" t="s">
        <v>12914</v>
      </c>
      <c r="B12914" s="2" t="str">
        <f>IFERROR(__xludf.DUMMYFUNCTION("GOOGLETRANSLATE(A12914, ""en"", ""mt"")"),"Fresno County Courthouse (imwaqqa), il-Librerija Pubblika Fresno Carnegie")</f>
        <v>Fresno County Courthouse (imwaqqa), il-Librerija Pubblika Fresno Carnegie</v>
      </c>
    </row>
    <row r="12915" ht="15.75" customHeight="1">
      <c r="A12915" s="2" t="s">
        <v>12915</v>
      </c>
      <c r="B12915" s="2" t="str">
        <f>IFERROR(__xludf.DUMMYFUNCTION("GOOGLETRANSLATE(A12915, ""en"", ""mt"")"),"Terz tal-Gżejjer tal-Paċifiku huma liema etniċità?")</f>
        <v>Terz tal-Gżejjer tal-Paċifiku huma liema etniċità?</v>
      </c>
    </row>
    <row r="12916" ht="15.75" customHeight="1">
      <c r="A12916" s="2" t="s">
        <v>12916</v>
      </c>
      <c r="B12916" s="2" t="str">
        <f>IFERROR(__xludf.DUMMYFUNCTION("GOOGLETRANSLATE(A12916, ""en"", ""mt"")"),"Kemm nies kienu jgħixu f'Konstantinopli fl-1701?")</f>
        <v>Kemm nies kienu jgħixu f'Konstantinopli fl-1701?</v>
      </c>
    </row>
    <row r="12917" ht="15.75" customHeight="1">
      <c r="A12917" s="2" t="s">
        <v>12917</v>
      </c>
      <c r="B12917" s="2" t="str">
        <f>IFERROR(__xludf.DUMMYFUNCTION("GOOGLETRANSLATE(A12917, ""en"", ""mt"")"),"X'għandhom nuqqas ta 'organiżmi uniċellulari sempliċi?")</f>
        <v>X'għandhom nuqqas ta 'organiżmi uniċellulari sempliċi?</v>
      </c>
    </row>
    <row r="12918" ht="15.75" customHeight="1">
      <c r="A12918" s="2" t="s">
        <v>12918</v>
      </c>
      <c r="B12918" s="2" t="str">
        <f>IFERROR(__xludf.DUMMYFUNCTION("GOOGLETRANSLATE(A12918, ""en"", ""mt"")"),"Għal xiex jistgħu jitilgħu l-ħlasijiet biex tattendi skola ta 'l-imbark Irlandiża?")</f>
        <v>Għal xiex jistgħu jitilgħu l-ħlasijiet biex tattendi skola ta 'l-imbark Irlandiża?</v>
      </c>
    </row>
    <row r="12919" ht="15.75" customHeight="1">
      <c r="A12919" s="2" t="s">
        <v>12919</v>
      </c>
      <c r="B12919" s="2" t="str">
        <f>IFERROR(__xludf.DUMMYFUNCTION("GOOGLETRANSLATE(A12919, ""en"", ""mt"")"),"Min kiteb dwar id-distillazzjoni tal-ilma tax-xorb mill-ilma tal-baħar?")</f>
        <v>Min kiteb dwar id-distillazzjoni tal-ilma tax-xorb mill-ilma tal-baħar?</v>
      </c>
    </row>
    <row r="12920" ht="15.75" customHeight="1">
      <c r="A12920" s="2" t="s">
        <v>12920</v>
      </c>
      <c r="B12920" s="2" t="str">
        <f>IFERROR(__xludf.DUMMYFUNCTION("GOOGLETRANSLATE(A12920, ""en"", ""mt"")"),"Meta s-Sirja u l-Eġittu nedew attakk ta ’sorpriża fuq l-Iżrael?")</f>
        <v>Meta s-Sirja u l-Eġittu nedew attakk ta ’sorpriża fuq l-Iżrael?</v>
      </c>
    </row>
    <row r="12921" ht="15.75" customHeight="1">
      <c r="A12921" s="2" t="s">
        <v>12921</v>
      </c>
      <c r="B12921" s="2" t="str">
        <f>IFERROR(__xludf.DUMMYFUNCTION("GOOGLETRANSLATE(A12921, ""en"", ""mt"")"),"Dak li jġorr ammont sinifikanti tal-fluss tar-Rhine minn Franza?")</f>
        <v>Dak li jġorr ammont sinifikanti tal-fluss tar-Rhine minn Franza?</v>
      </c>
    </row>
    <row r="12922" ht="15.75" customHeight="1">
      <c r="A12922" s="2" t="s">
        <v>12922</v>
      </c>
      <c r="B12922" s="2" t="str">
        <f>IFERROR(__xludf.DUMMYFUNCTION("GOOGLETRANSLATE(A12922, ""en"", ""mt"")")," Min flimkien mar-Russja appoġġjaw il-movimenti komunisti ta 'wara l-WW-I?")</f>
        <v> Min flimkien mar-Russja appoġġjaw il-movimenti komunisti ta 'wara l-WW-I?</v>
      </c>
    </row>
    <row r="12923" ht="15.75" customHeight="1">
      <c r="A12923" s="2" t="s">
        <v>12923</v>
      </c>
      <c r="B12923" s="2" t="str">
        <f>IFERROR(__xludf.DUMMYFUNCTION("GOOGLETRANSLATE(A12923, ""en"", ""mt"")"),"Liema liġi Norman ġiet żviluppata bejn 1000 u 1300?")</f>
        <v>Liema liġi Norman ġiet żviluppata bejn 1000 u 1300?</v>
      </c>
    </row>
    <row r="12924" ht="15.75" customHeight="1">
      <c r="A12924" s="2" t="s">
        <v>12924</v>
      </c>
      <c r="B12924" s="2" t="str">
        <f>IFERROR(__xludf.DUMMYFUNCTION("GOOGLETRANSLATE(A12924, ""en"", ""mt"")"),"Meta kienet l-aħħar epidemija ewlenija tal-Ewropa?")</f>
        <v>Meta kienet l-aħħar epidemija ewlenija tal-Ewropa?</v>
      </c>
    </row>
    <row r="12925" ht="15.75" customHeight="1">
      <c r="A12925" s="2" t="s">
        <v>12925</v>
      </c>
      <c r="B12925" s="2" t="str">
        <f>IFERROR(__xludf.DUMMYFUNCTION("GOOGLETRANSLATE(A12925, ""en"", ""mt"")"),"Min iqassam il-flus mill-fond fiduċjarju annwali?")</f>
        <v>Min iqassam il-flus mill-fond fiduċjarju annwali?</v>
      </c>
    </row>
    <row r="12926" ht="15.75" customHeight="1">
      <c r="A12926" s="2" t="s">
        <v>12926</v>
      </c>
      <c r="B12926" s="2" t="str">
        <f>IFERROR(__xludf.DUMMYFUNCTION("GOOGLETRANSLATE(A12926, ""en"", ""mt"")"),"Ctenophores u cnidarians huma kklassifikati bħala?")</f>
        <v>Ctenophores u cnidarians huma kklassifikati bħala?</v>
      </c>
    </row>
    <row r="12927" ht="15.75" customHeight="1">
      <c r="A12927" s="2" t="s">
        <v>12927</v>
      </c>
      <c r="B12927" s="2" t="str">
        <f>IFERROR(__xludf.DUMMYFUNCTION("GOOGLETRANSLATE(A12927, ""en"", ""mt"")"),"Dendriti newronali")</f>
        <v>Dendriti newronali</v>
      </c>
    </row>
    <row r="12928" ht="15.75" customHeight="1">
      <c r="A12928" s="2" t="s">
        <v>12928</v>
      </c>
      <c r="B12928" s="2" t="str">
        <f>IFERROR(__xludf.DUMMYFUNCTION("GOOGLETRANSLATE(A12928, ""en"", ""mt"")"),"Għal min huma dibattiti u laqgħat miftuħa?")</f>
        <v>Għal min huma dibattiti u laqgħat miftuħa?</v>
      </c>
    </row>
    <row r="12929" ht="15.75" customHeight="1">
      <c r="A12929" s="2" t="s">
        <v>12929</v>
      </c>
      <c r="B12929" s="2" t="str">
        <f>IFERROR(__xludf.DUMMYFUNCTION("GOOGLETRANSLATE(A12929, ""en"", ""mt"")"),"forza innata ta 'impetu")</f>
        <v>forza innata ta 'impetu</v>
      </c>
    </row>
    <row r="12930" ht="15.75" customHeight="1">
      <c r="A12930" s="2" t="s">
        <v>12930</v>
      </c>
      <c r="B12930" s="2" t="str">
        <f>IFERROR(__xludf.DUMMYFUNCTION("GOOGLETRANSLATE(A12930, ""en"", ""mt"")"),"inaqqsu")</f>
        <v>inaqqsu</v>
      </c>
    </row>
    <row r="12931" ht="15.75" customHeight="1">
      <c r="A12931" s="2" t="s">
        <v>12931</v>
      </c>
      <c r="B12931" s="2" t="str">
        <f>IFERROR(__xludf.DUMMYFUNCTION("GOOGLETRANSLATE(A12931, ""en"", ""mt"")"),"Fejn isir ħafna mix-xogħol tal-Parlament Skoċċiż?")</f>
        <v>Fejn isir ħafna mix-xogħol tal-Parlament Skoċċiż?</v>
      </c>
    </row>
    <row r="12932" ht="15.75" customHeight="1">
      <c r="A12932" s="2" t="s">
        <v>12932</v>
      </c>
      <c r="B12932" s="2" t="str">
        <f>IFERROR(__xludf.DUMMYFUNCTION("GOOGLETRANSLATE(A12932, ""en"", ""mt"")"),"Islam politiku")</f>
        <v>Islam politiku</v>
      </c>
    </row>
    <row r="12933" ht="15.75" customHeight="1">
      <c r="A12933" s="2" t="s">
        <v>12933</v>
      </c>
      <c r="B12933" s="2" t="str">
        <f>IFERROR(__xludf.DUMMYFUNCTION("GOOGLETRANSLATE(A12933, ""en"", ""mt"")"),"il-funzjonijiet tagħhom")</f>
        <v>il-funzjonijiet tagħhom</v>
      </c>
    </row>
    <row r="12934" ht="15.75" customHeight="1">
      <c r="A12934" s="2" t="s">
        <v>12934</v>
      </c>
      <c r="B12934" s="2" t="str">
        <f>IFERROR(__xludf.DUMMYFUNCTION("GOOGLETRANSLATE(A12934, ""en"", ""mt"")"),"Il-klassifikazzjoni industrijali standard u s-sistema l-aktar ġdida ta 'klassifikazzjoni tal-industrija tal-Amerika ta' Fuq għandhom sistema ta 'klassifikazzjoni għal kumpaniji li jwettqu jew inkella jidħlu fil-kostruzzjoni. Biex tirrikonoxxi d-differenzi"&amp;" tal-kumpaniji f'dan is-settur, hija maqsuma fi tliet subsetturi: kostruzzjoni tal-bini, kostruzzjoni ta 'inġinerija tqila u ċivili, u kuntratturi tal-kummerċ ta' speċjalità. Hemm ukoll kategoriji għal ditti ta 'servizzi ta' kostruzzjoni (per eżempju, inġ"&amp;"inerija, arkitettura) u maniġers ta 'kostruzzjoni (ditti involuti fil-ġestjoni ta' proġetti ta 'kostruzzjoni mingħajr ma jassumu r-responsabbiltà finanzjarja diretta għat-tlestija tal-proġett ta' kostruzzjoni).")</f>
        <v>Il-klassifikazzjoni industrijali standard u s-sistema l-aktar ġdida ta 'klassifikazzjoni tal-industrija tal-Amerika ta' Fuq għandhom sistema ta 'klassifikazzjoni għal kumpaniji li jwettqu jew inkella jidħlu fil-kostruzzjoni. Biex tirrikonoxxi d-differenzi tal-kumpaniji f'dan is-settur, hija maqsuma fi tliet subsetturi: kostruzzjoni tal-bini, kostruzzjoni ta 'inġinerija tqila u ċivili, u kuntratturi tal-kummerċ ta' speċjalità. Hemm ukoll kategoriji għal ditti ta 'servizzi ta' kostruzzjoni (per eżempju, inġinerija, arkitettura) u maniġers ta 'kostruzzjoni (ditti involuti fil-ġestjoni ta' proġetti ta 'kostruzzjoni mingħajr ma jassumu r-responsabbiltà finanzjarja diretta għat-tlestija tal-proġett ta' kostruzzjoni).</v>
      </c>
    </row>
    <row r="12935" ht="15.75" customHeight="1">
      <c r="A12935" s="2" t="s">
        <v>12935</v>
      </c>
      <c r="B12935" s="2" t="str">
        <f>IFERROR(__xludf.DUMMYFUNCTION("GOOGLETRANSLATE(A12935, ""en"", ""mt"")"),"Minbarra ż-żona metropolitana ta 'San Diego, ma' liema żona oħra huma l-komunitajiet tul l-istati 15 u 215 konnessi?")</f>
        <v>Minbarra ż-żona metropolitana ta 'San Diego, ma' liema żona oħra huma l-komunitajiet tul l-istati 15 u 215 konnessi?</v>
      </c>
    </row>
    <row r="12936" ht="15.75" customHeight="1">
      <c r="A12936" s="2" t="s">
        <v>12936</v>
      </c>
      <c r="B12936" s="2" t="str">
        <f>IFERROR(__xludf.DUMMYFUNCTION("GOOGLETRANSLATE(A12936, ""en"", ""mt"")"),"X'tip ta 'klabb huwa l-Klabb tal-Karozzi tan-Nofsinhar ta' California?")</f>
        <v>X'tip ta 'klabb huwa l-Klabb tal-Karozzi tan-Nofsinhar ta' California?</v>
      </c>
    </row>
    <row r="12937" ht="15.75" customHeight="1">
      <c r="A12937" s="2" t="s">
        <v>12937</v>
      </c>
      <c r="B12937" s="2" t="str">
        <f>IFERROR(__xludf.DUMMYFUNCTION("GOOGLETRANSLATE(A12937, ""en"", ""mt"")"),"ir-riskju għoli ta 'kunflitt ta' interess u / jew l-evitar ta 'poteri assoluti")</f>
        <v>ir-riskju għoli ta 'kunflitt ta' interess u / jew l-evitar ta 'poteri assoluti</v>
      </c>
    </row>
    <row r="12938" ht="15.75" customHeight="1">
      <c r="A12938" s="2" t="s">
        <v>12938</v>
      </c>
      <c r="B12938" s="2" t="str">
        <f>IFERROR(__xludf.DUMMYFUNCTION("GOOGLETRANSLATE(A12938, ""en"", ""mt"")"),"Kemm skejjel professjonali jikkonsistu fl-Università ta 'Tagħlim Ogħla?")</f>
        <v>Kemm skejjel professjonali jikkonsistu fl-Università ta 'Tagħlim Ogħla?</v>
      </c>
    </row>
    <row r="12939" ht="15.75" customHeight="1">
      <c r="A12939" s="2" t="s">
        <v>12939</v>
      </c>
      <c r="B12939" s="2" t="str">
        <f>IFERROR(__xludf.DUMMYFUNCTION("GOOGLETRANSLATE(A12939, ""en"", ""mt"")"),"Meta l-Moskea tal-Moskea Undercover Channel 4 ta 'Channel 4?")</f>
        <v>Meta l-Moskea tal-Moskea Undercover Channel 4 ta 'Channel 4?</v>
      </c>
    </row>
    <row r="12940" ht="15.75" customHeight="1">
      <c r="A12940" s="2" t="s">
        <v>12940</v>
      </c>
      <c r="B12940" s="2" t="str">
        <f>IFERROR(__xludf.DUMMYFUNCTION("GOOGLETRANSLATE(A12940, ""en"", ""mt"")"),"nofs daqskemm")</f>
        <v>nofs daqskemm</v>
      </c>
    </row>
    <row r="12941" ht="15.75" customHeight="1">
      <c r="A12941" s="2" t="s">
        <v>12941</v>
      </c>
      <c r="B12941" s="2" t="str">
        <f>IFERROR(__xludf.DUMMYFUNCTION("GOOGLETRANSLATE(A12941, ""en"", ""mt"")"),"Waqt l-irtirar mill-Fort William Henry, x’għamlu xi għedewwa Indjani tal-Franċiż?")</f>
        <v>Waqt l-irtirar mill-Fort William Henry, x’għamlu xi għedewwa Indjani tal-Franċiż?</v>
      </c>
    </row>
    <row r="12942" ht="15.75" customHeight="1">
      <c r="A12942" s="2" t="s">
        <v>12942</v>
      </c>
      <c r="B12942" s="2" t="str">
        <f>IFERROR(__xludf.DUMMYFUNCTION("GOOGLETRANSLATE(A12942, ""en"", ""mt"")"),"Liema pop kien nattiv tal-Ġermanja?")</f>
        <v>Liema pop kien nattiv tal-Ġermanja?</v>
      </c>
    </row>
    <row r="12943" ht="15.75" customHeight="1">
      <c r="A12943" s="2" t="s">
        <v>12943</v>
      </c>
      <c r="B12943" s="2" t="str">
        <f>IFERROR(__xludf.DUMMYFUNCTION("GOOGLETRANSLATE(A12943, ""en"", ""mt"")"),"xhur wara li ġara")</f>
        <v>xhur wara li ġara</v>
      </c>
    </row>
    <row r="12944" ht="15.75" customHeight="1">
      <c r="A12944" s="2" t="s">
        <v>12944</v>
      </c>
      <c r="B12944" s="2" t="str">
        <f>IFERROR(__xludf.DUMMYFUNCTION("GOOGLETRANSLATE(A12944, ""en"", ""mt"")"),"il-kunċett ta 'swiċċjar ta' blokka ta 'messaġġi adattivi distribwiti")</f>
        <v>il-kunċett ta 'swiċċjar ta' blokka ta 'messaġġi adattivi distribwiti</v>
      </c>
    </row>
    <row r="12945" ht="15.75" customHeight="1">
      <c r="A12945" s="2" t="s">
        <v>12945</v>
      </c>
      <c r="B12945" s="2" t="str">
        <f>IFERROR(__xludf.DUMMYFUNCTION("GOOGLETRANSLATE(A12945, ""en"", ""mt"")"),"Liema terminu juża r-Renju Unit, l-Awstralja u l-Kanada dejjem meta jirreferu għall-universitajiet?")</f>
        <v>Liema terminu juża r-Renju Unit, l-Awstralja u l-Kanada dejjem meta jirreferu għall-universitajiet?</v>
      </c>
    </row>
    <row r="12946" ht="15.75" customHeight="1">
      <c r="A12946" s="2" t="s">
        <v>12946</v>
      </c>
      <c r="B12946" s="2" t="str">
        <f>IFERROR(__xludf.DUMMYFUNCTION("GOOGLETRANSLATE(A12946, ""en"", ""mt"")"),"19 ta ’April 1943")</f>
        <v>19 ta ’April 1943</v>
      </c>
    </row>
    <row r="12947" ht="15.75" customHeight="1">
      <c r="A12947" s="2" t="s">
        <v>12947</v>
      </c>
      <c r="B12947" s="2" t="str">
        <f>IFERROR(__xludf.DUMMYFUNCTION("GOOGLETRANSLATE(A12947, ""en"", ""mt"")"),"Teatru Ewropew")</f>
        <v>Teatru Ewropew</v>
      </c>
    </row>
    <row r="12948" ht="15.75" customHeight="1">
      <c r="A12948" s="2" t="s">
        <v>12948</v>
      </c>
      <c r="B12948" s="2" t="str">
        <f>IFERROR(__xludf.DUMMYFUNCTION("GOOGLETRANSLATE(A12948, ""en"", ""mt"")"),"1550")</f>
        <v>1550</v>
      </c>
    </row>
    <row r="12949" ht="15.75" customHeight="1">
      <c r="A12949" s="2" t="s">
        <v>12949</v>
      </c>
      <c r="B12949" s="2" t="str">
        <f>IFERROR(__xludf.DUMMYFUNCTION("GOOGLETRANSLATE(A12949, ""en"", ""mt"")"),"Meta kienu n-Normanni fin-Normandija?")</f>
        <v>Meta kienu n-Normanni fin-Normandija?</v>
      </c>
    </row>
    <row r="12950" ht="15.75" customHeight="1">
      <c r="A12950" s="2" t="s">
        <v>12950</v>
      </c>
      <c r="B12950" s="2" t="str">
        <f>IFERROR(__xludf.DUMMYFUNCTION("GOOGLETRANSLATE(A12950, ""en"", ""mt"")"),"Għaliex persuna għażlet id-diżubbidjenza ċivili kontra liġijiet speċifiċi?")</f>
        <v>Għaliex persuna għażlet id-diżubbidjenza ċivili kontra liġijiet speċifiċi?</v>
      </c>
    </row>
    <row r="12951" ht="15.75" customHeight="1">
      <c r="A12951" s="2" t="s">
        <v>12951</v>
      </c>
      <c r="B12951" s="2" t="str">
        <f>IFERROR(__xludf.DUMMYFUNCTION("GOOGLETRANSLATE(A12951, ""en"", ""mt"")"),"Hi tagħti diskors li jħawwad")</f>
        <v>Hi tagħti diskors li jħawwad</v>
      </c>
    </row>
    <row r="12952" ht="15.75" customHeight="1">
      <c r="A12952" s="2" t="s">
        <v>12952</v>
      </c>
      <c r="B12952" s="2" t="str">
        <f>IFERROR(__xludf.DUMMYFUNCTION("GOOGLETRANSLATE(A12952, ""en"", ""mt"")"),"1803")</f>
        <v>1803</v>
      </c>
    </row>
    <row r="12953" ht="15.75" customHeight="1">
      <c r="A12953" s="2" t="s">
        <v>12953</v>
      </c>
      <c r="B12953" s="2" t="str">
        <f>IFERROR(__xludf.DUMMYFUNCTION("GOOGLETRANSLATE(A12953, ""en"", ""mt"")"),"X’evolvew 5.3 biljun sena ilu?")</f>
        <v>X’evolvew 5.3 biljun sena ilu?</v>
      </c>
    </row>
    <row r="12954" ht="15.75" customHeight="1">
      <c r="A12954" s="2" t="s">
        <v>12954</v>
      </c>
      <c r="B12954" s="2" t="str">
        <f>IFERROR(__xludf.DUMMYFUNCTION("GOOGLETRANSLATE(A12954, ""en"", ""mt"")"),"Il-Parlament Brittaniku")</f>
        <v>Il-Parlament Brittaniku</v>
      </c>
    </row>
    <row r="12955" ht="15.75" customHeight="1">
      <c r="A12955" s="2" t="s">
        <v>12955</v>
      </c>
      <c r="B12955" s="2" t="str">
        <f>IFERROR(__xludf.DUMMYFUNCTION("GOOGLETRANSLATE(A12955, ""en"", ""mt"")"),"Il-sirena")</f>
        <v>Il-sirena</v>
      </c>
    </row>
    <row r="12956" ht="15.75" customHeight="1">
      <c r="A12956" s="2" t="s">
        <v>12956</v>
      </c>
      <c r="B12956" s="2" t="str">
        <f>IFERROR(__xludf.DUMMYFUNCTION("GOOGLETRANSLATE(A12956, ""en"", ""mt"")"),"Il-libertà li jkomplu jaduraw fit-tradizzjoni Kattolika Rumana tagħhom, komplew is-sjieda tal-propjetà tagħhom,")</f>
        <v>Il-libertà li jkomplu jaduraw fit-tradizzjoni Kattolika Rumana tagħhom, komplew is-sjieda tal-propjetà tagħhom,</v>
      </c>
    </row>
    <row r="12957" ht="15.75" customHeight="1">
      <c r="A12957" s="2" t="s">
        <v>12957</v>
      </c>
      <c r="B12957" s="2" t="str">
        <f>IFERROR(__xludf.DUMMYFUNCTION("GOOGLETRANSLATE(A12957, ""en"", ""mt"")"),"Tbaħħir ta 'skart tossiku")</f>
        <v>Tbaħħir ta 'skart tossiku</v>
      </c>
    </row>
    <row r="12958" ht="15.75" customHeight="1">
      <c r="A12958" s="2" t="s">
        <v>12958</v>
      </c>
      <c r="B12958" s="2" t="str">
        <f>IFERROR(__xludf.DUMMYFUNCTION("GOOGLETRANSLATE(A12958, ""en"", ""mt"")"),"Kif intwera d-diżubbidjenza ċivili f'Antigone?")</f>
        <v>Kif intwera d-diżubbidjenza ċivili f'Antigone?</v>
      </c>
    </row>
    <row r="12959" ht="15.75" customHeight="1">
      <c r="A12959" s="2" t="s">
        <v>12959</v>
      </c>
      <c r="B12959" s="2" t="str">
        <f>IFERROR(__xludf.DUMMYFUNCTION("GOOGLETRANSLATE(A12959, ""en"", ""mt"")"),"F'liema tip ta 'fluwidu huma d-differenzi fil-pressjoni kkawżati mid-direzzjoni tal-forzi fuq il-gradjenti?")</f>
        <v>F'liema tip ta 'fluwidu huma d-differenzi fil-pressjoni kkawżati mid-direzzjoni tal-forzi fuq il-gradjenti?</v>
      </c>
    </row>
    <row r="12960" ht="15.75" customHeight="1">
      <c r="A12960" s="2" t="s">
        <v>12960</v>
      </c>
      <c r="B12960" s="2" t="str">
        <f>IFERROR(__xludf.DUMMYFUNCTION("GOOGLETRANSLATE(A12960, ""en"", ""mt"")"),"X'jiġri mill-plugs fużibbli taċ-ċomb jekk il-livell tal-ilma tan-nar jinżel?")</f>
        <v>X'jiġri mill-plugs fużibbli taċ-ċomb jekk il-livell tal-ilma tan-nar jinżel?</v>
      </c>
    </row>
    <row r="12961" ht="15.75" customHeight="1">
      <c r="A12961" s="2" t="s">
        <v>12961</v>
      </c>
      <c r="B12961" s="2" t="str">
        <f>IFERROR(__xludf.DUMMYFUNCTION("GOOGLETRANSLATE(A12961, ""en"", ""mt"")"),"Ir-rugby huwa wkoll sport li qed jikber fin-Nofsinhar tal-Kalifornja, partikolarment fil-livell tal-iskola għolja, b'numru dejjem jiżdied ta 'skejjel li jżidu r-rugby bħala sport uffiċjali tal-iskola.")</f>
        <v>Ir-rugby huwa wkoll sport li qed jikber fin-Nofsinhar tal-Kalifornja, partikolarment fil-livell tal-iskola għolja, b'numru dejjem jiżdied ta 'skejjel li jżidu r-rugby bħala sport uffiċjali tal-iskola.</v>
      </c>
    </row>
    <row r="12962" ht="15.75" customHeight="1">
      <c r="A12962" s="2" t="s">
        <v>12962</v>
      </c>
      <c r="B12962" s="2" t="str">
        <f>IFERROR(__xludf.DUMMYFUNCTION("GOOGLETRANSLATE(A12962, ""en"", ""mt"")"),"Liema ekonomija bdiet tikber fir-reġjun tal-bajja Greater?")</f>
        <v>Liema ekonomija bdiet tikber fir-reġjun tal-bajja Greater?</v>
      </c>
    </row>
    <row r="12963" ht="15.75" customHeight="1">
      <c r="A12963" s="2" t="s">
        <v>12963</v>
      </c>
      <c r="B12963" s="2" t="str">
        <f>IFERROR(__xludf.DUMMYFUNCTION("GOOGLETRANSLATE(A12963, ""en"", ""mt"")"),"Liema Trattat jipproteġi l-libertà tal-istabbiliment u l-libertà li jipprovdu servizzi?")</f>
        <v>Liema Trattat jipproteġi l-libertà tal-istabbiliment u l-libertà li jipprovdu servizzi?</v>
      </c>
    </row>
    <row r="12964" ht="15.75" customHeight="1">
      <c r="A12964" s="2" t="s">
        <v>12964</v>
      </c>
      <c r="B12964" s="2" t="str">
        <f>IFERROR(__xludf.DUMMYFUNCTION("GOOGLETRANSLATE(A12964, ""en"", ""mt"")"),"X’naqqsu l-awtoritajiet kolonjali minħabba l-att tal-kolonja tar-Rabat tal-1855?")</f>
        <v>X’naqqsu l-awtoritajiet kolonjali minħabba l-att tal-kolonja tar-Rabat tal-1855?</v>
      </c>
    </row>
    <row r="12965" ht="15.75" customHeight="1">
      <c r="A12965" s="2" t="s">
        <v>12965</v>
      </c>
      <c r="B12965" s="2" t="str">
        <f>IFERROR(__xludf.DUMMYFUNCTION("GOOGLETRANSLATE(A12965, ""en"", ""mt"")"),"kumpaniji kompletament separati")</f>
        <v>kumpaniji kompletament separati</v>
      </c>
    </row>
    <row r="12966" ht="15.75" customHeight="1">
      <c r="A12966" s="2" t="s">
        <v>12966</v>
      </c>
      <c r="B12966" s="2" t="str">
        <f>IFERROR(__xludf.DUMMYFUNCTION("GOOGLETRANSLATE(A12966, ""en"", ""mt"")"),"Liema entità pubblika ta 'tagħlim ħafna drabi hija fil-mira ta' diżubbidjenza ċivili?")</f>
        <v>Liema entità pubblika ta 'tagħlim ħafna drabi hija fil-mira ta' diżubbidjenza ċivili?</v>
      </c>
    </row>
    <row r="12967" ht="15.75" customHeight="1">
      <c r="A12967" s="2" t="s">
        <v>12967</v>
      </c>
      <c r="B12967" s="2" t="str">
        <f>IFERROR(__xludf.DUMMYFUNCTION("GOOGLETRANSLATE(A12967, ""en"", ""mt"")"),"Dogg lira")</f>
        <v>Dogg lira</v>
      </c>
    </row>
    <row r="12968" ht="15.75" customHeight="1">
      <c r="A12968" s="2" t="s">
        <v>12968</v>
      </c>
      <c r="B12968" s="2" t="str">
        <f>IFERROR(__xludf.DUMMYFUNCTION("GOOGLETRANSLATE(A12968, ""en"", ""mt"")"),"paramagnetiku")</f>
        <v>paramagnetiku</v>
      </c>
    </row>
    <row r="12969" ht="15.75" customHeight="1">
      <c r="A12969" s="2" t="s">
        <v>12969</v>
      </c>
      <c r="B12969" s="2" t="str">
        <f>IFERROR(__xludf.DUMMYFUNCTION("GOOGLETRANSLATE(A12969, ""en"", ""mt"")"),"fastidju")</f>
        <v>fastidju</v>
      </c>
    </row>
    <row r="12970" ht="15.75" customHeight="1">
      <c r="A12970" s="2" t="s">
        <v>12970</v>
      </c>
      <c r="B12970" s="2" t="str">
        <f>IFERROR(__xludf.DUMMYFUNCTION("GOOGLETRANSLATE(A12970, ""en"", ""mt"")"),"X'inhuma wħud mill-argumenti tax-xjenzati?")</f>
        <v>X'inhuma wħud mill-argumenti tax-xjenzati?</v>
      </c>
    </row>
    <row r="12971" ht="15.75" customHeight="1">
      <c r="A12971" s="2" t="s">
        <v>12971</v>
      </c>
      <c r="B12971" s="2" t="str">
        <f>IFERROR(__xludf.DUMMYFUNCTION("GOOGLETRANSLATE(A12971, ""en"", ""mt"")"),"X'giżviluppa Donald Davies")</f>
        <v>X'giżviluppa Donald Davies</v>
      </c>
    </row>
    <row r="12972" ht="15.75" customHeight="1">
      <c r="A12972" s="2" t="s">
        <v>12972</v>
      </c>
      <c r="B12972" s="2" t="str">
        <f>IFERROR(__xludf.DUMMYFUNCTION("GOOGLETRANSLATE(A12972, ""en"", ""mt"")"),"6 seklu QK")</f>
        <v>6 seklu QK</v>
      </c>
    </row>
    <row r="12973" ht="15.75" customHeight="1">
      <c r="A12973" s="2" t="s">
        <v>12973</v>
      </c>
      <c r="B12973" s="2" t="str">
        <f>IFERROR(__xludf.DUMMYFUNCTION("GOOGLETRANSLATE(A12973, ""en"", ""mt"")"),"Dikjarazzjonijiet kwantitattivi")</f>
        <v>Dikjarazzjonijiet kwantitattivi</v>
      </c>
    </row>
    <row r="12974" ht="15.75" customHeight="1">
      <c r="A12974" s="2" t="s">
        <v>12974</v>
      </c>
      <c r="B12974" s="2" t="str">
        <f>IFERROR(__xludf.DUMMYFUNCTION("GOOGLETRANSLATE(A12974, ""en"", ""mt"")"),"Fertilità tal-ħamrija u invażjoni tal-ħaxix ħażin")</f>
        <v>Fertilità tal-ħamrija u invażjoni tal-ħaxix ħażin</v>
      </c>
    </row>
    <row r="12975" ht="15.75" customHeight="1">
      <c r="A12975" s="2" t="s">
        <v>12975</v>
      </c>
      <c r="B12975" s="2" t="str">
        <f>IFERROR(__xludf.DUMMYFUNCTION("GOOGLETRANSLATE(A12975, ""en"", ""mt"")"),"Finanzjament pubbliku u privat wassal għal liema żvilupp?")</f>
        <v>Finanzjament pubbliku u privat wassal għal liema żvilupp?</v>
      </c>
    </row>
    <row r="12976" ht="15.75" customHeight="1">
      <c r="A12976" s="2" t="s">
        <v>12976</v>
      </c>
      <c r="B12976" s="2" t="str">
        <f>IFERROR(__xludf.DUMMYFUNCTION("GOOGLETRANSLATE(A12976, ""en"", ""mt"")"),"L-iqsar triq spazjali bejn żewġ avvenimenti spazjali-ħin.")</f>
        <v>L-iqsar triq spazjali bejn żewġ avvenimenti spazjali-ħin.</v>
      </c>
    </row>
    <row r="12977" ht="15.75" customHeight="1">
      <c r="A12977" s="2" t="s">
        <v>12977</v>
      </c>
      <c r="B12977" s="2" t="str">
        <f>IFERROR(__xludf.DUMMYFUNCTION("GOOGLETRANSLATE(A12977, ""en"", ""mt"")"),"Manuel Blum")</f>
        <v>Manuel Blum</v>
      </c>
    </row>
    <row r="12978" ht="15.75" customHeight="1">
      <c r="A12978" s="2" t="s">
        <v>12978</v>
      </c>
      <c r="B12978" s="2" t="str">
        <f>IFERROR(__xludf.DUMMYFUNCTION("GOOGLETRANSLATE(A12978, ""en"", ""mt"")"),"Billi jegħlbu ġisimhom kif ukoll mis-swat tal-moxt-rows tagħhom")</f>
        <v>Billi jegħlbu ġisimhom kif ukoll mis-swat tal-moxt-rows tagħhom</v>
      </c>
    </row>
    <row r="12979" ht="15.75" customHeight="1">
      <c r="A12979" s="2" t="s">
        <v>12979</v>
      </c>
      <c r="B12979" s="2" t="str">
        <f>IFERROR(__xludf.DUMMYFUNCTION("GOOGLETRANSLATE(A12979, ""en"", ""mt"")"),"X'inhu l-piż ta 'bushel ta' magni f'liri?")</f>
        <v>X'inhu l-piż ta 'bushel ta' magni f'liri?</v>
      </c>
    </row>
    <row r="12980" ht="15.75" customHeight="1">
      <c r="A12980" s="2" t="s">
        <v>12980</v>
      </c>
      <c r="B12980" s="2" t="str">
        <f>IFERROR(__xludf.DUMMYFUNCTION("GOOGLETRANSLATE(A12980, ""en"", ""mt"")")," Għaliex Toghun Temur approva Toghtogha?")</f>
        <v> Għaliex Toghun Temur approva Toghtogha?</v>
      </c>
    </row>
    <row r="12981" ht="15.75" customHeight="1">
      <c r="A12981" s="2" t="s">
        <v>12981</v>
      </c>
      <c r="B12981" s="2" t="str">
        <f>IFERROR(__xludf.DUMMYFUNCTION("GOOGLETRANSLATE(A12981, ""en"", ""mt"")"),"Neckar")</f>
        <v>Neckar</v>
      </c>
    </row>
    <row r="12982" ht="15.75" customHeight="1">
      <c r="A12982" s="2" t="s">
        <v>12982</v>
      </c>
      <c r="B12982" s="2" t="str">
        <f>IFERROR(__xludf.DUMMYFUNCTION("GOOGLETRANSLATE(A12982, ""en"", ""mt"")"),"Xi jfisser it-tilqima?")</f>
        <v>Xi jfisser it-tilqima?</v>
      </c>
    </row>
    <row r="12983" ht="15.75" customHeight="1">
      <c r="A12983" s="2" t="s">
        <v>12983</v>
      </c>
      <c r="B12983" s="2" t="str">
        <f>IFERROR(__xludf.DUMMYFUNCTION("GOOGLETRANSLATE(A12983, ""en"", ""mt"")"),"Sala tal-Assemblea Ġenerali tal-Knisja tal-Iskozja")</f>
        <v>Sala tal-Assemblea Ġenerali tal-Knisja tal-Iskozja</v>
      </c>
    </row>
    <row r="12984" ht="15.75" customHeight="1">
      <c r="A12984" s="2" t="s">
        <v>12984</v>
      </c>
      <c r="B12984" s="2" t="str">
        <f>IFERROR(__xludf.DUMMYFUNCTION("GOOGLETRANSLATE(A12984, ""en"", ""mt"")"),"Esperimenti fiżiċi")</f>
        <v>Esperimenti fiżiċi</v>
      </c>
    </row>
    <row r="12985" ht="15.75" customHeight="1">
      <c r="A12985" s="2" t="s">
        <v>12985</v>
      </c>
      <c r="B12985" s="2" t="str">
        <f>IFERROR(__xludf.DUMMYFUNCTION("GOOGLETRANSLATE(A12985, ""en"", ""mt"")"),"aqbad u tiġri fuq uċuħ")</f>
        <v>aqbad u tiġri fuq uċuħ</v>
      </c>
    </row>
    <row r="12986" ht="15.75" customHeight="1">
      <c r="A12986" s="2" t="s">
        <v>12986</v>
      </c>
      <c r="B12986" s="2" t="str">
        <f>IFERROR(__xludf.DUMMYFUNCTION("GOOGLETRANSLATE(A12986, ""en"", ""mt"")"),"Liema Karta saret aspett importanti tal-liġi tal-UE?")</f>
        <v>Liema Karta saret aspett importanti tal-liġi tal-UE?</v>
      </c>
    </row>
    <row r="12987" ht="15.75" customHeight="1">
      <c r="A12987" s="2" t="s">
        <v>12987</v>
      </c>
      <c r="B12987" s="2" t="str">
        <f>IFERROR(__xludf.DUMMYFUNCTION("GOOGLETRANSLATE(A12987, ""en"", ""mt"")"),"Liema persentaġġ ta 'studenti Ġermaniżi attendew skejjel privati ​​fl-2008?")</f>
        <v>Liema persentaġġ ta 'studenti Ġermaniżi attendew skejjel privati ​​fl-2008?</v>
      </c>
    </row>
    <row r="12988" ht="15.75" customHeight="1">
      <c r="A12988" s="2" t="s">
        <v>12988</v>
      </c>
      <c r="B12988" s="2" t="str">
        <f>IFERROR(__xludf.DUMMYFUNCTION("GOOGLETRANSLATE(A12988, ""en"", ""mt"")"),"Fejn hi dar tal-palm bi pjanti tropiċi mid-dinja kollha għall-wiri?")</f>
        <v>Fejn hi dar tal-palm bi pjanti tropiċi mid-dinja kollha għall-wiri?</v>
      </c>
    </row>
    <row r="12989" ht="15.75" customHeight="1">
      <c r="A12989" s="2" t="s">
        <v>12989</v>
      </c>
      <c r="B12989" s="2" t="str">
        <f>IFERROR(__xludf.DUMMYFUNCTION("GOOGLETRANSLATE(A12989, ""en"", ""mt"")"),"Kull erba 'snin")</f>
        <v>Kull erba 'snin</v>
      </c>
    </row>
    <row r="12990" ht="15.75" customHeight="1">
      <c r="A12990" s="2" t="s">
        <v>12990</v>
      </c>
      <c r="B12990" s="2" t="str">
        <f>IFERROR(__xludf.DUMMYFUNCTION("GOOGLETRANSLATE(A12990, ""en"", ""mt"")"),"Xi jfisser kull pakkett inkluż fil-modalità mingħajr konnessjoni")</f>
        <v>Xi jfisser kull pakkett inkluż fil-modalità mingħajr konnessjoni</v>
      </c>
    </row>
    <row r="12991" ht="15.75" customHeight="1">
      <c r="A12991" s="2" t="s">
        <v>12991</v>
      </c>
      <c r="B12991" s="2" t="str">
        <f>IFERROR(__xludf.DUMMYFUNCTION("GOOGLETRANSLATE(A12991, ""en"", ""mt"")"),"Kemm korpi ta 'ilma jiffurmaw il-Lag Constance?")</f>
        <v>Kemm korpi ta 'ilma jiffurmaw il-Lag Constance?</v>
      </c>
    </row>
    <row r="12992" ht="15.75" customHeight="1">
      <c r="A12992" s="2" t="s">
        <v>12992</v>
      </c>
      <c r="B12992" s="2" t="str">
        <f>IFERROR(__xludf.DUMMYFUNCTION("GOOGLETRANSLATE(A12992, ""en"", ""mt"")"),"Kummerċ tal-Port")</f>
        <v>Kummerċ tal-Port</v>
      </c>
    </row>
    <row r="12993" ht="15.75" customHeight="1">
      <c r="A12993" s="2" t="s">
        <v>12993</v>
      </c>
      <c r="B12993" s="2" t="str">
        <f>IFERROR(__xludf.DUMMYFUNCTION("GOOGLETRANSLATE(A12993, ""en"", ""mt"")"),"17")</f>
        <v>17</v>
      </c>
    </row>
    <row r="12994" ht="15.75" customHeight="1">
      <c r="A12994" s="2" t="s">
        <v>12994</v>
      </c>
      <c r="B12994" s="2" t="str">
        <f>IFERROR(__xludf.DUMMYFUNCTION("GOOGLETRANSLATE(A12994, ""en"", ""mt"")"),"X'kien effett proġettat addizzjonali tal-attentat ta 'riforma?")</f>
        <v>X'kien effett proġettat addizzjonali tal-attentat ta 'riforma?</v>
      </c>
    </row>
    <row r="12995" ht="15.75" customHeight="1">
      <c r="A12995" s="2" t="s">
        <v>12995</v>
      </c>
      <c r="B12995" s="2" t="str">
        <f>IFERROR(__xludf.DUMMYFUNCTION("GOOGLETRANSLATE(A12995, ""en"", ""mt"")"),"Meta huwa skedat it-tieni tim tal-MSL li jirritorna?")</f>
        <v>Meta huwa skedat it-tieni tim tal-MSL li jirritorna?</v>
      </c>
    </row>
    <row r="12996" ht="15.75" customHeight="1">
      <c r="A12996" s="2" t="s">
        <v>12996</v>
      </c>
      <c r="B12996" s="2" t="str">
        <f>IFERROR(__xludf.DUMMYFUNCTION("GOOGLETRANSLATE(A12996, ""en"", ""mt"")"),"Liema Teorema tiddikjara li l-interi kollha fard kbar jistgħu jiġu espressi bħala somma ta 'tliet primes?")</f>
        <v>Liema Teorema tiddikjara li l-interi kollha fard kbar jistgħu jiġu espressi bħala somma ta 'tliet primes?</v>
      </c>
    </row>
    <row r="12997" ht="15.75" customHeight="1">
      <c r="A12997" s="2" t="s">
        <v>12997</v>
      </c>
      <c r="B12997" s="2" t="str">
        <f>IFERROR(__xludf.DUMMYFUNCTION("GOOGLETRANSLATE(A12997, ""en"", ""mt"")"),"S = −2, −4, ...,")</f>
        <v>S = −2, −4, ...,</v>
      </c>
    </row>
    <row r="12998" ht="15.75" customHeight="1">
      <c r="A12998" s="2" t="s">
        <v>12998</v>
      </c>
      <c r="B12998" s="2" t="str">
        <f>IFERROR(__xludf.DUMMYFUNCTION("GOOGLETRANSLATE(A12998, ""en"", ""mt"")"),"X'kien il-gvern l-imħallef finali ta '?")</f>
        <v>X'kien il-gvern l-imħallef finali ta '?</v>
      </c>
    </row>
    <row r="12999" ht="15.75" customHeight="1">
      <c r="A12999" s="2" t="s">
        <v>12999</v>
      </c>
      <c r="B12999" s="2" t="str">
        <f>IFERROR(__xludf.DUMMYFUNCTION("GOOGLETRANSLATE(A12999, ""en"", ""mt"")"),"Liema perjodu fetaħ l-Oċean Tethys?")</f>
        <v>Liema perjodu fetaħ l-Oċean Tethys?</v>
      </c>
    </row>
    <row r="13000" ht="15.75" customHeight="1">
      <c r="A13000" s="2" t="s">
        <v>13000</v>
      </c>
      <c r="B13000" s="2" t="str">
        <f>IFERROR(__xludf.DUMMYFUNCTION("GOOGLETRANSLATE(A13000, ""en"", ""mt"")"),"Wara li Braddock miet, min ikkontrolla l-forzi Ingliżi tal-Amerika ta ’Fuq?")</f>
        <v>Wara li Braddock miet, min ikkontrolla l-forzi Ingliżi tal-Amerika ta ’Fuq?</v>
      </c>
    </row>
    <row r="13001" ht="15.75" customHeight="1">
      <c r="A13001" s="2" t="s">
        <v>13001</v>
      </c>
      <c r="B13001" s="2" t="str">
        <f>IFERROR(__xludf.DUMMYFUNCTION("GOOGLETRANSLATE(A13001, ""en"", ""mt"")"),"Kemm gradi fin-Nofsinhar il-foresta tropikali tal-Amażonja laħqet minn 66-34 MYA?")</f>
        <v>Kemm gradi fin-Nofsinhar il-foresta tropikali tal-Amażonja laħqet minn 66-34 MYA?</v>
      </c>
    </row>
    <row r="13002" ht="15.75" customHeight="1">
      <c r="A13002" s="2" t="s">
        <v>13002</v>
      </c>
      <c r="B13002" s="2" t="str">
        <f>IFERROR(__xludf.DUMMYFUNCTION("GOOGLETRANSLATE(A13002, ""en"", ""mt"")"),"91% ta 'dak li jintuża għall-biedja?")</f>
        <v>91% ta 'dak li jintuża għall-biedja?</v>
      </c>
    </row>
    <row r="13003" ht="15.75" customHeight="1">
      <c r="A13003" s="2" t="s">
        <v>13003</v>
      </c>
      <c r="B13003" s="2" t="str">
        <f>IFERROR(__xludf.DUMMYFUNCTION("GOOGLETRANSLATE(A13003, ""en"", ""mt"")"),"X'inhu d-dmir tas-CJEU?")</f>
        <v>X'inhu d-dmir tas-CJEU?</v>
      </c>
    </row>
    <row r="13004" ht="15.75" customHeight="1">
      <c r="A13004" s="2" t="s">
        <v>13004</v>
      </c>
      <c r="B13004" s="2" t="str">
        <f>IFERROR(__xludf.DUMMYFUNCTION("GOOGLETRANSLATE(A13004, ""en"", ""mt"")"),"X'inhu eliminat wara l-ekwità fil-propjetà?")</f>
        <v>X'inhu eliminat wara l-ekwità fil-propjetà?</v>
      </c>
    </row>
    <row r="13005" ht="15.75" customHeight="1">
      <c r="A13005" s="2" t="s">
        <v>13005</v>
      </c>
      <c r="B13005" s="2" t="str">
        <f>IFERROR(__xludf.DUMMYFUNCTION("GOOGLETRANSLATE(A13005, ""en"", ""mt"")"),"L-arrest tiegħu ma kien kopert fl-ebda gazzetti")</f>
        <v>L-arrest tiegħu ma kien kopert fl-ebda gazzetti</v>
      </c>
    </row>
    <row r="13006" ht="15.75" customHeight="1">
      <c r="A13006" s="2" t="s">
        <v>13006</v>
      </c>
      <c r="B13006" s="2" t="str">
        <f>IFERROR(__xludf.DUMMYFUNCTION("GOOGLETRANSLATE(A13006, ""en"", ""mt"")"),"Postijiet oħra madwar l-Iskozja")</f>
        <v>Postijiet oħra madwar l-Iskozja</v>
      </c>
    </row>
    <row r="13007" ht="15.75" customHeight="1">
      <c r="A13007" s="2" t="s">
        <v>13007</v>
      </c>
      <c r="B13007" s="2" t="str">
        <f>IFERROR(__xludf.DUMMYFUNCTION("GOOGLETRANSLATE(A13007, ""en"", ""mt"")"),"Deforestazzjoni")</f>
        <v>Deforestazzjoni</v>
      </c>
    </row>
    <row r="13008" ht="15.75" customHeight="1">
      <c r="A13008" s="2" t="s">
        <v>13008</v>
      </c>
      <c r="B13008" s="2" t="str">
        <f>IFERROR(__xludf.DUMMYFUNCTION("GOOGLETRANSLATE(A13008, ""en"", ""mt"")"),"is-sala ewlenija")</f>
        <v>is-sala ewlenija</v>
      </c>
    </row>
    <row r="13009" ht="15.75" customHeight="1">
      <c r="A13009" s="2" t="s">
        <v>13009</v>
      </c>
      <c r="B13009" s="2" t="str">
        <f>IFERROR(__xludf.DUMMYFUNCTION("GOOGLETRANSLATE(A13009, ""en"", ""mt"")"),"Teoriji dwar l-imperjalizmu ma jużawx liema pajjiż bħala mudell?")</f>
        <v>Teoriji dwar l-imperjalizmu ma jużawx liema pajjiż bħala mudell?</v>
      </c>
    </row>
    <row r="13010" ht="15.75" customHeight="1">
      <c r="A13010" s="2" t="s">
        <v>13010</v>
      </c>
      <c r="B13010" s="2" t="str">
        <f>IFERROR(__xludf.DUMMYFUNCTION("GOOGLETRANSLATE(A13010, ""en"", ""mt"")"),"ħsara")</f>
        <v>ħsara</v>
      </c>
    </row>
    <row r="13011" ht="15.75" customHeight="1">
      <c r="A13011" s="2" t="s">
        <v>13011</v>
      </c>
      <c r="B13011" s="2" t="str">
        <f>IFERROR(__xludf.DUMMYFUNCTION("GOOGLETRANSLATE(A13011, ""en"", ""mt"")"),"Landau meta ppropona l-erba 'problemi konġetturali tiegħu?")</f>
        <v>Landau meta ppropona l-erba 'problemi konġetturali tiegħu?</v>
      </c>
    </row>
    <row r="13012" ht="15.75" customHeight="1">
      <c r="A13012" s="2" t="s">
        <v>13012</v>
      </c>
      <c r="B13012" s="2" t="str">
        <f>IFERROR(__xludf.DUMMYFUNCTION("GOOGLETRANSLATE(A13012, ""en"", ""mt"")"),"151 vot")</f>
        <v>151 vot</v>
      </c>
    </row>
    <row r="13013" ht="15.75" customHeight="1">
      <c r="A13013" s="2" t="s">
        <v>13013</v>
      </c>
      <c r="B13013" s="2" t="str">
        <f>IFERROR(__xludf.DUMMYFUNCTION("GOOGLETRANSLATE(A13013, ""en"", ""mt"")"),"512-bit")</f>
        <v>512-bit</v>
      </c>
    </row>
    <row r="13014" ht="15.75" customHeight="1">
      <c r="A13014" s="2" t="s">
        <v>13014</v>
      </c>
      <c r="B13014" s="2" t="str">
        <f>IFERROR(__xludf.DUMMYFUNCTION("GOOGLETRANSLATE(A13014, ""en"", ""mt"")"),"Meta Genghis Khan sar Khan kbir?")</f>
        <v>Meta Genghis Khan sar Khan kbir?</v>
      </c>
    </row>
    <row r="13015" ht="15.75" customHeight="1">
      <c r="A13015" s="2" t="s">
        <v>13015</v>
      </c>
      <c r="B13015" s="2" t="str">
        <f>IFERROR(__xludf.DUMMYFUNCTION("GOOGLETRANSLATE(A13015, ""en"", ""mt"")"),"Fejn hi r-Renu?")</f>
        <v>Fejn hi r-Renu?</v>
      </c>
    </row>
    <row r="13016" ht="15.75" customHeight="1">
      <c r="A13016" s="2" t="s">
        <v>13016</v>
      </c>
      <c r="B13016" s="2" t="str">
        <f>IFERROR(__xludf.DUMMYFUNCTION("GOOGLETRANSLATE(A13016, ""en"", ""mt"")"),"Min jirregola l-Università ta 'Zimmer?")</f>
        <v>Min jirregola l-Università ta 'Zimmer?</v>
      </c>
    </row>
    <row r="13017" ht="15.75" customHeight="1">
      <c r="A13017" s="2" t="s">
        <v>13017</v>
      </c>
      <c r="B13017" s="2" t="str">
        <f>IFERROR(__xludf.DUMMYFUNCTION("GOOGLETRANSLATE(A13017, ""en"", ""mt"")"),"F'liema porzjon ġeografiku ta 'Wales jinsab Abercynon?")</f>
        <v>F'liema porzjon ġeografiku ta 'Wales jinsab Abercynon?</v>
      </c>
    </row>
    <row r="13018" ht="15.75" customHeight="1">
      <c r="A13018" s="2" t="s">
        <v>13018</v>
      </c>
      <c r="B13018" s="2" t="str">
        <f>IFERROR(__xludf.DUMMYFUNCTION("GOOGLETRANSLATE(A13018, ""en"",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13019" ht="15.75" customHeight="1">
      <c r="A13019" s="2" t="s">
        <v>13019</v>
      </c>
      <c r="B13019" s="2" t="str">
        <f>IFERROR(__xludf.DUMMYFUNCTION("GOOGLETRANSLATE(A13019, ""en"", ""mt"")"),"Liema teżi tispeċifika li relazzjoni trinomjali teżisti fil-kumplessitajiet tal-ħin f'mudell tal-komputazzjoni?")</f>
        <v>Liema teżi tispeċifika li relazzjoni trinomjali teżisti fil-kumplessitajiet tal-ħin f'mudell tal-komputazzjoni?</v>
      </c>
    </row>
    <row r="13020" ht="15.75" customHeight="1">
      <c r="A13020" s="2" t="s">
        <v>13020</v>
      </c>
      <c r="B13020" s="2" t="str">
        <f>IFERROR(__xludf.DUMMYFUNCTION("GOOGLETRANSLATE(A13020, ""en"", ""mt"")"),"aktar minn 4 kilometri")</f>
        <v>aktar minn 4 kilometri</v>
      </c>
    </row>
    <row r="13021" ht="15.75" customHeight="1">
      <c r="A13021" s="2" t="s">
        <v>13021</v>
      </c>
      <c r="B13021" s="2" t="str">
        <f>IFERROR(__xludf.DUMMYFUNCTION("GOOGLETRANSLATE(A13021, ""en"", ""mt"")"),"Skond Oxfam, il-85 persuna l-aktar sinjura għandhom ġid daqs kemm hemm nies medji?")</f>
        <v>Skond Oxfam, il-85 persuna l-aktar sinjura għandhom ġid daqs kemm hemm nies medji?</v>
      </c>
    </row>
    <row r="13022" ht="15.75" customHeight="1">
      <c r="A13022" s="2" t="s">
        <v>13022</v>
      </c>
      <c r="B13022" s="2" t="str">
        <f>IFERROR(__xludf.DUMMYFUNCTION("GOOGLETRANSLATE(A13022, ""en"", ""mt"")"),"Taħt il-Mongoli")</f>
        <v>Taħt il-Mongoli</v>
      </c>
    </row>
    <row r="13023" ht="15.75" customHeight="1">
      <c r="A13023" s="2" t="s">
        <v>13023</v>
      </c>
      <c r="B13023" s="2" t="str">
        <f>IFERROR(__xludf.DUMMYFUNCTION("GOOGLETRANSLATE(A13023, ""en"", ""mt"")"),"poeta")</f>
        <v>poeta</v>
      </c>
    </row>
    <row r="13024" ht="15.75" customHeight="1">
      <c r="A13024" s="2" t="s">
        <v>13024</v>
      </c>
      <c r="B13024" s="2" t="str">
        <f>IFERROR(__xludf.DUMMYFUNCTION("GOOGLETRANSLATE(A13024, ""en"", ""mt"")"),"undulating ġisimhom")</f>
        <v>undulating ġisimhom</v>
      </c>
    </row>
    <row r="13025" ht="15.75" customHeight="1">
      <c r="A13025" s="2" t="s">
        <v>13025</v>
      </c>
      <c r="B13025" s="2" t="str">
        <f>IFERROR(__xludf.DUMMYFUNCTION("GOOGLETRANSLATE(A13025, ""en"", ""mt"")"),"Kitba ta 'Ktieb ta' Ħames Volum")</f>
        <v>Kitba ta 'Ktieb ta' Ħames Volum</v>
      </c>
    </row>
    <row r="13026" ht="15.75" customHeight="1">
      <c r="A13026" s="2" t="s">
        <v>13026</v>
      </c>
      <c r="B13026" s="2" t="str">
        <f>IFERROR(__xludf.DUMMYFUNCTION("GOOGLETRANSLATE(A13026, ""en"", ""mt"")"),"Gvernatur Vaudreuil")</f>
        <v>Gvernatur Vaudreuil</v>
      </c>
    </row>
    <row r="13027" ht="15.75" customHeight="1">
      <c r="A13027" s="2" t="s">
        <v>13027</v>
      </c>
      <c r="B13027" s="2" t="str">
        <f>IFERROR(__xludf.DUMMYFUNCTION("GOOGLETRANSLATE(A13027, ""en"", ""mt"")"),"X’waqqa ’għan-Normanni fis-seklu 10?")</f>
        <v>X’waqqa ’għan-Normanni fis-seklu 10?</v>
      </c>
    </row>
    <row r="13028" ht="15.75" customHeight="1">
      <c r="A13028" s="2" t="s">
        <v>13028</v>
      </c>
      <c r="B13028" s="2" t="str">
        <f>IFERROR(__xludf.DUMMYFUNCTION("GOOGLETRANSLATE(A13028, ""en"", ""mt"")"),"Fejn waqaf Johnson?")</f>
        <v>Fejn waqaf Johnson?</v>
      </c>
    </row>
    <row r="13029" ht="15.75" customHeight="1">
      <c r="A13029" s="2" t="s">
        <v>13029</v>
      </c>
      <c r="B13029" s="2" t="str">
        <f>IFERROR(__xludf.DUMMYFUNCTION("GOOGLETRANSLATE(A13029, ""en"", ""mt"")"),"Liema kejl tal-linji tal-ferrovija jużaw żewġ linji turistiċi?")</f>
        <v>Liema kejl tal-linji tal-ferrovija jużaw żewġ linji turistiċi?</v>
      </c>
    </row>
    <row r="13030" ht="15.75" customHeight="1">
      <c r="A13030" s="2" t="s">
        <v>13030</v>
      </c>
      <c r="B13030" s="2" t="str">
        <f>IFERROR(__xludf.DUMMYFUNCTION("GOOGLETRANSLATE(A13030, ""en"", ""mt"")"),"litosfera")</f>
        <v>litosfera</v>
      </c>
    </row>
    <row r="13031" ht="15.75" customHeight="1">
      <c r="A13031" s="2" t="s">
        <v>13031</v>
      </c>
      <c r="B13031" s="2" t="str">
        <f>IFERROR(__xludf.DUMMYFUNCTION("GOOGLETRANSLATE(A13031, ""en"", ""mt"")"),"X'għandu ppreżenta problemi lill-ekonomija tan-NU aktar minn nazzjonijiet oħra?")</f>
        <v>X'għandu ppreżenta problemi lill-ekonomija tan-NU aktar minn nazzjonijiet oħra?</v>
      </c>
    </row>
    <row r="13032" ht="15.75" customHeight="1">
      <c r="A13032" s="2" t="s">
        <v>13032</v>
      </c>
      <c r="B13032" s="2" t="str">
        <f>IFERROR(__xludf.DUMMYFUNCTION("GOOGLETRANSLATE(A13032, ""en"", ""mt"")"),"Matul liema għaxar snin l-istudent tal-università kien jistrieħ?")</f>
        <v>Matul liema għaxar snin l-istudent tal-università kien jistrieħ?</v>
      </c>
    </row>
    <row r="13033" ht="15.75" customHeight="1">
      <c r="A13033" s="2" t="s">
        <v>13033</v>
      </c>
      <c r="B13033" s="2" t="str">
        <f>IFERROR(__xludf.DUMMYFUNCTION("GOOGLETRANSLATE(A13033, ""en"", ""mt"")"),"Sharia")</f>
        <v>Sharia</v>
      </c>
    </row>
    <row r="13034" ht="15.75" customHeight="1">
      <c r="A13034" s="2" t="s">
        <v>13034</v>
      </c>
      <c r="B13034" s="2" t="str">
        <f>IFERROR(__xludf.DUMMYFUNCTION("GOOGLETRANSLATE(A13034, ""en"", ""mt"")"),"Jamboree Business Parks jappartjeni għal liema ċentru tan-negozju?")</f>
        <v>Jamboree Business Parks jappartjeni għal liema ċentru tan-negozju?</v>
      </c>
    </row>
    <row r="13035" ht="15.75" customHeight="1">
      <c r="A13035" s="2" t="s">
        <v>13035</v>
      </c>
      <c r="B13035" s="2" t="str">
        <f>IFERROR(__xludf.DUMMYFUNCTION("GOOGLETRANSLATE(A13035, ""en"", ""mt"")"),"Stat")</f>
        <v>Stat</v>
      </c>
    </row>
    <row r="13036" ht="15.75" customHeight="1">
      <c r="A13036" s="2" t="s">
        <v>13036</v>
      </c>
      <c r="B13036" s="2" t="str">
        <f>IFERROR(__xludf.DUMMYFUNCTION("GOOGLETRANSLATE(A13036, ""en"", ""mt"")"),"Yuán Cháo")</f>
        <v>Yuán Cháo</v>
      </c>
    </row>
    <row r="13037" ht="15.75" customHeight="1">
      <c r="A13037" s="2" t="s">
        <v>13037</v>
      </c>
      <c r="B13037" s="2" t="str">
        <f>IFERROR(__xludf.DUMMYFUNCTION("GOOGLETRANSLATE(A13037, ""en"", ""mt"")"),"wara kolloblasti")</f>
        <v>wara kolloblasti</v>
      </c>
    </row>
    <row r="13038" ht="15.75" customHeight="1">
      <c r="A13038" s="2" t="s">
        <v>13038</v>
      </c>
      <c r="B13038" s="2" t="str">
        <f>IFERROR(__xludf.DUMMYFUNCTION("GOOGLETRANSLATE(A13038, ""en"", ""mt"")"),"Xi tħassib l-operazzjonijiet ta 'integrità ta' X.25?")</f>
        <v>Xi tħassib l-operazzjonijiet ta 'integrità ta' X.25?</v>
      </c>
    </row>
    <row r="13039" ht="15.75" customHeight="1">
      <c r="A13039" s="2" t="s">
        <v>13039</v>
      </c>
      <c r="B13039" s="2" t="str">
        <f>IFERROR(__xludf.DUMMYFUNCTION("GOOGLETRANSLATE(A13039, ""en"", ""mt"")"),"Liema qorti argumentat li t-Trattat ta 'Ruma ma waqqafx in-nazzjonaliżmu tal-enerġija?")</f>
        <v>Liema qorti argumentat li t-Trattat ta 'Ruma ma waqqafx in-nazzjonaliżmu tal-enerġija?</v>
      </c>
    </row>
    <row r="13040" ht="15.75" customHeight="1">
      <c r="A13040" s="2" t="s">
        <v>13040</v>
      </c>
      <c r="B13040" s="2" t="str">
        <f>IFERROR(__xludf.DUMMYFUNCTION("GOOGLETRANSLATE(A13040, ""en"", ""mt"")"),"Kif indipendentement ħoloq sistema separata fl-1965?")</f>
        <v>Kif indipendentement ħoloq sistema separata fl-1965?</v>
      </c>
    </row>
    <row r="13041" ht="15.75" customHeight="1">
      <c r="A13041" s="2" t="s">
        <v>13041</v>
      </c>
      <c r="B13041" s="2" t="str">
        <f>IFERROR(__xludf.DUMMYFUNCTION("GOOGLETRANSLATE(A13041, ""en"", ""mt"")"),"Liema bini mis-seklu 19 inqered bejn l-1950 u s-snin 1960?")</f>
        <v>Liema bini mis-seklu 19 inqered bejn l-1950 u s-snin 1960?</v>
      </c>
    </row>
    <row r="13042" ht="15.75" customHeight="1">
      <c r="A13042" s="2" t="s">
        <v>13042</v>
      </c>
      <c r="B13042" s="2" t="str">
        <f>IFERROR(__xludf.DUMMYFUNCTION("GOOGLETRANSLATE(A13042, ""en"", ""mt"")"),"Knisja Presbiterjana")</f>
        <v>Knisja Presbiterjana</v>
      </c>
    </row>
    <row r="13043" ht="15.75" customHeight="1">
      <c r="A13043" s="2" t="s">
        <v>13043</v>
      </c>
      <c r="B13043" s="2" t="str">
        <f>IFERROR(__xludf.DUMMYFUNCTION("GOOGLETRANSLATE(A13043, ""en"", ""mt"")"),"Meta mietu l-erba 'kalifi ġustament iggwidati?")</f>
        <v>Meta mietu l-erba 'kalifi ġustament iggwidati?</v>
      </c>
    </row>
    <row r="13044" ht="15.75" customHeight="1">
      <c r="A13044" s="2" t="s">
        <v>13044</v>
      </c>
      <c r="B13044" s="2" t="str">
        <f>IFERROR(__xludf.DUMMYFUNCTION("GOOGLETRANSLATE(A13044, ""en"", ""mt"")"),"Edukazzjoni u Taħriġ Speċjalizzat")</f>
        <v>Edukazzjoni u Taħriġ Speċjalizzat</v>
      </c>
    </row>
    <row r="13045" ht="15.75" customHeight="1">
      <c r="A13045" s="2" t="s">
        <v>13045</v>
      </c>
      <c r="B13045" s="2" t="str">
        <f>IFERROR(__xludf.DUMMYFUNCTION("GOOGLETRANSLATE(A13045, ""en"", ""mt"")"),"tul kollu")</f>
        <v>tul kollu</v>
      </c>
    </row>
    <row r="13046" ht="15.75" customHeight="1">
      <c r="A13046" s="2" t="s">
        <v>13046</v>
      </c>
      <c r="B13046" s="2" t="str">
        <f>IFERROR(__xludf.DUMMYFUNCTION("GOOGLETRANSLATE(A13046, ""en"", ""mt"")"),"374")</f>
        <v>374</v>
      </c>
    </row>
    <row r="13047" ht="15.75" customHeight="1">
      <c r="A13047" s="2" t="s">
        <v>13047</v>
      </c>
      <c r="B13047" s="2" t="str">
        <f>IFERROR(__xludf.DUMMYFUNCTION("GOOGLETRANSLATE(A13047, ""en"", ""mt"")")," Meta ma seħħitx il-kolonizzazzjoni tal-Indja?")</f>
        <v> Meta ma seħħitx il-kolonizzazzjoni tal-Indja?</v>
      </c>
    </row>
    <row r="13048" ht="15.75" customHeight="1">
      <c r="A13048" s="2" t="s">
        <v>13048</v>
      </c>
      <c r="B13048" s="2" t="str">
        <f>IFERROR(__xludf.DUMMYFUNCTION("GOOGLETRANSLATE(A13048, ""en"", ""mt"")"),"motiv għomja")</f>
        <v>motiv għomja</v>
      </c>
    </row>
    <row r="13049" ht="15.75" customHeight="1">
      <c r="A13049" s="2" t="s">
        <v>13049</v>
      </c>
      <c r="B13049" s="2" t="str">
        <f>IFERROR(__xludf.DUMMYFUNCTION("GOOGLETRANSLATE(A13049, ""en"", ""mt"")"),"għandhom ikunu appoġġjati minn evidenza xjentifika")</f>
        <v>għandhom ikunu appoġġjati minn evidenza xjentifika</v>
      </c>
    </row>
    <row r="13050" ht="15.75" customHeight="1">
      <c r="A13050" s="2" t="s">
        <v>13050</v>
      </c>
      <c r="B13050" s="2" t="str">
        <f>IFERROR(__xludf.DUMMYFUNCTION("GOOGLETRANSLATE(A13050, ""en"", ""mt"")"),"Liema artikoli tar-regolament tal-moviment liberu tal-ħaddiema stabbilixxew id-dispożizzjonijiet primarji dwar trattament ugwali tal-ħaddiema?")</f>
        <v>Liema artikoli tar-regolament tal-moviment liberu tal-ħaddiema stabbilixxew id-dispożizzjonijiet primarji dwar trattament ugwali tal-ħaddiema?</v>
      </c>
    </row>
    <row r="13051" ht="15.75" customHeight="1">
      <c r="A13051" s="2" t="s">
        <v>13051</v>
      </c>
      <c r="B13051" s="2" t="str">
        <f>IFERROR(__xludf.DUMMYFUNCTION("GOOGLETRANSLATE(A13051, ""en"", ""mt"")"),"Kif hija miktuba l-aħjar kumplessità tal-ħin bħala espressjoni?")</f>
        <v>Kif hija miktuba l-aħjar kumplessità tal-ħin bħala espressjoni?</v>
      </c>
    </row>
    <row r="13052" ht="15.75" customHeight="1">
      <c r="A13052" s="2" t="s">
        <v>13052</v>
      </c>
      <c r="B13052" s="2" t="str">
        <f>IFERROR(__xludf.DUMMYFUNCTION("GOOGLETRANSLATE(A13052, ""en"", ""mt"")"),"Ġermaniż")</f>
        <v>Ġermaniż</v>
      </c>
    </row>
    <row r="13053" ht="15.75" customHeight="1">
      <c r="A13053" s="2" t="s">
        <v>13053</v>
      </c>
      <c r="B13053" s="2" t="str">
        <f>IFERROR(__xludf.DUMMYFUNCTION("GOOGLETRANSLATE(A13053, ""en"", ""mt"")"),"Wara l-Griegi, ftit ġara bl-istudju tan-numri ewlenin sas-seklu 17. Fl-1640 Pierre de Fermat iddikjara (mingħajr prova) it-teorema żgħira ta 'Fermat (aktar tard ippruvata minn Leibniz u Euler). Fermat ikkonjetta wkoll li n-numri kollha tal-Formola 22N + 1"&amp;" huma primarji (huma msejħa Fermat Numri) u huwa vverifika dan sa n = 4 (jew 216 + 1). Madankollu, in-numru Fermat li jmiss stess 232 + 1 huwa kompost (wieħed mill-fatturi ewlenin tiegħu huwa 641), kif skopra Euler aktar tard, u fil-fatt m'hemm l-ebda num"&amp;"ri ta 'fermati oħra magħrufa. Il-monk Franċiż Marin Mersenne ħares lejn il-primes tal-forma 2p - 1, bil-P a prim. Huma msejħa Mersenne Primes fl-unur tiegħu.")</f>
        <v>Wara l-Griegi, ftit ġara bl-istudju tan-numri ewlenin sas-seklu 17. Fl-1640 Pierre de Fermat iddikjara (mingħajr prova) it-teorema żgħira ta 'Fermat (aktar tard ippruvata minn Leibniz u Euler). Fermat ikkonjetta wkoll li n-numri kollha tal-Formola 22N + 1 huma primarji (huma msejħa Fermat Numri) u huwa vverifika dan sa n = 4 (jew 216 + 1). Madankollu, in-numru Fermat li jmiss stess 232 + 1 huwa kompost (wieħed mill-fatturi ewlenin tiegħu huwa 641), kif skopra Euler aktar tard, u fil-fatt m'hemm l-ebda numri ta 'fermati oħra magħrufa. Il-monk Franċiż Marin Mersenne ħares lejn il-primes tal-forma 2p - 1, bil-P a prim. Huma msejħa Mersenne Primes fl-unur tiegħu.</v>
      </c>
    </row>
    <row r="13054" ht="15.75" customHeight="1">
      <c r="A13054" s="2" t="s">
        <v>13054</v>
      </c>
      <c r="B13054" s="2" t="str">
        <f>IFERROR(__xludf.DUMMYFUNCTION("GOOGLETRANSLATE(A13054, ""en"", ""mt"")"),"Minbarra avvenimenti kulturali, liema attrazzjoni turistika oħra għandha?")</f>
        <v>Minbarra avvenimenti kulturali, liema attrazzjoni turistika oħra għandha?</v>
      </c>
    </row>
    <row r="13055" ht="15.75" customHeight="1">
      <c r="A13055" s="2" t="s">
        <v>13055</v>
      </c>
      <c r="B13055" s="2" t="str">
        <f>IFERROR(__xludf.DUMMYFUNCTION("GOOGLETRANSLATE(A13055, ""en"", ""mt"")"),"Minn fejn ġej id-deheb fil-mace parlamentari?")</f>
        <v>Minn fejn ġej id-deheb fil-mace parlamentari?</v>
      </c>
    </row>
    <row r="13056" ht="15.75" customHeight="1">
      <c r="A13056" s="2" t="s">
        <v>13056</v>
      </c>
      <c r="B13056" s="2" t="str">
        <f>IFERROR(__xludf.DUMMYFUNCTION("GOOGLETRANSLATE(A13056, ""en"", ""mt"")"),"Skoċċiż, Galliku, jew kwalunkwe lingwa oħra bil-ftehim tal-uffiċjal li jippresiedi")</f>
        <v>Skoċċiż, Galliku, jew kwalunkwe lingwa oħra bil-ftehim tal-uffiċjal li jippresiedi</v>
      </c>
    </row>
    <row r="13057" ht="15.75" customHeight="1">
      <c r="A13057" s="2" t="s">
        <v>13057</v>
      </c>
      <c r="B13057" s="2" t="str">
        <f>IFERROR(__xludf.DUMMYFUNCTION("GOOGLETRANSLATE(A13057, ""en"", ""mt"")"),"Hu li jagħmel affarijiet kbar.")</f>
        <v>Hu li jagħmel affarijiet kbar.</v>
      </c>
    </row>
    <row r="13058" ht="15.75" customHeight="1">
      <c r="A13058" s="2" t="s">
        <v>13058</v>
      </c>
      <c r="B13058" s="2" t="str">
        <f>IFERROR(__xludf.DUMMYFUNCTION("GOOGLETRANSLATE(A13058, ""en"", ""mt"")"),"Liema pubblikazzjoni stampat li l-1% sinjur għandhom aktar flus minn dawk fil-qiegħ 90%?")</f>
        <v>Liema pubblikazzjoni stampat li l-1% sinjur għandhom aktar flus minn dawk fil-qiegħ 90%?</v>
      </c>
    </row>
    <row r="13059" ht="15.75" customHeight="1">
      <c r="A13059" s="2" t="s">
        <v>13059</v>
      </c>
      <c r="B13059" s="2" t="str">
        <f>IFERROR(__xludf.DUMMYFUNCTION("GOOGLETRANSLATE(A13059, ""en"", ""mt"")"),"Liema teżi tispeċifika li relazzjoni polinomjali teżisti fil-kumplessitajiet tal-ħin f'mudell tal-komputazzjoni?")</f>
        <v>Liema teżi tispeċifika li relazzjoni polinomjali teżisti fil-kumplessitajiet tal-ħin f'mudell tal-komputazzjoni?</v>
      </c>
    </row>
    <row r="13060" ht="15.75" customHeight="1">
      <c r="A13060" s="2" t="s">
        <v>13060</v>
      </c>
      <c r="B13060" s="2" t="str">
        <f>IFERROR(__xludf.DUMMYFUNCTION("GOOGLETRANSLATE(A13060, ""en"", ""mt"")"),"Min irċieva l-ewwel brevett tal-magna Steam?")</f>
        <v>Min irċieva l-ewwel brevett tal-magna Steam?</v>
      </c>
    </row>
    <row r="13061" ht="15.75" customHeight="1">
      <c r="A13061" s="2" t="s">
        <v>13061</v>
      </c>
      <c r="B13061" s="2" t="str">
        <f>IFERROR(__xludf.DUMMYFUNCTION("GOOGLETRANSLATE(A13061, ""en"", ""mt"")"),"Barra mill-użu tagħha tal-karozzi, x'iktar huwa famuż fin-Nofsinhar ta 'California?")</f>
        <v>Barra mill-użu tagħha tal-karozzi, x'iktar huwa famuż fin-Nofsinhar ta 'California?</v>
      </c>
    </row>
    <row r="13062" ht="15.75" customHeight="1">
      <c r="A13062" s="2" t="s">
        <v>13062</v>
      </c>
      <c r="B13062" s="2" t="str">
        <f>IFERROR(__xludf.DUMMYFUNCTION("GOOGLETRANSLATE(A13062, ""en"", ""mt"")"),"Liema tipi ta 'pompi huma tipikament użati fil-bojlers industrijali?")</f>
        <v>Liema tipi ta 'pompi huma tipikament użati fil-bojlers industrijali?</v>
      </c>
    </row>
    <row r="13063" ht="15.75" customHeight="1">
      <c r="A13063" s="2" t="s">
        <v>13063</v>
      </c>
      <c r="B13063" s="2" t="str">
        <f>IFERROR(__xludf.DUMMYFUNCTION("GOOGLETRANSLATE(A13063, ""en"", ""mt"")"),"Dotazzjonijiet")</f>
        <v>Dotazzjonijiet</v>
      </c>
    </row>
    <row r="13064" ht="15.75" customHeight="1">
      <c r="A13064" s="2" t="s">
        <v>13064</v>
      </c>
      <c r="B13064" s="2" t="str">
        <f>IFERROR(__xludf.DUMMYFUNCTION("GOOGLETRANSLATE(A13064, ""en"", ""mt"")"),"ippermettew studenti żgħar ħafna biex jattendu l-kulleġġ")</f>
        <v>ippermettew studenti żgħar ħafna biex jattendu l-kulleġġ</v>
      </c>
    </row>
    <row r="13065" ht="15.75" customHeight="1">
      <c r="A13065" s="2" t="s">
        <v>13065</v>
      </c>
      <c r="B13065" s="2" t="str">
        <f>IFERROR(__xludf.DUMMYFUNCTION("GOOGLETRANSLATE(A13065, ""en"", ""mt"")"),"Phylum ta 'annimali li jgħixu fl-ilmijiet tal-baħar")</f>
        <v>Phylum ta 'annimali li jgħixu fl-ilmijiet tal-baħar</v>
      </c>
    </row>
    <row r="13066" ht="15.75" customHeight="1">
      <c r="A13066" s="2" t="s">
        <v>13066</v>
      </c>
      <c r="B13066" s="2" t="str">
        <f>IFERROR(__xludf.DUMMYFUNCTION("GOOGLETRANSLATE(A13066, ""en"", ""mt"")"),"Fit-turbina tal-fwar, fuq liema huma mmuntati d-diski?")</f>
        <v>Fit-turbina tal-fwar, fuq liema huma mmuntati d-diski?</v>
      </c>
    </row>
    <row r="13067" ht="15.75" customHeight="1">
      <c r="A13067" s="2" t="s">
        <v>13067</v>
      </c>
      <c r="B13067" s="2" t="str">
        <f>IFERROR(__xludf.DUMMYFUNCTION("GOOGLETRANSLATE(A13067, ""en"", ""mt"")"),"Infrastruttura ta 'transitu msaħħa, shuttles possibbli miftuħa għall-pubbliku, u l-ispazju tal-park")</f>
        <v>Infrastruttura ta 'transitu msaħħa, shuttles possibbli miftuħa għall-pubbliku, u l-ispazju tal-park</v>
      </c>
    </row>
    <row r="13068" ht="15.75" customHeight="1">
      <c r="A13068" s="2" t="s">
        <v>13068</v>
      </c>
      <c r="B13068" s="2" t="str">
        <f>IFERROR(__xludf.DUMMYFUNCTION("GOOGLETRANSLATE(A13068, ""en"", ""mt"")"),"Liema parti hija l-iktar b'saħħitha fir-reġjuni tal-Majjistral u tal-Lvant tar-Rabat?")</f>
        <v>Liema parti hija l-iktar b'saħħitha fir-reġjuni tal-Majjistral u tal-Lvant tar-Rabat?</v>
      </c>
    </row>
    <row r="13069" ht="15.75" customHeight="1">
      <c r="A13069" s="2" t="s">
        <v>13069</v>
      </c>
      <c r="B13069" s="2" t="str">
        <f>IFERROR(__xludf.DUMMYFUNCTION("GOOGLETRANSLATE(A13069, ""en"", ""mt"")"),"X'inhu t-terminu meta dawk li jaqilgħu l-ogħla dħul jaspiraw li jiksbu l-istess standards ta 'għajxien bħal nies sinjuri minnhom infushom?")</f>
        <v>X'inhu t-terminu meta dawk li jaqilgħu l-ogħla dħul jaspiraw li jiksbu l-istess standards ta 'għajxien bħal nies sinjuri minnhom infushom?</v>
      </c>
    </row>
    <row r="13070" ht="15.75" customHeight="1">
      <c r="A13070" s="2" t="s">
        <v>13070</v>
      </c>
      <c r="B13070" s="2" t="str">
        <f>IFERROR(__xludf.DUMMYFUNCTION("GOOGLETRANSLATE(A13070, ""en"", ""mt"")"),"F'liema sena oriġina l-Mewt l-Iswed fl-Asja Ċentrali?")</f>
        <v>F'liema sena oriġina l-Mewt l-Iswed fl-Asja Ċentrali?</v>
      </c>
    </row>
    <row r="13071" ht="15.75" customHeight="1">
      <c r="A13071" s="2" t="s">
        <v>13071</v>
      </c>
      <c r="B13071" s="2" t="str">
        <f>IFERROR(__xludf.DUMMYFUNCTION("GOOGLETRANSLATE(A13071, ""en"", ""mt"")"),"metalli")</f>
        <v>metalli</v>
      </c>
    </row>
    <row r="13072" ht="15.75" customHeight="1">
      <c r="A13072" s="2" t="s">
        <v>13072</v>
      </c>
      <c r="B13072" s="2" t="str">
        <f>IFERROR(__xludf.DUMMYFUNCTION("GOOGLETRANSLATE(A13072, ""en"", ""mt"")"),"Il-kurva Kuznets tgħid bl-iżvilupp ekonomiku, l-inugwaljanza se tonqos wara xiex?")</f>
        <v>Il-kurva Kuznets tgħid bl-iżvilupp ekonomiku, l-inugwaljanza se tonqos wara xiex?</v>
      </c>
    </row>
    <row r="13073" ht="15.75" customHeight="1">
      <c r="A13073" s="2" t="s">
        <v>13073</v>
      </c>
      <c r="B13073" s="2" t="str">
        <f>IFERROR(__xludf.DUMMYFUNCTION("GOOGLETRANSLATE(A13073, ""en"", ""mt"")"),"Warner Center jinsab f'liema żona?")</f>
        <v>Warner Center jinsab f'liema żona?</v>
      </c>
    </row>
    <row r="13074" ht="15.75" customHeight="1">
      <c r="A13074" s="2" t="s">
        <v>13074</v>
      </c>
      <c r="B13074" s="2" t="str">
        <f>IFERROR(__xludf.DUMMYFUNCTION("GOOGLETRANSLATE(A13074, ""en"", ""mt"")"),"X'impatt kellu dan it-telf fuq Abercrombie?")</f>
        <v>X'impatt kellu dan it-telf fuq Abercrombie?</v>
      </c>
    </row>
    <row r="13075" ht="15.75" customHeight="1">
      <c r="A13075" s="2" t="s">
        <v>13075</v>
      </c>
      <c r="B13075" s="2" t="str">
        <f>IFERROR(__xludf.DUMMYFUNCTION("GOOGLETRANSLATE(A13075, ""en"", ""mt"")"),"Meta twaqqfet it-tieni imperu Ġermaniż?")</f>
        <v>Meta twaqqfet it-tieni imperu Ġermaniż?</v>
      </c>
    </row>
    <row r="13076" ht="15.75" customHeight="1">
      <c r="A13076" s="2" t="s">
        <v>13076</v>
      </c>
      <c r="B13076" s="2" t="str">
        <f>IFERROR(__xludf.DUMMYFUNCTION("GOOGLETRANSLATE(A13076, ""en"", ""mt"")"),"Liema proċess isegwu kemm ix-xjenza kif ukoll il-gvernijiet?")</f>
        <v>Liema proċess isegwu kemm ix-xjenza kif ukoll il-gvernijiet?</v>
      </c>
    </row>
    <row r="13077" ht="15.75" customHeight="1">
      <c r="A13077" s="2" t="s">
        <v>13077</v>
      </c>
      <c r="B13077" s="2" t="str">
        <f>IFERROR(__xludf.DUMMYFUNCTION("GOOGLETRANSLATE(A13077, ""en"", ""mt"")"),"X'kienet l-Unjoni Sovjetika tipprova trażżan bl-armata tagħha?")</f>
        <v>X'kienet l-Unjoni Sovjetika tipprova trażżan bl-armata tagħha?</v>
      </c>
    </row>
    <row r="13078" ht="15.75" customHeight="1">
      <c r="A13078" s="2" t="s">
        <v>13078</v>
      </c>
      <c r="B13078" s="2" t="str">
        <f>IFERROR(__xludf.DUMMYFUNCTION("GOOGLETRANSLATE(A13078, ""en"", ""mt"")"),"25 ta 'Diċembru")</f>
        <v>25 ta 'Diċembru</v>
      </c>
    </row>
    <row r="13079" ht="15.75" customHeight="1">
      <c r="A13079" s="2" t="s">
        <v>13079</v>
      </c>
      <c r="B13079" s="2" t="str">
        <f>IFERROR(__xludf.DUMMYFUNCTION("GOOGLETRANSLATE(A13079, ""en"", ""mt"")"),"Liema konġettura ssostni li għal kwalunkwe numru sħiħ pożittiv n, hemm ammont infinit ta 'pari ta' primes konsekuttivi differenti minn 2N?")</f>
        <v>Liema konġettura ssostni li għal kwalunkwe numru sħiħ pożittiv n, hemm ammont infinit ta 'pari ta' primes konsekuttivi differenti minn 2N?</v>
      </c>
    </row>
    <row r="13080" ht="15.75" customHeight="1">
      <c r="A13080" s="2" t="s">
        <v>13080</v>
      </c>
      <c r="B13080" s="2" t="str">
        <f>IFERROR(__xludf.DUMMYFUNCTION("GOOGLETRANSLATE(A13080, ""en"", ""mt"")"),"X'kienu l-ispejjeż operattivi tal-Iskola Groton fl-2012?")</f>
        <v>X'kienu l-ispejjeż operattivi tal-Iskola Groton fl-2012?</v>
      </c>
    </row>
    <row r="13081" ht="15.75" customHeight="1">
      <c r="A13081" s="2" t="s">
        <v>13081</v>
      </c>
      <c r="B13081" s="2" t="str">
        <f>IFERROR(__xludf.DUMMYFUNCTION("GOOGLETRANSLATE(A13081, ""en"", ""mt"")"),"USGS")</f>
        <v>USGS</v>
      </c>
    </row>
    <row r="13082" ht="15.75" customHeight="1">
      <c r="A13082" s="2" t="s">
        <v>13082</v>
      </c>
      <c r="B13082" s="2" t="str">
        <f>IFERROR(__xludf.DUMMYFUNCTION("GOOGLETRANSLATE(A13082, ""en"", ""mt"")"),"Kemm klabbs imexxu l-istudenti fl-Università tan-Nazzjonijiet Uniti tal-Mudell?")</f>
        <v>Kemm klabbs imexxu l-istudenti fl-Università tan-Nazzjonijiet Uniti tal-Mudell?</v>
      </c>
    </row>
    <row r="13083" ht="15.75" customHeight="1">
      <c r="A13083" s="2" t="s">
        <v>13083</v>
      </c>
      <c r="B13083" s="2" t="str">
        <f>IFERROR(__xludf.DUMMYFUNCTION("GOOGLETRANSLATE(A13083, ""en"", ""mt"")"),"ħamsa jew aktar")</f>
        <v>ħamsa jew aktar</v>
      </c>
    </row>
    <row r="13084" ht="15.75" customHeight="1">
      <c r="A13084" s="2" t="s">
        <v>13084</v>
      </c>
      <c r="B13084" s="2" t="str">
        <f>IFERROR(__xludf.DUMMYFUNCTION("GOOGLETRANSLATE(A13084, ""en"", ""mt"")"),"X'inhuma dawk bi dħul aktar baxx inqas probabbli li jkollhom biex jippreparaw għall-futur?")</f>
        <v>X'inhuma dawk bi dħul aktar baxx inqas probabbli li jkollhom biex jippreparaw għall-futur?</v>
      </c>
    </row>
    <row r="13085" ht="15.75" customHeight="1">
      <c r="A13085" s="2" t="s">
        <v>13085</v>
      </c>
      <c r="B13085" s="2" t="str">
        <f>IFERROR(__xludf.DUMMYFUNCTION("GOOGLETRANSLATE(A13085, ""en"", ""mt"")"),"X'inhi l-adozzjoni proto-Ġermanika ta 'l-isem Gaulish tar-Renu?")</f>
        <v>X'inhi l-adozzjoni proto-Ġermanika ta 'l-isem Gaulish tar-Renu?</v>
      </c>
    </row>
    <row r="13086" ht="15.75" customHeight="1">
      <c r="A13086" s="2" t="s">
        <v>13086</v>
      </c>
      <c r="B13086" s="2" t="str">
        <f>IFERROR(__xludf.DUMMYFUNCTION("GOOGLETRANSLATE(A13086, ""en"", ""mt"")"),"korp ta 'trattati u leġislazzjoni, bħal regolamenti u direttivi")</f>
        <v>korp ta 'trattati u leġislazzjoni, bħal regolamenti u direttivi</v>
      </c>
    </row>
    <row r="13087" ht="15.75" customHeight="1">
      <c r="A13087" s="2" t="s">
        <v>13087</v>
      </c>
      <c r="B13087" s="2" t="str">
        <f>IFERROR(__xludf.DUMMYFUNCTION("GOOGLETRANSLATE(A13087, ""en"", ""mt"")"),"X'inhu eżempju ta 'barriera mekkanika?")</f>
        <v>X'inhu eżempju ta 'barriera mekkanika?</v>
      </c>
    </row>
    <row r="13088" ht="15.75" customHeight="1">
      <c r="A13088" s="2" t="s">
        <v>13088</v>
      </c>
      <c r="B13088" s="2" t="str">
        <f>IFERROR(__xludf.DUMMYFUNCTION("GOOGLETRANSLATE(A13088, ""en"", ""mt"")"),"L-evoluzzjoni tas-sistema immunitarja adattiva seħħet f'antenat tal-vertebrati tax-xedaq. Ħafna mill-molekuli klassiċi tas-sistema immuni adatta (per eżempju, immunoglobulini u riċetturi taċ-ċelloli T) jeżistu biss fil-vertebrati tax-xedaq. Madankollu, ġi"&amp;"et skoperta molekula derivata minn limfoċiti distinta fil-vertebrati primittivi tax-xedaq, bħalma huma l-lamprey u l-hagfish. Dawn l-annimali għandhom firxa kbira ta 'molekuli msejħa riċetturi ta' limfoċiti varjabbli (VLRs) li, bħar-riċetturi tal-antiġen "&amp;"tal-vertebrati tax-xedaq, huma prodotti minn numru żgħir biss (wieħed jew tnejn) ta 'ġeni. Dawn il-molekuli huma maħsuba li jorbtu antiġeni patoġeniċi b'mod simili għal antikorpi, u bl-istess grad ta 'speċifiċità.")</f>
        <v>L-evoluzzjoni tas-sistema immunitarja adattiva seħħet f'antenat tal-vertebrati tax-xedaq. Ħafna mill-molekuli klassiċi tas-sistema immuni adatta (per eżempju, immunoglobulini u riċetturi taċ-ċelloli T) jeżistu biss fil-vertebrati tax-xedaq. Madankollu, ġiet skoperta molekula derivata minn limfoċiti distinta fil-vertebrati primittivi tax-xedaq, bħalma huma l-lamprey u l-hagfish. Dawn l-annimali għandhom firxa kbira ta 'molekuli msejħa riċetturi ta' limfoċiti varjabbli (VLRs) li, bħar-riċetturi tal-antiġen tal-vertebrati tax-xedaq, huma prodotti minn numru żgħir biss (wieħed jew tnejn) ta 'ġeni. Dawn il-molekuli huma maħsuba li jorbtu antiġeni patoġeniċi b'mod simili għal antikorpi, u bl-istess grad ta 'speċifiċità.</v>
      </c>
    </row>
    <row r="13089" ht="15.75" customHeight="1">
      <c r="A13089" s="2" t="s">
        <v>13089</v>
      </c>
      <c r="B13089" s="2" t="str">
        <f>IFERROR(__xludf.DUMMYFUNCTION("GOOGLETRANSLATE(A13089, ""en"", ""mt"")"),"X'kien il-persentaġġ ta 'nies li vvutaw favur l-Att Pico tal-1859?")</f>
        <v>X'kien il-persentaġġ ta 'nies li vvutaw favur l-Att Pico tal-1859?</v>
      </c>
    </row>
    <row r="13090" ht="15.75" customHeight="1">
      <c r="A13090" s="2" t="s">
        <v>13090</v>
      </c>
      <c r="B13090" s="2" t="str">
        <f>IFERROR(__xludf.DUMMYFUNCTION("GOOGLETRANSLATE(A13090, ""en"", ""mt"")"),"Tentakli twal u rqaq")</f>
        <v>Tentakli twal u rqaq</v>
      </c>
    </row>
    <row r="13091" ht="15.75" customHeight="1">
      <c r="A13091" s="2" t="s">
        <v>13091</v>
      </c>
      <c r="B13091" s="2" t="str">
        <f>IFERROR(__xludf.DUMMYFUNCTION("GOOGLETRANSLATE(A13091, ""en"", ""mt"")"),"Is-sħubija pubblika-privata")</f>
        <v>Is-sħubija pubblika-privata</v>
      </c>
    </row>
    <row r="13092" ht="15.75" customHeight="1">
      <c r="A13092" s="2" t="s">
        <v>13092</v>
      </c>
      <c r="B13092" s="2" t="str">
        <f>IFERROR(__xludf.DUMMYFUNCTION("GOOGLETRANSLATE(A13092, ""en"", ""mt"")"),"Xi jfisser il-kanal ta 'Wessel-Datteln?")</f>
        <v>Xi jfisser il-kanal ta 'Wessel-Datteln?</v>
      </c>
    </row>
    <row r="13093" ht="15.75" customHeight="1">
      <c r="A13093" s="2" t="s">
        <v>13093</v>
      </c>
      <c r="B13093" s="2" t="str">
        <f>IFERROR(__xludf.DUMMYFUNCTION("GOOGLETRANSLATE(A13093, ""en"", ""mt"")"),"akkomodazzjoni bi prezz raġonevoli")</f>
        <v>akkomodazzjoni bi prezz raġonevoli</v>
      </c>
    </row>
    <row r="13094" ht="15.75" customHeight="1">
      <c r="A13094" s="2" t="s">
        <v>13094</v>
      </c>
      <c r="B13094" s="2" t="str">
        <f>IFERROR(__xludf.DUMMYFUNCTION("GOOGLETRANSLATE(A13094, ""en"", ""mt"")"),"komunement preżenti")</f>
        <v>komunement preżenti</v>
      </c>
    </row>
    <row r="13095" ht="15.75" customHeight="1">
      <c r="A13095" s="2" t="s">
        <v>13095</v>
      </c>
      <c r="B13095" s="2" t="str">
        <f>IFERROR(__xludf.DUMMYFUNCTION("GOOGLETRANSLATE(A13095, ""en"", ""mt"")"),"Fejn kien Montcalm li jiffoka r-reat għal Franza l-ġdida?")</f>
        <v>Fejn kien Montcalm li jiffoka r-reat għal Franza l-ġdida?</v>
      </c>
    </row>
    <row r="13096" ht="15.75" customHeight="1">
      <c r="A13096" s="2" t="s">
        <v>13096</v>
      </c>
      <c r="B13096" s="2" t="str">
        <f>IFERROR(__xludf.DUMMYFUNCTION("GOOGLETRANSLATE(A13096, ""en"", ""mt"")"),"X'inhu l-isforz primarjament u indipendenti?")</f>
        <v>X'inhu l-isforz primarjament u indipendenti?</v>
      </c>
    </row>
    <row r="13097" ht="15.75" customHeight="1">
      <c r="A13097" s="2" t="s">
        <v>13097</v>
      </c>
      <c r="B13097" s="2" t="str">
        <f>IFERROR(__xludf.DUMMYFUNCTION("GOOGLETRANSLATE(A13097, ""en"", ""mt"")")," Strateġija waħda ta 'Iżlamizzazzjoni hija li ma taħtafx il-poter b'liema metodi?")</f>
        <v> Strateġija waħda ta 'Iżlamizzazzjoni hija li ma taħtafx il-poter b'liema metodi?</v>
      </c>
    </row>
    <row r="13098" ht="15.75" customHeight="1">
      <c r="A13098" s="2" t="s">
        <v>13098</v>
      </c>
      <c r="B13098" s="2" t="str">
        <f>IFERROR(__xludf.DUMMYFUNCTION("GOOGLETRANSLATE(A13098, ""en"", ""mt"")"),"1997")</f>
        <v>1997</v>
      </c>
    </row>
    <row r="13099" ht="15.75" customHeight="1">
      <c r="A13099" s="2" t="s">
        <v>13099</v>
      </c>
      <c r="B13099" s="2" t="str">
        <f>IFERROR(__xludf.DUMMYFUNCTION("GOOGLETRANSLATE(A13099, ""en"", ""mt"")"),"Monument tar-rewwixta ta 'Varsavja")</f>
        <v>Monument tar-rewwixta ta 'Varsavja</v>
      </c>
    </row>
    <row r="13100" ht="15.75" customHeight="1">
      <c r="A13100" s="2" t="s">
        <v>13100</v>
      </c>
      <c r="B13100" s="2" t="str">
        <f>IFERROR(__xludf.DUMMYFUNCTION("GOOGLETRANSLATE(A13100, ""en"", ""mt"")"),"1946")</f>
        <v>1946</v>
      </c>
    </row>
    <row r="13101" ht="15.75" customHeight="1">
      <c r="A13101" s="2" t="s">
        <v>13101</v>
      </c>
      <c r="B13101" s="2" t="str">
        <f>IFERROR(__xludf.DUMMYFUNCTION("GOOGLETRANSLATE(A13101, ""en"", ""mt"")"),"Approċċ interdixxiplinarju")</f>
        <v>Approċċ interdixxiplinarju</v>
      </c>
    </row>
    <row r="13102" ht="15.75" customHeight="1">
      <c r="A13102" s="2" t="s">
        <v>13102</v>
      </c>
      <c r="B13102" s="2" t="str">
        <f>IFERROR(__xludf.DUMMYFUNCTION("GOOGLETRANSLATE(A13102, ""en"", ""mt"")"),"Huma jaraw il-valur ekonomiku tal-kannamieli tal-gżejjer tal-Karibew biex ikun ikbar u aktar faċli biex jiddefendi mill-pil mill-kontinent")</f>
        <v>Huma jaraw il-valur ekonomiku tal-kannamieli tal-gżejjer tal-Karibew biex ikun ikbar u aktar faċli biex jiddefendi mill-pil mill-kontinent</v>
      </c>
    </row>
    <row r="13103" ht="15.75" customHeight="1">
      <c r="A13103" s="2" t="s">
        <v>13103</v>
      </c>
      <c r="B13103" s="2" t="str">
        <f>IFERROR(__xludf.DUMMYFUNCTION("GOOGLETRANSLATE(A13103, ""en"", ""mt"")"),"sponoż u cnidarians, ctenophores")</f>
        <v>sponoż u cnidarians, ctenophores</v>
      </c>
    </row>
    <row r="13104" ht="15.75" customHeight="1">
      <c r="A13104" s="2" t="s">
        <v>13104</v>
      </c>
      <c r="B13104" s="2" t="str">
        <f>IFERROR(__xludf.DUMMYFUNCTION("GOOGLETRANSLATE(A13104, ""en"", ""mt"")"),"Il-kontroll tal-gvern tar-Renju Unit għen ix-xewqa għal Parlament Skoċċiż?")</f>
        <v>Il-kontroll tal-gvern tar-Renju Unit għen ix-xewqa għal Parlament Skoċċiż?</v>
      </c>
    </row>
    <row r="13105" ht="15.75" customHeight="1">
      <c r="A13105" s="2" t="s">
        <v>13105</v>
      </c>
      <c r="B13105" s="2" t="str">
        <f>IFERROR(__xludf.DUMMYFUNCTION("GOOGLETRANSLATE(A13105, ""en"", ""mt"")"),"eqdem mit-tort")</f>
        <v>eqdem mit-tort</v>
      </c>
    </row>
    <row r="13106" ht="15.75" customHeight="1">
      <c r="A13106" s="2" t="s">
        <v>13106</v>
      </c>
      <c r="B13106" s="2" t="str">
        <f>IFERROR(__xludf.DUMMYFUNCTION("GOOGLETRANSLATE(A13106, ""en"", ""mt"")"),"Ħsarat normali u permezz tat-tiġbid tad-duttili u t-tnaqqija")</f>
        <v>Ħsarat normali u permezz tat-tiġbid tad-duttili u t-tnaqqija</v>
      </c>
    </row>
    <row r="13107" ht="15.75" customHeight="1">
      <c r="A13107" s="2" t="s">
        <v>13107</v>
      </c>
      <c r="B13107" s="2" t="str">
        <f>IFERROR(__xludf.DUMMYFUNCTION("GOOGLETRANSLATE(A13107, ""en"", ""mt"")"),"X’għamel Philo b’mod żbaljat li saret l-arja?")</f>
        <v>X’għamel Philo b’mod żbaljat li saret l-arja?</v>
      </c>
    </row>
    <row r="13108" ht="15.75" customHeight="1">
      <c r="A13108" s="2" t="s">
        <v>13108</v>
      </c>
      <c r="B13108" s="2" t="str">
        <f>IFERROR(__xludf.DUMMYFUNCTION("GOOGLETRANSLATE(A13108, ""en"", ""mt"")"),"X’għamel il-programm Early Entrant għall-istudenti potenzjali?")</f>
        <v>X’għamel il-programm Early Entrant għall-istudenti potenzjali?</v>
      </c>
    </row>
    <row r="13109" ht="15.75" customHeight="1">
      <c r="A13109" s="2" t="s">
        <v>13109</v>
      </c>
      <c r="B13109" s="2" t="str">
        <f>IFERROR(__xludf.DUMMYFUNCTION("GOOGLETRANSLATE(A13109, ""en"", ""mt"")"),"Liema president temm l-Att dwar il-Konservazzjoni tal-Enerġija ta 'Emerġenza?")</f>
        <v>Liema president temm l-Att dwar il-Konservazzjoni tal-Enerġija ta 'Emerġenza?</v>
      </c>
    </row>
    <row r="13110" ht="15.75" customHeight="1">
      <c r="A13110" s="2" t="s">
        <v>13110</v>
      </c>
      <c r="B13110" s="2" t="str">
        <f>IFERROR(__xludf.DUMMYFUNCTION("GOOGLETRANSLATE(A13110, ""en"", ""mt"")"),"F'Lulju 2013, il-Qorti Għolja tal-Ġustizzja Ingliża sabet li l-użu ta 'Microsoft tat-terminu ""SkyDrive"" kiser id-dritt ta' Sky għat-trademark ""Sky"". Fil-31 ta 'Lulju 2013, BSKYB u Microsoft ħabbru s-saldu tagħhom, li fih Microsoft ma jappellawx id-deċ"&amp;"iżjoni, u jerġgħu jibdew is-servizz ta' ħażna tas-sħab skydrive tagħha wara ""perjodu raġonevoli ta 'żmien biex jippermettu tranżizzjoni ordnata għal marka ġdida,"" ""Termini finanzjarji u oħrajn, li d-dettalji tagħhom huma kunfidenzjali"". Fis-27 ta 'Jan"&amp;"nar 2014, Microsoft ħabbret ""li SkyDrive dalwaqt se ssir OneDrive"" u ""SkyDrive Pro"" isir ""OneDrive for Business"".")</f>
        <v>F'Lulju 2013, il-Qorti Għolja tal-Ġustizzja Ingliża sabet li l-użu ta 'Microsoft tat-terminu "SkyDrive" kiser id-dritt ta' Sky għat-trademark "Sky". Fil-31 ta 'Lulju 2013, BSKYB u Microsoft ħabbru s-saldu tagħhom, li fih Microsoft ma jappellawx id-deċiżjoni, u jerġgħu jibdew is-servizz ta' ħażna tas-sħab skydrive tagħha wara "perjodu raġonevoli ta 'żmien biex jippermettu tranżizzjoni ordnata għal marka ġdida," "Termini finanzjarji u oħrajn, li d-dettalji tagħhom huma kunfidenzjali". Fis-27 ta 'Jannar 2014, Microsoft ħabbret "li SkyDrive dalwaqt se ssir OneDrive" u "SkyDrive Pro" isir "OneDrive for Business".</v>
      </c>
    </row>
    <row r="13111" ht="15.75" customHeight="1">
      <c r="A13111" s="2" t="s">
        <v>13111</v>
      </c>
      <c r="B13111" s="2" t="str">
        <f>IFERROR(__xludf.DUMMYFUNCTION("GOOGLETRANSLATE(A13111, ""en"", ""mt"")"),"Plasmodium falciparum")</f>
        <v>Plasmodium falciparum</v>
      </c>
    </row>
    <row r="13112" ht="15.75" customHeight="1">
      <c r="A13112" s="2" t="s">
        <v>13112</v>
      </c>
      <c r="B13112" s="2" t="str">
        <f>IFERROR(__xludf.DUMMYFUNCTION("GOOGLETRANSLATE(A13112, ""en"", ""mt"")"),"Delegazzjoni Amerikana mill-Konferenza tal-Paċi ta 'Pariġi")</f>
        <v>Delegazzjoni Amerikana mill-Konferenza tal-Paċi ta 'Pariġi</v>
      </c>
    </row>
    <row r="13113" ht="15.75" customHeight="1">
      <c r="A13113" s="2" t="s">
        <v>13113</v>
      </c>
      <c r="B13113" s="2" t="str">
        <f>IFERROR(__xludf.DUMMYFUNCTION("GOOGLETRANSLATE(A13113, ""en"", ""mt"")"),"It-terminu Huguenot kien oriġinarjament maħsub biex jagħti?")</f>
        <v>It-terminu Huguenot kien oriġinarjament maħsub biex jagħti?</v>
      </c>
    </row>
    <row r="13114" ht="15.75" customHeight="1">
      <c r="A13114" s="2" t="s">
        <v>13114</v>
      </c>
      <c r="B13114" s="2" t="str">
        <f>IFERROR(__xludf.DUMMYFUNCTION("GOOGLETRANSLATE(A13114, ""en"", ""mt"")"),"Matematiċi")</f>
        <v>Matematiċi</v>
      </c>
    </row>
    <row r="13115" ht="15.75" customHeight="1">
      <c r="A13115" s="2" t="s">
        <v>13115</v>
      </c>
      <c r="B13115" s="2" t="str">
        <f>IFERROR(__xludf.DUMMYFUNCTION("GOOGLETRANSLATE(A13115, ""en"", ""mt"")"),"X’sar imsaħħaħ dan il-kunċett?")</f>
        <v>X’sar imsaħħaħ dan il-kunċett?</v>
      </c>
    </row>
    <row r="13116" ht="15.75" customHeight="1">
      <c r="A13116" s="2" t="s">
        <v>13116</v>
      </c>
      <c r="B13116" s="2" t="str">
        <f>IFERROR(__xludf.DUMMYFUNCTION("GOOGLETRANSLATE(A13116, ""en"", ""mt"")"),"Għal liema tipi ta 'skejjel oħra hija magħrufa sew il-belt ta' Harris?")</f>
        <v>Għal liema tipi ta 'skejjel oħra hija magħrufa sew il-belt ta' Harris?</v>
      </c>
    </row>
    <row r="13117" ht="15.75" customHeight="1">
      <c r="A13117" s="2" t="s">
        <v>13117</v>
      </c>
      <c r="B13117" s="2" t="str">
        <f>IFERROR(__xludf.DUMMYFUNCTION("GOOGLETRANSLATE(A13117, ""en"", ""mt"")"),"Prezzijiet tal-konsumatur")</f>
        <v>Prezzijiet tal-konsumatur</v>
      </c>
    </row>
    <row r="13118" ht="15.75" customHeight="1">
      <c r="A13118" s="2" t="s">
        <v>13118</v>
      </c>
      <c r="B13118" s="2" t="str">
        <f>IFERROR(__xludf.DUMMYFUNCTION("GOOGLETRANSLATE(A13118, ""en"", ""mt"")"),"Invażjoni tal-Gran Brittanja")</f>
        <v>Invażjoni tal-Gran Brittanja</v>
      </c>
    </row>
    <row r="13119" ht="15.75" customHeight="1">
      <c r="A13119" s="2" t="s">
        <v>13119</v>
      </c>
      <c r="B13119" s="2" t="str">
        <f>IFERROR(__xludf.DUMMYFUNCTION("GOOGLETRANSLATE(A13119, ""en"", ""mt"")"),"Frontiers minn bejn Nova Scotia u Acadia fit-tramuntana, lejn il-pajjiż ta 'Ohio fin-nofsinhar, ġew mitluba miż-żewġ naħat.")</f>
        <v>Frontiers minn bejn Nova Scotia u Acadia fit-tramuntana, lejn il-pajjiż ta 'Ohio fin-nofsinhar, ġew mitluba miż-żewġ naħat.</v>
      </c>
    </row>
    <row r="13120" ht="15.75" customHeight="1">
      <c r="A13120" s="2" t="s">
        <v>13120</v>
      </c>
      <c r="B13120" s="2" t="str">
        <f>IFERROR(__xludf.DUMMYFUNCTION("GOOGLETRANSLATE(A13120, ""en"", ""mt"")"),"Tmiem il-Gwerra tal-Messiku")</f>
        <v>Tmiem il-Gwerra tal-Messiku</v>
      </c>
    </row>
    <row r="13121" ht="15.75" customHeight="1">
      <c r="A13121" s="2" t="s">
        <v>13121</v>
      </c>
      <c r="B13121" s="2" t="str">
        <f>IFERROR(__xludf.DUMMYFUNCTION("GOOGLETRANSLATE(A13121, ""en"", ""mt"")"),"mekkanika statistika")</f>
        <v>mekkanika statistika</v>
      </c>
    </row>
    <row r="13122" ht="15.75" customHeight="1">
      <c r="A13122" s="2" t="s">
        <v>13122</v>
      </c>
      <c r="B13122" s="2" t="str">
        <f>IFERROR(__xludf.DUMMYFUNCTION("GOOGLETRANSLATE(A13122, ""en"", ""mt"")"),"Fejn tinsab l-Assoċjazzjoni Amerikana tal-Librerija?")</f>
        <v>Fejn tinsab l-Assoċjazzjoni Amerikana tal-Librerija?</v>
      </c>
    </row>
    <row r="13123" ht="15.75" customHeight="1">
      <c r="A13123" s="2" t="s">
        <v>13123</v>
      </c>
      <c r="B13123" s="2" t="str">
        <f>IFERROR(__xludf.DUMMYFUNCTION("GOOGLETRANSLATE(A13123, ""en"", ""mt"")"),"X'tip ta 'motivaturi mhumiex ikkunsidrati mill-ikel u l-kenn?")</f>
        <v>X'tip ta 'motivaturi mhumiex ikkunsidrati mill-ikel u l-kenn?</v>
      </c>
    </row>
    <row r="13124" ht="15.75" customHeight="1">
      <c r="A13124" s="2" t="s">
        <v>13124</v>
      </c>
      <c r="B13124" s="2" t="str">
        <f>IFERROR(__xludf.DUMMYFUNCTION("GOOGLETRANSLATE(A13124, ""en"", ""mt"")"),"X'għandhom jagħrfu ċ-ċelloli B Killer?")</f>
        <v>X'għandhom jagħrfu ċ-ċelloli B Killer?</v>
      </c>
    </row>
    <row r="13125" ht="15.75" customHeight="1">
      <c r="A13125" s="2" t="s">
        <v>13125</v>
      </c>
      <c r="B13125" s="2" t="str">
        <f>IFERROR(__xludf.DUMMYFUNCTION("GOOGLETRANSLATE(A13125, ""en"", ""mt"")"),"L-embargo ma kienx uniformi madwar l-Ewropa. Mid-disa 'membri tal-Komunità Ekonomika Ewropea (KEE), l-Olanda ffaċċjaw embargo komplet, ir-Renju Unit u Franza rċevew provvisti kważi bla interruzzjoni (wara li rrifjutaw li jippermettu lill-Amerika tuża l-mi"&amp;"tjar tal-ajru u l-armi u l-provvisti embargoed tagħhom kemm lill-Għarab kif ukoll lill-Iżraeljani ), filwaqt li s-sitta l-oħra ffaċċjaw cutbacks parzjali. Ir-Renju Unit kien tradizzjonalment alleat tal-Iżrael, u l-gvern ta 'Harold Wilson appoġġa lill-Iżra"&amp;"eljani matul il-gwerra ta' sitt ijiem. Is-suċċessur tiegħu, Ted Heath, qaleb din il-politika fl-1970, u talab lill-Iżrael biex jirtira għall-fruntieri tiegħu qabel l-1967.")</f>
        <v>L-embargo ma kienx uniformi madwar l-Ewropa. Mid-disa 'membri tal-Komunità Ekonomika Ewropea (KEE), l-Olanda ffaċċjaw embargo komplet, ir-Renju Unit u Franza rċevew provvisti kważi bla interruzzjoni (wara li rrifjutaw li jippermettu lill-Amerika tuża l-mitjar tal-ajru u l-armi u l-provvisti embargoed tagħhom kemm lill-Għarab kif ukoll lill-Iżraeljani ), filwaqt li s-sitta l-oħra ffaċċjaw cutbacks parzjali. Ir-Renju Unit kien tradizzjonalment alleat tal-Iżrael, u l-gvern ta 'Harold Wilson appoġġa lill-Iżraeljani matul il-gwerra ta' sitt ijiem. Is-suċċessur tiegħu, Ted Heath, qaleb din il-politika fl-1970, u talab lill-Iżrael biex jirtira għall-fruntieri tiegħu qabel l-1967.</v>
      </c>
    </row>
    <row r="13126" ht="15.75" customHeight="1">
      <c r="A13126" s="2" t="s">
        <v>13126</v>
      </c>
      <c r="B13126" s="2" t="str">
        <f>IFERROR(__xludf.DUMMYFUNCTION("GOOGLETRANSLATE(A13126, ""en"", ""mt"")"),"tagħmilha diffiċli ħafna għall-predaturi li jevolvu li jistgħu jispeċjalizzaw bħala predaturi")</f>
        <v>tagħmilha diffiċli ħafna għall-predaturi li jevolvu li jistgħu jispeċjalizzaw bħala predaturi</v>
      </c>
    </row>
    <row r="13127" ht="15.75" customHeight="1">
      <c r="A13127" s="2" t="s">
        <v>13127</v>
      </c>
      <c r="B13127" s="2" t="str">
        <f>IFERROR(__xludf.DUMMYFUNCTION("GOOGLETRANSLATE(A13127, ""en"", ""mt"")"),"Afrika")</f>
        <v>Afrika</v>
      </c>
    </row>
    <row r="13128" ht="15.75" customHeight="1">
      <c r="A13128" s="2" t="s">
        <v>13128</v>
      </c>
      <c r="B13128" s="2" t="str">
        <f>IFERROR(__xludf.DUMMYFUNCTION("GOOGLETRANSLATE(A13128, ""en"", ""mt"")"),"Elettrodinamiċità kwantistika")</f>
        <v>Elettrodinamiċità kwantistika</v>
      </c>
    </row>
    <row r="13129" ht="15.75" customHeight="1">
      <c r="A13129" s="2" t="s">
        <v>13129</v>
      </c>
      <c r="B13129" s="2" t="str">
        <f>IFERROR(__xludf.DUMMYFUNCTION("GOOGLETRANSLATE(A13129, ""en"", ""mt"")")," Liema imperu storiku uża l-imperjalizmu kulturali biex ibandal elite mhux lokali?")</f>
        <v> Liema imperu storiku uża l-imperjalizmu kulturali biex ibandal elite mhux lokali?</v>
      </c>
    </row>
    <row r="13130" ht="15.75" customHeight="1">
      <c r="A13130" s="2" t="s">
        <v>13130</v>
      </c>
      <c r="B13130" s="2" t="str">
        <f>IFERROR(__xludf.DUMMYFUNCTION("GOOGLETRANSLATE(A13130, ""en"", ""mt"")")," Liema filosofiji jikkoinċidu l-mediċina Ċiniża?")</f>
        <v> Liema filosofiji jikkoinċidu l-mediċina Ċiniża?</v>
      </c>
    </row>
    <row r="13131" ht="15.75" customHeight="1">
      <c r="A13131" s="2" t="s">
        <v>13131</v>
      </c>
      <c r="B13131" s="2" t="str">
        <f>IFERROR(__xludf.DUMMYFUNCTION("GOOGLETRANSLATE(A13131, ""en"", ""mt"")"),"Liema problema mill-Ajruport ta 'Fresno Chandler ibati lir-residenti?")</f>
        <v>Liema problema mill-Ajruport ta 'Fresno Chandler ibati lir-residenti?</v>
      </c>
    </row>
    <row r="13132" ht="15.75" customHeight="1">
      <c r="A13132" s="2" t="s">
        <v>13132</v>
      </c>
      <c r="B13132" s="2" t="str">
        <f>IFERROR(__xludf.DUMMYFUNCTION("GOOGLETRANSLATE(A13132, ""en"", ""mt"")"),"50% sa 60%")</f>
        <v>50% sa 60%</v>
      </c>
    </row>
    <row r="13133" ht="15.75" customHeight="1">
      <c r="A13133" s="2" t="s">
        <v>13133</v>
      </c>
      <c r="B13133" s="2" t="str">
        <f>IFERROR(__xludf.DUMMYFUNCTION("GOOGLETRANSLATE(A13133, ""en"", ""mt"")"),"X'kien l-isem tal-ewwel knisja Huguenot fid-dinja l-ġdida?")</f>
        <v>X'kien l-isem tal-ewwel knisja Huguenot fid-dinja l-ġdida?</v>
      </c>
    </row>
    <row r="13134" ht="15.75" customHeight="1">
      <c r="A13134" s="2" t="s">
        <v>13134</v>
      </c>
      <c r="B13134" s="2" t="str">
        <f>IFERROR(__xludf.DUMMYFUNCTION("GOOGLETRANSLATE(A13134, ""en"", ""mt"")"),"Liema belt hija l-kapitali ta 'Victoria?")</f>
        <v>Liema belt hija l-kapitali ta 'Victoria?</v>
      </c>
    </row>
    <row r="13135" ht="15.75" customHeight="1">
      <c r="A13135" s="2" t="s">
        <v>13135</v>
      </c>
      <c r="B13135" s="2" t="str">
        <f>IFERROR(__xludf.DUMMYFUNCTION("GOOGLETRANSLATE(A13135, ""en"", ""mt"")"),"Pakkett ta 'rotta huwa meħtieġ taħt liema sistema?")</f>
        <v>Pakkett ta 'rotta huwa meħtieġ taħt liema sistema?</v>
      </c>
    </row>
    <row r="13136" ht="15.75" customHeight="1">
      <c r="A13136" s="2" t="s">
        <v>13136</v>
      </c>
      <c r="B13136" s="2" t="str">
        <f>IFERROR(__xludf.DUMMYFUNCTION("GOOGLETRANSLATE(A13136, ""en"", ""mt"")"),"mezz biex tagħmel it-teknoloġija arpanet pubblika")</f>
        <v>mezz biex tagħmel it-teknoloġija arpanet pubblika</v>
      </c>
    </row>
    <row r="13137" ht="15.75" customHeight="1">
      <c r="A13137" s="2" t="s">
        <v>13137</v>
      </c>
      <c r="B13137" s="2" t="str">
        <f>IFERROR(__xludf.DUMMYFUNCTION("GOOGLETRANSLATE(A13137, ""en"", ""mt"")"),"problema tal-komputazzjoni")</f>
        <v>problema tal-komputazzjoni</v>
      </c>
    </row>
    <row r="13138" ht="15.75" customHeight="1">
      <c r="A13138" s="2" t="s">
        <v>13138</v>
      </c>
      <c r="B13138" s="2" t="str">
        <f>IFERROR(__xludf.DUMMYFUNCTION("GOOGLETRANSLATE(A13138, ""en"", ""mt"")"),"mid-dejta disponibbli")</f>
        <v>mid-dejta disponibbli</v>
      </c>
    </row>
    <row r="13139" ht="15.75" customHeight="1">
      <c r="A13139" s="2" t="s">
        <v>13139</v>
      </c>
      <c r="B13139" s="2" t="str">
        <f>IFERROR(__xludf.DUMMYFUNCTION("GOOGLETRANSLATE(A13139, ""en"", ""mt"")"),"3.7")</f>
        <v>3.7</v>
      </c>
    </row>
    <row r="13140" ht="15.75" customHeight="1">
      <c r="A13140" s="2" t="s">
        <v>13140</v>
      </c>
      <c r="B13140" s="2" t="str">
        <f>IFERROR(__xludf.DUMMYFUNCTION("GOOGLETRANSLATE(A13140, ""en"", ""mt"")")," Liema titlu nominali ċaħdet l-imperaturi Yuan?")</f>
        <v> Liema titlu nominali ċaħdet l-imperaturi Yuan?</v>
      </c>
    </row>
    <row r="13141" ht="15.75" customHeight="1">
      <c r="A13141" s="2" t="s">
        <v>13141</v>
      </c>
      <c r="B13141" s="2" t="str">
        <f>IFERROR(__xludf.DUMMYFUNCTION("GOOGLETRANSLATE(A13141, ""en"", ""mt"")"),"Duka William II")</f>
        <v>Duka William II</v>
      </c>
    </row>
    <row r="13142" ht="15.75" customHeight="1">
      <c r="A13142" s="2" t="s">
        <v>13142</v>
      </c>
      <c r="B13142" s="2" t="str">
        <f>IFERROR(__xludf.DUMMYFUNCTION("GOOGLETRANSLATE(A13142, ""en"", ""mt"")"),"komputazzjoni")</f>
        <v>komputazzjoni</v>
      </c>
    </row>
    <row r="13143" ht="15.75" customHeight="1">
      <c r="A13143" s="2" t="s">
        <v>13143</v>
      </c>
      <c r="B13143" s="2" t="str">
        <f>IFERROR(__xludf.DUMMYFUNCTION("GOOGLETRANSLATE(A13143, ""en"", ""mt"")"),"X'kien iffurmat wara li ġew depożitati l-unitajiet mhux iffurmati?")</f>
        <v>X'kien iffurmat wara li ġew depożitati l-unitajiet mhux iffurmati?</v>
      </c>
    </row>
    <row r="13144" ht="15.75" customHeight="1">
      <c r="A13144" s="2" t="s">
        <v>13144</v>
      </c>
      <c r="B13144" s="2" t="str">
        <f>IFERROR(__xludf.DUMMYFUNCTION("GOOGLETRANSLATE(A13144, ""en"", ""mt"")"),"Mistoqsijiet kostituzzjonali fundamentali li jaffettwaw id-demokrazija u d-drittijiet tal-bniedem")</f>
        <v>Mistoqsijiet kostituzzjonali fundamentali li jaffettwaw id-demokrazija u d-drittijiet tal-bniedem</v>
      </c>
    </row>
    <row r="13145" ht="15.75" customHeight="1">
      <c r="A13145" s="2" t="s">
        <v>13145</v>
      </c>
      <c r="B13145" s="2" t="str">
        <f>IFERROR(__xludf.DUMMYFUNCTION("GOOGLETRANSLATE(A13145, ""en"", ""mt"")"),"1638")</f>
        <v>1638</v>
      </c>
    </row>
    <row r="13146" ht="15.75" customHeight="1">
      <c r="A13146" s="2" t="s">
        <v>13146</v>
      </c>
      <c r="B13146" s="2" t="str">
        <f>IFERROR(__xludf.DUMMYFUNCTION("GOOGLETRANSLATE(A13146, ""en"", ""mt"")"),"Dak li ġeneralment jiddetta l-materjali tal-kostruzzjoni użati?")</f>
        <v>Dak li ġeneralment jiddetta l-materjali tal-kostruzzjoni użati?</v>
      </c>
    </row>
    <row r="13147" ht="15.75" customHeight="1">
      <c r="A13147" s="2" t="s">
        <v>13147</v>
      </c>
      <c r="B13147" s="2" t="str">
        <f>IFERROR(__xludf.DUMMYFUNCTION("GOOGLETRANSLATE(A13147, ""en"", ""mt"")"),"268 U.S. 510")</f>
        <v>268 U.S. 510</v>
      </c>
    </row>
    <row r="13148" ht="15.75" customHeight="1">
      <c r="A13148" s="2" t="s">
        <v>13148</v>
      </c>
      <c r="B13148" s="2" t="str">
        <f>IFERROR(__xludf.DUMMYFUNCTION("GOOGLETRANSLATE(A13148, ""en"", ""mt"")"),"Minbarra l-ossidi, liema komposti oħra jinkludu porzjon kbir tal-qoxra tad-Dinja?")</f>
        <v>Minbarra l-ossidi, liema komposti oħra jinkludu porzjon kbir tal-qoxra tad-Dinja?</v>
      </c>
    </row>
    <row r="13149" ht="15.75" customHeight="1">
      <c r="A13149" s="2" t="s">
        <v>13149</v>
      </c>
      <c r="B13149" s="2" t="str">
        <f>IFERROR(__xludf.DUMMYFUNCTION("GOOGLETRANSLATE(A13149, ""en"", ""mt"")"),"Meta bdiet tiġġarraf ir-Renju Shah?")</f>
        <v>Meta bdiet tiġġarraf ir-Renju Shah?</v>
      </c>
    </row>
    <row r="13150" ht="15.75" customHeight="1">
      <c r="A13150" s="2" t="s">
        <v>13150</v>
      </c>
      <c r="B13150" s="2" t="str">
        <f>IFERROR(__xludf.DUMMYFUNCTION("GOOGLETRANSLATE(A13150, ""en"", ""mt"")"),"Il-Camden 28 kif iddeskriva l-azzjonijiet tagħhom lill-qorti?")</f>
        <v>Il-Camden 28 kif iddeskriva l-azzjonijiet tagħhom lill-qorti?</v>
      </c>
    </row>
    <row r="13151" ht="15.75" customHeight="1">
      <c r="A13151" s="2" t="s">
        <v>13151</v>
      </c>
      <c r="B13151" s="2" t="str">
        <f>IFERROR(__xludf.DUMMYFUNCTION("GOOGLETRANSLATE(A13151, ""en"", ""mt"")"),"X'jipprova jżomm il-koppla trasparenti li tistrieħ fuqha?")</f>
        <v>X'jipprova jżomm il-koppla trasparenti li tistrieħ fuqha?</v>
      </c>
    </row>
    <row r="13152" ht="15.75" customHeight="1">
      <c r="A13152" s="2" t="s">
        <v>13152</v>
      </c>
      <c r="B13152" s="2" t="str">
        <f>IFERROR(__xludf.DUMMYFUNCTION("GOOGLETRANSLATE(A13152, ""en"", ""mt"")"),"Osservazzjonijiet dwar il-Ġeoloġija ta 'l-Istati Uniti Spjegazzjoni ta' Mappa Ġeoloġika")</f>
        <v>Osservazzjonijiet dwar il-Ġeoloġija ta 'l-Istati Uniti Spjegazzjoni ta' Mappa Ġeoloġika</v>
      </c>
    </row>
    <row r="13153" ht="15.75" customHeight="1">
      <c r="A13153" s="2" t="s">
        <v>13153</v>
      </c>
      <c r="B13153" s="2" t="str">
        <f>IFERROR(__xludf.DUMMYFUNCTION("GOOGLETRANSLATE(A13153, ""en"", ""mt"")"),"Ligand CD40")</f>
        <v>Ligand CD40</v>
      </c>
    </row>
    <row r="13154" ht="15.75" customHeight="1">
      <c r="A13154" s="2" t="s">
        <v>13154</v>
      </c>
      <c r="B13154" s="2" t="str">
        <f>IFERROR(__xludf.DUMMYFUNCTION("GOOGLETRANSLATE(A13154, ""en"", ""mt"")"),"Appoġġ politiku")</f>
        <v>Appoġġ politiku</v>
      </c>
    </row>
    <row r="13155" ht="15.75" customHeight="1">
      <c r="A13155" s="2" t="s">
        <v>13155</v>
      </c>
      <c r="B13155" s="2" t="str">
        <f>IFERROR(__xludf.DUMMYFUNCTION("GOOGLETRANSLATE(A13155, ""en"", ""mt"")"),"X'inhu l-punt li l-iżotopi radjometriċi jibdew jitxerrdu?")</f>
        <v>X'inhu l-punt li l-iżotopi radjometriċi jibdew jitxerrdu?</v>
      </c>
    </row>
    <row r="13156" ht="15.75" customHeight="1">
      <c r="A13156" s="2" t="s">
        <v>13156</v>
      </c>
      <c r="B13156" s="2" t="str">
        <f>IFERROR(__xludf.DUMMYFUNCTION("GOOGLETRANSLATE(A13156, ""en"", ""mt"")"),"1966")</f>
        <v>1966</v>
      </c>
    </row>
    <row r="13157" ht="15.75" customHeight="1">
      <c r="A13157" s="2" t="s">
        <v>13157</v>
      </c>
      <c r="B13157" s="2" t="str">
        <f>IFERROR(__xludf.DUMMYFUNCTION("GOOGLETRANSLATE(A13157, ""en"", ""mt"")"),"Conant iddisinja programmi")</f>
        <v>Conant iddisinja programmi</v>
      </c>
    </row>
    <row r="13158" ht="15.75" customHeight="1">
      <c r="A13158" s="2" t="s">
        <v>13158</v>
      </c>
      <c r="B13158" s="2" t="str">
        <f>IFERROR(__xludf.DUMMYFUNCTION("GOOGLETRANSLATE(A13158, ""en"", ""mt"")"),"X'inhi d-distanza minima bejn id-dar tal-pazjent u l-eqreb spiżerija li tippermetti lit-tabib fl-Awstrija jagħti l-mediċina?")</f>
        <v>X'inhi d-distanza minima bejn id-dar tal-pazjent u l-eqreb spiżerija li tippermetti lit-tabib fl-Awstrija jagħti l-mediċina?</v>
      </c>
    </row>
    <row r="13159" ht="15.75" customHeight="1">
      <c r="A13159" s="2" t="s">
        <v>13159</v>
      </c>
      <c r="B13159" s="2" t="str">
        <f>IFERROR(__xludf.DUMMYFUNCTION("GOOGLETRANSLATE(A13159, ""en"", ""mt"")"),"X'inhu stmat li madwar nofs il-varjazzjoni kollha fir-rati ta 'omiċidji tista' tiġi kkontabilizzata minnha?")</f>
        <v>X'inhu stmat li madwar nofs il-varjazzjoni kollha fir-rati ta 'omiċidji tista' tiġi kkontabilizzata minnha?</v>
      </c>
    </row>
    <row r="13160" ht="15.75" customHeight="1">
      <c r="A13160" s="2" t="s">
        <v>13160</v>
      </c>
      <c r="B13160" s="2" t="str">
        <f>IFERROR(__xludf.DUMMYFUNCTION("GOOGLETRANSLATE(A13160, ""en"", ""mt"")"),"Għaxar darbiet aktar")</f>
        <v>Għaxar darbiet aktar</v>
      </c>
    </row>
    <row r="13161" ht="15.75" customHeight="1">
      <c r="A13161" s="2" t="s">
        <v>13161</v>
      </c>
      <c r="B13161" s="2" t="str">
        <f>IFERROR(__xludf.DUMMYFUNCTION("GOOGLETRANSLATE(A13161, ""en"", ""mt"")"),"Qabel it-Tieni Gwerra Dinjija, Fresno kellu ħafna kwartieri etniċi, inklużi Little Armenja, Belt Ġermaniża, Little Italja, u Chinatown. Fl-1940, l-Uffiċċju taċ-Ċensiment irrapporta l-popolazzjoni ta 'Fresno bħala 94.0% abjad, 3.3% iswed u 2.7% Asjatiku. ("&amp;"Inkongruż, Chinatown kien primarjament viċinat Ġappuniż u llum għadhom in-negozji Ġappuniżi-Amerikani). Matul l-1942, Pinedale, f’dak li issa hu North Fresno, kien is-sit taċ-Ċentru tal-Assemblea Pinedale, faċilità interim għar-rilokazzjoni taż-żona ta ’F"&amp;"resno Amerikani Ġappuniżi għal kampijiet ta’ internament. Il-fieri ta 'Fresno ġiet użata wkoll bħala ċentru ta' assemblaġġ.")</f>
        <v>Qabel it-Tieni Gwerra Dinjija, Fresno kellu ħafna kwartieri etniċi, inklużi Little Armenja, Belt Ġermaniża, Little Italja, u Chinatown. Fl-1940, l-Uffiċċju taċ-Ċensiment irrapporta l-popolazzjoni ta 'Fresno bħala 94.0% abjad, 3.3% iswed u 2.7% Asjatiku. (Inkongruż, Chinatown kien primarjament viċinat Ġappuniż u llum għadhom in-negozji Ġappuniżi-Amerikani). Matul l-1942, Pinedale, f’dak li issa hu North Fresno, kien is-sit taċ-Ċentru tal-Assemblea Pinedale, faċilità interim għar-rilokazzjoni taż-żona ta ’Fresno Amerikani Ġappuniżi għal kampijiet ta’ internament. Il-fieri ta 'Fresno ġiet użata wkoll bħala ċentru ta' assemblaġġ.</v>
      </c>
    </row>
    <row r="13162" ht="15.75" customHeight="1">
      <c r="A13162" s="2" t="s">
        <v>13162</v>
      </c>
      <c r="B13162" s="2" t="str">
        <f>IFERROR(__xludf.DUMMYFUNCTION("GOOGLETRANSLATE(A13162, ""en"", ""mt"")"),"Il-leġġenda l-iktar magħrufa")</f>
        <v>Il-leġġenda l-iktar magħrufa</v>
      </c>
    </row>
    <row r="13163" ht="15.75" customHeight="1">
      <c r="A13163" s="2" t="s">
        <v>13163</v>
      </c>
      <c r="B13163" s="2" t="str">
        <f>IFERROR(__xludf.DUMMYFUNCTION("GOOGLETRANSLATE(A13163, ""en"", ""mt"")"),"X'tip ta 'teorija tan-numri tuża u tistudja l-aritmetika Noetherijana?")</f>
        <v>X'tip ta 'teorija tan-numri tuża u tistudja l-aritmetika Noetherijana?</v>
      </c>
    </row>
    <row r="13164" ht="15.75" customHeight="1">
      <c r="A13164" s="2" t="s">
        <v>13164</v>
      </c>
      <c r="B13164" s="2" t="str">
        <f>IFERROR(__xludf.DUMMYFUNCTION("GOOGLETRANSLATE(A13164, ""en"", ""mt"")"),"Liema riżoluzzjoni tan-NU approvat l-IPCC?")</f>
        <v>Liema riżoluzzjoni tan-NU approvat l-IPCC?</v>
      </c>
    </row>
    <row r="13165" ht="15.75" customHeight="1">
      <c r="A13165" s="2" t="s">
        <v>13165</v>
      </c>
      <c r="B13165" s="2" t="str">
        <f>IFERROR(__xludf.DUMMYFUNCTION("GOOGLETRANSLATE(A13165, ""en"", ""mt"")"),"Partiċelli tal-punt idealizzati aktar milli oġġetti tridimensjonali")</f>
        <v>Partiċelli tal-punt idealizzati aktar milli oġġetti tridimensjonali</v>
      </c>
    </row>
    <row r="13166" ht="15.75" customHeight="1">
      <c r="A13166" s="2" t="s">
        <v>13166</v>
      </c>
      <c r="B13166" s="2" t="str">
        <f>IFERROR(__xludf.DUMMYFUNCTION("GOOGLETRANSLATE(A13166, ""en"", ""mt"")"),"L-indipendenza ta 'liema parlament għandu tendenza li jkun għoli?")</f>
        <v>L-indipendenza ta 'liema parlament għandu tendenza li jkun għoli?</v>
      </c>
    </row>
    <row r="13167" ht="15.75" customHeight="1">
      <c r="A13167" s="2" t="s">
        <v>13167</v>
      </c>
      <c r="B13167" s="2" t="str">
        <f>IFERROR(__xludf.DUMMYFUNCTION("GOOGLETRANSLATE(A13167, ""en"", ""mt"")"),"Ma 'min għamel l-internet2 ma'")</f>
        <v>Ma 'min għamel l-internet2 ma'</v>
      </c>
    </row>
    <row r="13168" ht="15.75" customHeight="1">
      <c r="A13168" s="2" t="s">
        <v>13168</v>
      </c>
      <c r="B13168" s="2" t="str">
        <f>IFERROR(__xludf.DUMMYFUNCTION("GOOGLETRANSLATE(A13168, ""en"", ""mt"")"),"raġunijiet politiċi")</f>
        <v>raġunijiet politiċi</v>
      </c>
    </row>
    <row r="13169" ht="15.75" customHeight="1">
      <c r="A13169" s="2" t="s">
        <v>13169</v>
      </c>
      <c r="B13169" s="2" t="str">
        <f>IFERROR(__xludf.DUMMYFUNCTION("GOOGLETRANSLATE(A13169, ""en"", ""mt"")"),"Dyrrachium")</f>
        <v>Dyrrachium</v>
      </c>
    </row>
    <row r="13170" ht="15.75" customHeight="1">
      <c r="A13170" s="2" t="s">
        <v>13170</v>
      </c>
      <c r="B13170" s="2" t="str">
        <f>IFERROR(__xludf.DUMMYFUNCTION("GOOGLETRANSLATE(A13170, ""en"", ""mt"")"),"Min sfrutta l-Gran Brittanja fl-Indja?")</f>
        <v>Min sfrutta l-Gran Brittanja fl-Indja?</v>
      </c>
    </row>
    <row r="13171" ht="15.75" customHeight="1">
      <c r="A13171" s="2" t="s">
        <v>13171</v>
      </c>
      <c r="B13171" s="2" t="str">
        <f>IFERROR(__xludf.DUMMYFUNCTION("GOOGLETRANSLATE(A13171, ""en"", ""mt"")"),"X'inhuma t-tentakli żgħar li ċemplu Cydippids?")</f>
        <v>X'inhuma t-tentakli żgħar li ċemplu Cydippids?</v>
      </c>
    </row>
    <row r="13172" ht="15.75" customHeight="1">
      <c r="A13172" s="2" t="s">
        <v>13172</v>
      </c>
      <c r="B13172" s="2" t="str">
        <f>IFERROR(__xludf.DUMMYFUNCTION("GOOGLETRANSLATE(A13172, ""en"", ""mt"")"),"Liema president Amerikan żar Jacksonville fl-1888?")</f>
        <v>Liema president Amerikan żar Jacksonville fl-1888?</v>
      </c>
    </row>
    <row r="13173" ht="15.75" customHeight="1">
      <c r="A13173" s="2" t="s">
        <v>13173</v>
      </c>
      <c r="B13173" s="2" t="str">
        <f>IFERROR(__xludf.DUMMYFUNCTION("GOOGLETRANSLATE(A13173, ""en"", ""mt"")"),"Awwissu 2004")</f>
        <v>Awwissu 2004</v>
      </c>
    </row>
    <row r="13174" ht="15.75" customHeight="1">
      <c r="A13174" s="2" t="s">
        <v>13174</v>
      </c>
      <c r="B13174" s="2" t="str">
        <f>IFERROR(__xludf.DUMMYFUNCTION("GOOGLETRANSLATE(A13174, ""en"", ""mt"")"),"L-isem Rijn, minn hawn 'il quddiem, jintuża biss għal nixxigħat iżgħar' il bogħod lejn it-tramuntana, li flimkien iffurmaw ix-xmara ewlenija Rhine fi żminijiet Rumani. Għalkemm żammew l-isem, dawn il-flussi m'għadhomx iġorru l-ilma mir-Renu, iżda jintużaw"&amp;" biex ixxotta l-art tal-madwar u l-polders. Minn Wijk Bij Duurstede, il-fergħa l-qadima tat-Tramuntana tar-Renu tissejjaħ Kromme Rijn (""Bent Rhine"") passat Utrecht, l-ewwel Leidse Rijn (""Rhine of Leiden"") u mbagħad, Oud Rijn (""Old Rhine""). Dan tal-a"&amp;"ħħar jiċċirkola lejn il-punent ġo sluice f'Katwijk, fejn l-ilmijiet tiegħu jistgħu jiġu mormija fil-Baħar tat-Tramuntana. Din il-fergħa darba ffurmat il-linja li matulu nbnew il-Ġermaniku. Matul perjodi ta 'livelli aktar baxxi tal-baħar fi ħdan l-etajiet "&amp;"tas-silġ varji, ir-Rhine ħa dawra fuq ix-xellug, li ħoloq ix-Xmara Channel, li l-kors tiegħu issa jinsab taħt il-Kanal Ingliż.")</f>
        <v>L-isem Rijn, minn hawn 'il quddiem, jintuża biss għal nixxigħat iżgħar' il bogħod lejn it-tramuntana, li flimkien iffurmaw ix-xmara ewlenija Rhine fi żminijiet Rumani. Għalkemm żammew l-isem, dawn il-flussi m'għadhomx iġorru l-ilma mir-Renu, iżda jintużaw biex ixxotta l-art tal-madwar u l-polders. Minn Wijk Bij Duurstede, il-fergħa l-qadima tat-Tramuntana tar-Renu tissejjaħ Kromme Rijn ("Bent Rhine") passat Utrecht, l-ewwel Leidse Rijn ("Rhine of Leiden") u mbagħad, Oud Rijn ("Old Rhine"). Dan tal-aħħar jiċċirkola lejn il-punent ġo sluice f'Katwijk, fejn l-ilmijiet tiegħu jistgħu jiġu mormija fil-Baħar tat-Tramuntana. Din il-fergħa darba ffurmat il-linja li matulu nbnew il-Ġermaniku. Matul perjodi ta 'livelli aktar baxxi tal-baħar fi ħdan l-etajiet tas-silġ varji, ir-Rhine ħa dawra fuq ix-xellug, li ħoloq ix-Xmara Channel, li l-kors tiegħu issa jinsab taħt il-Kanal Ingliż.</v>
      </c>
    </row>
    <row r="13175" ht="15.75" customHeight="1">
      <c r="A13175" s="2" t="s">
        <v>13175</v>
      </c>
      <c r="B13175" s="2" t="str">
        <f>IFERROR(__xludf.DUMMYFUNCTION("GOOGLETRANSLATE(A13175, ""en"", ""mt"")"),"Għal xiex jużaw cilia ġisimhom?")</f>
        <v>Għal xiex jużaw cilia ġisimhom?</v>
      </c>
    </row>
    <row r="13176" ht="15.75" customHeight="1">
      <c r="A13176" s="2" t="s">
        <v>13176</v>
      </c>
      <c r="B13176" s="2" t="str">
        <f>IFERROR(__xludf.DUMMYFUNCTION("GOOGLETRANSLATE(A13176, ""en"", ""mt"")"),"Żied sostanzjalment il-prezz mitlub")</f>
        <v>Żied sostanzjalment il-prezz mitlub</v>
      </c>
    </row>
    <row r="13177" ht="15.75" customHeight="1">
      <c r="A13177" s="2" t="s">
        <v>13177</v>
      </c>
      <c r="B13177" s="2" t="str">
        <f>IFERROR(__xludf.DUMMYFUNCTION("GOOGLETRANSLATE(A13177, ""en"", ""mt"")"),"Il-modi tiegħi ta 'Jacksonville l-iktar xahar kiesaħ fuq ir-rekord?")</f>
        <v>Il-modi tiegħi ta 'Jacksonville l-iktar xahar kiesaħ fuq ir-rekord?</v>
      </c>
    </row>
    <row r="13178" ht="15.75" customHeight="1">
      <c r="A13178" s="2" t="s">
        <v>13178</v>
      </c>
      <c r="B13178" s="2" t="str">
        <f>IFERROR(__xludf.DUMMYFUNCTION("GOOGLETRANSLATE(A13178, ""en"", ""mt"")"),"Stati jew dipartimenti f'erba 'nazzjonijiet fihom ""Amazonas"" f'isimhom.")</f>
        <v>Stati jew dipartimenti f'erba 'nazzjonijiet fihom "Amazonas" f'isimhom.</v>
      </c>
    </row>
    <row r="13179" ht="15.75" customHeight="1">
      <c r="A13179" s="2" t="s">
        <v>13179</v>
      </c>
      <c r="B13179" s="2" t="str">
        <f>IFERROR(__xludf.DUMMYFUNCTION("GOOGLETRANSLATE(A13179, ""en"", ""mt"")"),"Camp Pendleton")</f>
        <v>Camp Pendleton</v>
      </c>
    </row>
    <row r="13180" ht="15.75" customHeight="1">
      <c r="A13180" s="2" t="s">
        <v>13180</v>
      </c>
      <c r="B13180" s="2" t="str">
        <f>IFERROR(__xludf.DUMMYFUNCTION("GOOGLETRANSLATE(A13180, ""en"", ""mt"")"),"Ma 'liema kumpaniji kellhom Toyota, Chevrolet u Dodge magħhom?")</f>
        <v>Ma 'liema kumpaniji kellhom Toyota, Chevrolet u Dodge magħhom?</v>
      </c>
    </row>
    <row r="13181" ht="15.75" customHeight="1">
      <c r="A13181" s="2" t="s">
        <v>13181</v>
      </c>
      <c r="B13181" s="2" t="str">
        <f>IFERROR(__xludf.DUMMYFUNCTION("GOOGLETRANSLATE(A13181, ""en"", ""mt"")"),"Liema avvanzi minbarra t-teknoloġija militari ma kisbux l-Ewropa?")</f>
        <v>Liema avvanzi minbarra t-teknoloġija militari ma kisbux l-Ewropa?</v>
      </c>
    </row>
    <row r="13182" ht="15.75" customHeight="1">
      <c r="A13182" s="2" t="s">
        <v>13182</v>
      </c>
      <c r="B13182" s="2" t="str">
        <f>IFERROR(__xludf.DUMMYFUNCTION("GOOGLETRANSLATE(A13182, ""en"", ""mt"")"),"Meta Bathyctena Chuni, Euplokamis Stationis u Eurhamphaea vexilligera excrete tnixxija?")</f>
        <v>Meta Bathyctena Chuni, Euplokamis Stationis u Eurhamphaea vexilligera excrete tnixxija?</v>
      </c>
    </row>
    <row r="13183" ht="15.75" customHeight="1">
      <c r="A13183" s="2" t="s">
        <v>13183</v>
      </c>
      <c r="B13183" s="2" t="str">
        <f>IFERROR(__xludf.DUMMYFUNCTION("GOOGLETRANSLATE(A13183, ""en"", ""mt"")"),"Śródmieście")</f>
        <v>Śródmieście</v>
      </c>
    </row>
    <row r="13184" ht="15.75" customHeight="1">
      <c r="A13184" s="2" t="s">
        <v>13184</v>
      </c>
      <c r="B13184" s="2" t="str">
        <f>IFERROR(__xludf.DUMMYFUNCTION("GOOGLETRANSLATE(A13184, ""en"", ""mt"")"),"Ġenna Eterna")</f>
        <v>Ġenna Eterna</v>
      </c>
    </row>
    <row r="13185" ht="15.75" customHeight="1">
      <c r="A13185" s="2" t="s">
        <v>13185</v>
      </c>
      <c r="B13185" s="2" t="str">
        <f>IFERROR(__xludf.DUMMYFUNCTION("GOOGLETRANSLATE(A13185, ""en"", ""mt"")"),"8")</f>
        <v>8</v>
      </c>
    </row>
    <row r="13186" ht="15.75" customHeight="1">
      <c r="A13186" s="2" t="s">
        <v>13186</v>
      </c>
      <c r="B13186" s="2" t="str">
        <f>IFERROR(__xludf.DUMMYFUNCTION("GOOGLETRANSLATE(A13186, ""en"", ""mt"")"),"Meta arpnet u sita saru operattivi")</f>
        <v>Meta arpnet u sita saru operattivi</v>
      </c>
    </row>
    <row r="13187" ht="15.75" customHeight="1">
      <c r="A13187" s="2" t="s">
        <v>13187</v>
      </c>
      <c r="B13187" s="2" t="str">
        <f>IFERROR(__xludf.DUMMYFUNCTION("GOOGLETRANSLATE(A13187, ""en"", ""mt"")"),"X'inhu mnaqqas billi twaqqaf l-espansjoni f'ċilindri multipli?")</f>
        <v>X'inhu mnaqqas billi twaqqaf l-espansjoni f'ċilindri multipli?</v>
      </c>
    </row>
    <row r="13188" ht="15.75" customHeight="1">
      <c r="A13188" s="2" t="s">
        <v>13188</v>
      </c>
      <c r="B13188" s="2" t="str">
        <f>IFERROR(__xludf.DUMMYFUNCTION("GOOGLETRANSLATE(A13188, ""en"", ""mt"")"),"1,600")</f>
        <v>1,600</v>
      </c>
    </row>
    <row r="13189" ht="15.75" customHeight="1">
      <c r="A13189" s="2" t="s">
        <v>13189</v>
      </c>
      <c r="B13189" s="2" t="str">
        <f>IFERROR(__xludf.DUMMYFUNCTION("GOOGLETRANSLATE(A13189, ""en"", ""mt"")"),"Liema persentaġġ ta 'koppji miżżewġin kellhom tfal jgħixu magħhom?")</f>
        <v>Liema persentaġġ ta 'koppji miżżewġin kellhom tfal jgħixu magħhom?</v>
      </c>
    </row>
    <row r="13190" ht="15.75" customHeight="1">
      <c r="A13190" s="2" t="s">
        <v>13190</v>
      </c>
      <c r="B13190" s="2" t="str">
        <f>IFERROR(__xludf.DUMMYFUNCTION("GOOGLETRANSLATE(A13190, ""en"", ""mt"")"),"l-istat (inklużi l-imħallfin)")</f>
        <v>l-istat (inklużi l-imħallfin)</v>
      </c>
    </row>
    <row r="13191" ht="15.75" customHeight="1">
      <c r="A13191" s="2" t="s">
        <v>13191</v>
      </c>
      <c r="B13191" s="2" t="str">
        <f>IFERROR(__xludf.DUMMYFUNCTION("GOOGLETRANSLATE(A13191, ""en"", ""mt"")"),"Għaliex xi nies isibuha diffiċli biex ma jitkellmux ma 'aġent tat-taxxa?")</f>
        <v>Għaliex xi nies isibuha diffiċli biex ma jitkellmux ma 'aġent tat-taxxa?</v>
      </c>
    </row>
    <row r="13192" ht="15.75" customHeight="1">
      <c r="A13192" s="2" t="s">
        <v>13192</v>
      </c>
      <c r="B13192" s="2" t="str">
        <f>IFERROR(__xludf.DUMMYFUNCTION("GOOGLETRANSLATE(A13192, ""en"", ""mt"")"),"gradwali")</f>
        <v>gradwali</v>
      </c>
    </row>
    <row r="13193" ht="15.75" customHeight="1">
      <c r="A13193" s="2" t="s">
        <v>13193</v>
      </c>
      <c r="B13193" s="2" t="str">
        <f>IFERROR(__xludf.DUMMYFUNCTION("GOOGLETRANSLATE(A13193, ""en"", ""mt"")")," Min jirrifjuta li jmexxi l-Istat Iżlamiku?")</f>
        <v> Min jirrifjuta li jmexxi l-Istat Iżlamiku?</v>
      </c>
    </row>
    <row r="13194" ht="15.75" customHeight="1">
      <c r="A13194" s="2" t="s">
        <v>13194</v>
      </c>
      <c r="B13194" s="2" t="str">
        <f>IFERROR(__xludf.DUMMYFUNCTION("GOOGLETRANSLATE(A13194, ""en"", ""mt"")"),"X’għandu jonqos il-kolonjaliżmu dak l-imperjalizmu?")</f>
        <v>X’għandu jonqos il-kolonjaliżmu dak l-imperjalizmu?</v>
      </c>
    </row>
    <row r="13195" ht="15.75" customHeight="1">
      <c r="A13195" s="2" t="s">
        <v>13195</v>
      </c>
      <c r="B13195" s="2" t="str">
        <f>IFERROR(__xludf.DUMMYFUNCTION("GOOGLETRANSLATE(A13195, ""en"", ""mt"")"),"X'kien l-uniku reġjun fl-Ewropa li ma ħasibx mit-tribujiet Ġermaniċi?")</f>
        <v>X'kien l-uniku reġjun fl-Ewropa li ma ħasibx mit-tribujiet Ġermaniċi?</v>
      </c>
    </row>
    <row r="13196" ht="15.75" customHeight="1">
      <c r="A13196" s="2" t="s">
        <v>13196</v>
      </c>
      <c r="B13196" s="2" t="str">
        <f>IFERROR(__xludf.DUMMYFUNCTION("GOOGLETRANSLATE(A13196, ""en"", ""mt"")"),"James Hutton ippubblika verżjoni ta '2 volum tat-teoriji tiegħu f'liema sena?")</f>
        <v>James Hutton ippubblika verżjoni ta '2 volum tat-teoriji tiegħu f'liema sena?</v>
      </c>
    </row>
    <row r="13197" ht="15.75" customHeight="1">
      <c r="A13197" s="2" t="s">
        <v>13197</v>
      </c>
      <c r="B13197" s="2" t="str">
        <f>IFERROR(__xludf.DUMMYFUNCTION("GOOGLETRANSLATE(A13197, ""en"", ""mt"")"),"Xi jfisser ammont kbir ta 'awto-gratifikazzjoni?")</f>
        <v>Xi jfisser ammont kbir ta 'awto-gratifikazzjoni?</v>
      </c>
    </row>
    <row r="13198" ht="15.75" customHeight="1">
      <c r="A13198" s="2" t="s">
        <v>13198</v>
      </c>
      <c r="B13198" s="2" t="str">
        <f>IFERROR(__xludf.DUMMYFUNCTION("GOOGLETRANSLATE(A13198, ""en"", ""mt"")"),"Nuqqas ta 'fehim tar-ramifikazzjonijiet legali, jew minħabba biża' li tidher rude.")</f>
        <v>Nuqqas ta 'fehim tar-ramifikazzjonijiet legali, jew minħabba biża' li tidher rude.</v>
      </c>
    </row>
    <row r="13199" ht="15.75" customHeight="1">
      <c r="A13199" s="2" t="s">
        <v>13199</v>
      </c>
      <c r="B13199" s="2" t="str">
        <f>IFERROR(__xludf.DUMMYFUNCTION("GOOGLETRANSLATE(A13199, ""en"", ""mt"")"),"territorju mhux esplorat")</f>
        <v>territorju mhux esplorat</v>
      </c>
    </row>
    <row r="13200" ht="15.75" customHeight="1">
      <c r="A13200" s="2" t="s">
        <v>13200</v>
      </c>
      <c r="B13200" s="2" t="str">
        <f>IFERROR(__xludf.DUMMYFUNCTION("GOOGLETRANSLATE(A13200, ""en"", ""mt"")"),"Sistema estensiva, elettrifikata, tal-passiġġieri")</f>
        <v>Sistema estensiva, elettrifikata, tal-passiġġieri</v>
      </c>
    </row>
    <row r="13201" ht="15.75" customHeight="1">
      <c r="A13201" s="2" t="s">
        <v>13201</v>
      </c>
      <c r="B13201" s="2" t="str">
        <f>IFERROR(__xludf.DUMMYFUNCTION("GOOGLETRANSLATE(A13201, ""en"", ""mt"")"),"Dak li ma fihx dispożizzjonijiet formali u sostantivi?")</f>
        <v>Dak li ma fihx dispożizzjonijiet formali u sostantivi?</v>
      </c>
    </row>
    <row r="13202" ht="15.75" customHeight="1">
      <c r="A13202" s="2" t="s">
        <v>13202</v>
      </c>
      <c r="B13202" s="2" t="str">
        <f>IFERROR(__xludf.DUMMYFUNCTION("GOOGLETRANSLATE(A13202, ""en"", ""mt"")"),"Meta Polonia Varsavja rebħet il-kampjonat tal-pajjiż qabel l-2000?")</f>
        <v>Meta Polonia Varsavja rebħet il-kampjonat tal-pajjiż qabel l-2000?</v>
      </c>
    </row>
    <row r="13203" ht="15.75" customHeight="1">
      <c r="A13203" s="2" t="s">
        <v>13203</v>
      </c>
      <c r="B13203" s="2" t="str">
        <f>IFERROR(__xludf.DUMMYFUNCTION("GOOGLETRANSLATE(A13203, ""en"", ""mt"")"),"Matul liema snin Harvard rringrazzja programm ġdid li għadu ma ggradwax?")</f>
        <v>Matul liema snin Harvard rringrazzja programm ġdid li għadu ma ggradwax?</v>
      </c>
    </row>
    <row r="13204" ht="15.75" customHeight="1">
      <c r="A13204" s="2" t="s">
        <v>13204</v>
      </c>
      <c r="B13204" s="2" t="str">
        <f>IFERROR(__xludf.DUMMYFUNCTION("GOOGLETRANSLATE(A13204, ""en"", ""mt"")"),"Minbarra 113 istitut ta 'riċerka, kemm ċentri ta' riċerka joperaw l-U ta 'C?")</f>
        <v>Minbarra 113 istitut ta 'riċerka, kemm ċentri ta' riċerka joperaw l-U ta 'C?</v>
      </c>
    </row>
    <row r="13205" ht="15.75" customHeight="1">
      <c r="A13205" s="2" t="s">
        <v>13205</v>
      </c>
      <c r="B13205" s="2" t="str">
        <f>IFERROR(__xludf.DUMMYFUNCTION("GOOGLETRANSLATE(A13205, ""en"", ""mt"")"),"X'inhu l-Inġinerija tal-Aħbarijiet-Record?")</f>
        <v>X'inhu l-Inġinerija tal-Aħbarijiet-Record?</v>
      </c>
    </row>
    <row r="13206" ht="15.75" customHeight="1">
      <c r="A13206" s="2" t="s">
        <v>13206</v>
      </c>
      <c r="B13206" s="2" t="str">
        <f>IFERROR(__xludf.DUMMYFUNCTION("GOOGLETRANSLATE(A13206, ""en"", ""mt"")"),"Liema dinastija qasmet ispirazzjoni artistika mal-wan?")</f>
        <v>Liema dinastija qasmet ispirazzjoni artistika mal-wan?</v>
      </c>
    </row>
    <row r="13207" ht="15.75" customHeight="1">
      <c r="A13207" s="2" t="s">
        <v>13207</v>
      </c>
      <c r="B13207" s="2" t="str">
        <f>IFERROR(__xludf.DUMMYFUNCTION("GOOGLETRANSLATE(A13207, ""en"", ""mt"")"),"jonqos")</f>
        <v>jonqos</v>
      </c>
    </row>
    <row r="13208" ht="15.75" customHeight="1">
      <c r="A13208" s="2" t="s">
        <v>13208</v>
      </c>
      <c r="B13208" s="2" t="str">
        <f>IFERROR(__xludf.DUMMYFUNCTION("GOOGLETRANSLATE(A13208, ""en"", ""mt"")"),"Louis XIII")</f>
        <v>Louis XIII</v>
      </c>
    </row>
    <row r="13209" ht="15.75" customHeight="1">
      <c r="A13209" s="2" t="s">
        <v>13209</v>
      </c>
      <c r="B13209" s="2" t="str">
        <f>IFERROR(__xludf.DUMMYFUNCTION("GOOGLETRANSLATE(A13209, ""en"", ""mt"")"),"Qorti tal-Ġustizzja tal-Unjoni Ewropea (CJEU)")</f>
        <v>Qorti tal-Ġustizzja tal-Unjoni Ewropea (CJEU)</v>
      </c>
    </row>
    <row r="13210" ht="15.75" customHeight="1">
      <c r="A13210" s="2" t="s">
        <v>13210</v>
      </c>
      <c r="B13210" s="2" t="str">
        <f>IFERROR(__xludf.DUMMYFUNCTION("GOOGLETRANSLATE(A13210, ""en"", ""mt"")"),"tfixkel il-membrana tal-plażma tagħhom.")</f>
        <v>tfixkel il-membrana tal-plażma tagħhom.</v>
      </c>
    </row>
    <row r="13211" ht="15.75" customHeight="1">
      <c r="A13211" s="2" t="s">
        <v>13211</v>
      </c>
      <c r="B13211" s="2" t="str">
        <f>IFERROR(__xludf.DUMMYFUNCTION("GOOGLETRANSLATE(A13211, ""en"", ""mt"")"),"Kemm hemm tipi moderni ta 'testijiet ta' algoritmu għal numri ġenerali n?")</f>
        <v>Kemm hemm tipi moderni ta 'testijiet ta' algoritmu għal numri ġenerali n?</v>
      </c>
    </row>
    <row r="13212" ht="15.75" customHeight="1">
      <c r="A13212" s="2" t="s">
        <v>13212</v>
      </c>
      <c r="B13212" s="2" t="str">
        <f>IFERROR(__xludf.DUMMYFUNCTION("GOOGLETRANSLATE(A13212, ""en"", ""mt"")"),"Kemm hemm terremoti l-istat ta 'California kull sena?")</f>
        <v>Kemm hemm terremoti l-istat ta 'California kull sena?</v>
      </c>
    </row>
    <row r="13213" ht="15.75" customHeight="1">
      <c r="A13213" s="2" t="s">
        <v>13213</v>
      </c>
      <c r="B13213" s="2" t="str">
        <f>IFERROR(__xludf.DUMMYFUNCTION("GOOGLETRANSLATE(A13213, ""en"", ""mt"")"),"Stromatoveris huwa similair għal liema ġeneru?")</f>
        <v>Stromatoveris huwa similair għal liema ġeneru?</v>
      </c>
    </row>
    <row r="13214" ht="15.75" customHeight="1">
      <c r="A13214" s="2" t="s">
        <v>13214</v>
      </c>
      <c r="B13214" s="2" t="str">
        <f>IFERROR(__xludf.DUMMYFUNCTION("GOOGLETRANSLATE(A13214, ""en"", ""mt"")"),"700")</f>
        <v>700</v>
      </c>
    </row>
    <row r="13215" ht="15.75" customHeight="1">
      <c r="A13215" s="2" t="s">
        <v>13215</v>
      </c>
      <c r="B13215" s="2" t="str">
        <f>IFERROR(__xludf.DUMMYFUNCTION("GOOGLETRANSLATE(A13215, ""en"", ""mt"")"),"Min kien Edward the Confessor's Half-Brother?")</f>
        <v>Min kien Edward the Confessor's Half-Brother?</v>
      </c>
    </row>
    <row r="13216" ht="15.75" customHeight="1">
      <c r="A13216" s="2" t="s">
        <v>13216</v>
      </c>
      <c r="B13216" s="2" t="str">
        <f>IFERROR(__xludf.DUMMYFUNCTION("GOOGLETRANSLATE(A13216, ""en"", ""mt"")"),"F’liema sena Rev Elie Prioleau sar ir-ragħaj tal-Ewwel Knisja Huguenot f’Charleston, South Carolina?")</f>
        <v>F’liema sena Rev Elie Prioleau sar ir-ragħaj tal-Ewwel Knisja Huguenot f’Charleston, South Carolina?</v>
      </c>
    </row>
    <row r="13217" ht="15.75" customHeight="1">
      <c r="A13217" s="2" t="s">
        <v>13217</v>
      </c>
      <c r="B13217" s="2" t="str">
        <f>IFERROR(__xludf.DUMMYFUNCTION("GOOGLETRANSLATE(A13217, ""en"", ""mt"")"),"żdied b'inqas minn tnejn fil-mija fis-sena")</f>
        <v>żdied b'inqas minn tnejn fil-mija fis-sena</v>
      </c>
    </row>
    <row r="13218" ht="15.75" customHeight="1">
      <c r="A13218" s="2" t="s">
        <v>13218</v>
      </c>
      <c r="B13218" s="2" t="str">
        <f>IFERROR(__xludf.DUMMYFUNCTION("GOOGLETRANSLATE(A13218, ""en"", ""mt"")"),"L-idrografija tad-delta attwali hija kkaratterizzata mill-armi ewlenin tad-delta, armi skonnettjati (Hollandse ijssel, linge, vecht, eċċ.) U xmajjar u nixxigħat iżgħar. Ħafna xmajjar ingħalqu (""imtaqqba"") u issa jservu bħala kanali tad-drenaġġ għall-pol"&amp;"ders numerużi. Il-kostruzzjoni ta 'xogħlijiet ta' Delta biddlet id-Delta fit-tieni nofs tas-seklu 20. Bħalissa Rhine Water tidħol fil-baħar, jew ġo bajjiet tal-baħar preċedenti issa separati mill-baħar, f'ħames postijiet, jiġifieri f'ħalq in-Nieuwe Merwed"&amp;"e, Nieuwe Waterway (Nieuwe Maas), Dordtse Kil, SPUI u IJSel.")</f>
        <v>L-idrografija tad-delta attwali hija kkaratterizzata mill-armi ewlenin tad-delta, armi skonnettjati (Hollandse ijssel, linge, vecht, eċċ.) U xmajjar u nixxigħat iżgħar. Ħafna xmajjar ingħalqu ("imtaqqba") u issa jservu bħala kanali tad-drenaġġ għall-polders numerużi. Il-kostruzzjoni ta 'xogħlijiet ta' Delta biddlet id-Delta fit-tieni nofs tas-seklu 20. Bħalissa Rhine Water tidħol fil-baħar, jew ġo bajjiet tal-baħar preċedenti issa separati mill-baħar, f'ħames postijiet, jiġifieri f'ħalq in-Nieuwe Merwede, Nieuwe Waterway (Nieuwe Maas), Dordtse Kil, SPUI u IJSel.</v>
      </c>
    </row>
    <row r="13219" ht="15.75" customHeight="1">
      <c r="A13219" s="2" t="s">
        <v>13219</v>
      </c>
      <c r="B13219" s="2" t="str">
        <f>IFERROR(__xludf.DUMMYFUNCTION("GOOGLETRANSLATE(A13219, ""en"", ""mt"")")," Meta ntemmet il-Gwerra Ċivili Sirjana?")</f>
        <v> Meta ntemmet il-Gwerra Ċivili Sirjana?</v>
      </c>
    </row>
    <row r="13220" ht="15.75" customHeight="1">
      <c r="A13220" s="2" t="s">
        <v>13220</v>
      </c>
      <c r="B13220" s="2" t="str">
        <f>IFERROR(__xludf.DUMMYFUNCTION("GOOGLETRANSLATE(A13220, ""en"", ""mt"")"),"Meta l-Ġermanja bdiet tibni l-imperu kolonjali tagħha stess")</f>
        <v>Meta l-Ġermanja bdiet tibni l-imperu kolonjali tagħha stess</v>
      </c>
    </row>
    <row r="13221" ht="15.75" customHeight="1">
      <c r="A13221" s="2" t="s">
        <v>13221</v>
      </c>
      <c r="B13221" s="2" t="str">
        <f>IFERROR(__xludf.DUMMYFUNCTION("GOOGLETRANSLATE(A13221, ""en"", ""mt"")"),"X'inhu l-monossidu tal-karbonju velenuż għal dak li jista 'jikkawża gass gangrena?")</f>
        <v>X'inhu l-monossidu tal-karbonju velenuż għal dak li jista 'jikkawża gass gangrena?</v>
      </c>
    </row>
    <row r="13222" ht="15.75" customHeight="1">
      <c r="A13222" s="2" t="s">
        <v>13222</v>
      </c>
      <c r="B13222" s="2" t="str">
        <f>IFERROR(__xludf.DUMMYFUNCTION("GOOGLETRANSLATE(A13222, ""en"", ""mt"")"),"l-imġieba statistika")</f>
        <v>l-imġieba statistika</v>
      </c>
    </row>
    <row r="13223" ht="15.75" customHeight="1">
      <c r="A13223" s="2" t="s">
        <v>13223</v>
      </c>
      <c r="B13223" s="2" t="str">
        <f>IFERROR(__xludf.DUMMYFUNCTION("GOOGLETRANSLATE(A13223, ""en"", ""mt"")"),"Kif taffettwa t-tkessiħ tal-ambjent lokali tal-mnemiopsis?")</f>
        <v>Kif taffettwa t-tkessiħ tal-ambjent lokali tal-mnemiopsis?</v>
      </c>
    </row>
    <row r="13224" ht="15.75" customHeight="1">
      <c r="A13224" s="2" t="s">
        <v>13224</v>
      </c>
      <c r="B13224" s="2" t="str">
        <f>IFERROR(__xludf.DUMMYFUNCTION("GOOGLETRANSLATE(A13224, ""en"", ""mt"")"),"Numru akbar minn -3 jista 'jkun irrappreżentat bħala prodott ta' xiex?")</f>
        <v>Numru akbar minn -3 jista 'jkun irrappreżentat bħala prodott ta' xiex?</v>
      </c>
    </row>
    <row r="13225" ht="15.75" customHeight="1">
      <c r="A13225" s="2" t="s">
        <v>13225</v>
      </c>
      <c r="B13225" s="2" t="str">
        <f>IFERROR(__xludf.DUMMYFUNCTION("GOOGLETRANSLATE(A13225, ""en"", ""mt"")"),"Esperiment Miller - Urey")</f>
        <v>Esperiment Miller - Urey</v>
      </c>
    </row>
    <row r="13226" ht="15.75" customHeight="1">
      <c r="A13226" s="2" t="s">
        <v>13226</v>
      </c>
      <c r="B13226" s="2" t="str">
        <f>IFERROR(__xludf.DUMMYFUNCTION("GOOGLETRANSLATE(A13226, ""en"", ""mt"")"),"stati u gvernijiet")</f>
        <v>stati u gvernijiet</v>
      </c>
    </row>
    <row r="13227" ht="15.75" customHeight="1">
      <c r="A13227" s="2" t="s">
        <v>13227</v>
      </c>
      <c r="B13227" s="2" t="str">
        <f>IFERROR(__xludf.DUMMYFUNCTION("GOOGLETRANSLATE(A13227, ""en"", ""mt"")"),"Perjodu Ediacaran")</f>
        <v>Perjodu Ediacaran</v>
      </c>
    </row>
    <row r="13228" ht="15.75" customHeight="1">
      <c r="A13228" s="2" t="s">
        <v>13228</v>
      </c>
      <c r="B13228" s="2" t="str">
        <f>IFERROR(__xludf.DUMMYFUNCTION("GOOGLETRANSLATE(A13228, ""en"", ""mt"")"),"Afrika sub-Saħarjana")</f>
        <v>Afrika sub-Saħarjana</v>
      </c>
    </row>
    <row r="13229" ht="15.75" customHeight="1">
      <c r="A13229" s="2" t="s">
        <v>13229</v>
      </c>
      <c r="B13229" s="2" t="str">
        <f>IFERROR(__xludf.DUMMYFUNCTION("GOOGLETRANSLATE(A13229, ""en"", ""mt"")"),"il-fratellanza")</f>
        <v>il-fratellanza</v>
      </c>
    </row>
    <row r="13230" ht="15.75" customHeight="1">
      <c r="A13230" s="2" t="s">
        <v>13230</v>
      </c>
      <c r="B13230" s="2" t="str">
        <f>IFERROR(__xludf.DUMMYFUNCTION("GOOGLETRANSLATE(A13230, ""en"", ""mt"")"),"Protestantiżmu")</f>
        <v>Protestantiżmu</v>
      </c>
    </row>
    <row r="13231" ht="15.75" customHeight="1">
      <c r="A13231" s="2" t="s">
        <v>13231</v>
      </c>
      <c r="B13231" s="2" t="str">
        <f>IFERROR(__xludf.DUMMYFUNCTION("GOOGLETRANSLATE(A13231, ""en"", ""mt"")"),"A Qara-Khitay (Khitan")</f>
        <v>A Qara-Khitay (Khitan</v>
      </c>
    </row>
    <row r="13232" ht="15.75" customHeight="1">
      <c r="A13232" s="2" t="s">
        <v>13232</v>
      </c>
      <c r="B13232" s="2" t="str">
        <f>IFERROR(__xludf.DUMMYFUNCTION("GOOGLETRANSLATE(A13232, ""en"", ""mt"")"),"500")</f>
        <v>500</v>
      </c>
    </row>
    <row r="13233" ht="15.75" customHeight="1">
      <c r="A13233" s="2" t="s">
        <v>13233</v>
      </c>
      <c r="B13233" s="2" t="str">
        <f>IFERROR(__xludf.DUMMYFUNCTION("GOOGLETRANSLATE(A13233, ""en"", ""mt"")"),"Min ġie megħlub minn Montcalm fil-Quebec?")</f>
        <v>Min ġie megħlub minn Montcalm fil-Quebec?</v>
      </c>
    </row>
    <row r="13234" ht="15.75" customHeight="1">
      <c r="A13234" s="2" t="s">
        <v>13234</v>
      </c>
      <c r="B13234" s="2" t="str">
        <f>IFERROR(__xludf.DUMMYFUNCTION("GOOGLETRANSLATE(A13234, ""en"", ""mt"")"),"Fertilizzazzjoni interna")</f>
        <v>Fertilizzazzjoni interna</v>
      </c>
    </row>
    <row r="13235" ht="15.75" customHeight="1">
      <c r="A13235" s="2" t="s">
        <v>13235</v>
      </c>
      <c r="B13235" s="2" t="str">
        <f>IFERROR(__xludf.DUMMYFUNCTION("GOOGLETRANSLATE(A13235, ""en"", ""mt"")"),"L-arkitettura residenzjali tad-distrett tat-Torri tqabbel jew tikkuntrasta ma 'parti oħra ta' Fresno?")</f>
        <v>L-arkitettura residenzjali tad-distrett tat-Torri tqabbel jew tikkuntrasta ma 'parti oħra ta' Fresno?</v>
      </c>
    </row>
    <row r="13236" ht="15.75" customHeight="1">
      <c r="A13236" s="2" t="s">
        <v>13236</v>
      </c>
      <c r="B13236" s="2" t="str">
        <f>IFERROR(__xludf.DUMMYFUNCTION("GOOGLETRANSLATE(A13236, ""en"", ""mt"")"),"1251")</f>
        <v>1251</v>
      </c>
    </row>
    <row r="13237" ht="15.75" customHeight="1">
      <c r="A13237" s="2" t="s">
        <v>13237</v>
      </c>
      <c r="B13237" s="2" t="str">
        <f>IFERROR(__xludf.DUMMYFUNCTION("GOOGLETRANSLATE(A13237, ""en"", ""mt"")"),"X'għandhom jgħinu ċ-ċelloli B taċ-ċelloli B?")</f>
        <v>X'għandhom jgħinu ċ-ċelloli B taċ-ċelloli B?</v>
      </c>
    </row>
    <row r="13238" ht="15.75" customHeight="1">
      <c r="A13238" s="2" t="s">
        <v>13238</v>
      </c>
      <c r="B13238" s="2" t="str">
        <f>IFERROR(__xludf.DUMMYFUNCTION("GOOGLETRANSLATE(A13238, ""en"", ""mt"")"),"Meta ntemm il-perjodu Jurassic?")</f>
        <v>Meta ntemm il-perjodu Jurassic?</v>
      </c>
    </row>
    <row r="13239" ht="15.75" customHeight="1">
      <c r="A13239" s="2" t="s">
        <v>13239</v>
      </c>
      <c r="B13239" s="2" t="str">
        <f>IFERROR(__xludf.DUMMYFUNCTION("GOOGLETRANSLATE(A13239, ""en"", ""mt"")"),"Amboise")</f>
        <v>Amboise</v>
      </c>
    </row>
    <row r="13240" ht="15.75" customHeight="1">
      <c r="A13240" s="2" t="s">
        <v>13240</v>
      </c>
      <c r="B13240" s="2" t="str">
        <f>IFERROR(__xludf.DUMMYFUNCTION("GOOGLETRANSLATE(A13240, ""en"", ""mt"")"),"Meta tellgħu t-tribujiet Ġermaniċi fit-tramuntana u fit-tramuntana tal-Ewropa?")</f>
        <v>Meta tellgħu t-tribujiet Ġermaniċi fit-tramuntana u fit-tramuntana tal-Ewropa?</v>
      </c>
    </row>
    <row r="13241" ht="15.75" customHeight="1">
      <c r="A13241" s="2" t="s">
        <v>13241</v>
      </c>
      <c r="B13241" s="2" t="str">
        <f>IFERROR(__xludf.DUMMYFUNCTION("GOOGLETRANSLATE(A13241, ""en"", ""mt"")"),"Min ħa post in-Normanni bħala l-klassi dominanti?")</f>
        <v>Min ħa post in-Normanni bħala l-klassi dominanti?</v>
      </c>
    </row>
    <row r="13242" ht="15.75" customHeight="1">
      <c r="A13242" s="2" t="s">
        <v>13242</v>
      </c>
      <c r="B13242" s="2" t="str">
        <f>IFERROR(__xludf.DUMMYFUNCTION("GOOGLETRANSLATE(A13242, ""en"", ""mt"")"),"DC")</f>
        <v>DC</v>
      </c>
    </row>
    <row r="13243" ht="15.75" customHeight="1">
      <c r="A13243" s="2" t="s">
        <v>13243</v>
      </c>
      <c r="B13243" s="2" t="str">
        <f>IFERROR(__xludf.DUMMYFUNCTION("GOOGLETRANSLATE(A13243, ""en"", ""mt"")"),"Liema ammont minuri ta 'ossiġnu likwidu ġie prodott minn esperimentaturi Franċiżi bikrija?")</f>
        <v>Liema ammont minuri ta 'ossiġnu likwidu ġie prodott minn esperimentaturi Franċiżi bikrija?</v>
      </c>
    </row>
    <row r="13244" ht="15.75" customHeight="1">
      <c r="A13244" s="2" t="s">
        <v>13244</v>
      </c>
      <c r="B13244" s="2" t="str">
        <f>IFERROR(__xludf.DUMMYFUNCTION("GOOGLETRANSLATE(A13244, ""en"", ""mt"")"),"Ferra anti-komunista")</f>
        <v>Ferra anti-komunista</v>
      </c>
    </row>
    <row r="13245" ht="15.75" customHeight="1">
      <c r="A13245" s="2" t="s">
        <v>13245</v>
      </c>
      <c r="B13245" s="2" t="str">
        <f>IFERROR(__xludf.DUMMYFUNCTION("GOOGLETRANSLATE(A13245, ""en"", ""mt"")"),"Minn liema tip ta 'materjali għandu jkun separat l-ossiġnu likwidu?")</f>
        <v>Minn liema tip ta 'materjali għandu jkun separat l-ossiġnu likwidu?</v>
      </c>
    </row>
    <row r="13246" ht="15.75" customHeight="1">
      <c r="A13246" s="2" t="s">
        <v>13246</v>
      </c>
      <c r="B13246" s="2" t="str">
        <f>IFERROR(__xludf.DUMMYFUNCTION("GOOGLETRANSLATE(A13246, ""en"", ""mt"")"),"Packet_switching")</f>
        <v>Packet_switching</v>
      </c>
    </row>
    <row r="13247" ht="15.75" customHeight="1">
      <c r="A13247" s="2" t="s">
        <v>13247</v>
      </c>
      <c r="B13247" s="2" t="str">
        <f>IFERROR(__xludf.DUMMYFUNCTION("GOOGLETRANSLATE(A13247, ""en"", ""mt"")"),"Kemm nies kienu jgħixu fl-Eġittu fil-bidu tal-mewt l-Iswed?")</f>
        <v>Kemm nies kienu jgħixu fl-Eġittu fil-bidu tal-mewt l-Iswed?</v>
      </c>
    </row>
    <row r="13248" ht="15.75" customHeight="1">
      <c r="A13248" s="2" t="s">
        <v>13248</v>
      </c>
      <c r="B13248" s="2" t="str">
        <f>IFERROR(__xludf.DUMMYFUNCTION("GOOGLETRANSLATE(A13248, ""en"", ""mt"")"),"Kif id-dħul ma jiġix imqassam fl-Iżvezja?")</f>
        <v>Kif id-dħul ma jiġix imqassam fl-Iżvezja?</v>
      </c>
    </row>
    <row r="13249" ht="15.75" customHeight="1">
      <c r="A13249" s="2" t="s">
        <v>13249</v>
      </c>
      <c r="B13249" s="2" t="str">
        <f>IFERROR(__xludf.DUMMYFUNCTION("GOOGLETRANSLATE(A13249, ""en"", ""mt"")")," X'kien qed jistudja Iqbal fl-Irlanda?")</f>
        <v> X'kien qed jistudja Iqbal fl-Irlanda?</v>
      </c>
    </row>
    <row r="13250" ht="15.75" customHeight="1">
      <c r="A13250" s="2" t="s">
        <v>13250</v>
      </c>
      <c r="B13250" s="2" t="str">
        <f>IFERROR(__xludf.DUMMYFUNCTION("GOOGLETRANSLATE(A13250, ""en"", ""mt"")"),"Il-liġi ta 'gravitazzjoni ta' Cavendish tgħid x'inhu?")</f>
        <v>Il-liġi ta 'gravitazzjoni ta' Cavendish tgħid x'inhu?</v>
      </c>
    </row>
    <row r="13251" ht="15.75" customHeight="1">
      <c r="A13251" s="2" t="s">
        <v>13251</v>
      </c>
      <c r="B13251" s="2" t="str">
        <f>IFERROR(__xludf.DUMMYFUNCTION("GOOGLETRANSLATE(A13251, ""en"", ""mt"")"),"Bojkotts illegali, ċaħdiet li jħallsu t-taxxi, abbozzi ta 'dodging, attakki ta' ċaħda ta 'servizz imqassma, u sit-ins")</f>
        <v>Bojkotts illegali, ċaħdiet li jħallsu t-taxxi, abbozzi ta 'dodging, attakki ta' ċaħda ta 'servizz imqassma, u sit-ins</v>
      </c>
    </row>
    <row r="13252" ht="15.75" customHeight="1">
      <c r="A13252" s="2" t="s">
        <v>13252</v>
      </c>
      <c r="B13252" s="2" t="str">
        <f>IFERROR(__xludf.DUMMYFUNCTION("GOOGLETRANSLATE(A13252, ""en"", ""mt"")"),"X'tip ta 'nuqqas ta' aboral kollha ħlief wieħed?")</f>
        <v>X'tip ta 'nuqqas ta' aboral kollha ħlief wieħed?</v>
      </c>
    </row>
    <row r="13253" ht="15.75" customHeight="1">
      <c r="A13253" s="2" t="s">
        <v>13253</v>
      </c>
      <c r="B13253" s="2" t="str">
        <f>IFERROR(__xludf.DUMMYFUNCTION("GOOGLETRANSLATE(A13253, ""en"", ""mt"")"),"Xi jfisser l-ewwel mużew tal-posters fid-dinja waħda mill-ikbar kollezzjonijiet fid-dinja?")</f>
        <v>Xi jfisser l-ewwel mużew tal-posters fid-dinja waħda mill-ikbar kollezzjonijiet fid-dinja?</v>
      </c>
    </row>
    <row r="13254" ht="15.75" customHeight="1">
      <c r="A13254" s="2" t="s">
        <v>13254</v>
      </c>
      <c r="B13254" s="2" t="str">
        <f>IFERROR(__xludf.DUMMYFUNCTION("GOOGLETRANSLATE(A13254, ""en"", ""mt"")"),"Liema rarament jintuża terminu ta 'unità ta' forza daqs 1000 libbra ta 'forza?")</f>
        <v>Liema rarament jintuża terminu ta 'unità ta' forza daqs 1000 libbra ta 'forza?</v>
      </c>
    </row>
    <row r="13255" ht="15.75" customHeight="1">
      <c r="A13255" s="2" t="s">
        <v>13255</v>
      </c>
      <c r="B13255" s="2" t="str">
        <f>IFERROR(__xludf.DUMMYFUNCTION("GOOGLETRANSLATE(A13255, ""en"", ""mt"")"),"Liema ipoteżi hija assoċjata mal-klassi ta 'kumplessità ta' P meqjusa bħala astrazzjoni matematika ma 'funzjonalità algoritmika effiċjenti?")</f>
        <v>Liema ipoteżi hija assoċjata mal-klassi ta 'kumplessità ta' P meqjusa bħala astrazzjoni matematika ma 'funzjonalità algoritmika effiċjenti?</v>
      </c>
    </row>
    <row r="13256" ht="15.75" customHeight="1">
      <c r="A13256" s="2" t="s">
        <v>13256</v>
      </c>
      <c r="B13256" s="2" t="str">
        <f>IFERROR(__xludf.DUMMYFUNCTION("GOOGLETRANSLATE(A13256, ""en"", ""mt"")"),"organizzazzjonijiet internazzjonali u gvernijiet barranin")</f>
        <v>organizzazzjonijiet internazzjonali u gvernijiet barranin</v>
      </c>
    </row>
    <row r="13257" ht="15.75" customHeight="1">
      <c r="A13257" s="2" t="s">
        <v>13257</v>
      </c>
      <c r="B13257" s="2" t="str">
        <f>IFERROR(__xludf.DUMMYFUNCTION("GOOGLETRANSLATE(A13257, ""en"", ""mt"")"),"Kemm ġew Musulmani mill-Iraq biex jiġġieldu fl-Afganistan?")</f>
        <v>Kemm ġew Musulmani mill-Iraq biex jiġġieldu fl-Afganistan?</v>
      </c>
    </row>
    <row r="13258" ht="15.75" customHeight="1">
      <c r="A13258" s="2" t="s">
        <v>13258</v>
      </c>
      <c r="B13258" s="2" t="str">
        <f>IFERROR(__xludf.DUMMYFUNCTION("GOOGLETRANSLATE(A13258, ""en"", ""mt"")"),"Forza gravitazzjonali")</f>
        <v>Forza gravitazzjonali</v>
      </c>
    </row>
    <row r="13259" ht="15.75" customHeight="1">
      <c r="A13259" s="2" t="s">
        <v>13259</v>
      </c>
      <c r="B13259" s="2" t="str">
        <f>IFERROR(__xludf.DUMMYFUNCTION("GOOGLETRANSLATE(A13259, ""en"", ""mt"")"),"1880")</f>
        <v>1880</v>
      </c>
    </row>
    <row r="13260" ht="15.75" customHeight="1">
      <c r="A13260" s="2" t="s">
        <v>13260</v>
      </c>
      <c r="B13260" s="2" t="str">
        <f>IFERROR(__xludf.DUMMYFUNCTION("GOOGLETRANSLATE(A13260, ""en"", ""mt"")"),"Minn dak li l-fotosintesi tikseb l-ossiġnu?")</f>
        <v>Minn dak li l-fotosintesi tikseb l-ossiġnu?</v>
      </c>
    </row>
    <row r="13261" ht="15.75" customHeight="1">
      <c r="A13261" s="2" t="s">
        <v>13261</v>
      </c>
      <c r="B13261" s="2" t="str">
        <f>IFERROR(__xludf.DUMMYFUNCTION("GOOGLETRANSLATE(A13261, ""en"", ""mt"")"),"Kemm għandu parks pubbliċi kbar Fresno?")</f>
        <v>Kemm għandu parks pubbliċi kbar Fresno?</v>
      </c>
    </row>
    <row r="13262" ht="15.75" customHeight="1">
      <c r="A13262" s="2" t="s">
        <v>13262</v>
      </c>
      <c r="B13262" s="2" t="str">
        <f>IFERROR(__xludf.DUMMYFUNCTION("GOOGLETRANSLATE(A13262, ""en"", ""mt"")"),"Mnemiopsis Leidyi")</f>
        <v>Mnemiopsis Leidyi</v>
      </c>
    </row>
    <row r="13263" ht="15.75" customHeight="1">
      <c r="A13263" s="2" t="s">
        <v>13263</v>
      </c>
      <c r="B13263" s="2" t="str">
        <f>IFERROR(__xludf.DUMMYFUNCTION("GOOGLETRANSLATE(A13263, ""en"", ""mt"")"),"Diversi eluf")</f>
        <v>Diversi eluf</v>
      </c>
    </row>
    <row r="13264" ht="15.75" customHeight="1">
      <c r="A13264" s="2" t="s">
        <v>13264</v>
      </c>
      <c r="B13264" s="2" t="str">
        <f>IFERROR(__xludf.DUMMYFUNCTION("GOOGLETRANSLATE(A13264, ""en"", ""mt"")"),"F'liema dinastija għex Tianze?")</f>
        <v>F'liema dinastija għex Tianze?</v>
      </c>
    </row>
    <row r="13265" ht="15.75" customHeight="1">
      <c r="A13265" s="2" t="s">
        <v>13265</v>
      </c>
      <c r="B13265" s="2" t="str">
        <f>IFERROR(__xludf.DUMMYFUNCTION("GOOGLETRANSLATE(A13265, ""en"", ""mt"")"),"Persja wara l-konkwisti Musulmani waslu fi tmiemhom")</f>
        <v>Persja wara l-konkwisti Musulmani waslu fi tmiemhom</v>
      </c>
    </row>
    <row r="13266" ht="15.75" customHeight="1">
      <c r="A13266" s="2" t="s">
        <v>13266</v>
      </c>
      <c r="B13266" s="2" t="str">
        <f>IFERROR(__xludf.DUMMYFUNCTION("GOOGLETRANSLATE(A13266, ""en"", ""mt"")"),"Liema kampus jospita programmi ta 'studenti gradwati biss u jinsab fuq il-banek ta' Seine?")</f>
        <v>Liema kampus jospita programmi ta 'studenti gradwati biss u jinsab fuq il-banek ta' Seine?</v>
      </c>
    </row>
    <row r="13267" ht="15.75" customHeight="1">
      <c r="A13267" s="2" t="s">
        <v>13267</v>
      </c>
      <c r="B13267" s="2" t="str">
        <f>IFERROR(__xludf.DUMMYFUNCTION("GOOGLETRANSLATE(A13267, ""en"", ""mt"")"),"Hamas")</f>
        <v>Hamas</v>
      </c>
    </row>
    <row r="13268" ht="15.75" customHeight="1">
      <c r="A13268" s="2" t="s">
        <v>13268</v>
      </c>
      <c r="B13268" s="2" t="str">
        <f>IFERROR(__xludf.DUMMYFUNCTION("GOOGLETRANSLATE(A13268, ""en"", ""mt"")"),"Wara l-mewt ta 'Tugh Temür fl-1332 u l-mewt sussegwenti ta' Rinchinbal (Imperatur Ningzong) fl-istess sena, it-Togun Togür ta '13 -il sena (l-Imperatur Huizong), l-aħħar wieħed mid-disa 'suċċessuri ta' Kublai Khan, ġie mħarrek lura minn Guangxi u irnexxie"&amp;"lu fit-tron. Wara l-mewt ta 'El Temür, Bayan sar uffiċjali daqshekk qawwi daqs El Temür kien ilu fil-bidu tar-renju twil tiegħu. Hekk kif Togun Temür kiber, huwa ġie biex ma japprovax ir-regola awtokratika ta 'Bayan. Fl-1340 huwa alleat lilu nnifsu man-ne"&amp;"puti ta 'Bayan Toqto'a, li kien f'diskordja ma' Bayan, u mkeċċi lil Bayan mill-kolp ta 'stat. Bit-tkeċċija ta ’Bayan, Toghtogha ħatfet il-poter tal-qorti. L-ewwel amministrazzjoni tiegħu esibita b'mod ċar spirtu ġdid ġdid. Huwa ta wkoll ftit sinjali bikri"&amp;"ja ta 'direzzjoni ġdida u pożittiva fil-gvern ċentrali. Wieħed mill-proġetti ta 'suċċess tiegħu kien li jintemm l-istoriji uffiċjali staljati fit-tul tad-dinastiji ta' Liao, Jin, u Song, li eventwalment tlestew fl-1345. Madankollu, Toghtogha rriżenja mill"&amp;"-kariga tiegħu bl-approvazzjoni ta 'Toghun Temür, li mmarka t-tmiem tal-ewwel tiegħu Amministrazzjoni, u hu ma kienx imsejjaħ lura sal-1349.")</f>
        <v>Wara l-mewt ta 'Tugh Temür fl-1332 u l-mewt sussegwenti ta' Rinchinbal (Imperatur Ningzong) fl-istess sena, it-Togun Togür ta '13 -il sena (l-Imperatur Huizong), l-aħħar wieħed mid-disa 'suċċessuri ta' Kublai Khan, ġie mħarrek lura minn Guangxi u irnexxielu fit-tron. Wara l-mewt ta 'El Temür, Bayan sar uffiċjali daqshekk qawwi daqs El Temür kien ilu fil-bidu tar-renju twil tiegħu. Hekk kif Togun Temür kiber, huwa ġie biex ma japprovax ir-regola awtokratika ta 'Bayan. Fl-1340 huwa alleat lilu nnifsu man-neputi ta 'Bayan Toqto'a, li kien f'diskordja ma' Bayan, u mkeċċi lil Bayan mill-kolp ta 'stat. Bit-tkeċċija ta ’Bayan, Toghtogha ħatfet il-poter tal-qorti. L-ewwel amministrazzjoni tiegħu esibita b'mod ċar spirtu ġdid ġdid. Huwa ta wkoll ftit sinjali bikrija ta 'direzzjoni ġdida u pożittiva fil-gvern ċentrali. Wieħed mill-proġetti ta 'suċċess tiegħu kien li jintemm l-istoriji uffiċjali staljati fit-tul tad-dinastiji ta' Liao, Jin, u Song, li eventwalment tlestew fl-1345. Madankollu, Toghtogha rriżenja mill-kariga tiegħu bl-approvazzjoni ta 'Toghun Temür, li mmarka t-tmiem tal-ewwel tiegħu Amministrazzjoni, u hu ma kienx imsejjaħ lura sal-1349.</v>
      </c>
    </row>
    <row r="13269" ht="15.75" customHeight="1">
      <c r="A13269" s="2" t="s">
        <v>13269</v>
      </c>
      <c r="B13269" s="2" t="str">
        <f>IFERROR(__xludf.DUMMYFUNCTION("GOOGLETRANSLATE(A13269, ""en"", ""mt"")"),"Dak li jinvolvi produzzjoni limitata ma 'xiri magħżul?")</f>
        <v>Dak li jinvolvi produzzjoni limitata ma 'xiri magħżul?</v>
      </c>
    </row>
    <row r="13270" ht="15.75" customHeight="1">
      <c r="A13270" s="2" t="s">
        <v>13270</v>
      </c>
      <c r="B13270" s="2" t="str">
        <f>IFERROR(__xludf.DUMMYFUNCTION("GOOGLETRANSLATE(A13270, ""en"", ""mt"")"),"Netwerk ta 'Tifel Qadim")</f>
        <v>Netwerk ta 'Tifel Qadim</v>
      </c>
    </row>
    <row r="13271" ht="15.75" customHeight="1">
      <c r="A13271" s="2" t="s">
        <v>13271</v>
      </c>
      <c r="B13271" s="2" t="str">
        <f>IFERROR(__xludf.DUMMYFUNCTION("GOOGLETRANSLATE(A13271, ""en"", ""mt"")"),"komponenti indipendenti")</f>
        <v>komponenti indipendenti</v>
      </c>
    </row>
    <row r="13272" ht="15.75" customHeight="1">
      <c r="A13272" s="2" t="s">
        <v>13272</v>
      </c>
      <c r="B13272" s="2" t="str">
        <f>IFERROR(__xludf.DUMMYFUNCTION("GOOGLETRANSLATE(A13272, ""en"", ""mt"")"),"X'tip ta 'awtorità huma l-ispiżjara tal-kura ambulatorja li mhumiex mogħtija fis-sistema federali tal-kura tas-saħħa ta' l-Istati Uniti?")</f>
        <v>X'tip ta 'awtorità huma l-ispiżjara tal-kura ambulatorja li mhumiex mogħtija fis-sistema federali tal-kura tas-saħħa ta' l-Istati Uniti?</v>
      </c>
    </row>
    <row r="13273" ht="15.75" customHeight="1">
      <c r="A13273" s="2" t="s">
        <v>13273</v>
      </c>
      <c r="B13273" s="2" t="str">
        <f>IFERROR(__xludf.DUMMYFUNCTION("GOOGLETRANSLATE(A13273, ""en"", ""mt"")"),"Fejn ma vvjaġġawx in-nassaba tal-pil Franċiżi?")</f>
        <v>Fejn ma vvjaġġawx in-nassaba tal-pil Franċiżi?</v>
      </c>
    </row>
    <row r="13274" ht="15.75" customHeight="1">
      <c r="A13274" s="2" t="s">
        <v>13274</v>
      </c>
      <c r="B13274" s="2" t="str">
        <f>IFERROR(__xludf.DUMMYFUNCTION("GOOGLETRANSLATE(A13274, ""en"", ""mt"")"),"Bjankerija Irlandiża")</f>
        <v>Bjankerija Irlandiża</v>
      </c>
    </row>
    <row r="13275" ht="15.75" customHeight="1">
      <c r="A13275" s="2" t="s">
        <v>13275</v>
      </c>
      <c r="B13275" s="2" t="str">
        <f>IFERROR(__xludf.DUMMYFUNCTION("GOOGLETRANSLATE(A13275, ""en"", ""mt"")"),"Minn xiex riedet Mazda tiddistingwi ruħha billi tiftaħ pjanti tal-assemblaġġ fl-1973?")</f>
        <v>Minn xiex riedet Mazda tiddistingwi ruħha billi tiftaħ pjanti tal-assemblaġġ fl-1973?</v>
      </c>
    </row>
    <row r="13276" ht="15.75" customHeight="1">
      <c r="A13276" s="2" t="s">
        <v>13276</v>
      </c>
      <c r="B13276" s="2" t="str">
        <f>IFERROR(__xludf.DUMMYFUNCTION("GOOGLETRANSLATE(A13276, ""en"", ""mt"")"),"xokk")</f>
        <v>xokk</v>
      </c>
    </row>
    <row r="13277" ht="15.75" customHeight="1">
      <c r="A13277" s="2" t="s">
        <v>13277</v>
      </c>
      <c r="B13277" s="2" t="str">
        <f>IFERROR(__xludf.DUMMYFUNCTION("GOOGLETRANSLATE(A13277, ""en"", ""mt"")"),"tehmeż komunitajiet periferiċi")</f>
        <v>tehmeż komunitajiet periferiċi</v>
      </c>
    </row>
    <row r="13278" ht="15.75" customHeight="1">
      <c r="A13278" s="2" t="s">
        <v>13278</v>
      </c>
      <c r="B13278" s="2" t="str">
        <f>IFERROR(__xludf.DUMMYFUNCTION("GOOGLETRANSLATE(A13278, ""en"", ""mt"")"),"Abercrombie ġie mfakkar u sostitwit minn Jeffery Amherst,")</f>
        <v>Abercrombie ġie mfakkar u sostitwit minn Jeffery Amherst,</v>
      </c>
    </row>
    <row r="13279" ht="15.75" customHeight="1">
      <c r="A13279" s="2" t="s">
        <v>13279</v>
      </c>
      <c r="B13279" s="2" t="str">
        <f>IFERROR(__xludf.DUMMYFUNCTION("GOOGLETRANSLATE(A13279, ""en"", ""mt"")"),"Liema pajjiż għandu l-iktar adulti illitterati fid-dinja?")</f>
        <v>Liema pajjiż għandu l-iktar adulti illitterati fid-dinja?</v>
      </c>
    </row>
    <row r="13280" ht="15.75" customHeight="1">
      <c r="A13280" s="2" t="s">
        <v>13280</v>
      </c>
      <c r="B13280" s="2" t="str">
        <f>IFERROR(__xludf.DUMMYFUNCTION("GOOGLETRANSLATE(A13280, ""en"", ""mt"")"),"Analiżi bir-reqqa tal-medikazzjoni kollha (preskrizzjoni, nuqqas ta 'preskrizzjoni, u herbals) bħalissa qed tittieħed minn individwu.")</f>
        <v>Analiżi bir-reqqa tal-medikazzjoni kollha (preskrizzjoni, nuqqas ta 'preskrizzjoni, u herbals) bħalissa qed tittieħed minn individwu.</v>
      </c>
    </row>
    <row r="13281" ht="15.75" customHeight="1">
      <c r="A13281" s="2" t="s">
        <v>13281</v>
      </c>
      <c r="B13281" s="2" t="str">
        <f>IFERROR(__xludf.DUMMYFUNCTION("GOOGLETRANSLATE(A13281, ""en"", ""mt"")"),"il-papyrus rhind")</f>
        <v>il-papyrus rhind</v>
      </c>
    </row>
    <row r="13282" ht="15.75" customHeight="1">
      <c r="A13282" s="2" t="s">
        <v>13282</v>
      </c>
      <c r="B13282" s="2" t="str">
        <f>IFERROR(__xludf.DUMMYFUNCTION("GOOGLETRANSLATE(A13282, ""en"", ""mt"")"),"Xi nies jiddeskrivu x'jiġri bejn individwi jew gruppi bħala non-imperjaliżmu jew mhux kolonjaliżmu?")</f>
        <v>Xi nies jiddeskrivu x'jiġri bejn individwi jew gruppi bħala non-imperjaliżmu jew mhux kolonjaliżmu?</v>
      </c>
    </row>
    <row r="13283" ht="15.75" customHeight="1">
      <c r="A13283" s="2" t="s">
        <v>13283</v>
      </c>
      <c r="B13283" s="2" t="str">
        <f>IFERROR(__xludf.DUMMYFUNCTION("GOOGLETRANSLATE(A13283, ""en"", ""mt"")"),"Ossiġnu")</f>
        <v>Ossiġnu</v>
      </c>
    </row>
    <row r="13284" ht="15.75" customHeight="1">
      <c r="A13284" s="2" t="s">
        <v>13284</v>
      </c>
      <c r="B13284" s="2" t="str">
        <f>IFERROR(__xludf.DUMMYFUNCTION("GOOGLETRANSLATE(A13284, ""en"", ""mt"")"),"Betty Meggers qalet li l-kaċċa kienet meħtieġa biex tappoġġja popolazzjoni kbira fejn?")</f>
        <v>Betty Meggers qalet li l-kaċċa kienet meħtieġa biex tappoġġja popolazzjoni kbira fejn?</v>
      </c>
    </row>
    <row r="13285" ht="15.75" customHeight="1">
      <c r="A13285" s="2" t="s">
        <v>13285</v>
      </c>
      <c r="B13285" s="2" t="str">
        <f>IFERROR(__xludf.DUMMYFUNCTION("GOOGLETRANSLATE(A13285, ""en"", ""mt"")"),"il-Qorti Suprema")</f>
        <v>il-Qorti Suprema</v>
      </c>
    </row>
    <row r="13286" ht="15.75" customHeight="1">
      <c r="A13286" s="2" t="s">
        <v>13286</v>
      </c>
      <c r="B13286" s="2" t="str">
        <f>IFERROR(__xludf.DUMMYFUNCTION("GOOGLETRANSLATE(A13286, ""en"", ""mt"")"),"gass ​​ossiġnu")</f>
        <v>gass ​​ossiġnu</v>
      </c>
    </row>
    <row r="13287" ht="15.75" customHeight="1">
      <c r="A13287" s="2" t="s">
        <v>13287</v>
      </c>
      <c r="B13287" s="2" t="str">
        <f>IFERROR(__xludf.DUMMYFUNCTION("GOOGLETRANSLATE(A13287, ""en"", ""mt"")"),"Żieda fil-karozzi importati fl-Amerika ta 'Fuq")</f>
        <v>Żieda fil-karozzi importati fl-Amerika ta 'Fuq</v>
      </c>
    </row>
    <row r="13288" ht="15.75" customHeight="1">
      <c r="A13288" s="2" t="s">
        <v>13288</v>
      </c>
      <c r="B13288" s="2" t="str">
        <f>IFERROR(__xludf.DUMMYFUNCTION("GOOGLETRANSLATE(A13288, ""en"", ""mt"")"),"Kif inhuma l-biċċa l-kbira taċ-ċili meta tiċċaqlaq mill-ilma?")</f>
        <v>Kif inhuma l-biċċa l-kbira taċ-ċili meta tiċċaqlaq mill-ilma?</v>
      </c>
    </row>
    <row r="13289" ht="15.75" customHeight="1">
      <c r="A13289" s="2" t="s">
        <v>13289</v>
      </c>
      <c r="B13289" s="2" t="str">
        <f>IFERROR(__xludf.DUMMYFUNCTION("GOOGLETRANSLATE(A13289, ""en"", ""mt"")"),"indipendenti")</f>
        <v>indipendenti</v>
      </c>
    </row>
    <row r="13290" ht="15.75" customHeight="1">
      <c r="A13290" s="2" t="s">
        <v>13290</v>
      </c>
      <c r="B13290" s="2" t="str">
        <f>IFERROR(__xludf.DUMMYFUNCTION("GOOGLETRANSLATE(A13290, ""en"", ""mt"")"),"Liema sena bdiet l-ewwel stampar tal-Amerika ta 'l-Amerika ta' Fuq?")</f>
        <v>Liema sena bdiet l-ewwel stampar tal-Amerika ta 'l-Amerika ta' Fuq?</v>
      </c>
    </row>
    <row r="13291" ht="15.75" customHeight="1">
      <c r="A13291" s="2" t="s">
        <v>13291</v>
      </c>
      <c r="B13291" s="2" t="str">
        <f>IFERROR(__xludf.DUMMYFUNCTION("GOOGLETRANSLATE(A13291, ""en"", ""mt"")"),"Kif in-numru Prime P fil-postulat ta 'Chebyshev huwa espress matematikament?")</f>
        <v>Kif in-numru Prime P fil-postulat ta 'Chebyshev huwa espress matematikament?</v>
      </c>
    </row>
    <row r="13292" ht="15.75" customHeight="1">
      <c r="A13292" s="2" t="s">
        <v>13292</v>
      </c>
      <c r="B13292" s="2" t="str">
        <f>IFERROR(__xludf.DUMMYFUNCTION("GOOGLETRANSLATE(A13292, ""en"", ""mt"")"),"Min issuġġerixxa l-isem ta 'Tymnet?")</f>
        <v>Min issuġġerixxa l-isem ta 'Tymnet?</v>
      </c>
    </row>
    <row r="13293" ht="15.75" customHeight="1">
      <c r="A13293" s="2" t="s">
        <v>13293</v>
      </c>
      <c r="B13293" s="2" t="str">
        <f>IFERROR(__xludf.DUMMYFUNCTION("GOOGLETRANSLATE(A13293, ""en"", ""mt"")"),"Min xeħet id-deheb fir-Renu, skond il-leġġenda?")</f>
        <v>Min xeħet id-deheb fir-Renu, skond il-leġġenda?</v>
      </c>
    </row>
    <row r="13294" ht="15.75" customHeight="1">
      <c r="A13294" s="2" t="s">
        <v>13294</v>
      </c>
      <c r="B13294" s="2" t="str">
        <f>IFERROR(__xludf.DUMMYFUNCTION("GOOGLETRANSLATE(A13294, ""en"", ""mt"")"),"Imperatur Chengzong")</f>
        <v>Imperatur Chengzong</v>
      </c>
    </row>
    <row r="13295" ht="15.75" customHeight="1">
      <c r="A13295" s="2" t="s">
        <v>13295</v>
      </c>
      <c r="B13295" s="2" t="str">
        <f>IFERROR(__xludf.DUMMYFUNCTION("GOOGLETRANSLATE(A13295, ""en"", ""mt"")"),"David Axelrod")</f>
        <v>David Axelrod</v>
      </c>
    </row>
    <row r="13296" ht="15.75" customHeight="1">
      <c r="A13296" s="2" t="s">
        <v>13296</v>
      </c>
      <c r="B13296" s="2" t="str">
        <f>IFERROR(__xludf.DUMMYFUNCTION("GOOGLETRANSLATE(A13296, ""en"", ""mt"")"),"Għal liema patoġen dan jikkawża l-gangrena tal-gass huwa velenuż ossiġenu?")</f>
        <v>Għal liema patoġen dan jikkawża l-gangrena tal-gass huwa velenuż ossiġenu?</v>
      </c>
    </row>
    <row r="13297" ht="15.75" customHeight="1">
      <c r="A13297" s="2" t="s">
        <v>13297</v>
      </c>
      <c r="B13297" s="2" t="str">
        <f>IFERROR(__xludf.DUMMYFUNCTION("GOOGLETRANSLATE(A13297, ""en"", ""mt"")"),"Min kien raġel li jistudja l-applikanti mediċinali tal-pjanti fil-Greċja antika?")</f>
        <v>Min kien raġel li jistudja l-applikanti mediċinali tal-pjanti fil-Greċja antika?</v>
      </c>
    </row>
    <row r="13298" ht="15.75" customHeight="1">
      <c r="A13298" s="2" t="s">
        <v>13298</v>
      </c>
      <c r="B13298" s="2" t="str">
        <f>IFERROR(__xludf.DUMMYFUNCTION("GOOGLETRANSLATE(A13298, ""en"", ""mt"")"),"X'jiġri meta l-kapaċitajiet ta 'persuna Aer naqqsu, kif għandu x'jaqsam mad-dħul tagħha?")</f>
        <v>X'jiġri meta l-kapaċitajiet ta 'persuna Aer naqqsu, kif għandu x'jaqsam mad-dħul tagħha?</v>
      </c>
    </row>
    <row r="13299" ht="15.75" customHeight="1">
      <c r="A13299" s="2" t="s">
        <v>13299</v>
      </c>
      <c r="B13299" s="2" t="str">
        <f>IFERROR(__xludf.DUMMYFUNCTION("GOOGLETRANSLATE(A13299, ""en"", ""mt"")"),"X'inhu l-Ġnien Sassonu bil-Pollakk?")</f>
        <v>X'inhu l-Ġnien Sassonu bil-Pollakk?</v>
      </c>
    </row>
    <row r="13300" ht="15.75" customHeight="1">
      <c r="A13300" s="2" t="s">
        <v>13300</v>
      </c>
      <c r="B13300" s="2" t="str">
        <f>IFERROR(__xludf.DUMMYFUNCTION("GOOGLETRANSLATE(A13300, ""en"", ""mt"")"),"Dispost ħażin ħafna lejn il-Franċiżi")</f>
        <v>Dispost ħażin ħafna lejn il-Franċiżi</v>
      </c>
    </row>
    <row r="13301" ht="15.75" customHeight="1">
      <c r="A13301" s="2" t="s">
        <v>13301</v>
      </c>
      <c r="B13301" s="2" t="str">
        <f>IFERROR(__xludf.DUMMYFUNCTION("GOOGLETRANSLATE(A13301, ""en"", ""mt"")"),"X’għamel pajjiż Ohio vulnerabbli?")</f>
        <v>X’għamel pajjiż Ohio vulnerabbli?</v>
      </c>
    </row>
    <row r="13302" ht="15.75" customHeight="1">
      <c r="A13302" s="2" t="s">
        <v>13302</v>
      </c>
      <c r="B13302" s="2" t="str">
        <f>IFERROR(__xludf.DUMMYFUNCTION("GOOGLETRANSLATE(A13302, ""en"", ""mt"")"),"Sħubija fl-Unjoni")</f>
        <v>Sħubija fl-Unjoni</v>
      </c>
    </row>
    <row r="13303" ht="15.75" customHeight="1">
      <c r="A13303" s="2" t="s">
        <v>13303</v>
      </c>
      <c r="B13303" s="2" t="str">
        <f>IFERROR(__xludf.DUMMYFUNCTION("GOOGLETRANSLATE(A13303, ""en"", ""mt"")"),"Liema ċelloli huma l-aktar baxxi tagħhom waqt li n-nies huma imqajmin?")</f>
        <v>Liema ċelloli huma l-aktar baxxi tagħhom waqt li n-nies huma imqajmin?</v>
      </c>
    </row>
    <row r="13304" ht="15.75" customHeight="1">
      <c r="A13304" s="2" t="s">
        <v>13304</v>
      </c>
      <c r="B13304" s="2" t="str">
        <f>IFERROR(__xludf.DUMMYFUNCTION("GOOGLETRANSLATE(A13304, ""en"", ""mt"")"),"globali")</f>
        <v>globali</v>
      </c>
    </row>
    <row r="13305" ht="15.75" customHeight="1">
      <c r="A13305" s="2" t="s">
        <v>13305</v>
      </c>
      <c r="B13305" s="2" t="str">
        <f>IFERROR(__xludf.DUMMYFUNCTION("GOOGLETRANSLATE(A13305, ""en"", ""mt"")"),"Xi tfisser il-fotosintesi fl-atmosfera tad-dinja?")</f>
        <v>Xi tfisser il-fotosintesi fl-atmosfera tad-dinja?</v>
      </c>
    </row>
    <row r="13306" ht="15.75" customHeight="1">
      <c r="A13306" s="2" t="s">
        <v>13306</v>
      </c>
      <c r="B13306" s="2" t="str">
        <f>IFERROR(__xludf.DUMMYFUNCTION("GOOGLETRANSLATE(A13306, ""en"", ""mt"")"),"X'għandhom jirrikonoxxu ċ-ċelloli T qabel ma ġew ipproċessati l-antiġeni?")</f>
        <v>X'għandhom jirrikonoxxu ċ-ċelloli T qabel ma ġew ipproċessati l-antiġeni?</v>
      </c>
    </row>
    <row r="13307" ht="15.75" customHeight="1">
      <c r="A13307" s="2" t="s">
        <v>13307</v>
      </c>
      <c r="B13307" s="2" t="str">
        <f>IFERROR(__xludf.DUMMYFUNCTION("GOOGLETRANSLATE(A13307, ""en"", ""mt"")"),"Lorelei")</f>
        <v>Lorelei</v>
      </c>
    </row>
    <row r="13308" ht="15.75" customHeight="1">
      <c r="A13308" s="2" t="s">
        <v>13308</v>
      </c>
      <c r="B13308" s="2" t="str">
        <f>IFERROR(__xludf.DUMMYFUNCTION("GOOGLETRANSLATE(A13308, ""en"", ""mt"")"),"Idealiżmu u filantropija")</f>
        <v>Idealiżmu u filantropija</v>
      </c>
    </row>
    <row r="13309" ht="15.75" customHeight="1">
      <c r="A13309" s="2" t="s">
        <v>13309</v>
      </c>
      <c r="B13309" s="2" t="str">
        <f>IFERROR(__xludf.DUMMYFUNCTION("GOOGLETRANSLATE(A13309, ""en"", ""mt"")"),"sett ta 'trippli")</f>
        <v>sett ta 'trippli</v>
      </c>
    </row>
    <row r="13310" ht="15.75" customHeight="1">
      <c r="A13310" s="2" t="s">
        <v>13310</v>
      </c>
      <c r="B13310" s="2" t="str">
        <f>IFERROR(__xludf.DUMMYFUNCTION("GOOGLETRANSLATE(A13310, ""en"", ""mt"")"),"Xi jfisser li tagħmel liġi dwar id-diżubbidjenza ċivili indiretta?")</f>
        <v>Xi jfisser li tagħmel liġi dwar id-diżubbidjenza ċivili indiretta?</v>
      </c>
    </row>
    <row r="13311" ht="15.75" customHeight="1">
      <c r="A13311" s="2" t="s">
        <v>13311</v>
      </c>
      <c r="B13311" s="2" t="str">
        <f>IFERROR(__xludf.DUMMYFUNCTION("GOOGLETRANSLATE(A13311, ""en"", ""mt"")"),"Oscillating")</f>
        <v>Oscillating</v>
      </c>
    </row>
    <row r="13312" ht="15.75" customHeight="1">
      <c r="A13312" s="2" t="s">
        <v>13312</v>
      </c>
      <c r="B13312" s="2" t="str">
        <f>IFERROR(__xludf.DUMMYFUNCTION("GOOGLETRANSLATE(A13312, ""en"", ""mt"")"),"X'inhuma żewġ karozzi b'magni V8 li kienu aktar effiċjenti fil-fjuwil?")</f>
        <v>X'inhuma żewġ karozzi b'magni V8 li kienu aktar effiċjenti fil-fjuwil?</v>
      </c>
    </row>
    <row r="13313" ht="15.75" customHeight="1">
      <c r="A13313" s="2" t="s">
        <v>13313</v>
      </c>
      <c r="B13313" s="2" t="str">
        <f>IFERROR(__xludf.DUMMYFUNCTION("GOOGLETRANSLATE(A13313, ""en"", ""mt"")"),"Din saret ġustifikazzjoni morali biex titneħħa d-dinja sa l-istandards Franċiżi billi ġġib il-Kristjaneżmu u l-kultura Franċiża. Fl-1884 l-esponent ewlieni tal-kolonjaliżmu, Jules Ferry iddikjara li Franza kellha missjoni ċivilizzanti: ""Ir-razez ogħla għ"&amp;"andhom dritt fuq ir-razez l-aktar baxxi, għandhom id-dmir li jivverifikaw l-inferjuri"". Id-drittijiet sħaħ taċ-ċittadinanza - ""assimilazzjoni"" - ġew offruti, għalkemm fir-realtà l-assimilazzjoni kienet dejjem fuq l-orizzont imbiegħed. B'kuntrast mill-G"&amp;"ran Brittanja, Franza bagħtet numru żgħir ta 'kolonizzaturi lill-kolonji tagħha, bl-unika eċċezzjoni notevoli tal-Alġerija, fejn il-kolonizzaturi Franċiżi madankollu dejjem baqgħu minoranza żgħira.")</f>
        <v>Din saret ġustifikazzjoni morali biex titneħħa d-dinja sa l-istandards Franċiżi billi ġġib il-Kristjaneżmu u l-kultura Franċiża. Fl-1884 l-esponent ewlieni tal-kolonjaliżmu, Jules Ferry iddikjara li Franza kellha missjoni ċivilizzanti: "Ir-razez ogħla għandhom dritt fuq ir-razez l-aktar baxxi, għandhom id-dmir li jivverifikaw l-inferjuri". Id-drittijiet sħaħ taċ-ċittadinanza - "assimilazzjoni" - ġew offruti, għalkemm fir-realtà l-assimilazzjoni kienet dejjem fuq l-orizzont imbiegħed. B'kuntrast mill-Gran Brittanja, Franza bagħtet numru żgħir ta 'kolonizzaturi lill-kolonji tagħha, bl-unika eċċezzjoni notevoli tal-Alġerija, fejn il-kolonizzaturi Franċiżi madankollu dejjem baqgħu minoranza żgħira.</v>
      </c>
    </row>
    <row r="13314" ht="15.75" customHeight="1">
      <c r="A13314" s="2" t="s">
        <v>13314</v>
      </c>
      <c r="B13314" s="2" t="str">
        <f>IFERROR(__xludf.DUMMYFUNCTION("GOOGLETRANSLATE(A13314, ""en"", ""mt"")")," X’kienet l-Unjoni Sovjetika tipprova timmotiva mal-armata tagħha?")</f>
        <v> X’kienet l-Unjoni Sovjetika tipprova timmotiva mal-armata tagħha?</v>
      </c>
    </row>
    <row r="13315" ht="15.75" customHeight="1">
      <c r="A13315" s="2" t="s">
        <v>13315</v>
      </c>
      <c r="B13315" s="2" t="str">
        <f>IFERROR(__xludf.DUMMYFUNCTION("GOOGLETRANSLATE(A13315, ""en"", ""mt"")"),"Mujahideen")</f>
        <v>Mujahideen</v>
      </c>
    </row>
    <row r="13316" ht="15.75" customHeight="1">
      <c r="A13316" s="2" t="s">
        <v>13316</v>
      </c>
      <c r="B13316" s="2" t="str">
        <f>IFERROR(__xludf.DUMMYFUNCTION("GOOGLETRANSLATE(A13316, ""en"", ""mt"")"),"L-1940s")</f>
        <v>L-1940s</v>
      </c>
    </row>
    <row r="13317" ht="15.75" customHeight="1">
      <c r="A13317" s="2" t="s">
        <v>13317</v>
      </c>
      <c r="B13317" s="2" t="str">
        <f>IFERROR(__xludf.DUMMYFUNCTION("GOOGLETRANSLATE(A13317, ""en"", ""mt"")"),"isir iżgħar")</f>
        <v>isir iżgħar</v>
      </c>
    </row>
    <row r="13318" ht="15.75" customHeight="1">
      <c r="A13318" s="2" t="s">
        <v>13318</v>
      </c>
      <c r="B13318" s="2" t="str">
        <f>IFERROR(__xludf.DUMMYFUNCTION("GOOGLETRANSLATE(A13318, ""en"", ""mt"")"),"Liema xmara tdawwar lil Jacksonville?")</f>
        <v>Liema xmara tdawwar lil Jacksonville?</v>
      </c>
    </row>
    <row r="13319" ht="15.75" customHeight="1">
      <c r="A13319" s="2" t="s">
        <v>13319</v>
      </c>
      <c r="B13319" s="2" t="str">
        <f>IFERROR(__xludf.DUMMYFUNCTION("GOOGLETRANSLATE(A13319, ""en"", ""mt"")"),"Liema kategorija qed jiddaħħlu l-iskejjel li jżommu linja bejn l-akkademiċi u r-reliġjon?")</f>
        <v>Liema kategorija qed jiddaħħlu l-iskejjel li jżommu linja bejn l-akkademiċi u r-reliġjon?</v>
      </c>
    </row>
    <row r="13320" ht="15.75" customHeight="1">
      <c r="A13320" s="2" t="s">
        <v>13320</v>
      </c>
      <c r="B13320" s="2" t="str">
        <f>IFERROR(__xludf.DUMMYFUNCTION("GOOGLETRANSLATE(A13320, ""en"", ""mt"")"),"tnejn")</f>
        <v>tnejn</v>
      </c>
    </row>
    <row r="13321" ht="15.75" customHeight="1">
      <c r="A13321" s="2" t="s">
        <v>13321</v>
      </c>
      <c r="B13321" s="2" t="str">
        <f>IFERROR(__xludf.DUMMYFUNCTION("GOOGLETRANSLATE(A13321, ""en"", ""mt"")"),"ekonomiku")</f>
        <v>ekonomiku</v>
      </c>
    </row>
    <row r="13322" ht="15.75" customHeight="1">
      <c r="A13322" s="2" t="s">
        <v>13322</v>
      </c>
      <c r="B13322" s="2" t="str">
        <f>IFERROR(__xludf.DUMMYFUNCTION("GOOGLETRANSLATE(A13322, ""en"", ""mt"")"),"Test ta 'Lucas-Lehmer")</f>
        <v>Test ta 'Lucas-Lehmer</v>
      </c>
    </row>
    <row r="13323" ht="15.75" customHeight="1">
      <c r="A13323" s="2" t="s">
        <v>13323</v>
      </c>
      <c r="B13323" s="2" t="str">
        <f>IFERROR(__xludf.DUMMYFUNCTION("GOOGLETRANSLATE(A13323, ""en"", ""mt"")"),"ħafna klassijiet ta 'kumplessità")</f>
        <v>ħafna klassijiet ta 'kumplessità</v>
      </c>
    </row>
    <row r="13324" ht="15.75" customHeight="1">
      <c r="A13324" s="2" t="s">
        <v>13324</v>
      </c>
      <c r="B13324" s="2" t="str">
        <f>IFERROR(__xludf.DUMMYFUNCTION("GOOGLETRANSLATE(A13324, ""en"", ""mt"")"),"Drittijiet ta 'ċittadinanza sħiħa")</f>
        <v>Drittijiet ta 'ċittadinanza sħiħa</v>
      </c>
    </row>
    <row r="13325" ht="15.75" customHeight="1">
      <c r="A13325" s="2" t="s">
        <v>13325</v>
      </c>
      <c r="B13325" s="2" t="str">
        <f>IFERROR(__xludf.DUMMYFUNCTION("GOOGLETRANSLATE(A13325, ""en"", ""mt"")"),"forzi")</f>
        <v>forzi</v>
      </c>
    </row>
    <row r="13326" ht="15.75" customHeight="1">
      <c r="A13326" s="2" t="s">
        <v>13326</v>
      </c>
      <c r="B13326" s="2" t="str">
        <f>IFERROR(__xludf.DUMMYFUNCTION("GOOGLETRANSLATE(A13326, ""en"", ""mt"")"),"Ordnijiet ta 'bidla identifikati jew bidliet fil-proġett li żiedu l-ispejjeż")</f>
        <v>Ordnijiet ta 'bidla identifikati jew bidliet fil-proġett li żiedu l-ispejjeż</v>
      </c>
    </row>
    <row r="13327" ht="15.75" customHeight="1">
      <c r="A13327" s="2" t="s">
        <v>13327</v>
      </c>
      <c r="B13327" s="2" t="str">
        <f>IFERROR(__xludf.DUMMYFUNCTION("GOOGLETRANSLATE(A13327, ""en"", ""mt"")"),"imqassam b'mod aktar ugwali")</f>
        <v>imqassam b'mod aktar ugwali</v>
      </c>
    </row>
    <row r="13328" ht="15.75" customHeight="1">
      <c r="A13328" s="2" t="s">
        <v>13328</v>
      </c>
      <c r="B13328" s="2" t="str">
        <f>IFERROR(__xludf.DUMMYFUNCTION("GOOGLETRANSLATE(A13328, ""en"", ""mt"")"),"Bilateria")</f>
        <v>Bilateria</v>
      </c>
    </row>
    <row r="13329" ht="15.75" customHeight="1">
      <c r="A13329" s="2" t="s">
        <v>13329</v>
      </c>
      <c r="B13329" s="2" t="str">
        <f>IFERROR(__xludf.DUMMYFUNCTION("GOOGLETRANSLATE(A13329, ""en"", ""mt"")"),"Gaeliku")</f>
        <v>Gaeliku</v>
      </c>
    </row>
    <row r="13330" ht="15.75" customHeight="1">
      <c r="A13330" s="2" t="s">
        <v>13330</v>
      </c>
      <c r="B13330" s="2" t="str">
        <f>IFERROR(__xludf.DUMMYFUNCTION("GOOGLETRANSLATE(A13330, ""en"", ""mt"")"),"Qoxra ta 'veġetazzjoni tropikali niedja")</f>
        <v>Qoxra ta 'veġetazzjoni tropikali niedja</v>
      </c>
    </row>
    <row r="13331" ht="15.75" customHeight="1">
      <c r="A13331" s="2" t="s">
        <v>13331</v>
      </c>
      <c r="B13331" s="2" t="str">
        <f>IFERROR(__xludf.DUMMYFUNCTION("GOOGLETRANSLATE(A13331, ""en"", ""mt"")"),"X'inhuma l-aktar pjanijiet dettaljati fil-kostruzzjoni?")</f>
        <v>X'inhuma l-aktar pjanijiet dettaljati fil-kostruzzjoni?</v>
      </c>
    </row>
    <row r="13332" ht="15.75" customHeight="1">
      <c r="A13332" s="2" t="s">
        <v>13332</v>
      </c>
      <c r="B13332" s="2" t="str">
        <f>IFERROR(__xludf.DUMMYFUNCTION("GOOGLETRANSLATE(A13332, ""en"", ""mt"")"),"Ċelloli T")</f>
        <v>Ċelloli T</v>
      </c>
    </row>
    <row r="13333" ht="15.75" customHeight="1">
      <c r="A13333" s="2" t="s">
        <v>13333</v>
      </c>
      <c r="B13333" s="2" t="str">
        <f>IFERROR(__xludf.DUMMYFUNCTION("GOOGLETRANSLATE(A13333, ""en"", ""mt"")"),"Liema molekuli li jippromwovu l-quċċata tal-infjammazzjoni waqt is-sigħat tal-qawmien?")</f>
        <v>Liema molekuli li jippromwovu l-quċċata tal-infjammazzjoni waqt is-sigħat tal-qawmien?</v>
      </c>
    </row>
    <row r="13334" ht="15.75" customHeight="1">
      <c r="A13334" s="2" t="s">
        <v>13334</v>
      </c>
      <c r="B13334" s="2" t="str">
        <f>IFERROR(__xludf.DUMMYFUNCTION("GOOGLETRANSLATE(A13334, ""en"", ""mt"")"),"Meta l-Gran Brittanja tikkolonizza l-Awstralja?")</f>
        <v>Meta l-Gran Brittanja tikkolonizza l-Awstralja?</v>
      </c>
    </row>
    <row r="13335" ht="15.75" customHeight="1">
      <c r="A13335" s="2" t="s">
        <v>13335</v>
      </c>
      <c r="B13335" s="2" t="str">
        <f>IFERROR(__xludf.DUMMYFUNCTION("GOOGLETRANSLATE(A13335, ""en"", ""mt"")"),"Xi tfisser 'Pax Mongolica'?")</f>
        <v>Xi tfisser 'Pax Mongolica'?</v>
      </c>
    </row>
    <row r="13336" ht="15.75" customHeight="1">
      <c r="A13336" s="2" t="s">
        <v>13336</v>
      </c>
      <c r="B13336" s="2" t="str">
        <f>IFERROR(__xludf.DUMMYFUNCTION("GOOGLETRANSLATE(A13336, ""en"", ""mt"")"),"ma jibbenefikawx l-Iskozja daqs kemm għandhom")</f>
        <v>ma jibbenefikawx l-Iskozja daqs kemm għandhom</v>
      </c>
    </row>
    <row r="13337" ht="15.75" customHeight="1">
      <c r="A13337" s="2" t="s">
        <v>13337</v>
      </c>
      <c r="B13337" s="2" t="str">
        <f>IFERROR(__xludf.DUMMYFUNCTION("GOOGLETRANSLATE(A13337, ""en"", ""mt"")"),"Liema forma ta 'ossiġnu hija magħmula minn tliet atomi ta' ossiġnu?")</f>
        <v>Liema forma ta 'ossiġnu hija magħmula minn tliet atomi ta' ossiġnu?</v>
      </c>
    </row>
    <row r="13338" ht="15.75" customHeight="1">
      <c r="A13338" s="2" t="s">
        <v>13338</v>
      </c>
      <c r="B13338" s="2" t="str">
        <f>IFERROR(__xludf.DUMMYFUNCTION("GOOGLETRANSLATE(A13338, ""en"", ""mt"")"),"Senser tal-bilanċ li jikkonsisti fi statolit")</f>
        <v>Senser tal-bilanċ li jikkonsisti fi statolit</v>
      </c>
    </row>
    <row r="13339" ht="15.75" customHeight="1">
      <c r="A13339" s="2" t="s">
        <v>13339</v>
      </c>
      <c r="B13339" s="2" t="str">
        <f>IFERROR(__xludf.DUMMYFUNCTION("GOOGLETRANSLATE(A13339, ""en"", ""mt"")"),"Yuan_dynasty")</f>
        <v>Yuan_dynasty</v>
      </c>
    </row>
    <row r="13340" ht="15.75" customHeight="1">
      <c r="A13340" s="2" t="s">
        <v>13340</v>
      </c>
      <c r="B13340" s="2" t="str">
        <f>IFERROR(__xludf.DUMMYFUNCTION("GOOGLETRANSLATE(A13340, ""en"", ""mt"")"),"Min skopra l-fuħħar misjub fuq il-Gżira tal-Hammock Iswed?")</f>
        <v>Min skopra l-fuħħar misjub fuq il-Gżira tal-Hammock Iswed?</v>
      </c>
    </row>
    <row r="13341" ht="15.75" customHeight="1">
      <c r="A13341" s="2" t="s">
        <v>13341</v>
      </c>
      <c r="B13341" s="2" t="str">
        <f>IFERROR(__xludf.DUMMYFUNCTION("GOOGLETRANSLATE(A13341, ""en"", ""mt"")"),"Id-dilemma ffaċċjata minn ċittadini Ġermaniżi")</f>
        <v>Id-dilemma ffaċċjata minn ċittadini Ġermaniżi</v>
      </c>
    </row>
    <row r="13342" ht="15.75" customHeight="1">
      <c r="A13342" s="2" t="s">
        <v>13342</v>
      </c>
      <c r="B13342" s="2" t="str">
        <f>IFERROR(__xludf.DUMMYFUNCTION("GOOGLETRANSLATE(A13342, ""en"", ""mt"")"),"L-Erbgħa wara nofsinhar")</f>
        <v>L-Erbgħa wara nofsinhar</v>
      </c>
    </row>
    <row r="13343" ht="15.75" customHeight="1">
      <c r="A13343" s="2" t="s">
        <v>13343</v>
      </c>
      <c r="B13343" s="2" t="str">
        <f>IFERROR(__xludf.DUMMYFUNCTION("GOOGLETRANSLATE(A13343, ""en"", ""mt"")"),"Kemm nies Franċiżi ħarbu lejn il-Prussja?")</f>
        <v>Kemm nies Franċiżi ħarbu lejn il-Prussja?</v>
      </c>
    </row>
    <row r="13344" ht="15.75" customHeight="1">
      <c r="A13344" s="2" t="s">
        <v>13344</v>
      </c>
      <c r="B13344" s="2" t="str">
        <f>IFERROR(__xludf.DUMMYFUNCTION("GOOGLETRANSLATE(A13344, ""en"", ""mt"")"),"Liema impatt militari kellu l-immigrazzjoni Huguenot fuq l-armata ta 'Frederick?")</f>
        <v>Liema impatt militari kellu l-immigrazzjoni Huguenot fuq l-armata ta 'Frederick?</v>
      </c>
    </row>
    <row r="13345" ht="15.75" customHeight="1">
      <c r="A13345" s="2" t="s">
        <v>13345</v>
      </c>
      <c r="B13345" s="2" t="str">
        <f>IFERROR(__xludf.DUMMYFUNCTION("GOOGLETRANSLATE(A13345, ""en"", ""mt"")"),"X'kien il-valur idealizzat tal-imperjalizmu?")</f>
        <v>X'kien il-valur idealizzat tal-imperjalizmu?</v>
      </c>
    </row>
    <row r="13346" ht="15.75" customHeight="1">
      <c r="A13346" s="2" t="s">
        <v>13346</v>
      </c>
      <c r="B13346" s="2" t="str">
        <f>IFERROR(__xludf.DUMMYFUNCTION("GOOGLETRANSLATE(A13346, ""en"", ""mt"")"),"""Emendi ta 'Wrecking""")</f>
        <v>"Emendi ta 'Wrecking"</v>
      </c>
    </row>
    <row r="13347" ht="15.75" customHeight="1">
      <c r="A13347" s="2" t="s">
        <v>13347</v>
      </c>
      <c r="B13347" s="2" t="str">
        <f>IFERROR(__xludf.DUMMYFUNCTION("GOOGLETRANSLATE(A13347, ""en"", ""mt"")"),"X'kien id-dazju medju ta 'magna Watt bi pressjoni baxxa?")</f>
        <v>X'kien id-dazju medju ta 'magna Watt bi pressjoni baxxa?</v>
      </c>
    </row>
    <row r="13348" ht="15.75" customHeight="1">
      <c r="A13348" s="2" t="s">
        <v>13348</v>
      </c>
      <c r="B13348" s="2" t="str">
        <f>IFERROR(__xludf.DUMMYFUNCTION("GOOGLETRANSLATE(A13348, ""en"", ""mt"")"),"X'għandu jħallas ġenitur biex jibgħat lil uliedhom fi skola ta 'l-imbark fl-2012?")</f>
        <v>X'għandu jħallas ġenitur biex jibgħat lil uliedhom fi skola ta 'l-imbark fl-2012?</v>
      </c>
    </row>
    <row r="13349" ht="15.75" customHeight="1">
      <c r="A13349" s="2" t="s">
        <v>13349</v>
      </c>
      <c r="B13349" s="2" t="str">
        <f>IFERROR(__xludf.DUMMYFUNCTION("GOOGLETRANSLATE(A13349, ""en"", ""mt"")"),"It-temperaturi medji ta 'kull xahar ivarjaw minn madwar 53 F f'Jannar għal 82 F f'Lulju. Temperaturi għoljin medja 64 sa 92 ° F (18 sa 33 ° C) matul is-sena. Indiċi tas-sħana għoljin huma komuni għax-xhur tas-sajf fiż-żona, b'indiċi 'l fuq minn 110 ° F (4"&amp;"3.3 ° C) possibbli. L-ogħla temperatura rreġistrata kienet ta ’104 ° F (40 ° C) fil-11 ta’ Lulju, 1879 u t-28 ta ’Lulju, 1872. Huwa komuni li l-maltempati jinqerdu waqt wara nofsinhar tipiku tas-sajf. Dawn huma kkawżati mit-tisħin rapidu ta 'l-art relatti"&amp;"va għall-ilma, flimkien ma' umdità estremament għolja.")</f>
        <v>It-temperaturi medji ta 'kull xahar ivarjaw minn madwar 53 F f'Jannar għal 82 F f'Lulju. Temperaturi għoljin medja 64 sa 92 ° F (18 sa 33 ° C) matul is-sena. Indiċi tas-sħana għoljin huma komuni għax-xhur tas-sajf fiż-żona, b'indiċi 'l fuq minn 110 ° F (43.3 ° C) possibbli. L-ogħla temperatura rreġistrata kienet ta ’104 ° F (40 ° C) fil-11 ta’ Lulju, 1879 u t-28 ta ’Lulju, 1872. Huwa komuni li l-maltempati jinqerdu waqt wara nofsinhar tipiku tas-sajf. Dawn huma kkawżati mit-tisħin rapidu ta 'l-art relattiva għall-ilma, flimkien ma' umdità estremament għolja.</v>
      </c>
    </row>
    <row r="13350" ht="15.75" customHeight="1">
      <c r="A13350" s="2" t="s">
        <v>13350</v>
      </c>
      <c r="B13350" s="2" t="str">
        <f>IFERROR(__xludf.DUMMYFUNCTION("GOOGLETRANSLATE(A13350, ""en"", ""mt"")"),"validità tal-kuntratt soċjali")</f>
        <v>validità tal-kuntratt soċjali</v>
      </c>
    </row>
    <row r="13351" ht="15.75" customHeight="1">
      <c r="A13351" s="2" t="s">
        <v>13351</v>
      </c>
      <c r="B13351" s="2" t="str">
        <f>IFERROR(__xludf.DUMMYFUNCTION("GOOGLETRANSLATE(A13351, ""en"", ""mt"")"),"F’liema seklu ntuża l-aħħar it-terminu farmaċewtiku?")</f>
        <v>F’liema seklu ntuża l-aħħar it-terminu farmaċewtiku?</v>
      </c>
    </row>
    <row r="13352" ht="15.75" customHeight="1">
      <c r="A13352" s="2" t="s">
        <v>13352</v>
      </c>
      <c r="B13352" s="2" t="str">
        <f>IFERROR(__xludf.DUMMYFUNCTION("GOOGLETRANSLATE(A13352, ""en"", ""mt"")"),"Lista kompluta ta 'primes sa hija magħrufa")</f>
        <v>Lista kompluta ta 'primes sa hija magħrufa</v>
      </c>
    </row>
    <row r="13353" ht="15.75" customHeight="1">
      <c r="A13353" s="2" t="s">
        <v>13353</v>
      </c>
      <c r="B13353" s="2" t="str">
        <f>IFERROR(__xludf.DUMMYFUNCTION("GOOGLETRANSLATE(A13353, ""en"", ""mt"")"),"Mexxejja Bolshevik")</f>
        <v>Mexxejja Bolshevik</v>
      </c>
    </row>
    <row r="13354" ht="15.75" customHeight="1">
      <c r="A13354" s="2" t="s">
        <v>13354</v>
      </c>
      <c r="B13354" s="2" t="str">
        <f>IFERROR(__xludf.DUMMYFUNCTION("GOOGLETRANSLATE(A13354, ""en"", ""mt"")"),"Liema Khanates kienu kkonvertew għall-Iżlam?")</f>
        <v>Liema Khanates kienu kkonvertew għall-Iżlam?</v>
      </c>
    </row>
    <row r="13355" ht="15.75" customHeight="1">
      <c r="A13355" s="2" t="s">
        <v>13355</v>
      </c>
      <c r="B13355" s="2" t="str">
        <f>IFERROR(__xludf.DUMMYFUNCTION("GOOGLETRANSLATE(A13355, ""en"", ""mt"")"),"X'għandha sistema ta 'klassifikazzjoni għall-kumpaniji tal-kostruzzjoni?")</f>
        <v>X'għandha sistema ta 'klassifikazzjoni għall-kumpaniji tal-kostruzzjoni?</v>
      </c>
    </row>
    <row r="13356" ht="15.75" customHeight="1">
      <c r="A13356" s="2" t="s">
        <v>13356</v>
      </c>
      <c r="B13356" s="2" t="str">
        <f>IFERROR(__xludf.DUMMYFUNCTION("GOOGLETRANSLATE(A13356, ""en"", ""mt"")"),"Frederick William, Elettur ta 'Brandenburg, stieden lil Huguenots biex joqgħod fl-isfera tiegħu, u numru tad-dixxendenti tagħhom tela' għal pożizzjonijiet ta 'prominenza fil-Prussja. Bosta figuri militari, kulturali u politiċi prominenti Ġermaniżi kienu e"&amp;"tniċi Huguenot, inkluż il-poeta Theodor Fontane, il-Ġeneral Hermann von François, l-eroj tal-ewwel battalja tal-Gwerra Dinjija ta 'Tannenberg, Luftwaffe Ġenerali u l-ġlied Ace Adolf Galland, Luftwaffe Flying Ace Hans-Joachim Marsile , u l-Kaptan tal-U-Boa"&amp;"t famuż Lothar von Arnauld de la Perière. L-aħħar Prim Ministru tar-Repubblika Demokratika Ġermaniża (tal-Lvant), Lothar de Maizière, huwa wkoll dixxendent ta 'familja Huguenot, kif inhu l-Ministru Federali Ġermaniż ta' l-Intern, Thomas de Maizière.")</f>
        <v>Frederick William, Elettur ta 'Brandenburg, stieden lil Huguenots biex joqgħod fl-isfera tiegħu, u numru tad-dixxendenti tagħhom tela' għal pożizzjonijiet ta 'prominenza fil-Prussja. Bosta figuri militari, kulturali u politiċi prominenti Ġermaniżi kienu etniċi Huguenot, inkluż il-poeta Theodor Fontane, il-Ġeneral Hermann von François, l-eroj tal-ewwel battalja tal-Gwerra Dinjija ta 'Tannenberg, Luftwaffe Ġenerali u l-ġlied Ace Adolf Galland, Luftwaffe Flying Ace Hans-Joachim Marsile , u l-Kaptan tal-U-Boat famuż Lothar von Arnauld de la Perière. L-aħħar Prim Ministru tar-Repubblika Demokratika Ġermaniża (tal-Lvant), Lothar de Maizière, huwa wkoll dixxendent ta 'familja Huguenot, kif inhu l-Ministru Federali Ġermaniż ta' l-Intern, Thomas de Maizière.</v>
      </c>
    </row>
    <row r="13357" ht="15.75" customHeight="1">
      <c r="A13357" s="2" t="s">
        <v>13357</v>
      </c>
      <c r="B13357" s="2" t="str">
        <f>IFERROR(__xludf.DUMMYFUNCTION("GOOGLETRANSLATE(A13357, ""en"", ""mt"")"),"il-ħalq tax-xmara Monongahela")</f>
        <v>il-ħalq tax-xmara Monongahela</v>
      </c>
    </row>
    <row r="13358" ht="15.75" customHeight="1">
      <c r="A13358" s="2" t="s">
        <v>13358</v>
      </c>
      <c r="B13358" s="2" t="str">
        <f>IFERROR(__xludf.DUMMYFUNCTION("GOOGLETRANSLATE(A13358, ""en"", ""mt"")"),"Meta ntemmet il-Gwerra Franċiża u Indjana ta 'l-Amerika t'Isfel?")</f>
        <v>Meta ntemmet il-Gwerra Franċiża u Indjana ta 'l-Amerika t'Isfel?</v>
      </c>
    </row>
    <row r="13359" ht="15.75" customHeight="1">
      <c r="A13359" s="2" t="s">
        <v>13359</v>
      </c>
      <c r="B13359" s="2" t="str">
        <f>IFERROR(__xludf.DUMMYFUNCTION("GOOGLETRANSLATE(A13359, ""en"", ""mt"")"),"Ma 'min żżewweġ Edgar?")</f>
        <v>Ma 'min żżewweġ Edgar?</v>
      </c>
    </row>
    <row r="13360" ht="15.75" customHeight="1">
      <c r="A13360" s="2" t="s">
        <v>13360</v>
      </c>
      <c r="B13360" s="2" t="str">
        <f>IFERROR(__xludf.DUMMYFUNCTION("GOOGLETRANSLATE(A13360, ""en"", ""mt"")"),"fil-punent tal-muntanji tal-Appalaċi")</f>
        <v>fil-punent tal-muntanji tal-Appalaċi</v>
      </c>
    </row>
    <row r="13361" ht="15.75" customHeight="1">
      <c r="A13361" s="2" t="s">
        <v>13361</v>
      </c>
      <c r="B13361" s="2" t="str">
        <f>IFERROR(__xludf.DUMMYFUNCTION("GOOGLETRANSLATE(A13361, ""en"", ""mt"")"),"Meta rritorna Edward?")</f>
        <v>Meta rritorna Edward?</v>
      </c>
    </row>
    <row r="13362" ht="15.75" customHeight="1">
      <c r="A13362" s="2" t="s">
        <v>13362</v>
      </c>
      <c r="B13362" s="2" t="str">
        <f>IFERROR(__xludf.DUMMYFUNCTION("GOOGLETRANSLATE(A13362, ""en"", ""mt"")"),"Tlesti Q fir-rigward ta 'dak li se jipproduċi l-qasam tan-numri reali?")</f>
        <v>Tlesti Q fir-rigward ta 'dak li se jipproduċi l-qasam tan-numri reali?</v>
      </c>
    </row>
    <row r="13363" ht="15.75" customHeight="1">
      <c r="A13363" s="2" t="s">
        <v>13363</v>
      </c>
      <c r="B13363" s="2" t="str">
        <f>IFERROR(__xludf.DUMMYFUNCTION("GOOGLETRANSLATE(A13363, ""en"", ""mt"")"),"Meta tikkunsidra problemi tal-komputazzjoni, problema ta 'problema hija sekwenza fuq alfabett. Normalment, l-alfabett jittieħed bħala l-alfabett binarju (i.e., is-sett {0,1}), u għalhekk il-kordi huma bitstrings. Bħal f'kompjuter tad-dinja reali, oġġetti "&amp;"matematiċi minbarra l-bitstrings għandhom ikunu kodifikati b'mod xieraq. Pereżempju, numri interi jistgħu jiġu rrappreżentati f'notazzjoni binarja, u l-graffs jistgħu jiġu kkodifikati direttament permezz tal-matriċi ta 'aġġustanza tagħhom, jew billi jikko"&amp;"difikaw il-listi ta' aġġustanza tagħhom b'mod binarju.")</f>
        <v>Meta tikkunsidra problemi tal-komputazzjoni, problema ta 'problema hija sekwenza fuq alfabett. Normalment, l-alfabett jittieħed bħala l-alfabett binarju (i.e., is-sett {0,1}), u għalhekk il-kordi huma bitstrings. Bħal f'kompjuter tad-dinja reali, oġġetti matematiċi minbarra l-bitstrings għandhom ikunu kodifikati b'mod xieraq. Pereżempju, numri interi jistgħu jiġu rrappreżentati f'notazzjoni binarja, u l-graffs jistgħu jiġu kkodifikati direttament permezz tal-matriċi ta 'aġġustanza tagħhom, jew billi jikkodifikaw il-listi ta' aġġustanza tagħhom b'mod binarju.</v>
      </c>
    </row>
    <row r="13364" ht="15.75" customHeight="1">
      <c r="A13364" s="2" t="s">
        <v>13364</v>
      </c>
      <c r="B13364" s="2" t="str">
        <f>IFERROR(__xludf.DUMMYFUNCTION("GOOGLETRANSLATE(A13364, ""en"", ""mt"")"),"Fin-nofsinhar")</f>
        <v>Fin-nofsinhar</v>
      </c>
    </row>
    <row r="13365" ht="15.75" customHeight="1">
      <c r="A13365" s="2" t="s">
        <v>13365</v>
      </c>
      <c r="B13365" s="2" t="str">
        <f>IFERROR(__xludf.DUMMYFUNCTION("GOOGLETRANSLATE(A13365, ""en"", ""mt"")"),"X'inhu l-kejl konvenzjonali tar-Renu?")</f>
        <v>X'inhu l-kejl konvenzjonali tar-Renu?</v>
      </c>
    </row>
    <row r="13366" ht="15.75" customHeight="1">
      <c r="A13366" s="2" t="s">
        <v>13366</v>
      </c>
      <c r="B13366" s="2" t="str">
        <f>IFERROR(__xludf.DUMMYFUNCTION("GOOGLETRANSLATE(A13366, ""en"", ""mt"")"),"L-ossiġnu huwa l-iktar element kimiku abbundanti bil-massa fil-bijosfera, l-arja, il-baħar u l-art tad-dinja. L-ossiġnu huwa t-tielet l-iktar element kimiku abbundanti fl-univers, wara l-idroġenu u l-elju. Madwar 0.9% tal-massa tax-xemx hija ossiġnu. L-os"&amp;"siġnu jikkostitwixxi 49.2% tal-qoxra tad-dinja bil-massa u huwa l-komponent ewlieni tal-oċeani tad-dinja (88.8% bil-massa). Il-gass tal-ossiġnu huwa t-tieni l-iktar komponent komuni tal-atmosfera tad-Dinja, li jieħu 20.8% tal-volum tiegħu u 23.1% tal-mass"&amp;"a tiegħu (xi 1015 tunnellata). [D] id-Dinja mhix tas-soltu fost il-pjaneti tas-sistema solari meta jkollha daqshekk għolja konċentrazzjoni ta 'gass ta' ossiġnu fl-atmosfera tiegħu: Mars (b'0.1% o
2 mill-volum) u Venere għandhom konċentrazzjonijiet ferm ak"&amp;"tar baxxi. L-o
2 li jdawru dawn il-pjaneti l-oħra huwa prodott biss minn radjazzjoni ultravjola li għandha impatt fuq molekuli li fihom l-ossiġnu bħal dijossidu tal-karbonju.")</f>
        <v>L-ossiġnu huwa l-iktar element kimiku abbundanti bil-massa fil-bijosfera, l-arja, il-baħar u l-art tad-dinja. L-ossiġnu huwa t-tielet l-iktar element kimiku abbundanti fl-univers, wara l-idroġenu u l-elju. Madwar 0.9% tal-massa tax-xemx hija ossiġnu. L-ossiġnu jikkostitwixxi 49.2% tal-qoxra tad-dinja bil-massa u huwa l-komponent ewlieni tal-oċeani tad-dinja (88.8% bil-massa). Il-gass tal-ossiġnu huwa t-tieni l-iktar komponent komuni tal-atmosfera tad-Dinja, li jieħu 20.8% tal-volum tiegħu u 23.1% tal-massa tiegħu (xi 1015 tunnellata). [D] id-Dinja mhix tas-soltu fost il-pjaneti tas-sistema solari meta jkollha daqshekk għolja konċentrazzjoni ta 'gass ta' ossiġnu fl-atmosfera tiegħu: Mars (b'0.1% o
2 mill-volum) u Venere għandhom konċentrazzjonijiet ferm aktar baxxi. L-o
2 li jdawru dawn il-pjaneti l-oħra huwa prodott biss minn radjazzjoni ultravjola li għandha impatt fuq molekuli li fihom l-ossiġnu bħal dijossidu tal-karbonju.</v>
      </c>
    </row>
    <row r="13367" ht="15.75" customHeight="1">
      <c r="A13367" s="2" t="s">
        <v>13367</v>
      </c>
      <c r="B13367" s="2" t="str">
        <f>IFERROR(__xludf.DUMMYFUNCTION("GOOGLETRANSLATE(A13367, ""en"", ""mt"")"),"Għaliex il-lagi żgħar fil-parks huma mbattla qabel ix-xitwa?")</f>
        <v>Għaliex il-lagi żgħar fil-parks huma mbattla qabel ix-xitwa?</v>
      </c>
    </row>
    <row r="13368" ht="15.75" customHeight="1">
      <c r="A13368" s="2" t="s">
        <v>13368</v>
      </c>
      <c r="B13368" s="2" t="str">
        <f>IFERROR(__xludf.DUMMYFUNCTION("GOOGLETRANSLATE(A13368, ""en"", ""mt"")"),"Ċentru tar-Riċerka dwar il-Woods Hole")</f>
        <v>Ċentru tar-Riċerka dwar il-Woods Hole</v>
      </c>
    </row>
    <row r="13369" ht="15.75" customHeight="1">
      <c r="A13369" s="2" t="s">
        <v>13369</v>
      </c>
      <c r="B13369" s="2" t="str">
        <f>IFERROR(__xludf.DUMMYFUNCTION("GOOGLETRANSLATE(A13369, ""en"", ""mt"")"),"Jekk l-abbozz jinsab fil-kompetenza leġiżlattiva tal-Parlament")</f>
        <v>Jekk l-abbozz jinsab fil-kompetenza leġiżlattiva tal-Parlament</v>
      </c>
    </row>
    <row r="13370" ht="15.75" customHeight="1">
      <c r="A13370" s="2" t="s">
        <v>13370</v>
      </c>
      <c r="B13370" s="2" t="str">
        <f>IFERROR(__xludf.DUMMYFUNCTION("GOOGLETRANSLATE(A13370, ""en"", ""mt"")"),"F'liema żona ta 'Fresno kienu jinsabu l-fieri ta' Fresno?")</f>
        <v>F'liema żona ta 'Fresno kienu jinsabu l-fieri ta' Fresno?</v>
      </c>
    </row>
    <row r="13371" ht="15.75" customHeight="1">
      <c r="A13371" s="2" t="s">
        <v>13371</v>
      </c>
      <c r="B13371" s="2" t="str">
        <f>IFERROR(__xludf.DUMMYFUNCTION("GOOGLETRANSLATE(A13371, ""en"", ""mt"")"),"Il-prezzijiet baqgħu stabbli sa liema?")</f>
        <v>Il-prezzijiet baqgħu stabbli sa liema?</v>
      </c>
    </row>
    <row r="13372" ht="15.75" customHeight="1">
      <c r="A13372" s="2" t="s">
        <v>13372</v>
      </c>
      <c r="B13372" s="2" t="str">
        <f>IFERROR(__xludf.DUMMYFUNCTION("GOOGLETRANSLATE(A13372, ""en"", ""mt"")"),"Sistema ta 'sekrezzjoni tat-Tip III")</f>
        <v>Sistema ta 'sekrezzjoni tat-Tip III</v>
      </c>
    </row>
    <row r="13373" ht="15.75" customHeight="1">
      <c r="A13373" s="2" t="s">
        <v>13373</v>
      </c>
      <c r="B13373" s="2" t="str">
        <f>IFERROR(__xludf.DUMMYFUNCTION("GOOGLETRANSLATE(A13373, ""en"", ""mt"")"),"Liema pożizzjoni kienet Walter Camp fit-tim tal-futbol ta 'Harvard?")</f>
        <v>Liema pożizzjoni kienet Walter Camp fit-tim tal-futbol ta 'Harvard?</v>
      </c>
    </row>
    <row r="13374" ht="15.75" customHeight="1">
      <c r="A13374" s="2" t="s">
        <v>13374</v>
      </c>
      <c r="B13374" s="2" t="str">
        <f>IFERROR(__xludf.DUMMYFUNCTION("GOOGLETRANSLATE(A13374, ""en"", ""mt"")"),"Liema xmara tingħaqad mar-Rhine f'Duisburg?")</f>
        <v>Liema xmara tingħaqad mar-Rhine f'Duisburg?</v>
      </c>
    </row>
    <row r="13375" ht="15.75" customHeight="1">
      <c r="A13375" s="2" t="s">
        <v>13375</v>
      </c>
      <c r="B13375" s="2" t="str">
        <f>IFERROR(__xludf.DUMMYFUNCTION("GOOGLETRANSLATE(A13375, ""en"", ""mt"")"),"difiża u ġustifikazzjoni tal-bini tal-imperu")</f>
        <v>difiża u ġustifikazzjoni tal-bini tal-imperu</v>
      </c>
    </row>
    <row r="13376" ht="15.75" customHeight="1">
      <c r="A13376" s="2" t="s">
        <v>13376</v>
      </c>
      <c r="B13376" s="2" t="str">
        <f>IFERROR(__xludf.DUMMYFUNCTION("GOOGLETRANSLATE(A13376, ""en"", ""mt"")"),"Ir-raba 'imperatur Yuan, Buyantu Khan (Ayurbarwada), kien imperatur kompetenti. Huwa kien l-ewwel Imperatur Yuan li jappoġġja attivament u jadotta l-kultura Ċiniża mainstream wara r-renju ta 'Kublai, għall-iskuntentizza ta' xi elite Mongolja. Huwa kien me"&amp;"ntored minn Li Meng, akkademiku Confucian. Huwa għamel ħafna riformi, inkluża l-likwidazzjoni tad-Dipartiment tal-Affarijiet tal-Istat (Ċiniż: 尚 書 省), li rriżultaw fl-eżekuzzjoni ta 'ħamsa mill-uffiċjali tal-ogħla grad. Mill-1313 l-eżamijiet imperjali tra"&amp;"dizzjonali ġew introdotti mill-ġdid għal uffiċjali prospettivi, ittestjaw l-għarfien tagħhom dwar xogħlijiet storiċi sinifikanti. Ukoll, huwa kkodifika ħafna mil-liġi, kif ukoll jippubblika jew jittraduċi numru ta 'kotba u xogħlijiet Ċiniżi.")</f>
        <v>Ir-raba 'imperatur Yuan, Buyantu Khan (Ayurbarwada), kien imperatur kompetenti. Huwa kien l-ewwel Imperatur Yuan li jappoġġja attivament u jadotta l-kultura Ċiniża mainstream wara r-renju ta 'Kublai, għall-iskuntentizza ta' xi elite Mongolja. Huwa kien mentored minn Li Meng, akkademiku Confucian. Huwa għamel ħafna riformi, inkluża l-likwidazzjoni tad-Dipartiment tal-Affarijiet tal-Istat (Ċiniż: 尚 書 省), li rriżultaw fl-eżekuzzjoni ta 'ħamsa mill-uffiċjali tal-ogħla grad. Mill-1313 l-eżamijiet imperjali tradizzjonali ġew introdotti mill-ġdid għal uffiċjali prospettivi, ittestjaw l-għarfien tagħhom dwar xogħlijiet storiċi sinifikanti. Ukoll, huwa kkodifika ħafna mil-liġi, kif ukoll jippubblika jew jittraduċi numru ta 'kotba u xogħlijiet Ċiniżi.</v>
      </c>
    </row>
    <row r="13377" ht="15.75" customHeight="1">
      <c r="A13377" s="2" t="s">
        <v>13377</v>
      </c>
      <c r="B13377" s="2" t="str">
        <f>IFERROR(__xludf.DUMMYFUNCTION("GOOGLETRANSLATE(A13377, ""en"", ""mt"")"),"Liema gruppi tal-Viking ġew maħkuma minn Rollo?")</f>
        <v>Liema gruppi tal-Viking ġew maħkuma minn Rollo?</v>
      </c>
    </row>
    <row r="13378" ht="15.75" customHeight="1">
      <c r="A13378" s="2" t="s">
        <v>13378</v>
      </c>
      <c r="B13378" s="2" t="str">
        <f>IFERROR(__xludf.DUMMYFUNCTION("GOOGLETRANSLATE(A13378, ""en"", ""mt"")"),"Mill-2014 kemm malajr qed jiġi stampat materjal tal-bini?")</f>
        <v>Mill-2014 kemm malajr qed jiġi stampat materjal tal-bini?</v>
      </c>
    </row>
    <row r="13379" ht="15.75" customHeight="1">
      <c r="A13379" s="2" t="s">
        <v>13379</v>
      </c>
      <c r="B13379" s="2" t="str">
        <f>IFERROR(__xludf.DUMMYFUNCTION("GOOGLETRANSLATE(A13379, ""en"", ""mt"")"),"Kif Huguenots evolvew it-twemmin reliġjuż tagħhom fid-dinja l-ġdida?")</f>
        <v>Kif Huguenots evolvew it-twemmin reliġjuż tagħhom fid-dinja l-ġdida?</v>
      </c>
    </row>
    <row r="13380" ht="15.75" customHeight="1">
      <c r="A13380" s="2" t="s">
        <v>13380</v>
      </c>
      <c r="B13380" s="2" t="str">
        <f>IFERROR(__xludf.DUMMYFUNCTION("GOOGLETRANSLATE(A13380, ""en"", ""mt"")"),"Liema organizzazzjoni bassret li l-forza tal-Amazon tista 'tibqa' ħajja ta 'aktar minn tliet snin ta' nixfa")</f>
        <v>Liema organizzazzjoni bassret li l-forza tal-Amazon tista 'tibqa' ħajja ta 'aktar minn tliet snin ta' nixfa</v>
      </c>
    </row>
    <row r="13381" ht="15.75" customHeight="1">
      <c r="A13381" s="2" t="s">
        <v>13381</v>
      </c>
      <c r="B13381" s="2" t="str">
        <f>IFERROR(__xludf.DUMMYFUNCTION("GOOGLETRANSLATE(A13381, ""en"", ""mt"")"),"Taħriġ speċjali")</f>
        <v>Taħriġ speċjali</v>
      </c>
    </row>
    <row r="13382" ht="15.75" customHeight="1">
      <c r="A13382" s="2" t="s">
        <v>13382</v>
      </c>
      <c r="B13382" s="2" t="str">
        <f>IFERROR(__xludf.DUMMYFUNCTION("GOOGLETRANSLATE(A13382, ""en"", ""mt"")"),"Miller-Rabin")</f>
        <v>Miller-Rabin</v>
      </c>
    </row>
    <row r="13383" ht="15.75" customHeight="1">
      <c r="A13383" s="2" t="s">
        <v>13383</v>
      </c>
      <c r="B13383" s="2" t="str">
        <f>IFERROR(__xludf.DUMMYFUNCTION("GOOGLETRANSLATE(A13383, ""en"", ""mt"")"),"Kif jintgħażlu l-membri tal-kabinett Vittorjan?")</f>
        <v>Kif jintgħażlu l-membri tal-kabinett Vittorjan?</v>
      </c>
    </row>
    <row r="13384" ht="15.75" customHeight="1">
      <c r="A13384" s="2" t="s">
        <v>13384</v>
      </c>
      <c r="B13384" s="2" t="str">
        <f>IFERROR(__xludf.DUMMYFUNCTION("GOOGLETRANSLATE(A13384, ""en"", ""mt"")"),"Kif kienet tissejjaħ il-kolonja Franċiża Brażiljana?")</f>
        <v>Kif kienet tissejjaħ il-kolonja Franċiża Brażiljana?</v>
      </c>
    </row>
    <row r="13385" ht="15.75" customHeight="1">
      <c r="A13385" s="2" t="s">
        <v>13385</v>
      </c>
      <c r="B13385" s="2" t="str">
        <f>IFERROR(__xludf.DUMMYFUNCTION("GOOGLETRANSLATE(A13385, ""en"", ""mt"")"),"X'inhu involut fl-akkoppjar tal-kurrent tal-baħar?")</f>
        <v>X'inhu involut fl-akkoppjar tal-kurrent tal-baħar?</v>
      </c>
    </row>
    <row r="13386" ht="15.75" customHeight="1">
      <c r="A13386" s="2" t="s">
        <v>13386</v>
      </c>
      <c r="B13386" s="2" t="str">
        <f>IFERROR(__xludf.DUMMYFUNCTION("GOOGLETRANSLATE(A13386, ""en"", ""mt"")"),"kostanti dimensjonali")</f>
        <v>kostanti dimensjonali</v>
      </c>
    </row>
    <row r="13387" ht="15.75" customHeight="1">
      <c r="A13387" s="2" t="s">
        <v>13387</v>
      </c>
      <c r="B13387" s="2" t="str">
        <f>IFERROR(__xludf.DUMMYFUNCTION("GOOGLETRANSLATE(A13387, ""en"", ""mt"")"),"Mohandas Gandhi")</f>
        <v>Mohandas Gandhi</v>
      </c>
    </row>
    <row r="13388" ht="15.75" customHeight="1">
      <c r="A13388" s="2" t="s">
        <v>13388</v>
      </c>
      <c r="B13388" s="2" t="str">
        <f>IFERROR(__xludf.DUMMYFUNCTION("GOOGLETRANSLATE(A13388, ""en"", ""mt"")"),"Wara r-rebħa Liberali fl-2015, l-ordnijiet permanenti nbidlu biex jagħmlu xiex?")</f>
        <v>Wara r-rebħa Liberali fl-2015, l-ordnijiet permanenti nbidlu biex jagħmlu xiex?</v>
      </c>
    </row>
    <row r="13389" ht="15.75" customHeight="1">
      <c r="A13389" s="2" t="s">
        <v>13389</v>
      </c>
      <c r="B13389" s="2" t="str">
        <f>IFERROR(__xludf.DUMMYFUNCTION("GOOGLETRANSLATE(A13389, ""en"", ""mt"")"),"Tnejn")</f>
        <v>Tnejn</v>
      </c>
    </row>
    <row r="13390" ht="15.75" customHeight="1">
      <c r="A13390" s="2" t="s">
        <v>13390</v>
      </c>
      <c r="B13390" s="2" t="str">
        <f>IFERROR(__xludf.DUMMYFUNCTION("GOOGLETRANSLATE(A13390, ""en"", ""mt"")"),"X'tip ta 'studji jwettqu l-ġeokronologi?")</f>
        <v>X'tip ta 'studji jwettqu l-ġeokronologi?</v>
      </c>
    </row>
    <row r="13391" ht="15.75" customHeight="1">
      <c r="A13391" s="2" t="s">
        <v>13391</v>
      </c>
      <c r="B13391" s="2" t="str">
        <f>IFERROR(__xludf.DUMMYFUNCTION("GOOGLETRANSLATE(A13391, ""en"", ""mt"")"),"X'inhuma li l-problemi biss li ma jistgħux jiġu solvuti fi żmien polinomjali jistgħu jiġu kkalkulati b'mod fattibbli fuq xi apparat komputazzjonali?")</f>
        <v>X'inhuma li l-problemi biss li ma jistgħux jiġu solvuti fi żmien polinomjali jistgħu jiġu kkalkulati b'mod fattibbli fuq xi apparat komputazzjonali?</v>
      </c>
    </row>
    <row r="13392" ht="15.75" customHeight="1">
      <c r="A13392" s="2" t="s">
        <v>13392</v>
      </c>
      <c r="B13392" s="2" t="str">
        <f>IFERROR(__xludf.DUMMYFUNCTION("GOOGLETRANSLATE(A13392, ""en"", ""mt"")"),"Min ikkontesta t-teorija tal-pesta l-ewwel?")</f>
        <v>Min ikkontesta t-teorija tal-pesta l-ewwel?</v>
      </c>
    </row>
    <row r="13393" ht="15.75" customHeight="1">
      <c r="A13393" s="2" t="s">
        <v>13393</v>
      </c>
      <c r="B13393" s="2" t="str">
        <f>IFERROR(__xludf.DUMMYFUNCTION("GOOGLETRANSLATE(A13393, ""en"", ""mt"")"),"Meta ġie ppubblikat ir-Raba 'Valutazzjoni tal-IPCC?")</f>
        <v>Meta ġie ppubblikat ir-Raba 'Valutazzjoni tal-IPCC?</v>
      </c>
    </row>
    <row r="13394" ht="15.75" customHeight="1">
      <c r="A13394" s="2" t="s">
        <v>13394</v>
      </c>
      <c r="B13394" s="2" t="str">
        <f>IFERROR(__xludf.DUMMYFUNCTION("GOOGLETRANSLATE(A13394, ""en"", ""mt"")"),"Liema metodu jużaw l-iskejjel Musulmani fil-kurrikulu tagħhom?")</f>
        <v>Liema metodu jużaw l-iskejjel Musulmani fil-kurrikulu tagħhom?</v>
      </c>
    </row>
    <row r="13395" ht="15.75" customHeight="1">
      <c r="A13395" s="2" t="s">
        <v>13395</v>
      </c>
      <c r="B13395" s="2" t="str">
        <f>IFERROR(__xludf.DUMMYFUNCTION("GOOGLETRANSLATE(A13395, ""en"", ""mt"")"),"Fejn in-negozjanti Ġenesi ġabu l-pesta?")</f>
        <v>Fejn in-negozjanti Ġenesi ġabu l-pesta?</v>
      </c>
    </row>
    <row r="13396" ht="15.75" customHeight="1">
      <c r="A13396" s="2" t="s">
        <v>13396</v>
      </c>
      <c r="B13396" s="2" t="str">
        <f>IFERROR(__xludf.DUMMYFUNCTION("GOOGLETRANSLATE(A13396, ""en"", ""mt"")"),"Liema xhur barra mis-sena huwa miftuħ Woodward Park?")</f>
        <v>Liema xhur barra mis-sena huwa miftuħ Woodward Park?</v>
      </c>
    </row>
    <row r="13397" ht="15.75" customHeight="1">
      <c r="A13397" s="2" t="s">
        <v>13397</v>
      </c>
      <c r="B13397" s="2" t="str">
        <f>IFERROR(__xludf.DUMMYFUNCTION("GOOGLETRANSLATE(A13397, ""en"", ""mt"")"),"1724")</f>
        <v>1724</v>
      </c>
    </row>
    <row r="13398" ht="15.75" customHeight="1">
      <c r="A13398" s="2" t="s">
        <v>13398</v>
      </c>
      <c r="B13398" s="2" t="str">
        <f>IFERROR(__xludf.DUMMYFUNCTION("GOOGLETRANSLATE(A13398, ""en"", ""mt"")"),"X'tip ta 'vot ma jgħaddix il-Kunsill sabiex ma japprovax xi tibdil rakkomandat mill-Parlament?")</f>
        <v>X'tip ta 'vot ma jgħaddix il-Kunsill sabiex ma japprovax xi tibdil rakkomandat mill-Parlament?</v>
      </c>
    </row>
    <row r="13399" ht="15.75" customHeight="1">
      <c r="A13399" s="2" t="s">
        <v>13399</v>
      </c>
      <c r="B13399" s="2" t="str">
        <f>IFERROR(__xludf.DUMMYFUNCTION("GOOGLETRANSLATE(A13399, ""en"", ""mt"")"),"Liema sorsi oħra ta 'potenzjal ossidattiv għoli jistgħu jżidu ma' nar?")</f>
        <v>Liema sorsi oħra ta 'potenzjal ossidattiv għoli jistgħu jżidu ma' nar?</v>
      </c>
    </row>
    <row r="13400" ht="15.75" customHeight="1">
      <c r="A13400" s="2" t="s">
        <v>13400</v>
      </c>
      <c r="B13400" s="2" t="str">
        <f>IFERROR(__xludf.DUMMYFUNCTION("GOOGLETRANSLATE(A13400, ""en"", ""mt"")"),"1665")</f>
        <v>1665</v>
      </c>
    </row>
    <row r="13401" ht="15.75" customHeight="1">
      <c r="A13401" s="2" t="s">
        <v>13401</v>
      </c>
      <c r="B13401" s="2" t="str">
        <f>IFERROR(__xludf.DUMMYFUNCTION("GOOGLETRANSLATE(A13401, ""en"", ""mt"")"),"L-Assoċjazzjoni tal-Karozzi tal-Istat ta ’Kalifornja")</f>
        <v>L-Assoċjazzjoni tal-Karozzi tal-Istat ta ’Kalifornja</v>
      </c>
    </row>
    <row r="13402" ht="15.75" customHeight="1">
      <c r="A13402" s="2" t="s">
        <v>13402</v>
      </c>
      <c r="B13402" s="2" t="str">
        <f>IFERROR(__xludf.DUMMYFUNCTION("GOOGLETRANSLATE(A13402, ""en"", ""mt"")"),"Meta bdiet tonqos l-inugwaljanza fid-dħul fl-Istati Uniti?")</f>
        <v>Meta bdiet tonqos l-inugwaljanza fid-dħul fl-Istati Uniti?</v>
      </c>
    </row>
    <row r="13403" ht="15.75" customHeight="1">
      <c r="A13403" s="2" t="s">
        <v>13403</v>
      </c>
      <c r="B13403" s="2" t="str">
        <f>IFERROR(__xludf.DUMMYFUNCTION("GOOGLETRANSLATE(A13403, ""en"", ""mt"")"),"Iktar kmieni huma ċedew lill-Mongoli")</f>
        <v>Iktar kmieni huma ċedew lill-Mongoli</v>
      </c>
    </row>
    <row r="13404" ht="15.75" customHeight="1">
      <c r="A13404" s="2" t="s">
        <v>13404</v>
      </c>
      <c r="B13404" s="2" t="str">
        <f>IFERROR(__xludf.DUMMYFUNCTION("GOOGLETRANSLATE(A13404, ""en"", ""mt"")"),"X'inhu tip ta 'trakk kompatt mibni Dodge?")</f>
        <v>X'inhu tip ta 'trakk kompatt mibni Dodge?</v>
      </c>
    </row>
    <row r="13405" ht="15.75" customHeight="1">
      <c r="A13405" s="2" t="s">
        <v>13405</v>
      </c>
      <c r="B13405" s="2" t="str">
        <f>IFERROR(__xludf.DUMMYFUNCTION("GOOGLETRANSLATE(A13405, ""en"", ""mt"")"),"X'inhi d-dar għan-Nofsinhar ta 'California?")</f>
        <v>X'inhi d-dar għan-Nofsinhar ta 'California?</v>
      </c>
    </row>
    <row r="13406" ht="15.75" customHeight="1">
      <c r="A13406" s="2" t="s">
        <v>13406</v>
      </c>
      <c r="B13406" s="2" t="str">
        <f>IFERROR(__xludf.DUMMYFUNCTION("GOOGLETRANSLATE(A13406, ""en"", ""mt"")"),"Legrande")</f>
        <v>Legrande</v>
      </c>
    </row>
    <row r="13407" ht="15.75" customHeight="1">
      <c r="A13407" s="2" t="s">
        <v>13407</v>
      </c>
      <c r="B13407" s="2" t="str">
        <f>IFERROR(__xludf.DUMMYFUNCTION("GOOGLETRANSLATE(A13407, ""en"", ""mt"")"),"F'liema inbidlet il-Laguna Zuider Zee Brackish?")</f>
        <v>F'liema inbidlet il-Laguna Zuider Zee Brackish?</v>
      </c>
    </row>
    <row r="13408" ht="15.75" customHeight="1">
      <c r="A13408" s="2" t="s">
        <v>13408</v>
      </c>
      <c r="B13408" s="2" t="str">
        <f>IFERROR(__xludf.DUMMYFUNCTION("GOOGLETRANSLATE(A13408, ""en"", ""mt"")"),"Għaliex sar l-esperiment Kleitman-Aserinsky?")</f>
        <v>Għaliex sar l-esperiment Kleitman-Aserinsky?</v>
      </c>
    </row>
    <row r="13409" ht="15.75" customHeight="1">
      <c r="A13409" s="2" t="s">
        <v>13409</v>
      </c>
      <c r="B13409" s="2" t="str">
        <f>IFERROR(__xludf.DUMMYFUNCTION("GOOGLETRANSLATE(A13409, ""en"", ""mt"")"),"skala globali")</f>
        <v>skala globali</v>
      </c>
    </row>
    <row r="13410" ht="15.75" customHeight="1">
      <c r="A13410" s="2" t="s">
        <v>13410</v>
      </c>
      <c r="B13410" s="2" t="str">
        <f>IFERROR(__xludf.DUMMYFUNCTION("GOOGLETRANSLATE(A13410, ""en"", ""mt"")"),"2011")</f>
        <v>2011</v>
      </c>
    </row>
    <row r="13411" ht="15.75" customHeight="1">
      <c r="A13411" s="2" t="s">
        <v>13411</v>
      </c>
      <c r="B13411" s="2" t="str">
        <f>IFERROR(__xludf.DUMMYFUNCTION("GOOGLETRANSLATE(A13411, ""en"", ""mt"")"),"ekonomisti")</f>
        <v>ekonomisti</v>
      </c>
    </row>
    <row r="13412" ht="15.75" customHeight="1">
      <c r="A13412" s="2" t="s">
        <v>13412</v>
      </c>
      <c r="B13412" s="2" t="str">
        <f>IFERROR(__xludf.DUMMYFUNCTION("GOOGLETRANSLATE(A13412, ""en"", ""mt"")"),"Meta seħħet l-attività tal-bini fil-palazzi u l-knejjes fid-deċennji ta 'wara?")</f>
        <v>Meta seħħet l-attività tal-bini fil-palazzi u l-knejjes fid-deċennji ta 'wara?</v>
      </c>
    </row>
    <row r="13413" ht="15.75" customHeight="1">
      <c r="A13413" s="2" t="s">
        <v>13413</v>
      </c>
      <c r="B13413" s="2" t="str">
        <f>IFERROR(__xludf.DUMMYFUNCTION("GOOGLETRANSLATE(A13413, ""en"", ""mt"")"),"X’għandu jonqos il-gvern Taljan?")</f>
        <v>X’għandu jonqos il-gvern Taljan?</v>
      </c>
    </row>
    <row r="13414" ht="15.75" customHeight="1">
      <c r="A13414" s="2" t="s">
        <v>13414</v>
      </c>
      <c r="B13414" s="2" t="str">
        <f>IFERROR(__xludf.DUMMYFUNCTION("GOOGLETRANSLATE(A13414, ""en"", ""mt"")"),"Lvant Nofsani.")</f>
        <v>Lvant Nofsani.</v>
      </c>
    </row>
    <row r="13415" ht="15.75" customHeight="1">
      <c r="A13415" s="2" t="s">
        <v>13415</v>
      </c>
      <c r="B13415" s="2" t="str">
        <f>IFERROR(__xludf.DUMMYFUNCTION("GOOGLETRANSLATE(A13415, ""en"", ""mt"")"),"tnaqqis wieqaf u kostanti")</f>
        <v>tnaqqis wieqaf u kostanti</v>
      </c>
    </row>
    <row r="13416" ht="15.75" customHeight="1">
      <c r="A13416" s="2" t="s">
        <v>13416</v>
      </c>
      <c r="B13416" s="2" t="str">
        <f>IFERROR(__xludf.DUMMYFUNCTION("GOOGLETRANSLATE(A13416, ""en"", ""mt"")"),"Kemm hemm mekkaniżmi magna tal-fwar tipika biex iżżomm il-pressjoni tal-bojler milli tqum wisq?")</f>
        <v>Kemm hemm mekkaniżmi magna tal-fwar tipika biex iżżomm il-pressjoni tal-bojler milli tqum wisq?</v>
      </c>
    </row>
    <row r="13417" ht="15.75" customHeight="1">
      <c r="A13417" s="2" t="s">
        <v>13417</v>
      </c>
      <c r="B13417" s="2" t="str">
        <f>IFERROR(__xludf.DUMMYFUNCTION("GOOGLETRANSLATE(A13417, ""en"", ""mt"")"),"iżotermali")</f>
        <v>iżotermali</v>
      </c>
    </row>
    <row r="13418" ht="15.75" customHeight="1">
      <c r="A13418" s="2" t="s">
        <v>13418</v>
      </c>
      <c r="B13418" s="2" t="str">
        <f>IFERROR(__xludf.DUMMYFUNCTION("GOOGLETRANSLATE(A13418, ""en"", ""mt"")"),"""spinta"" fil-prestazzjoni")</f>
        <v>"spinta" fil-prestazzjoni</v>
      </c>
    </row>
    <row r="13419" ht="15.75" customHeight="1">
      <c r="A13419" s="2" t="s">
        <v>13419</v>
      </c>
      <c r="B13419" s="2" t="str">
        <f>IFERROR(__xludf.DUMMYFUNCTION("GOOGLETRANSLATE(A13419, ""en"", ""mt"")"),"Għaliex ir-Rhine ġie mqassar?")</f>
        <v>Għaliex ir-Rhine ġie mqassar?</v>
      </c>
    </row>
    <row r="13420" ht="15.75" customHeight="1">
      <c r="A13420" s="2" t="s">
        <v>13420</v>
      </c>
      <c r="B13420" s="2" t="str">
        <f>IFERROR(__xludf.DUMMYFUNCTION("GOOGLETRANSLATE(A13420, ""en"", ""mt"")"),"flus mitlufa")</f>
        <v>flus mitlufa</v>
      </c>
    </row>
    <row r="13421" ht="15.75" customHeight="1">
      <c r="A13421" s="2" t="s">
        <v>13421</v>
      </c>
      <c r="B13421" s="2" t="str">
        <f>IFERROR(__xludf.DUMMYFUNCTION("GOOGLETRANSLATE(A13421, ""en"", ""mt"")"),"X'jagħmlu r-regoli dwar kunflitt ta 'interess li jinvolvu tobba li jiddijanjostikaw pazjenti li ma jixbħux?")</f>
        <v>X'jagħmlu r-regoli dwar kunflitt ta 'interess li jinvolvu tobba li jiddijanjostikaw pazjenti li ma jixbħux?</v>
      </c>
    </row>
    <row r="13422" ht="15.75" customHeight="1">
      <c r="A13422" s="2" t="s">
        <v>13422</v>
      </c>
      <c r="B13422" s="2" t="str">
        <f>IFERROR(__xludf.DUMMYFUNCTION("GOOGLETRANSLATE(A13422, ""en"", ""mt"")"),"Liema forzi huma responsabbli għall-interazzjonijiet bejn il-partiċelli atomiċi?")</f>
        <v>Liema forzi huma responsabbli għall-interazzjonijiet bejn il-partiċelli atomiċi?</v>
      </c>
    </row>
    <row r="13423" ht="15.75" customHeight="1">
      <c r="A13423" s="2" t="s">
        <v>13423</v>
      </c>
      <c r="B13423" s="2" t="str">
        <f>IFERROR(__xludf.DUMMYFUNCTION("GOOGLETRANSLATE(A13423, ""en"", ""mt"")"),"skomdi u mhux sanitarju")</f>
        <v>skomdi u mhux sanitarju</v>
      </c>
    </row>
    <row r="13424" ht="15.75" customHeight="1">
      <c r="A13424" s="2" t="s">
        <v>13424</v>
      </c>
      <c r="B13424" s="2" t="str">
        <f>IFERROR(__xludf.DUMMYFUNCTION("GOOGLETRANSLATE(A13424, ""en"", ""mt"")"),"Avveniment ta 'estinzjoni Kretaċeju-Paleogene")</f>
        <v>Avveniment ta 'estinzjoni Kretaċeju-Paleogene</v>
      </c>
    </row>
    <row r="13425" ht="15.75" customHeight="1">
      <c r="A13425" s="2" t="s">
        <v>13425</v>
      </c>
      <c r="B13425" s="2" t="str">
        <f>IFERROR(__xludf.DUMMYFUNCTION("GOOGLETRANSLATE(A13425, ""en"", ""mt"")"),"Min kien figura importanti fil-qawmien mill-ġdid tas-seklu għoxrin fl-Indja?")</f>
        <v>Min kien figura importanti fil-qawmien mill-ġdid tas-seklu għoxrin fl-Indja?</v>
      </c>
    </row>
    <row r="13426" ht="15.75" customHeight="1">
      <c r="A13426" s="2" t="s">
        <v>13426</v>
      </c>
      <c r="B13426" s="2" t="str">
        <f>IFERROR(__xludf.DUMMYFUNCTION("GOOGLETRANSLATE(A13426, ""en"", ""mt"")"),"Khan kbir")</f>
        <v>Khan kbir</v>
      </c>
    </row>
    <row r="13427" ht="15.75" customHeight="1">
      <c r="A13427" s="2" t="s">
        <v>13427</v>
      </c>
      <c r="B13427" s="2" t="str">
        <f>IFERROR(__xludf.DUMMYFUNCTION("GOOGLETRANSLATE(A13427, ""en"", ""mt"")"),"It-titjib tal-port mill-aħħar tas-seklu 19 għamlu lil Jacksonville port maġġuri militari u ċivili tal-fond. Il-post tax-xmajjar tiegħu jiffaċilita żewġ bażijiet tan-Navy tal-Istati Uniti u l-Port ta 'Jacksonville, it-tielet l-akbar port tal-baħar ta' Flor"&amp;"ida. Iż-żewġ bażijiet tan-Navy Amerikana, Blount Island Command u l-Bażi tas-sottomarini Navali fil-viċin jiffurmaw it-tielet l-akbar preżenza militari fl-Istati Uniti. Fatturi sinifikanti fl-ekonomija lokali jinkludu servizzi bħal banek, assigurazzjoni, "&amp;"kura tas-saħħa u loġistika. Bħal f'ħafna mill-Florida, it-turiżmu huwa importanti wkoll għaż-żona ta 'Jacksonville, partikolarment it-turiżmu relatat mal-golf. Nies minn Jacksonville jistgħu jissejħu ""Jacksonvillians"" jew ""Jaxsons"" (spjegati wkoll ""J"&amp;"axons"").")</f>
        <v>It-titjib tal-port mill-aħħar tas-seklu 19 għamlu lil Jacksonville port maġġuri militari u ċivili tal-fond. Il-post tax-xmajjar tiegħu jiffaċilita żewġ bażijiet tan-Navy tal-Istati Uniti u l-Port ta 'Jacksonville, it-tielet l-akbar port tal-baħar ta' Florida. Iż-żewġ bażijiet tan-Navy Amerikana, Blount Island Command u l-Bażi tas-sottomarini Navali fil-viċin jiffurmaw it-tielet l-akbar preżenza militari fl-Istati Uniti. Fatturi sinifikanti fl-ekonomija lokali jinkludu servizzi bħal banek, assigurazzjoni, kura tas-saħħa u loġistika. Bħal f'ħafna mill-Florida, it-turiżmu huwa importanti wkoll għaż-żona ta 'Jacksonville, partikolarment it-turiżmu relatat mal-golf. Nies minn Jacksonville jistgħu jissejħu "Jacksonvillians" jew "Jaxsons" (spjegati wkoll "Jaxons").</v>
      </c>
    </row>
    <row r="13428" ht="15.75" customHeight="1">
      <c r="A13428" s="2" t="s">
        <v>13428</v>
      </c>
      <c r="B13428" s="2" t="str">
        <f>IFERROR(__xludf.DUMMYFUNCTION("GOOGLETRANSLATE(A13428, ""en"", ""mt"")"),"X'inhuma l-kumpaniji tal-kostruzzjoni li jintalbu jippjanaw?")</f>
        <v>X'inhuma l-kumpaniji tal-kostruzzjoni li jintalbu jippjanaw?</v>
      </c>
    </row>
    <row r="13429" ht="15.75" customHeight="1">
      <c r="A13429" s="2" t="s">
        <v>13429</v>
      </c>
      <c r="B13429" s="2" t="str">
        <f>IFERROR(__xludf.DUMMYFUNCTION("GOOGLETRANSLATE(A13429, ""en"", ""mt"")"),"Kif jissejjaħ ukoll l-Oncorhynchus?")</f>
        <v>Kif jissejjaħ ukoll l-Oncorhynchus?</v>
      </c>
    </row>
    <row r="13430" ht="15.75" customHeight="1">
      <c r="A13430" s="2" t="s">
        <v>13430</v>
      </c>
      <c r="B13430" s="2" t="str">
        <f>IFERROR(__xludf.DUMMYFUNCTION("GOOGLETRANSLATE(A13430, ""en"", ""mt"")"),"Min f'Varsavja għandu s-setgħa ta 'azzjoni leġiżlattiva?")</f>
        <v>Min f'Varsavja għandu s-setgħa ta 'azzjoni leġiżlattiva?</v>
      </c>
    </row>
    <row r="13431" ht="15.75" customHeight="1">
      <c r="A13431" s="2" t="s">
        <v>13431</v>
      </c>
      <c r="B13431" s="2" t="str">
        <f>IFERROR(__xludf.DUMMYFUNCTION("GOOGLETRANSLATE(A13431, ""en"", ""mt"")"),"Liema metodu jintuża biex jivvaluta jew jikkwantifika b'mod intuwittiv l-ammont ta 'riżorsi meħtieġa biex issolvi problema tal-komputazzjoni?")</f>
        <v>Liema metodu jintuża biex jivvaluta jew jikkwantifika b'mod intuwittiv l-ammont ta 'riżorsi meħtieġa biex issolvi problema tal-komputazzjoni?</v>
      </c>
    </row>
    <row r="13432" ht="15.75" customHeight="1">
      <c r="A13432" s="2" t="s">
        <v>13432</v>
      </c>
      <c r="B13432" s="2" t="str">
        <f>IFERROR(__xludf.DUMMYFUNCTION("GOOGLETRANSLATE(A13432, ""en"", ""mt"")"),"X'inhi l-unità bażika tad-diviżjoni territorjali f'Varsavja?")</f>
        <v>X'inhi l-unità bażika tad-diviżjoni territorjali f'Varsavja?</v>
      </c>
    </row>
    <row r="13433" ht="15.75" customHeight="1">
      <c r="A13433" s="2" t="s">
        <v>13433</v>
      </c>
      <c r="B13433" s="2" t="str">
        <f>IFERROR(__xludf.DUMMYFUNCTION("GOOGLETRANSLATE(A13433, ""en"", ""mt"")"),"X'kienu r-raġunijiet għaliex ir-residenti marru jgħixu fl-Istazzjon tal-Belt ta 'Fresno?")</f>
        <v>X'kienu r-raġunijiet għaliex ir-residenti marru jgħixu fl-Istazzjon tal-Belt ta 'Fresno?</v>
      </c>
    </row>
    <row r="13434" ht="15.75" customHeight="1">
      <c r="A13434" s="2" t="s">
        <v>13434</v>
      </c>
      <c r="B13434" s="2" t="str">
        <f>IFERROR(__xludf.DUMMYFUNCTION("GOOGLETRANSLATE(A13434, ""en"", ""mt"")"),"Il-Gwerra Williamite")</f>
        <v>Il-Gwerra Williamite</v>
      </c>
    </row>
    <row r="13435" ht="15.75" customHeight="1">
      <c r="A13435" s="2" t="s">
        <v>13435</v>
      </c>
      <c r="B13435" s="2" t="str">
        <f>IFERROR(__xludf.DUMMYFUNCTION("GOOGLETRANSLATE(A13435, ""en"", ""mt"")"),"Millingen aan de rijn,")</f>
        <v>Millingen aan de rijn,</v>
      </c>
    </row>
    <row r="13436" ht="15.75" customHeight="1">
      <c r="A13436" s="2" t="s">
        <v>13436</v>
      </c>
      <c r="B13436" s="2" t="str">
        <f>IFERROR(__xludf.DUMMYFUNCTION("GOOGLETRANSLATE(A13436, ""en"", ""mt"")"),"Xi jfissru l-mexxejja tal-partiti tal-oppożizzjoni u MSPs oħra?")</f>
        <v>Xi jfissru l-mexxejja tal-partiti tal-oppożizzjoni u MSPs oħra?</v>
      </c>
    </row>
    <row r="13437" ht="15.75" customHeight="1">
      <c r="A13437" s="2" t="s">
        <v>13437</v>
      </c>
      <c r="B13437" s="2" t="str">
        <f>IFERROR(__xludf.DUMMYFUNCTION("GOOGLETRANSLATE(A13437, ""en"", ""mt"")"),"Liema suċċess Abercrombie kiseb mit-telfa f'Carillon?")</f>
        <v>Liema suċċess Abercrombie kiseb mit-telfa f'Carillon?</v>
      </c>
    </row>
    <row r="13438" ht="15.75" customHeight="1">
      <c r="A13438" s="2" t="s">
        <v>13438</v>
      </c>
      <c r="B13438" s="2" t="str">
        <f>IFERROR(__xludf.DUMMYFUNCTION("GOOGLETRANSLATE(A13438, ""en"", ""mt"")"),"X’ma rrikonoxxietx il-Qorti Ewropea tal-Ġustizzja?")</f>
        <v>X’ma rrikonoxxietx il-Qorti Ewropea tal-Ġustizzja?</v>
      </c>
    </row>
    <row r="13439" ht="15.75" customHeight="1">
      <c r="A13439" s="2" t="s">
        <v>13439</v>
      </c>
      <c r="B13439" s="2" t="str">
        <f>IFERROR(__xludf.DUMMYFUNCTION("GOOGLETRANSLATE(A13439, ""en"", ""mt"")"),"Kieku 15 kellhom jiġu kkunsidrati bħala Prime x'jista 'jrendi l-passatur ta' Eratosthenes għan-numri l-oħra kollha?")</f>
        <v>Kieku 15 kellhom jiġu kkunsidrati bħala Prime x'jista 'jrendi l-passatur ta' Eratosthenes għan-numri l-oħra kollha?</v>
      </c>
    </row>
    <row r="13440" ht="15.75" customHeight="1">
      <c r="A13440" s="2" t="s">
        <v>13440</v>
      </c>
      <c r="B13440" s="2" t="str">
        <f>IFERROR(__xludf.DUMMYFUNCTION("GOOGLETRANSLATE(A13440, ""en"", ""mt"")"),"Min hu l-Koordinatur tal-White House dwar l-ippjanar tas-sigurtà u wkoll antropologu?")</f>
        <v>Min hu l-Koordinatur tal-White House dwar l-ippjanar tas-sigurtà u wkoll antropologu?</v>
      </c>
    </row>
    <row r="13441" ht="15.75" customHeight="1">
      <c r="A13441" s="2" t="s">
        <v>13441</v>
      </c>
      <c r="B13441" s="2" t="str">
        <f>IFERROR(__xludf.DUMMYFUNCTION("GOOGLETRANSLATE(A13441, ""en"", ""mt"")"),"Min kienu l-gotiċi ewlenin iddisinjati minn?")</f>
        <v>Min kienu l-gotiċi ewlenin iddisinjati minn?</v>
      </c>
    </row>
    <row r="13442" ht="15.75" customHeight="1">
      <c r="A13442" s="2" t="s">
        <v>13442</v>
      </c>
      <c r="B13442" s="2" t="str">
        <f>IFERROR(__xludf.DUMMYFUNCTION("GOOGLETRANSLATE(A13442, ""en"", ""mt"")"),"Netwerk Pubbliku Awstraljan X.25 Imħaddem minn Telstra")</f>
        <v>Netwerk Pubbliku Awstraljan X.25 Imħaddem minn Telstra</v>
      </c>
    </row>
    <row r="13443" ht="15.75" customHeight="1">
      <c r="A13443" s="2" t="s">
        <v>13443</v>
      </c>
      <c r="B13443" s="2" t="str">
        <f>IFERROR(__xludf.DUMMYFUNCTION("GOOGLETRANSLATE(A13443, ""en"", ""mt"")"),"L-NSF bdiet fl-1985 biex tippromwovi xiex?")</f>
        <v>L-NSF bdiet fl-1985 biex tippromwovi xiex?</v>
      </c>
    </row>
    <row r="13444" ht="15.75" customHeight="1">
      <c r="A13444" s="2" t="s">
        <v>13444</v>
      </c>
      <c r="B13444" s="2" t="str">
        <f>IFERROR(__xludf.DUMMYFUNCTION("GOOGLETRANSLATE(A13444, ""en"", ""mt"")"),"X'inhuma xi faċilitajiet eżistenti?")</f>
        <v>X'inhuma xi faċilitajiet eżistenti?</v>
      </c>
    </row>
    <row r="13445" ht="15.75" customHeight="1">
      <c r="A13445" s="2" t="s">
        <v>13445</v>
      </c>
      <c r="B13445" s="2" t="str">
        <f>IFERROR(__xludf.DUMMYFUNCTION("GOOGLETRANSLATE(A13445, ""en"", ""mt"")"),"1 kienu meqjusa bħala prim")</f>
        <v>1 kienu meqjusa bħala prim</v>
      </c>
    </row>
    <row r="13446" ht="15.75" customHeight="1">
      <c r="A13446" s="2" t="s">
        <v>13446</v>
      </c>
      <c r="B13446" s="2" t="str">
        <f>IFERROR(__xludf.DUMMYFUNCTION("GOOGLETRANSLATE(A13446, ""en"", ""mt"")"),"Ix-xogħol ta 'min ikkoreġi l-fiżika ta' Aristotile fis-seklu sbatax?")</f>
        <v>Ix-xogħol ta 'min ikkoreġi l-fiżika ta' Aristotile fis-seklu sbatax?</v>
      </c>
    </row>
    <row r="13447" ht="15.75" customHeight="1">
      <c r="A13447" s="2" t="s">
        <v>13447</v>
      </c>
      <c r="B13447" s="2" t="str">
        <f>IFERROR(__xludf.DUMMYFUNCTION("GOOGLETRANSLATE(A13447, ""en"", ""mt"")"),"Issa hemm bosta komunitajiet bħal dawn madwar l-Istati Uniti")</f>
        <v>Issa hemm bosta komunitajiet bħal dawn madwar l-Istati Uniti</v>
      </c>
    </row>
    <row r="13448" ht="15.75" customHeight="1">
      <c r="A13448" s="2" t="s">
        <v>13448</v>
      </c>
      <c r="B13448" s="2" t="str">
        <f>IFERROR(__xludf.DUMMYFUNCTION("GOOGLETRANSLATE(A13448, ""en"", ""mt"")"),"Warraghgey, li jfisser ""Hu li jagħmel affarijiet kbar.""")</f>
        <v>Warraghgey, li jfisser "Hu li jagħmel affarijiet kbar."</v>
      </c>
    </row>
    <row r="13449" ht="15.75" customHeight="1">
      <c r="A13449" s="2" t="s">
        <v>13449</v>
      </c>
      <c r="B13449" s="2" t="str">
        <f>IFERROR(__xludf.DUMMYFUNCTION("GOOGLETRANSLATE(A13449, ""en"", ""mt"")"),"Min kien famuż għad-diżubbidjenza kontra kollettur tat-taxxa?")</f>
        <v>Min kien famuż għad-diżubbidjenza kontra kollettur tat-taxxa?</v>
      </c>
    </row>
    <row r="13450" ht="15.75" customHeight="1">
      <c r="A13450" s="2" t="s">
        <v>13450</v>
      </c>
      <c r="B13450" s="2" t="str">
        <f>IFERROR(__xludf.DUMMYFUNCTION("GOOGLETRANSLATE(A13450, ""en"", ""mt"")"),"Għaliex huwa importanti li ndaħħlu preċiżament il-blat fit-taqsima stratigrafika?")</f>
        <v>Għaliex huwa importanti li ndaħħlu preċiżament il-blat fit-taqsima stratigrafika?</v>
      </c>
    </row>
    <row r="13451" ht="15.75" customHeight="1">
      <c r="A13451" s="2" t="s">
        <v>13451</v>
      </c>
      <c r="B13451" s="2" t="str">
        <f>IFERROR(__xludf.DUMMYFUNCTION("GOOGLETRANSLATE(A13451, ""en"", ""mt"")"),"Ġonna Ġappuniżi Shinzen")</f>
        <v>Ġonna Ġappuniżi Shinzen</v>
      </c>
    </row>
    <row r="13452" ht="15.75" customHeight="1">
      <c r="A13452" s="2" t="s">
        <v>13452</v>
      </c>
      <c r="B13452" s="2" t="str">
        <f>IFERROR(__xludf.DUMMYFUNCTION("GOOGLETRANSLATE(A13452, ""en"", ""mt"")"),"Artijiet fil-punent tal-Muntanji Appalaċi")</f>
        <v>Artijiet fil-punent tal-Muntanji Appalaċi</v>
      </c>
    </row>
    <row r="13453" ht="15.75" customHeight="1">
      <c r="A13453" s="2" t="s">
        <v>13453</v>
      </c>
      <c r="B13453" s="2" t="str">
        <f>IFERROR(__xludf.DUMMYFUNCTION("GOOGLETRANSLATE(A13453, ""en"", ""mt"")"),"Liema persentaġġ ta 'tfal edukati fl-Iskozja huma fi skejjel indipendenti?")</f>
        <v>Liema persentaġġ ta 'tfal edukati fl-Iskozja huma fi skejjel indipendenti?</v>
      </c>
    </row>
    <row r="13454" ht="15.75" customHeight="1">
      <c r="A13454" s="2" t="s">
        <v>13454</v>
      </c>
      <c r="B13454" s="2" t="str">
        <f>IFERROR(__xludf.DUMMYFUNCTION("GOOGLETRANSLATE(A13454, ""en"", ""mt"")"),"Partit Nazzjonali tal-Awstralja")</f>
        <v>Partit Nazzjonali tal-Awstralja</v>
      </c>
    </row>
    <row r="13455" ht="15.75" customHeight="1">
      <c r="A13455" s="2" t="s">
        <v>13455</v>
      </c>
      <c r="B13455" s="2" t="str">
        <f>IFERROR(__xludf.DUMMYFUNCTION("GOOGLETRANSLATE(A13455, ""en"", ""mt"")"),"Meta Franza ħadet il-kontroll tal-Alġerija?")</f>
        <v>Meta Franza ħadet il-kontroll tal-Alġerija?</v>
      </c>
    </row>
    <row r="13456" ht="15.75" customHeight="1">
      <c r="A13456" s="2" t="s">
        <v>13456</v>
      </c>
      <c r="B13456" s="2" t="str">
        <f>IFERROR(__xludf.DUMMYFUNCTION("GOOGLETRANSLATE(A13456, ""en"", ""mt"")"),"Fil-pajjiżi kollha fuq kemm passi tista 'tieħu biex tibni fuq art tal-gvern?")</f>
        <v>Fil-pajjiżi kollha fuq kemm passi tista 'tieħu biex tibni fuq art tal-gvern?</v>
      </c>
    </row>
    <row r="13457" ht="15.75" customHeight="1">
      <c r="A13457" s="2" t="s">
        <v>13457</v>
      </c>
      <c r="B13457" s="2" t="str">
        <f>IFERROR(__xludf.DUMMYFUNCTION("GOOGLETRANSLATE(A13457, ""en"", ""mt"")"),"X'ġara minn numri ta 'skola privata mill-2014?")</f>
        <v>X'ġara minn numri ta 'skola privata mill-2014?</v>
      </c>
    </row>
    <row r="13458" ht="15.75" customHeight="1">
      <c r="A13458" s="2" t="s">
        <v>13458</v>
      </c>
      <c r="B13458" s="2" t="str">
        <f>IFERROR(__xludf.DUMMYFUNCTION("GOOGLETRANSLATE(A13458, ""en"", ""mt"")"),"X'inhi rivista għall-kumpaniji tad-disinn?")</f>
        <v>X'inhi rivista għall-kumpaniji tad-disinn?</v>
      </c>
    </row>
    <row r="13459" ht="15.75" customHeight="1">
      <c r="A13459" s="2" t="s">
        <v>13459</v>
      </c>
      <c r="B13459" s="2" t="str">
        <f>IFERROR(__xludf.DUMMYFUNCTION("GOOGLETRANSLATE(A13459, ""en"", ""mt"")"),"Jekk P huwa fl-aħħar mill-aħħar ippruvat li huwa ugwali għal NP, x'effett ikollu dan fuq l-effiċjenza tal-problemi?")</f>
        <v>Jekk P huwa fl-aħħar mill-aħħar ippruvat li huwa ugwali għal NP, x'effett ikollu dan fuq l-effiċjenza tal-problemi?</v>
      </c>
    </row>
    <row r="13460" ht="15.75" customHeight="1">
      <c r="A13460" s="2" t="s">
        <v>13460</v>
      </c>
      <c r="B13460" s="2" t="str">
        <f>IFERROR(__xludf.DUMMYFUNCTION("GOOGLETRANSLATE(A13460, ""en"", ""mt"")"),"fidda u intarsjati bid-deheb")</f>
        <v>fidda u intarsjati bid-deheb</v>
      </c>
    </row>
    <row r="13461" ht="15.75" customHeight="1">
      <c r="A13461" s="2" t="s">
        <v>13461</v>
      </c>
      <c r="B13461" s="2" t="str">
        <f>IFERROR(__xludf.DUMMYFUNCTION("GOOGLETRANSLATE(A13461, ""en"", ""mt"")"),"diskors li jħawwad")</f>
        <v>diskors li jħawwad</v>
      </c>
    </row>
    <row r="13462" ht="15.75" customHeight="1">
      <c r="A13462" s="2" t="s">
        <v>13462</v>
      </c>
      <c r="B13462" s="2" t="str">
        <f>IFERROR(__xludf.DUMMYFUNCTION("GOOGLETRANSLATE(A13462, ""en"", ""mt"")"),"Mediċina iperbarika (bi pressjoni għolja) tuża kmamar speċjali ta 'ossiġnu biex iżżid il-pressjoni parzjali ta' o
2 madwar il-pazjent u, meta jkun hemm bżonn, l-istaff mediku. Avvelenament mill-monossidu tal-karbonju, gangrena tal-gass, u mard ta 'dekompr"&amp;"essjoni (il-liwjiet "") xi kultant huma trattati bl-użu ta' dawn l-apparati. Miżjuda o
2 Il-konċentrazzjoni fil-pulmuni tgħin biex titbiegħed il-monossidu tal-karbonju mill-grupp heme ta 'emoglobina. Il-gass tal-ossiġnu huwa velenuż għall-batterji anerobi"&amp;"ċi li jikkawżaw il-gangrena tal-gass, u għalhekk iż-żieda tal-pressjoni parzjali tagħha tgħin biex toqtolhom. Il-mard tad-dekompressjoni jseħħ f'għaddis li jiddekompressaw malajr wisq wara adsa, li tirriżulta f'bżieżaq ta 'gass inert, l-aktar nitroġenu u "&amp;"elju, li jiffurmaw fid-demm tagħhom. Tiżdied il-pressjoni ta 'o
2 Malajr kemm jista 'jkun huwa parti mit-trattament.")</f>
        <v>Mediċina iperbarika (bi pressjoni għolja) tuża kmamar speċjali ta 'ossiġnu biex iżżid il-pressjoni parzjali ta' o
2 madwar il-pazjent u, meta jkun hemm bżonn, l-istaff mediku. Avvelenament mill-monossidu tal-karbonju, gangrena tal-gass, u mard ta 'dekompressjoni (il-liwjiet ") xi kultant huma trattati bl-użu ta' dawn l-apparati. Miżjuda o
2 Il-konċentrazzjoni fil-pulmuni tgħin biex titbiegħed il-monossidu tal-karbonju mill-grupp heme ta 'emoglobina. Il-gass tal-ossiġnu huwa velenuż għall-batterji anerobiċi li jikkawżaw il-gangrena tal-gass, u għalhekk iż-żieda tal-pressjoni parzjali tagħha tgħin biex toqtolhom. Il-mard tad-dekompressjoni jseħħ f'għaddis li jiddekompressaw malajr wisq wara adsa, li tirriżulta f'bżieżaq ta 'gass inert, l-aktar nitroġenu u elju, li jiffurmaw fid-demm tagħhom. Tiżdied il-pressjoni ta 'o
2 Malajr kemm jista 'jkun huwa parti mit-trattament.</v>
      </c>
    </row>
    <row r="13463" ht="15.75" customHeight="1">
      <c r="A13463" s="2" t="s">
        <v>13463</v>
      </c>
      <c r="B13463" s="2" t="str">
        <f>IFERROR(__xludf.DUMMYFUNCTION("GOOGLETRANSLATE(A13463, ""en"", ""mt"")"),"Madankollu, diġà fil-mekkanika kwantistika hemm ""twissija"" waħda, jiġifieri l-partiċelli li jaġixxu fuq xulxin mhux biss għandhom il-varjabbli spazjali, iżda wkoll varjabbli diskreta intrinsika ta 'momentum angolari msejħa ""spin"", u hemm il-prinċipju "&amp;"Pauli relatati mal-ispazju u l-varjabbli tal-ispin. Jiddependi fuq il-valur tal-ispin, partiċelli identiċi jinqasmu f'żewġ klassijiet differenti, ferzzjonijiet u bosons. Jekk żewġ ferzzjonijiet identiċi (eż. Elettroni) għandhom funzjoni ta 'spin simmetrik"&amp;"a (e.g. spins paralleli) il-varjabbli spazjali għandhom ikunu antisimetriċi (i.e. huma jeskludu lil xulxin mill-postijiet tagħhom daqslikieku kien hemm forza repulsiva), u viċi versa, i.e. għal antiparallel Iddawwar il-varjabbli tal-pożizzjoni għandhom ik"&amp;"unu simmetriċi (i.e. il-forza apparenti għandha tkun attraenti). Għalhekk fil-każ ta 'żewġ ferzzjonijiet hemm korrelazzjoni strettament negattiva bejn varjabbli spazjali u spin, filwaqt li għal żewġ bosons (per eżempju kwantità ta' mewġ elettromanjetiku, "&amp;"fotoni) il-korrelazzjoni hija strettament pożittiva.")</f>
        <v>Madankollu, diġà fil-mekkanika kwantistika hemm "twissija" waħda, jiġifieri l-partiċelli li jaġixxu fuq xulxin mhux biss għandhom il-varjabbli spazjali, iżda wkoll varjabbli diskreta intrinsika ta 'momentum angolari msejħa "spin", u hemm il-prinċipju Pauli relatati mal-ispazju u l-varjabbli tal-ispin. Jiddependi fuq il-valur tal-ispin, partiċelli identiċi jinqasmu f'żewġ klassijiet differenti, ferzzjonijiet u bosons. Jekk żewġ ferzzjonijiet identiċi (eż. Elettroni) għandhom funzjoni ta 'spin simmetrika (e.g. spins paralleli) il-varjabbli spazjali għandhom ikunu antisimetriċi (i.e. huma jeskludu lil xulxin mill-postijiet tagħhom daqslikieku kien hemm forza repulsiva), u viċi versa, i.e. għal antiparallel Iddawwar il-varjabbli tal-pożizzjoni għandhom ikunu simmetriċi (i.e. il-forza apparenti għandha tkun attraenti). Għalhekk fil-każ ta 'żewġ ferzzjonijiet hemm korrelazzjoni strettament negattiva bejn varjabbli spazjali u spin, filwaqt li għal żewġ bosons (per eżempju kwantità ta' mewġ elettromanjetiku, fotoni) il-korrelazzjoni hija strettament pożittiva.</v>
      </c>
    </row>
    <row r="13464" ht="15.75" customHeight="1">
      <c r="A13464" s="2" t="s">
        <v>13464</v>
      </c>
      <c r="B13464" s="2" t="str">
        <f>IFERROR(__xludf.DUMMYFUNCTION("GOOGLETRANSLATE(A13464, ""en"", ""mt"")"),"X’għamlet il-foresta tropikali tal-Amażonja matul il-Miocene tan-nofs?")</f>
        <v>X’għamlet il-foresta tropikali tal-Amażonja matul il-Miocene tan-nofs?</v>
      </c>
    </row>
    <row r="13465" ht="15.75" customHeight="1">
      <c r="A13465" s="2" t="s">
        <v>13465</v>
      </c>
      <c r="B13465" s="2" t="str">
        <f>IFERROR(__xludf.DUMMYFUNCTION("GOOGLETRANSLATE(A13465, ""en"", ""mt"")"),"X'inhu meqjus inqas fundamentali mill-kunċett ta 'forza?")</f>
        <v>X'inhu meqjus inqas fundamentali mill-kunċett ta 'forza?</v>
      </c>
    </row>
    <row r="13466" ht="15.75" customHeight="1">
      <c r="A13466" s="2" t="s">
        <v>13466</v>
      </c>
      <c r="B13466" s="2" t="str">
        <f>IFERROR(__xludf.DUMMYFUNCTION("GOOGLETRANSLATE(A13466, ""en"", ""mt"")"),"Seklu 16")</f>
        <v>Seklu 16</v>
      </c>
    </row>
    <row r="13467" ht="15.75" customHeight="1">
      <c r="A13467" s="2" t="s">
        <v>13467</v>
      </c>
      <c r="B13467" s="2" t="str">
        <f>IFERROR(__xludf.DUMMYFUNCTION("GOOGLETRANSLATE(A13467, ""en"", ""mt"")"),"Teorema ta 'tħaffif")</f>
        <v>Teorema ta 'tħaffif</v>
      </c>
    </row>
    <row r="13468" ht="15.75" customHeight="1">
      <c r="A13468" s="2" t="s">
        <v>13468</v>
      </c>
      <c r="B13468" s="2" t="str">
        <f>IFERROR(__xludf.DUMMYFUNCTION("GOOGLETRANSLATE(A13468, ""en"", ""mt"")"),"Kemm tista 'tikber Ctenophora?")</f>
        <v>Kemm tista 'tikber Ctenophora?</v>
      </c>
    </row>
    <row r="13469" ht="15.75" customHeight="1">
      <c r="A13469" s="2" t="s">
        <v>13469</v>
      </c>
      <c r="B13469" s="2" t="str">
        <f>IFERROR(__xludf.DUMMYFUNCTION("GOOGLETRANSLATE(A13469, ""en"", ""mt"")"),"L-elezzjoni tal-Partit Laburista tar-Renju Unit għall-Gvern fl-1997")</f>
        <v>L-elezzjoni tal-Partit Laburista tar-Renju Unit għall-Gvern fl-1997</v>
      </c>
    </row>
    <row r="13470" ht="15.75" customHeight="1">
      <c r="A13470" s="2" t="s">
        <v>13470</v>
      </c>
      <c r="B13470" s="2" t="str">
        <f>IFERROR(__xludf.DUMMYFUNCTION("GOOGLETRANSLATE(A13470, ""en"", ""mt"")"),"F'liema sena nbena Huguon?")</f>
        <v>F'liema sena nbena Huguon?</v>
      </c>
    </row>
    <row r="13471" ht="15.75" customHeight="1">
      <c r="A13471" s="2" t="s">
        <v>13471</v>
      </c>
      <c r="B13471" s="2" t="str">
        <f>IFERROR(__xludf.DUMMYFUNCTION("GOOGLETRANSLATE(A13471, ""en"", ""mt"")"),"It-Tieni Liġi tal-Mozzjoni ta 'Newton tiddikjara xiex?")</f>
        <v>It-Tieni Liġi tal-Mozzjoni ta 'Newton tiddikjara xiex?</v>
      </c>
    </row>
    <row r="13472" ht="15.75" customHeight="1">
      <c r="A13472" s="2" t="s">
        <v>13472</v>
      </c>
      <c r="B13472" s="2" t="str">
        <f>IFERROR(__xludf.DUMMYFUNCTION("GOOGLETRANSLATE(A13472, ""en"", ""mt"")"),"Kemm kien stmat it-terremot tal-1994 li kien jiswa?")</f>
        <v>Kemm kien stmat it-terremot tal-1994 li kien jiswa?</v>
      </c>
    </row>
    <row r="13473" ht="15.75" customHeight="1">
      <c r="A13473" s="2" t="s">
        <v>13473</v>
      </c>
      <c r="B13473" s="2" t="str">
        <f>IFERROR(__xludf.DUMMYFUNCTION("GOOGLETRANSLATE(A13473, ""en"", ""mt"")"),"F'liema oqsma l-informatika tal-ispiżerija huma ppreparati biex taħdem?")</f>
        <v>F'liema oqsma l-informatika tal-ispiżerija huma ppreparati biex taħdem?</v>
      </c>
    </row>
    <row r="13474" ht="15.75" customHeight="1">
      <c r="A13474" s="2" t="s">
        <v>13474</v>
      </c>
      <c r="B13474" s="2" t="str">
        <f>IFERROR(__xludf.DUMMYFUNCTION("GOOGLETRANSLATE(A13474, ""en"", ""mt"")"),"1562")</f>
        <v>1562</v>
      </c>
    </row>
    <row r="13475" ht="15.75" customHeight="1">
      <c r="A13475" s="2" t="s">
        <v>13475</v>
      </c>
      <c r="B13475" s="2" t="str">
        <f>IFERROR(__xludf.DUMMYFUNCTION("GOOGLETRANSLATE(A13475, ""en"", ""mt"")"),"Jew il-possedimenti kontinentali tagħha ta 'l-Amerika ta' Fuq fil-lvant tal-Mississippi jew il-gżejjer tal-Karibew ta 'Guadeloupe u Martinique,")</f>
        <v>Jew il-possedimenti kontinentali tagħha ta 'l-Amerika ta' Fuq fil-lvant tal-Mississippi jew il-gżejjer tal-Karibew ta 'Guadeloupe u Martinique,</v>
      </c>
    </row>
    <row r="13476" ht="15.75" customHeight="1">
      <c r="A13476" s="2" t="s">
        <v>13476</v>
      </c>
      <c r="B13476" s="2" t="str">
        <f>IFERROR(__xludf.DUMMYFUNCTION("GOOGLETRANSLATE(A13476, ""en"", ""mt"")"),"Liema pjanti joħolqu ħafna enerġija elettrika?")</f>
        <v>Liema pjanti joħolqu ħafna enerġija elettrika?</v>
      </c>
    </row>
    <row r="13477" ht="15.75" customHeight="1">
      <c r="A13477" s="2" t="s">
        <v>13477</v>
      </c>
      <c r="B13477" s="2" t="str">
        <f>IFERROR(__xludf.DUMMYFUNCTION("GOOGLETRANSLATE(A13477, ""en"", ""mt"")"),"Riċentement ġie żviluppat mudell aktar dettaljat tad-dinja. Is-sismologi setgħu joħolqu dan billi jużaw immaġini ta 'dak mill-intern tad-dinja?")</f>
        <v>Riċentement ġie żviluppat mudell aktar dettaljat tad-dinja. Is-sismologi setgħu joħolqu dan billi jużaw immaġini ta 'dak mill-intern tad-dinja?</v>
      </c>
    </row>
    <row r="13478" ht="15.75" customHeight="1">
      <c r="A13478" s="2" t="s">
        <v>13478</v>
      </c>
      <c r="B13478" s="2" t="str">
        <f>IFERROR(__xludf.DUMMYFUNCTION("GOOGLETRANSLATE(A13478, ""en"", ""mt"")"),"forza innata ta 'impetu")</f>
        <v>forza innata ta 'impetu</v>
      </c>
    </row>
    <row r="13479" ht="15.75" customHeight="1">
      <c r="A13479" s="2" t="s">
        <v>13479</v>
      </c>
      <c r="B13479" s="2" t="str">
        <f>IFERROR(__xludf.DUMMYFUNCTION("GOOGLETRANSLATE(A13479, ""en"", ""mt"")"),"il-fruntiera tal-punent")</f>
        <v>il-fruntiera tal-punent</v>
      </c>
    </row>
    <row r="13480" ht="15.75" customHeight="1">
      <c r="A13480" s="2" t="s">
        <v>13480</v>
      </c>
      <c r="B13480" s="2" t="str">
        <f>IFERROR(__xludf.DUMMYFUNCTION("GOOGLETRANSLATE(A13480, ""en"", ""mt"")"),"Għal kemm ilhom il-bnedmin ilhom jolqtu d-delta?")</f>
        <v>Għal kemm ilhom il-bnedmin ilhom jolqtu d-delta?</v>
      </c>
    </row>
    <row r="13481" ht="15.75" customHeight="1">
      <c r="A13481" s="2" t="s">
        <v>13481</v>
      </c>
      <c r="B13481" s="2" t="str">
        <f>IFERROR(__xludf.DUMMYFUNCTION("GOOGLETRANSLATE(A13481, ""en"", ""mt"")"),"Għaliex hemm bżonn ta 'triq iddedikata?")</f>
        <v>Għaliex hemm bżonn ta 'triq iddedikata?</v>
      </c>
    </row>
    <row r="13482" ht="15.75" customHeight="1">
      <c r="A13482" s="2" t="s">
        <v>13482</v>
      </c>
      <c r="B13482" s="2" t="str">
        <f>IFERROR(__xludf.DUMMYFUNCTION("GOOGLETRANSLATE(A13482, ""en"", ""mt"")"),"Il-partit kif waqqa 'l-gvern elett fl-1989?")</f>
        <v>Il-partit kif waqqa 'l-gvern elett fl-1989?</v>
      </c>
    </row>
    <row r="13483" ht="15.75" customHeight="1">
      <c r="A13483" s="2" t="s">
        <v>13483</v>
      </c>
      <c r="B13483" s="2" t="str">
        <f>IFERROR(__xludf.DUMMYFUNCTION("GOOGLETRANSLATE(A13483, ""en"", ""mt"")"),"Meta twieled Tugh Temur?")</f>
        <v>Meta twieled Tugh Temur?</v>
      </c>
    </row>
    <row r="13484" ht="15.75" customHeight="1">
      <c r="A13484" s="2" t="s">
        <v>13484</v>
      </c>
      <c r="B13484" s="2" t="str">
        <f>IFERROR(__xludf.DUMMYFUNCTION("GOOGLETRANSLATE(A13484, ""en"", ""mt"")"),"L-Alpi")</f>
        <v>L-Alpi</v>
      </c>
    </row>
    <row r="13485" ht="15.75" customHeight="1">
      <c r="A13485" s="2" t="s">
        <v>13485</v>
      </c>
      <c r="B13485" s="2" t="str">
        <f>IFERROR(__xludf.DUMMYFUNCTION("GOOGLETRANSLATE(A13485, ""en"", ""mt"")"),"Kumitat tal-President jista 'jippreżenta x'inhu?")</f>
        <v>Kumitat tal-President jista 'jippreżenta x'inhu?</v>
      </c>
    </row>
    <row r="13486" ht="15.75" customHeight="1">
      <c r="A13486" s="2" t="s">
        <v>13486</v>
      </c>
      <c r="B13486" s="2" t="str">
        <f>IFERROR(__xludf.DUMMYFUNCTION("GOOGLETRANSLATE(A13486, ""en"", ""mt"")"),"Mill-1421 sal-1904")</f>
        <v>Mill-1421 sal-1904</v>
      </c>
    </row>
    <row r="13487" ht="15.75" customHeight="1">
      <c r="A13487" s="2" t="s">
        <v>13487</v>
      </c>
      <c r="B13487" s="2" t="str">
        <f>IFERROR(__xludf.DUMMYFUNCTION("GOOGLETRANSLATE(A13487, ""en"", ""mt"")"),"Kif jissejjaħ is-Sindku ta ’Menich?")</f>
        <v>Kif jissejjaħ is-Sindku ta ’Menich?</v>
      </c>
    </row>
    <row r="13488" ht="15.75" customHeight="1">
      <c r="A13488" s="2" t="s">
        <v>13488</v>
      </c>
      <c r="B13488" s="2" t="str">
        <f>IFERROR(__xludf.DUMMYFUNCTION("GOOGLETRANSLATE(A13488, ""en"", ""mt"")"),"X'tipi ta 'djar huma ddisinjati minn Fresno Architects?")</f>
        <v>X'tipi ta 'djar huma ddisinjati minn Fresno Architects?</v>
      </c>
    </row>
    <row r="13489" ht="15.75" customHeight="1">
      <c r="A13489" s="2" t="s">
        <v>13489</v>
      </c>
      <c r="B13489" s="2" t="str">
        <f>IFERROR(__xludf.DUMMYFUNCTION("GOOGLETRANSLATE(A13489, ""en"", ""mt"")"),"Charleston")</f>
        <v>Charleston</v>
      </c>
    </row>
    <row r="13490" ht="15.75" customHeight="1">
      <c r="A13490" s="2" t="s">
        <v>13490</v>
      </c>
      <c r="B13490" s="2" t="str">
        <f>IFERROR(__xludf.DUMMYFUNCTION("GOOGLETRANSLATE(A13490, ""en"", ""mt"")"),"Min xerred kuxjenza dwar in-netwerking nazzjonali?")</f>
        <v>Min xerred kuxjenza dwar in-netwerking nazzjonali?</v>
      </c>
    </row>
    <row r="13491" ht="15.75" customHeight="1">
      <c r="A13491" s="2" t="s">
        <v>13491</v>
      </c>
      <c r="B13491" s="2" t="str">
        <f>IFERROR(__xludf.DUMMYFUNCTION("GOOGLETRANSLATE(A13491, ""en"", ""mt"")"),"X'inhi l-inugwaljanza tad-dħul bejn is-sessi fil-Baħrejn?")</f>
        <v>X'inhi l-inugwaljanza tad-dħul bejn is-sessi fil-Baħrejn?</v>
      </c>
    </row>
    <row r="13492" ht="15.75" customHeight="1">
      <c r="A13492" s="2" t="s">
        <v>13492</v>
      </c>
      <c r="B13492" s="2" t="str">
        <f>IFERROR(__xludf.DUMMYFUNCTION("GOOGLETRANSLATE(A13492, ""en"", ""mt"")"),"Duka ta ’Cumberland")</f>
        <v>Duka ta ’Cumberland</v>
      </c>
    </row>
    <row r="13493" ht="15.75" customHeight="1">
      <c r="A13493" s="2" t="s">
        <v>13493</v>
      </c>
      <c r="B13493" s="2" t="str">
        <f>IFERROR(__xludf.DUMMYFUNCTION("GOOGLETRANSLATE(A13493, ""en"", ""mt"")"),"Problema tal-funzjoni")</f>
        <v>Problema tal-funzjoni</v>
      </c>
    </row>
    <row r="13494" ht="15.75" customHeight="1">
      <c r="A13494" s="2" t="s">
        <v>13494</v>
      </c>
      <c r="B13494" s="2" t="str">
        <f>IFERROR(__xludf.DUMMYFUNCTION("GOOGLETRANSLATE(A13494, ""en"", ""mt"")"),"Phylum ta 'annimali")</f>
        <v>Phylum ta 'annimali</v>
      </c>
    </row>
    <row r="13495" ht="15.75" customHeight="1">
      <c r="A13495" s="2" t="s">
        <v>13495</v>
      </c>
      <c r="B13495" s="2" t="str">
        <f>IFERROR(__xludf.DUMMYFUNCTION("GOOGLETRANSLATE(A13495, ""en"", ""mt"")"),"X'inhu sekretat mill-passaġġ respiratorju biex jaqbad il-mikro-organiżmi?")</f>
        <v>X'inhu sekretat mill-passaġġ respiratorju biex jaqbad il-mikro-organiżmi?</v>
      </c>
    </row>
    <row r="13496" ht="15.75" customHeight="1">
      <c r="A13496" s="2" t="s">
        <v>13496</v>
      </c>
      <c r="B13496" s="2" t="str">
        <f>IFERROR(__xludf.DUMMYFUNCTION("GOOGLETRANSLATE(A13496, ""en"", ""mt"")"),"struttura estiża")</f>
        <v>struttura estiża</v>
      </c>
    </row>
    <row r="13497" ht="15.75" customHeight="1">
      <c r="A13497" s="2" t="s">
        <v>13497</v>
      </c>
      <c r="B13497" s="2" t="str">
        <f>IFERROR(__xludf.DUMMYFUNCTION("GOOGLETRANSLATE(A13497, ""en"", ""mt"")"),"X'inhuma t-tliet libreriji popolari wara li għadhom ma ggradwawx fis-sistema ta 'Harvard?")</f>
        <v>X'inhuma t-tliet libreriji popolari wara li għadhom ma ggradwawx fis-sistema ta 'Harvard?</v>
      </c>
    </row>
    <row r="13498" ht="15.75" customHeight="1">
      <c r="A13498" s="2" t="s">
        <v>13498</v>
      </c>
      <c r="B13498" s="2" t="str">
        <f>IFERROR(__xludf.DUMMYFUNCTION("GOOGLETRANSLATE(A13498, ""en"", ""mt"")"),"Minn fejn ġej il-forza ċentripetali?")</f>
        <v>Minn fejn ġej il-forza ċentripetali?</v>
      </c>
    </row>
    <row r="13499" ht="15.75" customHeight="1">
      <c r="A13499" s="2" t="s">
        <v>13499</v>
      </c>
      <c r="B13499" s="2" t="str">
        <f>IFERROR(__xludf.DUMMYFUNCTION("GOOGLETRANSLATE(A13499, ""en"", ""mt"")"),"Xingu Tribe")</f>
        <v>Xingu Tribe</v>
      </c>
    </row>
    <row r="13500" ht="15.75" customHeight="1">
      <c r="A13500" s="2" t="s">
        <v>13500</v>
      </c>
      <c r="B13500" s="2" t="str">
        <f>IFERROR(__xludf.DUMMYFUNCTION("GOOGLETRANSLATE(A13500, ""en"", ""mt"")"),"Fejn ilha d-dar uffiċjali tal-Parlament Skoċċiż mill-2004?")</f>
        <v>Fejn ilha d-dar uffiċjali tal-Parlament Skoċċiż mill-2004?</v>
      </c>
    </row>
    <row r="13501" ht="15.75" customHeight="1">
      <c r="A13501" s="2" t="s">
        <v>13501</v>
      </c>
      <c r="B13501" s="2" t="str">
        <f>IFERROR(__xludf.DUMMYFUNCTION("GOOGLETRANSLATE(A13501, ""en"", ""mt"")"),"X'tip ta 'distrett huwa d-dar tan-Nofsinhar ta' California għal ħafna?")</f>
        <v>X'tip ta 'distrett huwa d-dar tan-Nofsinhar ta' California għal ħafna?</v>
      </c>
    </row>
    <row r="13502" ht="15.75" customHeight="1">
      <c r="A13502" s="2" t="s">
        <v>13502</v>
      </c>
      <c r="B13502" s="2" t="str">
        <f>IFERROR(__xludf.DUMMYFUNCTION("GOOGLETRANSLATE(A13502, ""en"", ""mt"")"),"Kif għandhom jiġu ffurmati l-aspettattivi biex iżommu l-ispejjeż?")</f>
        <v>Kif għandhom jiġu ffurmati l-aspettattivi biex iżommu l-ispejjeż?</v>
      </c>
    </row>
    <row r="13503" ht="15.75" customHeight="1">
      <c r="A13503" s="2" t="s">
        <v>13503</v>
      </c>
      <c r="B13503" s="2" t="str">
        <f>IFERROR(__xludf.DUMMYFUNCTION("GOOGLETRANSLATE(A13503, ""en"", ""mt"")"),"Ekonomija Neoklasika")</f>
        <v>Ekonomija Neoklasika</v>
      </c>
    </row>
    <row r="13504" ht="15.75" customHeight="1">
      <c r="A13504" s="2" t="s">
        <v>13504</v>
      </c>
      <c r="B13504" s="2" t="str">
        <f>IFERROR(__xludf.DUMMYFUNCTION("GOOGLETRANSLATE(A13504, ""en"", ""mt"")"),"Meta r-Renu joħroġ mill-Lag Constance b'liema triq joħroġ?")</f>
        <v>Meta r-Renu joħroġ mill-Lag Constance b'liema triq joħroġ?</v>
      </c>
    </row>
    <row r="13505" ht="15.75" customHeight="1">
      <c r="A13505" s="2" t="s">
        <v>13505</v>
      </c>
      <c r="B13505" s="2" t="str">
        <f>IFERROR(__xludf.DUMMYFUNCTION("GOOGLETRANSLATE(A13505, ""en"", ""mt"")"),"Liema bini kien rigal mill-Unjoni Sovjetika?")</f>
        <v>Liema bini kien rigal mill-Unjoni Sovjetika?</v>
      </c>
    </row>
    <row r="13506" ht="15.75" customHeight="1">
      <c r="A13506" s="2" t="s">
        <v>13506</v>
      </c>
      <c r="B13506" s="2" t="str">
        <f>IFERROR(__xludf.DUMMYFUNCTION("GOOGLETRANSLATE(A13506, ""en"", ""mt"")"),"X’jindaw il-biċċa l-kbira taċ-ċelloli tal-efiteljali fin-nuda?")</f>
        <v>X’jindaw il-biċċa l-kbira taċ-ċelloli tal-efiteljali fin-nuda?</v>
      </c>
    </row>
    <row r="13507" ht="15.75" customHeight="1">
      <c r="A13507" s="2" t="s">
        <v>13507</v>
      </c>
      <c r="B13507" s="2" t="str">
        <f>IFERROR(__xludf.DUMMYFUNCTION("GOOGLETRANSLATE(A13507, ""en"", ""mt"")"),"Varsavja (Pollakk: Warszawa [varˈʂava] (Isma); ara wkoll ismijiet oħra) hija l-kapitali u l-ikbar belt tal-Polonja. Tinsab fuq ix-Xmara Vistula fil-Lvant-Ċentrali tal-Polonja, bejn wieħed u ieħor 260 kilometru (160 mi) mill-Baħar Baltiku u 300 kilometru ("&amp;"190 mi) mill-Muntanji tal-Karpazji. Il-popolazzjoni tagħha hija stmata għal 1.740 miljun resident f'żona metropolitana akbar ta '2.666 miljun resident, li tagħmel Varsavja l-iktar belt kapitali l-iktar popolata fl-Unjoni Ewropea. Il-limiti tal-belt ikopru"&amp;" 516.9 kilometri kwadri (199.6 sq mi), filwaqt li ż-żona metropolitana tkopri 6,100.43 kilometri kwadri (2,355.39 sq mi).")</f>
        <v>Varsavja (Pollakk: Warszawa [varˈʂava] (Isma); ara wkoll ismijiet oħra) hija l-kapitali u l-ikbar belt tal-Polonja. Tinsab fuq ix-Xmara Vistula fil-Lvant-Ċentrali tal-Polonja, bejn wieħed u ieħor 260 kilometru (160 mi) mill-Baħar Baltiku u 300 kilometru (190 mi) mill-Muntanji tal-Karpazji. Il-popolazzjoni tagħha hija stmata għal 1.740 miljun resident f'żona metropolitana akbar ta '2.666 miljun resident, li tagħmel Varsavja l-iktar belt kapitali l-iktar popolata fl-Unjoni Ewropea. Il-limiti tal-belt ikopru 516.9 kilometri kwadri (199.6 sq mi), filwaqt li ż-żona metropolitana tkopri 6,100.43 kilometri kwadri (2,355.39 sq mi).</v>
      </c>
    </row>
    <row r="13508" ht="15.75" customHeight="1">
      <c r="A13508" s="2" t="s">
        <v>13508</v>
      </c>
      <c r="B13508" s="2" t="str">
        <f>IFERROR(__xludf.DUMMYFUNCTION("GOOGLETRANSLATE(A13508, ""en"", ""mt"")"),"X’għamlu l-poplu Lhudi u għalhekk oġġetti pagani ma kinux ikunu fit-Tempju ta ’Ġerusalemm?")</f>
        <v>X’għamlu l-poplu Lhudi u għalhekk oġġetti pagani ma kinux ikunu fit-Tempju ta ’Ġerusalemm?</v>
      </c>
    </row>
    <row r="13509" ht="15.75" customHeight="1">
      <c r="A13509" s="2" t="s">
        <v>13509</v>
      </c>
      <c r="B13509" s="2" t="str">
        <f>IFERROR(__xludf.DUMMYFUNCTION("GOOGLETRANSLATE(A13509, ""en"", ""mt"")"),"X'inhu l-kejl tal-linji tal-ferrovija Vittorjana?")</f>
        <v>X'inhu l-kejl tal-linji tal-ferrovija Vittorjana?</v>
      </c>
    </row>
    <row r="13510" ht="15.75" customHeight="1">
      <c r="A13510" s="2" t="s">
        <v>13510</v>
      </c>
      <c r="B13510" s="2" t="str">
        <f>IFERROR(__xludf.DUMMYFUNCTION("GOOGLETRANSLATE(A13510, ""en"", ""mt"")"),"Fejn hu l-Brażil ikklassifikat globalment fil-produzzjoni tas-sojja?")</f>
        <v>Fejn hu l-Brażil ikklassifikat globalment fil-produzzjoni tas-sojja?</v>
      </c>
    </row>
    <row r="13511" ht="15.75" customHeight="1">
      <c r="A13511" s="2" t="s">
        <v>13511</v>
      </c>
      <c r="B13511" s="2" t="str">
        <f>IFERROR(__xludf.DUMMYFUNCTION("GOOGLETRANSLATE(A13511, ""en"", ""mt"")"),"Fejn jinsab l-iktar punt baxx ta 'Wesola?")</f>
        <v>Fejn jinsab l-iktar punt baxx ta 'Wesola?</v>
      </c>
    </row>
    <row r="13512" ht="15.75" customHeight="1">
      <c r="A13512" s="2" t="s">
        <v>13512</v>
      </c>
      <c r="B13512" s="2" t="str">
        <f>IFERROR(__xludf.DUMMYFUNCTION("GOOGLETRANSLATE(A13512, ""en"", ""mt"")"),"X'inhu flimkien mat-tnaqqis tal-prezzijiet biex ikun diffiċli jew impossibbli għal nies foqra biex iżommu l-pass?")</f>
        <v>X'inhu flimkien mat-tnaqqis tal-prezzijiet biex ikun diffiċli jew impossibbli għal nies foqra biex iżommu l-pass?</v>
      </c>
    </row>
    <row r="13513" ht="15.75" customHeight="1">
      <c r="A13513" s="2" t="s">
        <v>13513</v>
      </c>
      <c r="B13513" s="2" t="str">
        <f>IFERROR(__xludf.DUMMYFUNCTION("GOOGLETRANSLATE(A13513, ""en"", ""mt"")"),"Aktar mill-logħba bi 23 sena, ir-Regatta Harvard-Yale kienet is-sors oriġinali tar-rivalità atletika bejn iż-żewġ skejjel. Dan isir kull sena f'Ġunju fuq ix-Xmara Thames fil-Lvant tal-Connecticut. L-ekwipaġġ ta 'Harvard huwa tipikament meqjus bħala wieħed"&amp;" mill-aqwa timijiet fil-pajjiż fil-qdif. Illum, Harvard Fields l-aqwa timijiet f’diversi sports oħra, bħat-tim tal-hockey tas-silġ tal-irġiel ta ’Harvard Crimson (b’rivalità qawwija kontra Cornell), Squash, u anke riċentement rebħu titli tal-NCAA fil-fjur"&amp;"etti tal-irġiel u tan-nisa. Harvard rebaħ ukoll il-Kampjonati Nazzjonali tal-Assoċjazzjoni Intercollegiate Association fl-2003.")</f>
        <v>Aktar mill-logħba bi 23 sena, ir-Regatta Harvard-Yale kienet is-sors oriġinali tar-rivalità atletika bejn iż-żewġ skejjel. Dan isir kull sena f'Ġunju fuq ix-Xmara Thames fil-Lvant tal-Connecticut. L-ekwipaġġ ta 'Harvard huwa tipikament meqjus bħala wieħed mill-aqwa timijiet fil-pajjiż fil-qdif. Illum, Harvard Fields l-aqwa timijiet f’diversi sports oħra, bħat-tim tal-hockey tas-silġ tal-irġiel ta ’Harvard Crimson (b’rivalità qawwija kontra Cornell), Squash, u anke riċentement rebħu titli tal-NCAA fil-fjuretti tal-irġiel u tan-nisa. Harvard rebaħ ukoll il-Kampjonati Nazzjonali tal-Assoċjazzjoni Intercollegiate Association fl-2003.</v>
      </c>
    </row>
    <row r="13514" ht="15.75" customHeight="1">
      <c r="A13514" s="2" t="s">
        <v>13514</v>
      </c>
      <c r="B13514" s="2" t="str">
        <f>IFERROR(__xludf.DUMMYFUNCTION("GOOGLETRANSLATE(A13514, ""en"", ""mt"")"),"Ktieb ta ’ħames volum fil-Grieg nattiv tiegħu")</f>
        <v>Ktieb ta ’ħames volum fil-Grieg nattiv tiegħu</v>
      </c>
    </row>
    <row r="13515" ht="15.75" customHeight="1">
      <c r="A13515" s="2" t="s">
        <v>13515</v>
      </c>
      <c r="B13515" s="2" t="str">
        <f>IFERROR(__xludf.DUMMYFUNCTION("GOOGLETRANSLATE(A13515, ""en"", ""mt"")"),"Liema truppi attakkaw lil Fort William Henry fil-bidu tal-1757?")</f>
        <v>Liema truppi attakkaw lil Fort William Henry fil-bidu tal-1757?</v>
      </c>
    </row>
    <row r="13516" ht="15.75" customHeight="1">
      <c r="A13516" s="2" t="s">
        <v>13516</v>
      </c>
      <c r="B13516" s="2" t="str">
        <f>IFERROR(__xludf.DUMMYFUNCTION("GOOGLETRANSLATE(A13516, ""en"", ""mt"")"),"Wara t-tmiem tal-Gwerra tal-Messiku")</f>
        <v>Wara t-tmiem tal-Gwerra tal-Messiku</v>
      </c>
    </row>
    <row r="13517" ht="15.75" customHeight="1">
      <c r="A13517" s="2" t="s">
        <v>13517</v>
      </c>
      <c r="B13517" s="2" t="str">
        <f>IFERROR(__xludf.DUMMYFUNCTION("GOOGLETRANSLATE(A13517, ""en"", ""mt"")"),"Min ordna lil Dinwiddie biex jindirizza l-Franċiż fit-territorju ta 'Virginia?")</f>
        <v>Min ordna lil Dinwiddie biex jindirizza l-Franċiż fit-territorju ta 'Virginia?</v>
      </c>
    </row>
    <row r="13518" ht="15.75" customHeight="1">
      <c r="A13518" s="2" t="s">
        <v>13518</v>
      </c>
      <c r="B13518" s="2" t="str">
        <f>IFERROR(__xludf.DUMMYFUNCTION("GOOGLETRANSLATE(A13518, ""en"", ""mt"")"),"Kull sena, iż-żona tan-Nofsinhar tal-Kalifornja għandha madwar 10,000 terremoti. Kważi kollha huma daqshekk żgħar li ma jinħassux. Diversi mijiet biss huma ikbar mill-kobor 3.0, u madwar 15-20 biss huma ikbar mill-kobor 4.0. It-terremot ta ’Kobor 6.7 1994"&amp;" Northridge kien partikolarment distruttiv, u kkawża numru sostanzjali ta’ mwiet, korrimenti, u kollass strutturali. Huwa kkawża l-iktar ħsara fuq il-proprjetà ta 'kwalunkwe terremot fl-istorja ta' l-Istati Uniti, stmata għal aktar minn $ 20 biljun.")</f>
        <v>Kull sena, iż-żona tan-Nofsinhar tal-Kalifornja għandha madwar 10,000 terremoti. Kważi kollha huma daqshekk żgħar li ma jinħassux. Diversi mijiet biss huma ikbar mill-kobor 3.0, u madwar 15-20 biss huma ikbar mill-kobor 4.0. It-terremot ta ’Kobor 6.7 1994 Northridge kien partikolarment distruttiv, u kkawża numru sostanzjali ta’ mwiet, korrimenti, u kollass strutturali. Huwa kkawża l-iktar ħsara fuq il-proprjetà ta 'kwalunkwe terremot fl-istorja ta' l-Istati Uniti, stmata għal aktar minn $ 20 biljun.</v>
      </c>
    </row>
    <row r="13519" ht="15.75" customHeight="1">
      <c r="A13519" s="2" t="s">
        <v>13519</v>
      </c>
      <c r="B13519" s="2" t="str">
        <f>IFERROR(__xludf.DUMMYFUNCTION("GOOGLETRANSLATE(A13519, ""en"",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13520" ht="15.75" customHeight="1">
      <c r="A13520" s="2" t="s">
        <v>13520</v>
      </c>
      <c r="B13520" s="2" t="str">
        <f>IFERROR(__xludf.DUMMYFUNCTION("GOOGLETRANSLATE(A13520, ""en"", ""mt"")"),"Liema problema tikkonsisti kemm f'impatti inflazzjonarji u deflazzjonarji?")</f>
        <v>Liema problema tikkonsisti kemm f'impatti inflazzjonarji u deflazzjonarji?</v>
      </c>
    </row>
    <row r="13521" ht="15.75" customHeight="1">
      <c r="A13521" s="2" t="s">
        <v>13521</v>
      </c>
      <c r="B13521" s="2" t="str">
        <f>IFERROR(__xludf.DUMMYFUNCTION("GOOGLETRANSLATE(A13521, ""en"", ""mt"")"),"Xi jfisser is-Salafiżmu fl-agħar forma tiegħu li jħeġġeġ lis-segwaċi tiegħu biex jaraw ir-reliġjon ta 'ħaddieħor?")</f>
        <v>Xi jfisser is-Salafiżmu fl-agħar forma tiegħu li jħeġġeġ lis-segwaċi tiegħu biex jaraw ir-reliġjon ta 'ħaddieħor?</v>
      </c>
    </row>
    <row r="13522" ht="15.75" customHeight="1">
      <c r="A13522" s="2" t="s">
        <v>13522</v>
      </c>
      <c r="B13522" s="2" t="str">
        <f>IFERROR(__xludf.DUMMYFUNCTION("GOOGLETRANSLATE(A13522, ""en"", ""mt"")"),"frizzjoni")</f>
        <v>frizzjoni</v>
      </c>
    </row>
    <row r="13523" ht="15.75" customHeight="1">
      <c r="A13523" s="2" t="s">
        <v>13523</v>
      </c>
      <c r="B13523" s="2" t="str">
        <f>IFERROR(__xludf.DUMMYFUNCTION("GOOGLETRANSLATE(A13523, ""en"", ""mt"")"),"F'liema sena Fresno saret belt inkorporata?")</f>
        <v>F'liema sena Fresno saret belt inkorporata?</v>
      </c>
    </row>
    <row r="13524" ht="15.75" customHeight="1">
      <c r="A13524" s="2" t="s">
        <v>13524</v>
      </c>
      <c r="B13524" s="2" t="str">
        <f>IFERROR(__xludf.DUMMYFUNCTION("GOOGLETRANSLATE(A13524, ""en"", ""mt"")"),"Tribujiet Mongoljani u Turkiċi")</f>
        <v>Tribujiet Mongoljani u Turkiċi</v>
      </c>
    </row>
    <row r="13525" ht="15.75" customHeight="1">
      <c r="A13525" s="2" t="s">
        <v>13525</v>
      </c>
      <c r="B13525" s="2" t="str">
        <f>IFERROR(__xludf.DUMMYFUNCTION("GOOGLETRANSLATE(A13525, ""en"", ""mt"")"),"Min biegħ id-drittijiet lill-gżira fis-seklu 14?")</f>
        <v>Min biegħ id-drittijiet lill-gżira fis-seklu 14?</v>
      </c>
    </row>
    <row r="13526" ht="15.75" customHeight="1">
      <c r="A13526" s="2" t="s">
        <v>13526</v>
      </c>
      <c r="B13526" s="2" t="str">
        <f>IFERROR(__xludf.DUMMYFUNCTION("GOOGLETRANSLATE(A13526, ""en"", ""mt"")"),"Ħaddem IP fuq l-ATM jew verżjoni ta 'MPLS")</f>
        <v>Ħaddem IP fuq l-ATM jew verżjoni ta 'MPLS</v>
      </c>
    </row>
    <row r="13527" ht="15.75" customHeight="1">
      <c r="A13527" s="2" t="s">
        <v>13527</v>
      </c>
      <c r="B13527" s="2" t="str">
        <f>IFERROR(__xludf.DUMMYFUNCTION("GOOGLETRANSLATE(A13527, ""en"", ""mt"")"),"X'inhi l-aċċellerazzjoni gravitazzjonali proporzjonali għal?")</f>
        <v>X'inhi l-aċċellerazzjoni gravitazzjonali proporzjonali għal?</v>
      </c>
    </row>
    <row r="13528" ht="15.75" customHeight="1">
      <c r="A13528" s="2" t="s">
        <v>13528</v>
      </c>
      <c r="B13528" s="2" t="str">
        <f>IFERROR(__xludf.DUMMYFUNCTION("GOOGLETRANSLATE(A13528, ""en"", ""mt"")"),"Kemm huwa twil il-Lag Constance?")</f>
        <v>Kemm huwa twil il-Lag Constance?</v>
      </c>
    </row>
    <row r="13529" ht="15.75" customHeight="1">
      <c r="A13529" s="2" t="s">
        <v>13529</v>
      </c>
      <c r="B13529" s="2" t="str">
        <f>IFERROR(__xludf.DUMMYFUNCTION("GOOGLETRANSLATE(A13529, ""en"", ""mt"")"),"Taħt liema livelli kienu l-livelli tal-baħar proġettati fil-projezzjoni IPCC tal-2001?")</f>
        <v>Taħt liema livelli kienu l-livelli tal-baħar proġettati fil-projezzjoni IPCC tal-2001?</v>
      </c>
    </row>
    <row r="13530" ht="15.75" customHeight="1">
      <c r="A13530" s="2" t="s">
        <v>13530</v>
      </c>
      <c r="B13530" s="2" t="str">
        <f>IFERROR(__xludf.DUMMYFUNCTION("GOOGLETRANSLATE(A13530, ""en"", ""mt"")"),"X'kien l-isem tal-era paċifika bejn Franza u l-Ġermanja?")</f>
        <v>X'kien l-isem tal-era paċifika bejn Franza u l-Ġermanja?</v>
      </c>
    </row>
    <row r="13531" ht="15.75" customHeight="1">
      <c r="A13531" s="2" t="s">
        <v>13531</v>
      </c>
      <c r="B13531" s="2" t="str">
        <f>IFERROR(__xludf.DUMMYFUNCTION("GOOGLETRANSLATE(A13531, ""en"", ""mt"")"),"X'kien l-iżvilupp aħħari tal-magna vertikali?")</f>
        <v>X'kien l-iżvilupp aħħari tal-magna vertikali?</v>
      </c>
    </row>
    <row r="13532" ht="15.75" customHeight="1">
      <c r="A13532" s="2" t="s">
        <v>13532</v>
      </c>
      <c r="B13532" s="2" t="str">
        <f>IFERROR(__xludf.DUMMYFUNCTION("GOOGLETRANSLATE(A13532, ""en"", ""mt"")"),"X'inhu l-piż ta 'bushel ta' faħam f'liri?")</f>
        <v>X'inhu l-piż ta 'bushel ta' faħam f'liri?</v>
      </c>
    </row>
    <row r="13533" ht="15.75" customHeight="1">
      <c r="A13533" s="2" t="s">
        <v>13533</v>
      </c>
      <c r="B13533" s="2" t="str">
        <f>IFERROR(__xludf.DUMMYFUNCTION("GOOGLETRANSLATE(A13533, ""en"", ""mt"")"),"Dak li jippermetti tweġibiet li mhumiex imfassla għal patoġen speċifiku?")</f>
        <v>Dak li jippermetti tweġibiet li mhumiex imfassla għal patoġen speċifiku?</v>
      </c>
    </row>
    <row r="13534" ht="15.75" customHeight="1">
      <c r="A13534" s="2" t="s">
        <v>13534</v>
      </c>
      <c r="B13534" s="2" t="str">
        <f>IFERROR(__xludf.DUMMYFUNCTION("GOOGLETRANSLATE(A13534, ""en"", ""mt"")")," Liema politika neħħiet id-dominanza tal-Gran Brittanja fil-kummerċ dinji?")</f>
        <v> Liema politika neħħiet id-dominanza tal-Gran Brittanja fil-kummerċ dinji?</v>
      </c>
    </row>
    <row r="13535" ht="15.75" customHeight="1">
      <c r="A13535" s="2" t="s">
        <v>13535</v>
      </c>
      <c r="B13535" s="2" t="str">
        <f>IFERROR(__xludf.DUMMYFUNCTION("GOOGLETRANSLATE(A13535, ""en"", ""mt"")"),"Meta miet Mongke Khan?")</f>
        <v>Meta miet Mongke Khan?</v>
      </c>
    </row>
    <row r="13536" ht="15.75" customHeight="1">
      <c r="A13536" s="2" t="s">
        <v>13536</v>
      </c>
      <c r="B13536" s="2" t="str">
        <f>IFERROR(__xludf.DUMMYFUNCTION("GOOGLETRANSLATE(A13536, ""en"", ""mt"")"),"Xi jfisser marea għolja qrib artijiet?")</f>
        <v>Xi jfisser marea għolja qrib artijiet?</v>
      </c>
    </row>
    <row r="13537" ht="15.75" customHeight="1">
      <c r="A13537" s="2" t="s">
        <v>13537</v>
      </c>
      <c r="B13537" s="2" t="str">
        <f>IFERROR(__xludf.DUMMYFUNCTION("GOOGLETRANSLATE(A13537, ""en"", ""mt"")"),"Ma 'liema ċittadin Ingliż huwa u jappoġġja d-Demokratiċi Liberali?")</f>
        <v>Ma 'liema ċittadin Ingliż huwa u jappoġġja d-Demokratiċi Liberali?</v>
      </c>
    </row>
    <row r="13538" ht="15.75" customHeight="1">
      <c r="A13538" s="2" t="s">
        <v>13538</v>
      </c>
      <c r="B13538" s="2" t="str">
        <f>IFERROR(__xludf.DUMMYFUNCTION("GOOGLETRANSLATE(A13538, ""en"", ""mt"")"),"Klassi tal-Kumplessità p")</f>
        <v>Klassi tal-Kumplessità p</v>
      </c>
    </row>
    <row r="13539" ht="15.75" customHeight="1">
      <c r="A13539" s="2" t="s">
        <v>13539</v>
      </c>
      <c r="B13539" s="2" t="str">
        <f>IFERROR(__xludf.DUMMYFUNCTION("GOOGLETRANSLATE(A13539, ""en"", ""mt"")"),"Xi tfisser l-ożonu li jikkawża effett ta 'ħsara?")</f>
        <v>Xi tfisser l-ożonu li jikkawża effett ta 'ħsara?</v>
      </c>
    </row>
    <row r="13540" ht="15.75" customHeight="1">
      <c r="A13540" s="2" t="s">
        <v>13540</v>
      </c>
      <c r="B13540" s="2" t="str">
        <f>IFERROR(__xludf.DUMMYFUNCTION("GOOGLETRANSLATE(A13540, ""en"", ""mt"")"),"Kif huwa determinat id-dħul f'suq ma 'ħaddiema differenti mhux kwalifikati?")</f>
        <v>Kif huwa determinat id-dħul f'suq ma 'ħaddiema differenti mhux kwalifikati?</v>
      </c>
    </row>
    <row r="13541" ht="15.75" customHeight="1">
      <c r="A13541" s="2" t="s">
        <v>13541</v>
      </c>
      <c r="B13541" s="2" t="str">
        <f>IFERROR(__xludf.DUMMYFUNCTION("GOOGLETRANSLATE(A13541, ""en"", ""mt"")"),"Liema liġi staes li l-forzi huma l-interazzjonijiet bejn il-korpi?")</f>
        <v>Liema liġi staes li l-forzi huma l-interazzjonijiet bejn il-korpi?</v>
      </c>
    </row>
    <row r="13542" ht="15.75" customHeight="1">
      <c r="A13542" s="2" t="s">
        <v>13542</v>
      </c>
      <c r="B13542" s="2" t="str">
        <f>IFERROR(__xludf.DUMMYFUNCTION("GOOGLETRANSLATE(A13542, ""en"", ""mt"")"),"Meta tnediet Sky Digital?")</f>
        <v>Meta tnediet Sky Digital?</v>
      </c>
    </row>
    <row r="13543" ht="15.75" customHeight="1">
      <c r="A13543" s="2" t="s">
        <v>13543</v>
      </c>
      <c r="B13543" s="2" t="str">
        <f>IFERROR(__xludf.DUMMYFUNCTION("GOOGLETRANSLATE(A13543, ""en"", ""mt"")"),"L-imperjalizmu huwa definit bħala ""politika li testendi l-poter u l-influwenza ta 'pajjiż permezz tad-diplomazija jew il-forza militari."" L-imperjalizmu huwa partikolarment iffokat fuq il-kontroll li grupp wieħed, ħafna drabi għandu poter statali, għand"&amp;"u fuq grupp ieħor ta 'nies. Dan ħafna drabi permezz ta 'diversi forom ta' ""oħrajn"" (ara oħrajn) ibbażati fuq sterjotipi razzjali, reliġjużi, jew kulturali. Hemm imperjaliżmi ""formali"" jew ""informali"". ""Imperjalizmu formali"" huwa definit bħala ""ko"&amp;"ntroll fiżiku jew regola kolonjali sħiħa"". ""Imperjalizmu informali"" huwa inqas dirett; Madankollu, għadha forma qawwija ta 'dominanza.")</f>
        <v>L-imperjalizmu huwa definit bħala "politika li testendi l-poter u l-influwenza ta 'pajjiż permezz tad-diplomazija jew il-forza militari." L-imperjalizmu huwa partikolarment iffokat fuq il-kontroll li grupp wieħed, ħafna drabi għandu poter statali, għandu fuq grupp ieħor ta 'nies. Dan ħafna drabi permezz ta 'diversi forom ta' "oħrajn" (ara oħrajn) ibbażati fuq sterjotipi razzjali, reliġjużi, jew kulturali. Hemm imperjaliżmi "formali" jew "informali". "Imperjalizmu formali" huwa definit bħala "kontroll fiżiku jew regola kolonjali sħiħa". "Imperjalizmu informali" huwa inqas dirett; Madankollu, għadha forma qawwija ta 'dominanza.</v>
      </c>
    </row>
    <row r="13544" ht="15.75" customHeight="1">
      <c r="A13544" s="2" t="s">
        <v>13544</v>
      </c>
      <c r="B13544" s="2" t="str">
        <f>IFERROR(__xludf.DUMMYFUNCTION("GOOGLETRANSLATE(A13544, ""en"", ""mt"")"),"Derision")</f>
        <v>Derision</v>
      </c>
    </row>
    <row r="13545" ht="15.75" customHeight="1">
      <c r="A13545" s="2" t="s">
        <v>13545</v>
      </c>
      <c r="B13545" s="2" t="str">
        <f>IFERROR(__xludf.DUMMYFUNCTION("GOOGLETRANSLATE(A13545, ""en"", ""mt"")"),"Pesta Taljana")</f>
        <v>Pesta Taljana</v>
      </c>
    </row>
    <row r="13546" ht="15.75" customHeight="1">
      <c r="A13546" s="2" t="s">
        <v>13546</v>
      </c>
      <c r="B13546" s="2" t="str">
        <f>IFERROR(__xludf.DUMMYFUNCTION("GOOGLETRANSLATE(A13546, ""en"", ""mt"")"),"In-nisa baqgħu segregati f'Radcliffe, għalkemm aktar u aktar ħadu klassijiet ta 'Harvard. Madankollu, il-popolazzjoni li għadhom ma ggradwawx ta 'Harvard baqgħet prinċipalment maskili, b'madwar erba' rġiel jattendu l-Kulleġġ ta 'Harvard għal kull mara li "&amp;"tistudja f'Radcliffe. Wara l-għaqda tal-ammissjonijiet ta 'Harvard u Radcliffe fl-1977, il-proporzjon ta' dawk li għadhom ma ggradwawx nisa żdied b'mod kostanti, u jirrifletti xejra matul l-edukazzjoni għolja fl-Istati Uniti. L-iskejjel gradwati ta 'Harva"&amp;"rd, li kienu aċċettaw nisa u gruppi oħra f'numri akbar anki qabel il-kulleġġ, saru wkoll aktar diversi fil-perjodu ta' wara t-Tieni Gwerra Dinjija.")</f>
        <v>In-nisa baqgħu segregati f'Radcliffe, għalkemm aktar u aktar ħadu klassijiet ta 'Harvard. Madankollu, il-popolazzjoni li għadhom ma ggradwawx ta 'Harvard baqgħet prinċipalment maskili, b'madwar erba' rġiel jattendu l-Kulleġġ ta 'Harvard għal kull mara li tistudja f'Radcliffe. Wara l-għaqda tal-ammissjonijiet ta 'Harvard u Radcliffe fl-1977, il-proporzjon ta' dawk li għadhom ma ggradwawx nisa żdied b'mod kostanti, u jirrifletti xejra matul l-edukazzjoni għolja fl-Istati Uniti. L-iskejjel gradwati ta 'Harvard, li kienu aċċettaw nisa u gruppi oħra f'numri akbar anki qabel il-kulleġġ, saru wkoll aktar diversi fil-perjodu ta' wara t-Tieni Gwerra Dinjija.</v>
      </c>
    </row>
    <row r="13547" ht="15.75" customHeight="1">
      <c r="A13547" s="2" t="s">
        <v>13547</v>
      </c>
      <c r="B13547" s="2" t="str">
        <f>IFERROR(__xludf.DUMMYFUNCTION("GOOGLETRANSLATE(A13547, ""en"", ""mt"")"),"mużiċisti")</f>
        <v>mużiċisti</v>
      </c>
    </row>
    <row r="13548" ht="15.75" customHeight="1">
      <c r="A13548" s="2" t="s">
        <v>13548</v>
      </c>
      <c r="B13548" s="2" t="str">
        <f>IFERROR(__xludf.DUMMYFUNCTION("GOOGLETRANSLATE(A13548, ""en"", ""mt"")"),"Il-bdil tal-pakketti jikkuntrasta ma 'paradigma ta' netwerking prinċipali ieħor, swiċċjar taċ-ċirkwit, metodu li jalloka minn qabel il-wisa 'tal-frekwenza netwerk iddedikat speċifikament għal kull sessjoni ta' komunikazzjoni, kull wieħed għandu rata ta 'b"&amp;"it kostanti u latenza bejn l-għoqiedi. F'każijiet ta 'servizzi li jistgħu jiġu kkonsenjati, bħal servizzi ta' komunikazzjoni ċellulari, iċ-ċirkwiti huma kkaratterizzati minn tariffa għal kull unità ta 'ħin ta' konnessjoni, anke meta l-ebda data ma tiġi tr"&amp;"asferita, filwaqt li l-iswiċċ tal-pakketti jista 'jkun ikkaratterizzat minn tariffa għal kull unità ta' informazzjoni trażmessa, bħal karattri , pakketti, jew messaġġi.")</f>
        <v>Il-bdil tal-pakketti jikkuntrasta ma 'paradigma ta' netwerking prinċipali ieħor, swiċċjar taċ-ċirkwit, metodu li jalloka minn qabel il-wisa 'tal-frekwenza netwerk iddedikat speċifikament għal kull sessjoni ta' komunikazzjoni, kull wieħed għandu rata ta 'bit kostanti u latenza bejn l-għoqiedi. F'każijiet ta 'servizzi li jistgħu jiġu kkonsenjati, bħal servizzi ta' komunikazzjoni ċellulari, iċ-ċirkwiti huma kkaratterizzati minn tariffa għal kull unità ta 'ħin ta' konnessjoni, anke meta l-ebda data ma tiġi trasferita, filwaqt li l-iswiċċ tal-pakketti jista 'jkun ikkaratterizzat minn tariffa għal kull unità ta' informazzjoni trażmessa, bħal karattri , pakketti, jew messaġġi.</v>
      </c>
    </row>
    <row r="13549" ht="15.75" customHeight="1">
      <c r="A13549" s="2" t="s">
        <v>13549</v>
      </c>
      <c r="B13549" s="2" t="str">
        <f>IFERROR(__xludf.DUMMYFUNCTION("GOOGLETRANSLATE(A13549, ""en"", ""mt"")"),"Evoluzzjoni ġeokimika ta 'unitajiet tal-blat")</f>
        <v>Evoluzzjoni ġeokimika ta 'unitajiet tal-blat</v>
      </c>
    </row>
    <row r="13550" ht="15.75" customHeight="1">
      <c r="A13550" s="2" t="s">
        <v>13550</v>
      </c>
      <c r="B13550" s="2" t="str">
        <f>IFERROR(__xludf.DUMMYFUNCTION("GOOGLETRANSLATE(A13550, ""en"", ""mt"")"),"rikonoxximent")</f>
        <v>rikonoxximent</v>
      </c>
    </row>
    <row r="13551" ht="15.75" customHeight="1">
      <c r="A13551" s="2" t="s">
        <v>13551</v>
      </c>
      <c r="B13551" s="2" t="str">
        <f>IFERROR(__xludf.DUMMYFUNCTION("GOOGLETRANSLATE(A13551, ""en"", ""mt"")"),"It-temperaturi u l-livelli tal-baħar kienu qed jiżdiedu fuq jew 'il fuq mir-rati massimi proposti")</f>
        <v>It-temperaturi u l-livelli tal-baħar kienu qed jiżdiedu fuq jew 'il fuq mir-rati massimi proposti</v>
      </c>
    </row>
    <row r="13552" ht="15.75" customHeight="1">
      <c r="A13552" s="2" t="s">
        <v>13552</v>
      </c>
      <c r="B13552" s="2" t="str">
        <f>IFERROR(__xludf.DUMMYFUNCTION("GOOGLETRANSLATE(A13552, ""en"", ""mt"")"),"Kif inkiseb il-bdil 'il quddiem?")</f>
        <v>Kif inkiseb il-bdil 'il quddiem?</v>
      </c>
    </row>
    <row r="13553" ht="15.75" customHeight="1">
      <c r="A13553" s="2" t="s">
        <v>13553</v>
      </c>
      <c r="B13553" s="2" t="str">
        <f>IFERROR(__xludf.DUMMYFUNCTION("GOOGLETRANSLATE(A13553, ""en"", ""mt"")"),"Tlesti P fir-rigward ta 'dak li se jipproduċi l-qasam tan-numri reali?")</f>
        <v>Tlesti P fir-rigward ta 'dak li se jipproduċi l-qasam tan-numri reali?</v>
      </c>
    </row>
    <row r="13554" ht="15.75" customHeight="1">
      <c r="A13554" s="2" t="s">
        <v>13554</v>
      </c>
      <c r="B13554" s="2" t="str">
        <f>IFERROR(__xludf.DUMMYFUNCTION("GOOGLETRANSLATE(A13554, ""en"", ""mt"")"),"diffikultà")</f>
        <v>diffikultà</v>
      </c>
    </row>
    <row r="13555" ht="15.75" customHeight="1">
      <c r="A13555" s="2" t="s">
        <v>13555</v>
      </c>
      <c r="B13555" s="2" t="str">
        <f>IFERROR(__xludf.DUMMYFUNCTION("GOOGLETRANSLATE(A13555, ""en"", ""mt"")"),"CD8")</f>
        <v>CD8</v>
      </c>
    </row>
    <row r="13556" ht="15.75" customHeight="1">
      <c r="A13556" s="2" t="s">
        <v>13556</v>
      </c>
      <c r="B13556" s="2" t="str">
        <f>IFERROR(__xludf.DUMMYFUNCTION("GOOGLETRANSLATE(A13556, ""en"", ""mt"")"),"Is-sistemi immuni ta 'batterji għandhom enzimi li jipproteġu kontra l-infezzjoni minn x'tip ta' ċelloli?")</f>
        <v>Is-sistemi immuni ta 'batterji għandhom enzimi li jipproteġu kontra l-infezzjoni minn x'tip ta' ċelloli?</v>
      </c>
    </row>
    <row r="13557" ht="15.75" customHeight="1">
      <c r="A13557" s="2" t="s">
        <v>13557</v>
      </c>
      <c r="B13557" s="2" t="str">
        <f>IFERROR(__xludf.DUMMYFUNCTION("GOOGLETRANSLATE(A13557, ""en"", ""mt"")"),"mhux self")</f>
        <v>mhux self</v>
      </c>
    </row>
    <row r="13558" ht="15.75" customHeight="1">
      <c r="A13558" s="2" t="s">
        <v>13558</v>
      </c>
      <c r="B13558" s="2" t="str">
        <f>IFERROR(__xludf.DUMMYFUNCTION("GOOGLETRANSLATE(A13558, ""en"", ""mt"")"),"X'inhu li tikser liġi li mhix l-għan tal-protesta msejħa?")</f>
        <v>X'inhu li tikser liġi li mhix l-għan tal-protesta msejħa?</v>
      </c>
    </row>
    <row r="13559" ht="15.75" customHeight="1">
      <c r="A13559" s="2" t="s">
        <v>13559</v>
      </c>
      <c r="B13559" s="2" t="str">
        <f>IFERROR(__xludf.DUMMYFUNCTION("GOOGLETRANSLATE(A13559, ""en"", ""mt"")"),"X'jiera Robert Koch li kienet il-kawża ta 'mard infettiv?")</f>
        <v>X'jiera Robert Koch li kienet il-kawża ta 'mard infettiv?</v>
      </c>
    </row>
    <row r="13560" ht="15.75" customHeight="1">
      <c r="A13560" s="2" t="s">
        <v>13560</v>
      </c>
      <c r="B13560" s="2" t="str">
        <f>IFERROR(__xludf.DUMMYFUNCTION("GOOGLETRANSLATE(A13560, ""en"", ""mt"")"),"Meta kien imlaqqa 'l-Parlament il-Qadim tal-Iskozja?")</f>
        <v>Meta kien imlaqqa 'l-Parlament il-Qadim tal-Iskozja?</v>
      </c>
    </row>
    <row r="13561" ht="15.75" customHeight="1">
      <c r="A13561" s="2" t="s">
        <v>13561</v>
      </c>
      <c r="B13561" s="2" t="str">
        <f>IFERROR(__xludf.DUMMYFUNCTION("GOOGLETRANSLATE(A13561, ""en"", ""mt"")"),"Il-liġijiet kollha tal-forza kwantitattiva ġew skoperti bl-użu ta 'xiex?")</f>
        <v>Il-liġijiet kollha tal-forza kwantitattiva ġew skoperti bl-użu ta 'xiex?</v>
      </c>
    </row>
    <row r="13562" ht="15.75" customHeight="1">
      <c r="A13562" s="2" t="s">
        <v>13562</v>
      </c>
      <c r="B13562" s="2" t="str">
        <f>IFERROR(__xludf.DUMMYFUNCTION("GOOGLETRANSLATE(A13562, ""en"", ""mt"")"),"X’daqqiet l-operazzjoni fl-1982?")</f>
        <v>X’daqqiet l-operazzjoni fl-1982?</v>
      </c>
    </row>
    <row r="13563" ht="15.75" customHeight="1">
      <c r="A13563" s="2" t="s">
        <v>13563</v>
      </c>
      <c r="B13563" s="2" t="str">
        <f>IFERROR(__xludf.DUMMYFUNCTION("GOOGLETRANSLATE(A13563, ""en"", ""mt"")"),"Liġi Olandiża qalet li nies biss stabbiliti fl-Olanda jistgħu jagħtu pariri legali")</f>
        <v>Liġi Olandiża qalet li nies biss stabbiliti fl-Olanda jistgħu jagħtu pariri legali</v>
      </c>
    </row>
    <row r="13564" ht="15.75" customHeight="1">
      <c r="A13564" s="2" t="s">
        <v>13564</v>
      </c>
      <c r="B13564" s="2" t="str">
        <f>IFERROR(__xludf.DUMMYFUNCTION("GOOGLETRANSLATE(A13564, ""en"", ""mt"")"),"il-proporzjon baxx tagħhom ta 'materja organika għal melħ u ilma")</f>
        <v>il-proporzjon baxx tagħhom ta 'materja organika għal melħ u ilma</v>
      </c>
    </row>
    <row r="13565" ht="15.75" customHeight="1">
      <c r="A13565" s="2" t="s">
        <v>13565</v>
      </c>
      <c r="B13565" s="2" t="str">
        <f>IFERROR(__xludf.DUMMYFUNCTION("GOOGLETRANSLATE(A13565, ""en"", ""mt"")"),"Meqrud b'suċċess Fort Frontenac")</f>
        <v>Meqrud b'suċċess Fort Frontenac</v>
      </c>
    </row>
    <row r="13566" ht="15.75" customHeight="1">
      <c r="A13566" s="2" t="s">
        <v>13566</v>
      </c>
      <c r="B13566" s="2" t="str">
        <f>IFERROR(__xludf.DUMMYFUNCTION("GOOGLETRANSLATE(A13566, ""en"", ""mt"")"),"Matul il-provinċji tagħha ta 'l-Amerika ta' Fuq")</f>
        <v>Matul il-provinċji tagħha ta 'l-Amerika ta' Fuq</v>
      </c>
    </row>
    <row r="13567" ht="15.75" customHeight="1">
      <c r="A13567" s="2" t="s">
        <v>13567</v>
      </c>
      <c r="B13567" s="2" t="str">
        <f>IFERROR(__xludf.DUMMYFUNCTION("GOOGLETRANSLATE(A13567, ""en"", ""mt"")"),"Dak li jiżdied malajr hekk kif id-dħul per capita jiżdied?")</f>
        <v>Dak li jiżdied malajr hekk kif id-dħul per capita jiżdied?</v>
      </c>
    </row>
    <row r="13568" ht="15.75" customHeight="1">
      <c r="A13568" s="2" t="s">
        <v>13568</v>
      </c>
      <c r="B13568" s="2" t="str">
        <f>IFERROR(__xludf.DUMMYFUNCTION("GOOGLETRANSLATE(A13568, ""en"", ""mt"")"),"X'tip ta 'teatru huwa l-Fotoplastikon ta' Varsavja?")</f>
        <v>X'tip ta 'teatru huwa l-Fotoplastikon ta' Varsavja?</v>
      </c>
    </row>
    <row r="13569" ht="15.75" customHeight="1">
      <c r="A13569" s="2" t="s">
        <v>13569</v>
      </c>
      <c r="B13569" s="2" t="str">
        <f>IFERROR(__xludf.DUMMYFUNCTION("GOOGLETRANSLATE(A13569, ""en"", ""mt"")"),"Liema kitba ispirat l-isem kbir Yuan?")</f>
        <v>Liema kitba ispirat l-isem kbir Yuan?</v>
      </c>
    </row>
    <row r="13570" ht="15.75" customHeight="1">
      <c r="A13570" s="2" t="s">
        <v>13570</v>
      </c>
      <c r="B13570" s="2" t="str">
        <f>IFERROR(__xludf.DUMMYFUNCTION("GOOGLETRANSLATE(A13570, ""en"", ""mt"")"),"Meta kienet il-Gwerra Franċiża u Indjana?")</f>
        <v>Meta kienet il-Gwerra Franċiża u Indjana?</v>
      </c>
    </row>
    <row r="13571" ht="15.75" customHeight="1">
      <c r="A13571" s="2" t="s">
        <v>13571</v>
      </c>
      <c r="B13571" s="2" t="str">
        <f>IFERROR(__xludf.DUMMYFUNCTION("GOOGLETRANSLATE(A13571, ""en"", ""mt"")"),"Tkabbir ekonomiku solidu")</f>
        <v>Tkabbir ekonomiku solidu</v>
      </c>
    </row>
    <row r="13572" ht="15.75" customHeight="1">
      <c r="A13572" s="2" t="s">
        <v>13572</v>
      </c>
      <c r="B13572" s="2" t="str">
        <f>IFERROR(__xludf.DUMMYFUNCTION("GOOGLETRANSLATE(A13572, ""en"", ""mt"")"),"X'inhi l-latenza bejn l-għoqiedi?")</f>
        <v>X'inhi l-latenza bejn l-għoqiedi?</v>
      </c>
    </row>
    <row r="13573" ht="15.75" customHeight="1">
      <c r="A13573" s="2" t="s">
        <v>13573</v>
      </c>
      <c r="B13573" s="2" t="str">
        <f>IFERROR(__xludf.DUMMYFUNCTION("GOOGLETRANSLATE(A13573, ""en"", ""mt"")"),"Kemm terremoti huma akbar minn kobor 4.7?")</f>
        <v>Kemm terremoti huma akbar minn kobor 4.7?</v>
      </c>
    </row>
    <row r="13574" ht="15.75" customHeight="1">
      <c r="A13574" s="2" t="s">
        <v>13574</v>
      </c>
      <c r="B13574" s="2" t="str">
        <f>IFERROR(__xludf.DUMMYFUNCTION("GOOGLETRANSLATE(A13574, ""en"", ""mt"")"),"X'inhu wieħed mis-sorsi supplimentari tal-liġi tal-Unjoni Ewropea?")</f>
        <v>X'inhu wieħed mis-sorsi supplimentari tal-liġi tal-Unjoni Ewropea?</v>
      </c>
    </row>
    <row r="13575" ht="15.75" customHeight="1">
      <c r="A13575" s="2" t="s">
        <v>13575</v>
      </c>
      <c r="B13575" s="2" t="str">
        <f>IFERROR(__xludf.DUMMYFUNCTION("GOOGLETRANSLATE(A13575, ""en"", ""mt"")"),"Meta Brittaniċi bdew jibnu Fort taħt William Trent?")</f>
        <v>Meta Brittaniċi bdew jibnu Fort taħt William Trent?</v>
      </c>
    </row>
    <row r="13576" ht="15.75" customHeight="1">
      <c r="A13576" s="2" t="s">
        <v>13576</v>
      </c>
      <c r="B13576" s="2" t="str">
        <f>IFERROR(__xludf.DUMMYFUNCTION("GOOGLETRANSLATE(A13576, ""en"", ""mt"")"),"X'inhuma l-aġenti li s-sistema immunitarja tiskopri magħrufa bħala?")</f>
        <v>X'inhuma l-aġenti li s-sistema immunitarja tiskopri magħrufa bħala?</v>
      </c>
    </row>
    <row r="13577" ht="15.75" customHeight="1">
      <c r="A13577" s="2" t="s">
        <v>13577</v>
      </c>
      <c r="B13577" s="2" t="str">
        <f>IFERROR(__xludf.DUMMYFUNCTION("GOOGLETRANSLATE(A13577, ""en"", ""mt"")"),"X'inhu l-effett tat-tħassir beta?")</f>
        <v>X'inhu l-effett tat-tħassir beta?</v>
      </c>
    </row>
    <row r="13578" ht="15.75" customHeight="1">
      <c r="A13578" s="2" t="s">
        <v>13578</v>
      </c>
      <c r="B13578" s="2" t="str">
        <f>IFERROR(__xludf.DUMMYFUNCTION("GOOGLETRANSLATE(A13578, ""en"", ""mt"")"),"Dak li ma jistax jintuża biex issib l-età ta 'pluton emplacement?")</f>
        <v>Dak li ma jistax jintuża biex issib l-età ta 'pluton emplacement?</v>
      </c>
    </row>
    <row r="13579" ht="15.75" customHeight="1">
      <c r="A13579" s="2" t="s">
        <v>13579</v>
      </c>
      <c r="B13579" s="2" t="str">
        <f>IFERROR(__xludf.DUMMYFUNCTION("GOOGLETRANSLATE(A13579, ""en"", ""mt"")"),"Liema charter tal-belt ġie approvat fl-1821?")</f>
        <v>Liema charter tal-belt ġie approvat fl-1821?</v>
      </c>
    </row>
    <row r="13580" ht="15.75" customHeight="1">
      <c r="A13580" s="2" t="s">
        <v>13580</v>
      </c>
      <c r="B13580" s="2" t="str">
        <f>IFERROR(__xludf.DUMMYFUNCTION("GOOGLETRANSLATE(A13580, ""en"", ""mt"")"),"Perspettivi differenti u partiti politiċi")</f>
        <v>Perspettivi differenti u partiti politiċi</v>
      </c>
    </row>
    <row r="13581" ht="15.75" customHeight="1">
      <c r="A13581" s="2" t="s">
        <v>13581</v>
      </c>
      <c r="B13581" s="2" t="str">
        <f>IFERROR(__xludf.DUMMYFUNCTION("GOOGLETRANSLATE(A13581, ""en"", ""mt"")"),"L-ewwel inċidenti rreġistrati ta 'diżubbidjenza ċivili kollettiva seħħew matul l-Imperu Ruman [ċ-ċitazzjoni meħtieġa]. Lhud mhux armati nġabru fit-toroq biex jipprevjenu l-installazzjoni ta 'immaġini pagani fit-tempju f'Ġerusalemm. [Ċitazzjoni meħtieġa] ["&amp;"Riċerka oriġinali?] Fi żminijiet moderni, xi attivisti li jikkommettu diżubbidjenza ċivili bħala grupp li kollettivament jirrifjutaw li jiffirmaw il-ħelsien mill-arrest Met, bħal kundizzjonijiet ta 'ħelsien mill-arrest favorevoli, jew il-ħelsien ta' l-att"&amp;"ivisti kollha. Din hija forma ta 'solidarjetà tal-ħabs. [Paġna meħtieġa] Kien hemm ukoll ħafna każijiet ta' diżubbidjenza ċivili solitarja, bħal dik imwettqa minn Thoreau, iżda dawn xi kultant jgħaddu inosservati. Thoreau, fil-ħin tal-arrest tiegħu, kien "&amp;"għadu ma kienx awtur magħruf, u l-arrest tiegħu ma kien kopert fl-ebda gazzetti fil-jiem, ġimgħat u xhur wara li ġara. Il-kollettur tat-taxxa li arrestah tela ’għal kariga politika ogħla, u l-esej ta’ Thoreau ma ġiex ippubblikat sa wara t-tmiem tal-Gwerra"&amp;" tal-Messiku.")</f>
        <v>L-ewwel inċidenti rreġistrati ta 'diżubbidjenza ċivili kollettiva seħħew matul l-Imperu Ruman [ċ-ċitazzjoni meħtieġa]. Lhud mhux armati nġabru fit-toroq biex jipprevjenu l-installazzjoni ta 'immaġini pagani fit-tempju f'Ġerusalemm. [Ċitazzjoni meħtieġa] [Riċerka oriġinali?] Fi żminijiet moderni, xi attivisti li jikkommettu diżubbidjenza ċivili bħala grupp li kollettivament jirrifjutaw li jiffirmaw il-ħelsien mill-arrest Met, bħal kundizzjonijiet ta 'ħelsien mill-arrest favorevoli, jew il-ħelsien ta' l-attivisti kollha. Din hija forma ta 'solidarjetà tal-ħabs. [Paġna meħtieġa] Kien hemm ukoll ħafna każijiet ta' diżubbidjenza ċivili solitarja, bħal dik imwettqa minn Thoreau, iżda dawn xi kultant jgħaddu inosservati. Thoreau, fil-ħin tal-arrest tiegħu, kien għadu ma kienx awtur magħruf, u l-arrest tiegħu ma kien kopert fl-ebda gazzetti fil-jiem, ġimgħat u xhur wara li ġara. Il-kollettur tat-taxxa li arrestah tela ’għal kariga politika ogħla, u l-esej ta’ Thoreau ma ġiex ippubblikat sa wara t-tmiem tal-Gwerra tal-Messiku.</v>
      </c>
    </row>
    <row r="13582" ht="15.75" customHeight="1">
      <c r="A13582" s="2" t="s">
        <v>13582</v>
      </c>
      <c r="B13582" s="2" t="str">
        <f>IFERROR(__xludf.DUMMYFUNCTION("GOOGLETRANSLATE(A13582, ""en"", ""mt"")"),"X'inhi t-temperatura tad-dħul tat-turbina ta 'Rankine Turbine, fi gradi Celsius?")</f>
        <v>X'inhi t-temperatura tad-dħul tat-turbina ta 'Rankine Turbine, fi gradi Celsius?</v>
      </c>
    </row>
    <row r="13583" ht="15.75" customHeight="1">
      <c r="A13583" s="2" t="s">
        <v>13583</v>
      </c>
      <c r="B13583" s="2" t="str">
        <f>IFERROR(__xludf.DUMMYFUNCTION("GOOGLETRANSLATE(A13583, ""en"", ""mt"")"),"X'inhu t-terminu li jiddeskrivi d-differenza bejn dak li jaqilgħu l-ogħla professjonisti mħallsa u aktar baxxi?")</f>
        <v>X'inhu t-terminu li jiddeskrivi d-differenza bejn dak li jaqilgħu l-ogħla professjonisti mħallsa u aktar baxxi?</v>
      </c>
    </row>
    <row r="13584" ht="15.75" customHeight="1">
      <c r="A13584" s="2" t="s">
        <v>13584</v>
      </c>
      <c r="B13584" s="2" t="str">
        <f>IFERROR(__xludf.DUMMYFUNCTION("GOOGLETRANSLATE(A13584, ""en"", ""mt"")"),"Kura tas-Saħħa tal-Ispiżerija")</f>
        <v>Kura tas-Saħħa tal-Ispiżerija</v>
      </c>
    </row>
    <row r="13585" ht="15.75" customHeight="1">
      <c r="A13585" s="2" t="s">
        <v>13585</v>
      </c>
      <c r="B13585" s="2" t="str">
        <f>IFERROR(__xludf.DUMMYFUNCTION("GOOGLETRANSLATE(A13585, ""en"", ""mt"")"),"Varsavja")</f>
        <v>Varsavja</v>
      </c>
    </row>
    <row r="13586" ht="15.75" customHeight="1">
      <c r="A13586" s="2" t="s">
        <v>13586</v>
      </c>
      <c r="B13586" s="2" t="str">
        <f>IFERROR(__xludf.DUMMYFUNCTION("GOOGLETRANSLATE(A13586, ""en"", ""mt"")"),"X'inhuma ppreżentati lill-Parlament minbarra l-abbozz innifsu?")</f>
        <v>X'inhuma ppreżentati lill-Parlament minbarra l-abbozz innifsu?</v>
      </c>
    </row>
    <row r="13587" ht="15.75" customHeight="1">
      <c r="A13587" s="2" t="s">
        <v>13587</v>
      </c>
      <c r="B13587" s="2" t="str">
        <f>IFERROR(__xludf.DUMMYFUNCTION("GOOGLETRANSLATE(A13587, ""en"", ""mt"")")," Fejn Mongke Khan jiddefendi d-dinastija tal-kanzunetta?")</f>
        <v> Fejn Mongke Khan jiddefendi d-dinastija tal-kanzunetta?</v>
      </c>
    </row>
    <row r="13588" ht="15.75" customHeight="1">
      <c r="A13588" s="2" t="s">
        <v>13588</v>
      </c>
      <c r="B13588" s="2" t="str">
        <f>IFERROR(__xludf.DUMMYFUNCTION("GOOGLETRANSLATE(A13588, ""en"", ""mt"")"),"Konferenza Big Ten")</f>
        <v>Konferenza Big Ten</v>
      </c>
    </row>
    <row r="13589" ht="15.75" customHeight="1">
      <c r="A13589" s="2" t="s">
        <v>13589</v>
      </c>
      <c r="B13589" s="2" t="str">
        <f>IFERROR(__xludf.DUMMYFUNCTION("GOOGLETRANSLATE(A13589, ""en"", ""mt"")"),"Huma proprjetà tal-pajjiż Ohio")</f>
        <v>Huma proprjetà tal-pajjiż Ohio</v>
      </c>
    </row>
    <row r="13590" ht="15.75" customHeight="1">
      <c r="A13590" s="2" t="s">
        <v>13590</v>
      </c>
      <c r="B13590" s="2" t="str">
        <f>IFERROR(__xludf.DUMMYFUNCTION("GOOGLETRANSLATE(A13590, ""en"", ""mt"")"),"Jean Cauvin (John Calvin)")</f>
        <v>Jean Cauvin (John Calvin)</v>
      </c>
    </row>
    <row r="13591" ht="15.75" customHeight="1">
      <c r="A13591" s="2" t="s">
        <v>13591</v>
      </c>
      <c r="B13591" s="2" t="str">
        <f>IFERROR(__xludf.DUMMYFUNCTION("GOOGLETRANSLATE(A13591, ""en"", ""mt"")"),"X'se jkunu jistgħu jbassru l-Maidens billi jżommu l-programmi tagħhom fil-vistula")</f>
        <v>X'se jkunu jistgħu jbassru l-Maidens billi jżommu l-programmi tagħhom fil-vistula</v>
      </c>
    </row>
    <row r="13592" ht="15.75" customHeight="1">
      <c r="A13592" s="2" t="s">
        <v>13592</v>
      </c>
      <c r="B13592" s="2" t="str">
        <f>IFERROR(__xludf.DUMMYFUNCTION("GOOGLETRANSLATE(A13592, ""en"", ""mt"")"),"Fl-iqsar bini fil-belt ta ’Jacksonville?")</f>
        <v>Fl-iqsar bini fil-belt ta ’Jacksonville?</v>
      </c>
    </row>
    <row r="13593" ht="15.75" customHeight="1">
      <c r="A13593" s="2" t="s">
        <v>13593</v>
      </c>
      <c r="B13593" s="2" t="str">
        <f>IFERROR(__xludf.DUMMYFUNCTION("GOOGLETRANSLATE(A13593, ""en"", ""mt"")"),"Il-Kumpanija Walt Disney")</f>
        <v>Il-Kumpanija Walt Disney</v>
      </c>
    </row>
    <row r="13594" ht="15.75" customHeight="1">
      <c r="A13594" s="2" t="s">
        <v>13594</v>
      </c>
      <c r="B13594" s="2" t="str">
        <f>IFERROR(__xludf.DUMMYFUNCTION("GOOGLETRANSLATE(A13594, ""en"", ""mt"")"),"Massakru ta 'Jum San Bartolomew")</f>
        <v>Massakru ta 'Jum San Bartolomew</v>
      </c>
    </row>
    <row r="13595" ht="15.75" customHeight="1">
      <c r="A13595" s="2" t="s">
        <v>13595</v>
      </c>
      <c r="B13595" s="2" t="str">
        <f>IFERROR(__xludf.DUMMYFUNCTION("GOOGLETRANSLATE(A13595, ""en"", ""mt"")"),"it-tribujiet Mongoljani u Turkiċi")</f>
        <v>it-tribujiet Mongoljani u Turkiċi</v>
      </c>
    </row>
    <row r="13596" ht="15.75" customHeight="1">
      <c r="A13596" s="2" t="s">
        <v>13596</v>
      </c>
      <c r="B13596" s="2" t="str">
        <f>IFERROR(__xludf.DUMMYFUNCTION("GOOGLETRANSLATE(A13596, ""en"", ""mt"")"),"L-Assemblea Leġiżlattiva")</f>
        <v>L-Assemblea Leġiżlattiva</v>
      </c>
    </row>
    <row r="13597" ht="15.75" customHeight="1">
      <c r="A13597" s="2" t="s">
        <v>13597</v>
      </c>
      <c r="B13597" s="2" t="str">
        <f>IFERROR(__xludf.DUMMYFUNCTION("GOOGLETRANSLATE(A13597, ""en"", ""mt"")"),"Fejn jistgħu jinstabu l-klassijiet tal-kumplessità RP, BPP, PP, BQP, MA, u PH?")</f>
        <v>Fejn jistgħu jinstabu l-klassijiet tal-kumplessità RP, BPP, PP, BQP, MA, u PH?</v>
      </c>
    </row>
    <row r="13598" ht="15.75" customHeight="1">
      <c r="A13598" s="2" t="s">
        <v>13598</v>
      </c>
      <c r="B13598" s="2" t="str">
        <f>IFERROR(__xludf.DUMMYFUNCTION("GOOGLETRANSLATE(A13598, ""en"", ""mt"")"),"Flimkien mal-knisja Anglikana u l-knisja li tgħaqqad, liema denominazzjoni reliġjuża topera skejjel privati ​​fl-Awstralja?")</f>
        <v>Flimkien mal-knisja Anglikana u l-knisja li tgħaqqad, liema denominazzjoni reliġjuża topera skejjel privati ​​fl-Awstralja?</v>
      </c>
    </row>
    <row r="13599" ht="15.75" customHeight="1">
      <c r="A13599" s="2" t="s">
        <v>13599</v>
      </c>
      <c r="B13599" s="2" t="str">
        <f>IFERROR(__xludf.DUMMYFUNCTION("GOOGLETRANSLATE(A13599, ""en"", ""mt"")"),"Atlantiku")</f>
        <v>Atlantiku</v>
      </c>
    </row>
    <row r="13600" ht="15.75" customHeight="1">
      <c r="A13600" s="2" t="s">
        <v>13600</v>
      </c>
      <c r="B13600" s="2" t="str">
        <f>IFERROR(__xludf.DUMMYFUNCTION("GOOGLETRANSLATE(A13600, ""en"", ""mt"")"),"F'liema sena ġew ippubblikati l-ewwel patoġeni PLOS?")</f>
        <v>F'liema sena ġew ippubblikati l-ewwel patoġeni PLOS?</v>
      </c>
    </row>
    <row r="13601" ht="15.75" customHeight="1">
      <c r="A13601" s="2" t="s">
        <v>13601</v>
      </c>
      <c r="B13601" s="2" t="str">
        <f>IFERROR(__xludf.DUMMYFUNCTION("GOOGLETRANSLATE(A13601, ""en"", ""mt"")"),"Liema żewġ oqsma tax-xjenza teoretika tal-kompjuter jirriflettu mill-qrib it-teorija tal-kumplessità tal-komputazzjoni?")</f>
        <v>Liema żewġ oqsma tax-xjenza teoretika tal-kompjuter jirriflettu mill-qrib it-teorija tal-kumplessità tal-komputazzjoni?</v>
      </c>
    </row>
    <row r="13602" ht="15.75" customHeight="1">
      <c r="A13602" s="2" t="s">
        <v>13602</v>
      </c>
      <c r="B13602" s="2" t="str">
        <f>IFERROR(__xludf.DUMMYFUNCTION("GOOGLETRANSLATE(A13602, ""en"", ""mt"")"),"ġew stabbiliti l-fondazzjonijiet")</f>
        <v>ġew stabbiliti l-fondazzjonijiet</v>
      </c>
    </row>
    <row r="13603" ht="15.75" customHeight="1">
      <c r="A13603" s="2" t="s">
        <v>13603</v>
      </c>
      <c r="B13603" s="2" t="str">
        <f>IFERROR(__xludf.DUMMYFUNCTION("GOOGLETRANSLATE(A13603, ""en"", ""mt"")"),"Il-problema tal-bejjiegħ li tivvjaġġa hija eżempju ta 'liema tip ta' problema?")</f>
        <v>Il-problema tal-bejjiegħ li tivvjaġġa hija eżempju ta 'liema tip ta' problema?</v>
      </c>
    </row>
    <row r="13604" ht="15.75" customHeight="1">
      <c r="A13604" s="2" t="s">
        <v>13604</v>
      </c>
      <c r="B13604" s="2" t="str">
        <f>IFERROR(__xludf.DUMMYFUNCTION("GOOGLETRANSLATE(A13604, ""en"", ""mt"")"),"Emigrazzjoni pprojbita")</f>
        <v>Emigrazzjoni pprojbita</v>
      </c>
    </row>
    <row r="13605" ht="15.75" customHeight="1">
      <c r="A13605" s="2" t="s">
        <v>13605</v>
      </c>
      <c r="B13605" s="2" t="str">
        <f>IFERROR(__xludf.DUMMYFUNCTION("GOOGLETRANSLATE(A13605, ""en"", ""mt"")"),"F'liema sena Huguenots l-ewwel imxew lejn is-Saarland tal-lum?")</f>
        <v>F'liema sena Huguenots l-ewwel imxew lejn is-Saarland tal-lum?</v>
      </c>
    </row>
    <row r="13606" ht="15.75" customHeight="1">
      <c r="A13606" s="2" t="s">
        <v>13606</v>
      </c>
      <c r="B13606" s="2" t="str">
        <f>IFERROR(__xludf.DUMMYFUNCTION("GOOGLETRANSLATE(A13606, ""en"", ""mt"")"),"X'inhi waħda mill-inqas kawżi komuni tal-mewt fil-bnedmin?")</f>
        <v>X'inhi waħda mill-inqas kawżi komuni tal-mewt fil-bnedmin?</v>
      </c>
    </row>
    <row r="13607" ht="15.75" customHeight="1">
      <c r="A13607" s="2" t="s">
        <v>13607</v>
      </c>
      <c r="B13607" s="2" t="str">
        <f>IFERROR(__xludf.DUMMYFUNCTION("GOOGLETRANSLATE(A13607, ""en"", ""mt"")"),"Meta ġie ppubblikat l-esej ta 'Thoreau?")</f>
        <v>Meta ġie ppubblikat l-esej ta 'Thoreau?</v>
      </c>
    </row>
    <row r="13608" ht="15.75" customHeight="1">
      <c r="A13608" s="2" t="s">
        <v>13608</v>
      </c>
      <c r="B13608" s="2" t="str">
        <f>IFERROR(__xludf.DUMMYFUNCTION("GOOGLETRANSLATE(A13608, ""en"", ""mt"")"),"Netwerking avvanzat ta 'riċerka u edukazzjoni fl-Istati Uniti")</f>
        <v>Netwerking avvanzat ta 'riċerka u edukazzjoni fl-Istati Uniti</v>
      </c>
    </row>
    <row r="13609" ht="15.75" customHeight="1">
      <c r="A13609" s="2" t="s">
        <v>13609</v>
      </c>
      <c r="B13609" s="2" t="str">
        <f>IFERROR(__xludf.DUMMYFUNCTION("GOOGLETRANSLATE(A13609, ""en"", ""mt"")"),"X’kien ivvintat minn Savery?")</f>
        <v>X’kien ivvintat minn Savery?</v>
      </c>
    </row>
    <row r="13610" ht="15.75" customHeight="1">
      <c r="A13610" s="2" t="s">
        <v>13610</v>
      </c>
      <c r="B13610" s="2" t="str">
        <f>IFERROR(__xludf.DUMMYFUNCTION("GOOGLETRANSLATE(A13610, ""en"", ""mt"")"),"X'inhu l-għan ta 'gruppi Iżlamisti bħal Hezbollah u Hamas?")</f>
        <v>X'inhu l-għan ta 'gruppi Iżlamisti bħal Hezbollah u Hamas?</v>
      </c>
    </row>
    <row r="13611" ht="15.75" customHeight="1">
      <c r="A13611" s="2" t="s">
        <v>13611</v>
      </c>
      <c r="B13611" s="2" t="str">
        <f>IFERROR(__xludf.DUMMYFUNCTION("GOOGLETRANSLATE(A13611, ""en"", ""mt"")"),"Kapaċità li jeħles ir-risponsi immuni li jospitaw")</f>
        <v>Kapaċità li jeħles ir-risponsi immuni li jospitaw</v>
      </c>
    </row>
    <row r="13612" ht="15.75" customHeight="1">
      <c r="A13612" s="2" t="s">
        <v>13612</v>
      </c>
      <c r="B13612" s="2" t="str">
        <f>IFERROR(__xludf.DUMMYFUNCTION("GOOGLETRANSLATE(A13612, ""en"", ""mt"")"),"Sa l-1990, l-Arabja Sawdita kellha rwol importanti fit-trażżin ta 'liema gruppi?")</f>
        <v>Sa l-1990, l-Arabja Sawdita kellha rwol importanti fit-trażżin ta 'liema gruppi?</v>
      </c>
    </row>
    <row r="13613" ht="15.75" customHeight="1">
      <c r="A13613" s="2" t="s">
        <v>13613</v>
      </c>
      <c r="B13613" s="2" t="str">
        <f>IFERROR(__xludf.DUMMYFUNCTION("GOOGLETRANSLATE(A13613, ""en"", ""mt"")"),"Meta ġie stabbilit it-Trattat ta 'Lisbona?")</f>
        <v>Meta ġie stabbilit it-Trattat ta 'Lisbona?</v>
      </c>
    </row>
    <row r="13614" ht="15.75" customHeight="1">
      <c r="A13614" s="2" t="s">
        <v>13614</v>
      </c>
      <c r="B13614" s="2" t="str">
        <f>IFERROR(__xludf.DUMMYFUNCTION("GOOGLETRANSLATE(A13614, ""en"", ""mt"")"),"Għaliex OC-12C kien ikkunsidrat bħala proeza ta 'inġinerija sostanzjali?")</f>
        <v>Għaliex OC-12C kien ikkunsidrat bħala proeza ta 'inġinerija sostanzjali?</v>
      </c>
    </row>
    <row r="13615" ht="15.75" customHeight="1">
      <c r="A13615" s="2" t="s">
        <v>13615</v>
      </c>
      <c r="B13615" s="2" t="str">
        <f>IFERROR(__xludf.DUMMYFUNCTION("GOOGLETRANSLATE(A13615, ""en"", ""mt"")"),"11.5 pulzieri (292.1 mm)")</f>
        <v>11.5 pulzieri (292.1 mm)</v>
      </c>
    </row>
    <row r="13616" ht="15.75" customHeight="1">
      <c r="A13616" s="2" t="s">
        <v>13616</v>
      </c>
      <c r="B13616" s="2" t="str">
        <f>IFERROR(__xludf.DUMMYFUNCTION("GOOGLETRANSLATE(A13616, ""en"", ""mt"")"),"X'tagħmel il-kostruzzjoni ta 'inġinerija tqila u ċivili li ma tagħmilx meta timmaniġġja l-proġetti?")</f>
        <v>X'tagħmel il-kostruzzjoni ta 'inġinerija tqila u ċivili li ma tagħmilx meta timmaniġġja l-proġetti?</v>
      </c>
    </row>
    <row r="13617" ht="15.75" customHeight="1">
      <c r="A13617" s="2" t="s">
        <v>13617</v>
      </c>
      <c r="B13617" s="2" t="str">
        <f>IFERROR(__xludf.DUMMYFUNCTION("GOOGLETRANSLATE(A13617, ""en"", ""mt"")"),"X'inhu speċjali dwar is-sessjonijiet ta 'komunikazzjoni ma' l-iswiċċ tal-pakketti?")</f>
        <v>X'inhu speċjali dwar is-sessjonijiet ta 'komunikazzjoni ma' l-iswiċċ tal-pakketti?</v>
      </c>
    </row>
    <row r="13618" ht="15.75" customHeight="1">
      <c r="A13618" s="2" t="s">
        <v>13618</v>
      </c>
      <c r="B13618" s="2" t="str">
        <f>IFERROR(__xludf.DUMMYFUNCTION("GOOGLETRANSLATE(A13618, ""en"", ""mt"")"),"X'ġara bħala riżultat tal-gwerra Russo-Ġappuniża?")</f>
        <v>X'ġara bħala riżultat tal-gwerra Russo-Ġappuniża?</v>
      </c>
    </row>
    <row r="13619" ht="15.75" customHeight="1">
      <c r="A13619" s="2" t="s">
        <v>13619</v>
      </c>
      <c r="B13619" s="2" t="str">
        <f>IFERROR(__xludf.DUMMYFUNCTION("GOOGLETRANSLATE(A13619, ""en"", ""mt"")"),"L-Isvizzera u l-Olanda")</f>
        <v>L-Isvizzera u l-Olanda</v>
      </c>
    </row>
    <row r="13620" ht="15.75" customHeight="1">
      <c r="A13620" s="2" t="s">
        <v>13620</v>
      </c>
      <c r="B13620" s="2" t="str">
        <f>IFERROR(__xludf.DUMMYFUNCTION("GOOGLETRANSLATE(A13620, ""en"", ""mt"")"),"Għaliex kienu s-suġġerimenti inizjali għal parlament devolut qabel l-1914 bl-inkarigu?")</f>
        <v>Għaliex kienu s-suġġerimenti inizjali għal parlament devolut qabel l-1914 bl-inkarigu?</v>
      </c>
    </row>
    <row r="13621" ht="15.75" customHeight="1">
      <c r="A13621" s="2" t="s">
        <v>13621</v>
      </c>
      <c r="B13621" s="2" t="str">
        <f>IFERROR(__xludf.DUMMYFUNCTION("GOOGLETRANSLATE(A13621, ""en"", ""mt"")"),"X'kienet miżjuda l-kontea l-aktar ġdida mal-lista?")</f>
        <v>X'kienet miżjuda l-kontea l-aktar ġdida mal-lista?</v>
      </c>
    </row>
    <row r="13622" ht="15.75" customHeight="1">
      <c r="A13622" s="2" t="s">
        <v>13622</v>
      </c>
      <c r="B13622" s="2" t="str">
        <f>IFERROR(__xludf.DUMMYFUNCTION("GOOGLETRANSLATE(A13622, ""en"", ""mt"")"),"San Nicolas jew Sint Nicolaas huma ċċelebrati aktar kmieni fis-sena fl-Olanda?")</f>
        <v>San Nicolas jew Sint Nicolaas huma ċċelebrati aktar kmieni fis-sena fl-Olanda?</v>
      </c>
    </row>
    <row r="13623" ht="15.75" customHeight="1">
      <c r="A13623" s="2" t="s">
        <v>13623</v>
      </c>
      <c r="B13623" s="2" t="str">
        <f>IFERROR(__xludf.DUMMYFUNCTION("GOOGLETRANSLATE(A13623, ""en"", ""mt"")"),"il-metodoloġija użata")</f>
        <v>il-metodoloġija użata</v>
      </c>
    </row>
    <row r="13624" ht="15.75" customHeight="1">
      <c r="A13624" s="2" t="s">
        <v>13624</v>
      </c>
      <c r="B13624" s="2" t="str">
        <f>IFERROR(__xludf.DUMMYFUNCTION("GOOGLETRANSLATE(A13624, ""en"", ""mt"")"),"X’ma kienx l-għan tal-expedition ta ’Braddock?")</f>
        <v>X’ma kienx l-għan tal-expedition ta ’Braddock?</v>
      </c>
    </row>
    <row r="13625" ht="15.75" customHeight="1">
      <c r="A13625" s="2" t="s">
        <v>13625</v>
      </c>
      <c r="B13625" s="2" t="str">
        <f>IFERROR(__xludf.DUMMYFUNCTION("GOOGLETRANSLATE(A13625, ""en"", ""mt"")"),"Fejn hi mmuntata d-dejta?")</f>
        <v>Fejn hi mmuntata d-dejta?</v>
      </c>
    </row>
    <row r="13626" ht="15.75" customHeight="1">
      <c r="A13626" s="2" t="s">
        <v>13626</v>
      </c>
      <c r="B13626" s="2" t="str">
        <f>IFERROR(__xludf.DUMMYFUNCTION("GOOGLETRANSLATE(A13626, ""en"", ""mt"")"),"Battleships Dreadnought")</f>
        <v>Battleships Dreadnought</v>
      </c>
    </row>
    <row r="13627" ht="15.75" customHeight="1">
      <c r="A13627" s="2" t="s">
        <v>13627</v>
      </c>
      <c r="B13627" s="2" t="str">
        <f>IFERROR(__xludf.DUMMYFUNCTION("GOOGLETRANSLATE(A13627, ""en"", ""mt"")"),"X'jista 'jkun indirettament derivat mis-simetrija tal-ispazju?")</f>
        <v>X'jista 'jkun indirettament derivat mis-simetrija tal-ispazju?</v>
      </c>
    </row>
    <row r="13628" ht="15.75" customHeight="1">
      <c r="A13628" s="2" t="s">
        <v>13628</v>
      </c>
      <c r="B13628" s="2" t="str">
        <f>IFERROR(__xludf.DUMMYFUNCTION("GOOGLETRANSLATE(A13628, ""en"", ""mt"")"),"Fejn kien ir-Rhine regolat b'kanal aktar baxx?")</f>
        <v>Fejn kien ir-Rhine regolat b'kanal aktar baxx?</v>
      </c>
    </row>
    <row r="13629" ht="15.75" customHeight="1">
      <c r="A13629" s="2" t="s">
        <v>13629</v>
      </c>
      <c r="B13629" s="2" t="str">
        <f>IFERROR(__xludf.DUMMYFUNCTION("GOOGLETRANSLATE(A13629, ""en"", ""mt"")")," Fl-Amerika x'inhu l-iktar kulur tal-ġilda revered?")</f>
        <v> Fl-Amerika x'inhu l-iktar kulur tal-ġilda revered?</v>
      </c>
    </row>
    <row r="13630" ht="15.75" customHeight="1">
      <c r="A13630" s="2" t="s">
        <v>13630</v>
      </c>
      <c r="B13630" s="2" t="str">
        <f>IFERROR(__xludf.DUMMYFUNCTION("GOOGLETRANSLATE(A13630, ""en"", ""mt"")"),"Meta l-Wahhabi ħatfet il-moskea grandjuża f'Mekka?")</f>
        <v>Meta l-Wahhabi ħatfet il-moskea grandjuża f'Mekka?</v>
      </c>
    </row>
    <row r="13631" ht="15.75" customHeight="1">
      <c r="A13631" s="2" t="s">
        <v>13631</v>
      </c>
      <c r="B13631" s="2" t="str">
        <f>IFERROR(__xludf.DUMMYFUNCTION("GOOGLETRANSLATE(A13631, ""en"", ""mt"")"),"F'liema sena ġie msemmi l-Edicaran Eoandromeda?")</f>
        <v>F'liema sena ġie msemmi l-Edicaran Eoandromeda?</v>
      </c>
    </row>
    <row r="13632" ht="15.75" customHeight="1">
      <c r="A13632" s="2" t="s">
        <v>13632</v>
      </c>
      <c r="B13632" s="2" t="str">
        <f>IFERROR(__xludf.DUMMYFUNCTION("GOOGLETRANSLATE(A13632, ""en"", ""mt"")"),"Kif tista 'tipprotesta kontra kumpaniji kbar b'mod mhux vjolenti?")</f>
        <v>Kif tista 'tipprotesta kontra kumpaniji kbar b'mod mhux vjolenti?</v>
      </c>
    </row>
    <row r="13633" ht="15.75" customHeight="1">
      <c r="A13633" s="2" t="s">
        <v>13633</v>
      </c>
      <c r="B13633" s="2" t="str">
        <f>IFERROR(__xludf.DUMMYFUNCTION("GOOGLETRANSLATE(A13633, ""en"", ""mt"")"),"X’għandu l-imħallef ħalli l-ġurati jafu dwarhom fil-każ ta ’Chicago Tmienja?")</f>
        <v>X’għandu l-imħallef ħalli l-ġurati jafu dwarhom fil-każ ta ’Chicago Tmienja?</v>
      </c>
    </row>
    <row r="13634" ht="15.75" customHeight="1">
      <c r="A13634" s="2" t="s">
        <v>13634</v>
      </c>
      <c r="B13634" s="2" t="str">
        <f>IFERROR(__xludf.DUMMYFUNCTION("GOOGLETRANSLATE(A13634, ""en"", ""mt"")"),"Kemm-il ġurnata għandu l-Parlament biex jinnomina l-ewwel ministru wara elezzjoni ġenerali?")</f>
        <v>Kemm-il ġurnata għandu l-Parlament biex jinnomina l-ewwel ministru wara elezzjoni ġenerali?</v>
      </c>
    </row>
    <row r="13635" ht="15.75" customHeight="1">
      <c r="A13635" s="2" t="s">
        <v>13635</v>
      </c>
      <c r="B13635" s="2" t="str">
        <f>IFERROR(__xludf.DUMMYFUNCTION("GOOGLETRANSLATE(A13635, ""en"", ""mt"")"),"X'inhu l-ogħla quċċata fir-Rabat?")</f>
        <v>X'inhu l-ogħla quċċata fir-Rabat?</v>
      </c>
    </row>
    <row r="13636" ht="15.75" customHeight="1">
      <c r="A13636" s="2" t="s">
        <v>13636</v>
      </c>
      <c r="B13636" s="2" t="str">
        <f>IFERROR(__xludf.DUMMYFUNCTION("GOOGLETRANSLATE(A13636, ""en"", ""mt"")"),"(""Lag ta 'Fuq""")</f>
        <v>("Lag ta 'Fuq"</v>
      </c>
    </row>
    <row r="13637" ht="15.75" customHeight="1">
      <c r="A13637" s="2" t="s">
        <v>13637</v>
      </c>
      <c r="B13637" s="2" t="str">
        <f>IFERROR(__xludf.DUMMYFUNCTION("GOOGLETRANSLATE(A13637, ""en"", ""mt"")"),"Qabel Kublai fl-1285")</f>
        <v>Qabel Kublai fl-1285</v>
      </c>
    </row>
    <row r="13638" ht="15.75" customHeight="1">
      <c r="A13638" s="2" t="s">
        <v>13638</v>
      </c>
      <c r="B13638" s="2" t="str">
        <f>IFERROR(__xludf.DUMMYFUNCTION("GOOGLETRANSLATE(A13638, ""en"", ""mt"")"),"Il-Kummentarji dwar il-Klassiku tal-Bidliet (I Ching)")</f>
        <v>Il-Kummentarji dwar il-Klassiku tal-Bidliet (I Ching)</v>
      </c>
    </row>
    <row r="13639" ht="15.75" customHeight="1">
      <c r="A13639" s="2" t="s">
        <v>13639</v>
      </c>
      <c r="B13639" s="2" t="str">
        <f>IFERROR(__xludf.DUMMYFUNCTION("GOOGLETRANSLATE(A13639, ""en"", ""mt"")"),"Xi jemmnu xi riċerkaturi li huwa l-ewwel phylum tal-annimali li qed jiddevja?")</f>
        <v>Xi jemmnu xi riċerkaturi li huwa l-ewwel phylum tal-annimali li qed jiddevja?</v>
      </c>
    </row>
    <row r="13640" ht="15.75" customHeight="1">
      <c r="A13640" s="2" t="s">
        <v>13640</v>
      </c>
      <c r="B13640" s="2" t="str">
        <f>IFERROR(__xludf.DUMMYFUNCTION("GOOGLETRANSLATE(A13640, ""en"", ""mt"")"),"Lil min jista 't-tieni ministru jagħti dikjarazzjonijiet?")</f>
        <v>Lil min jista 't-tieni ministru jagħti dikjarazzjonijiet?</v>
      </c>
    </row>
    <row r="13641" ht="15.75" customHeight="1">
      <c r="A13641" s="2" t="s">
        <v>13641</v>
      </c>
      <c r="B13641" s="2" t="str">
        <f>IFERROR(__xludf.DUMMYFUNCTION("GOOGLETRANSLATE(A13641, ""en"", ""mt"")"),"sfruttament tal-assi u provvisti siewja tan-nazzjon li ġie maħkum u n-nazzjon li jirbħu u mbagħad jikseb il-benefiċċji")</f>
        <v>sfruttament tal-assi u provvisti siewja tan-nazzjon li ġie maħkum u n-nazzjon li jirbħu u mbagħad jikseb il-benefiċċji</v>
      </c>
    </row>
    <row r="13642" ht="15.75" customHeight="1">
      <c r="A13642" s="2" t="s">
        <v>13642</v>
      </c>
      <c r="B13642" s="2" t="str">
        <f>IFERROR(__xludf.DUMMYFUNCTION("GOOGLETRANSLATE(A13642, ""en"", ""mt"")"),"X'inhu attivat qabel ir-rispons intrinsiku fil-vertebrati?")</f>
        <v>X'inhu attivat qabel ir-rispons intrinsiku fil-vertebrati?</v>
      </c>
    </row>
    <row r="13643" ht="15.75" customHeight="1">
      <c r="A13643" s="2" t="s">
        <v>13643</v>
      </c>
      <c r="B13643" s="2" t="str">
        <f>IFERROR(__xludf.DUMMYFUNCTION("GOOGLETRANSLATE(A13643, ""en"", ""mt"")"),"Min kellu l-Cuckoo Tavern?")</f>
        <v>Min kellu l-Cuckoo Tavern?</v>
      </c>
    </row>
    <row r="13644" ht="15.75" customHeight="1">
      <c r="A13644" s="2" t="s">
        <v>13644</v>
      </c>
      <c r="B13644" s="2" t="str">
        <f>IFERROR(__xludf.DUMMYFUNCTION("GOOGLETRANSLATE(A13644, ""en"", ""mt"")"),"Min mar il-Fort Dusquesne f'Ġunju 1745?")</f>
        <v>Min mar il-Fort Dusquesne f'Ġunju 1745?</v>
      </c>
    </row>
    <row r="13645" ht="15.75" customHeight="1">
      <c r="A13645" s="2" t="s">
        <v>13645</v>
      </c>
      <c r="B13645" s="2" t="str">
        <f>IFERROR(__xludf.DUMMYFUNCTION("GOOGLETRANSLATE(A13645, ""en"", ""mt"")"),"korrużjoni")</f>
        <v>korrużjoni</v>
      </c>
    </row>
    <row r="13646" ht="15.75" customHeight="1">
      <c r="A13646" s="2" t="s">
        <v>13646</v>
      </c>
      <c r="B13646" s="2" t="str">
        <f>IFERROR(__xludf.DUMMYFUNCTION("GOOGLETRANSLATE(A13646, ""en"", ""mt"")"),"Meta Setanta Sports qal li se tniedi bħala servizz b'xejn fuq il-pjattaforma terrestri diġitali?")</f>
        <v>Meta Setanta Sports qal li se tniedi bħala servizz b'xejn fuq il-pjattaforma terrestri diġitali?</v>
      </c>
    </row>
    <row r="13647" ht="15.75" customHeight="1">
      <c r="A13647" s="2" t="s">
        <v>13647</v>
      </c>
      <c r="B13647" s="2" t="str">
        <f>IFERROR(__xludf.DUMMYFUNCTION("GOOGLETRANSLATE(A13647, ""en"", ""mt"")"),"X'tip ta 'linja ferrovjarja hija Nazzjonali tal-Paċifiku?")</f>
        <v>X'tip ta 'linja ferrovjarja hija Nazzjonali tal-Paċifiku?</v>
      </c>
    </row>
    <row r="13648" ht="15.75" customHeight="1">
      <c r="A13648" s="2" t="s">
        <v>13648</v>
      </c>
      <c r="B13648" s="2" t="str">
        <f>IFERROR(__xludf.DUMMYFUNCTION("GOOGLETRANSLATE(A13648, ""en"", ""mt"")"),"Sebat ijiem lejn ix-xmara Rhine")</f>
        <v>Sebat ijiem lejn ix-xmara Rhine</v>
      </c>
    </row>
    <row r="13649" ht="15.75" customHeight="1">
      <c r="A13649" s="2" t="s">
        <v>13649</v>
      </c>
      <c r="B13649" s="2" t="str">
        <f>IFERROR(__xludf.DUMMYFUNCTION("GOOGLETRANSLATE(A13649, ""en"", ""mt"")"),"William P. Bell")</f>
        <v>William P. Bell</v>
      </c>
    </row>
    <row r="13650" ht="15.75" customHeight="1">
      <c r="A13650" s="2" t="s">
        <v>13650</v>
      </c>
      <c r="B13650" s="2" t="str">
        <f>IFERROR(__xludf.DUMMYFUNCTION("GOOGLETRANSLATE(A13650, ""en"", ""mt"")"),"Flimkien ma 'solari, faħam u nukleari, x'tip ta' pjanti notevoli jużaw il-proċess ta 'Rankine?")</f>
        <v>Flimkien ma 'solari, faħam u nukleari, x'tip ta' pjanti notevoli jużaw il-proċess ta 'Rankine?</v>
      </c>
    </row>
    <row r="13651" ht="15.75" customHeight="1">
      <c r="A13651" s="2" t="s">
        <v>13651</v>
      </c>
      <c r="B13651" s="2" t="str">
        <f>IFERROR(__xludf.DUMMYFUNCTION("GOOGLETRANSLATE(A13651, ""en"", ""mt"")"),"Lincoln Continental,")</f>
        <v>Lincoln Continental,</v>
      </c>
    </row>
    <row r="13652" ht="15.75" customHeight="1">
      <c r="A13652" s="2" t="s">
        <v>13652</v>
      </c>
      <c r="B13652" s="2" t="str">
        <f>IFERROR(__xludf.DUMMYFUNCTION("GOOGLETRANSLATE(A13652, ""en"", ""mt"")"),"Min ried lil Iżrael jirtira mill-fruntiera tiegħu?")</f>
        <v>Min ried lil Iżrael jirtira mill-fruntiera tiegħu?</v>
      </c>
    </row>
    <row r="13653" ht="15.75" customHeight="1">
      <c r="A13653" s="2" t="s">
        <v>13653</v>
      </c>
      <c r="B13653" s="2" t="str">
        <f>IFERROR(__xludf.DUMMYFUNCTION("GOOGLETRANSLATE(A13653, ""en"", ""mt"")"),"Il-ħodor")</f>
        <v>Il-ħodor</v>
      </c>
    </row>
    <row r="13654" ht="15.75" customHeight="1">
      <c r="A13654" s="2" t="s">
        <v>13654</v>
      </c>
      <c r="B13654" s="2" t="str">
        <f>IFERROR(__xludf.DUMMYFUNCTION("GOOGLETRANSLATE(A13654, ""en"", ""mt"")"),"Liema pjaneta dehret il-liġijiet gravitazzjonali ta 'Buck Newton?")</f>
        <v>Liema pjaneta dehret il-liġijiet gravitazzjonali ta 'Buck Newton?</v>
      </c>
    </row>
    <row r="13655" ht="15.75" customHeight="1">
      <c r="A13655" s="2" t="s">
        <v>13655</v>
      </c>
      <c r="B13655" s="2" t="str">
        <f>IFERROR(__xludf.DUMMYFUNCTION("GOOGLETRANSLATE(A13655, ""en"", ""mt"")"),"X'inhuma l-aktar partijiet attivi ta 'Ctenophora?")</f>
        <v>X'inhuma l-aktar partijiet attivi ta 'Ctenophora?</v>
      </c>
    </row>
    <row r="13656" ht="15.75" customHeight="1">
      <c r="A13656" s="2" t="s">
        <v>13656</v>
      </c>
      <c r="B13656" s="2" t="str">
        <f>IFERROR(__xludf.DUMMYFUNCTION("GOOGLETRANSLATE(A13656, ""en"", ""mt"")"),"X'tip ta 'membru x'inhi l-università għall-Big Twelve Conference?")</f>
        <v>X'tip ta 'membru x'inhi l-università għall-Big Twelve Conference?</v>
      </c>
    </row>
    <row r="13657" ht="15.75" customHeight="1">
      <c r="A13657" s="2" t="s">
        <v>13657</v>
      </c>
      <c r="B13657" s="2" t="str">
        <f>IFERROR(__xludf.DUMMYFUNCTION("GOOGLETRANSLATE(A13657, ""en"", ""mt"")"),"Kemm hemm appoġġ għall-approċċ tan-NU għall-iżvilupp ekonomiku?")</f>
        <v>Kemm hemm appoġġ għall-approċċ tan-NU għall-iżvilupp ekonomiku?</v>
      </c>
    </row>
    <row r="13658" ht="15.75" customHeight="1">
      <c r="A13658" s="2" t="s">
        <v>13658</v>
      </c>
      <c r="B13658" s="2" t="str">
        <f>IFERROR(__xludf.DUMMYFUNCTION("GOOGLETRANSLATE(A13658, ""en"", ""mt"")"),"Dokumenti Xjentifiċi u Riżultati Dokumentati Indipendentement minn Korpi Xjentifiċi oħra")</f>
        <v>Dokumenti Xjentifiċi u Riżultati Dokumentati Indipendentement minn Korpi Xjentifiċi oħra</v>
      </c>
    </row>
    <row r="13659" ht="15.75" customHeight="1">
      <c r="A13659" s="2" t="s">
        <v>13659</v>
      </c>
      <c r="B13659" s="2" t="str">
        <f>IFERROR(__xludf.DUMMYFUNCTION("GOOGLETRANSLATE(A13659, ""en"", ""mt"")"),"X'tip ta 'kostruzzjoni unibody normalment ikollha karozza Amerikana?")</f>
        <v>X'tip ta 'kostruzzjoni unibody normalment ikollha karozza Amerikana?</v>
      </c>
    </row>
    <row r="13660" ht="15.75" customHeight="1">
      <c r="A13660" s="2" t="s">
        <v>13660</v>
      </c>
      <c r="B13660" s="2" t="str">
        <f>IFERROR(__xludf.DUMMYFUNCTION("GOOGLETRANSLATE(A13660, ""en"", ""mt"")"),"X'inhu l-isem ta 'tip ieħor ta' prim hawn P + 1 jew P-1 jieħu ċerta forma?")</f>
        <v>X'inhu l-isem ta 'tip ieħor ta' prim hawn P + 1 jew P-1 jieħu ċerta forma?</v>
      </c>
    </row>
    <row r="13661" ht="15.75" customHeight="1">
      <c r="A13661" s="2" t="s">
        <v>13661</v>
      </c>
      <c r="B13661" s="2" t="str">
        <f>IFERROR(__xludf.DUMMYFUNCTION("GOOGLETRANSLATE(A13661, ""en"", ""mt"")"),"Kif jiġu ppeżati l-voti biex jiżguraw li stati iżgħar ma jkunux iddominati minn dawk ikbar?")</f>
        <v>Kif jiġu ppeżati l-voti biex jiżguraw li stati iżgħar ma jkunux iddominati minn dawk ikbar?</v>
      </c>
    </row>
    <row r="13662" ht="15.75" customHeight="1">
      <c r="A13662" s="2" t="s">
        <v>13662</v>
      </c>
      <c r="B13662" s="2" t="str">
        <f>IFERROR(__xludf.DUMMYFUNCTION("GOOGLETRANSLATE(A13662, ""en"", ""mt"")")," Għaliex il-Uighurs kienu kklassifikati aktar baxxi mill-Mongoli?")</f>
        <v> Għaliex il-Uighurs kienu kklassifikati aktar baxxi mill-Mongoli?</v>
      </c>
    </row>
    <row r="13663" ht="15.75" customHeight="1">
      <c r="A13663" s="2" t="s">
        <v>13663</v>
      </c>
      <c r="B13663" s="2" t="str">
        <f>IFERROR(__xludf.DUMMYFUNCTION("GOOGLETRANSLATE(A13663, ""en"", ""mt"")"),"$ 150,000")</f>
        <v>$ 150,000</v>
      </c>
    </row>
    <row r="13664" ht="15.75" customHeight="1">
      <c r="A13664" s="2" t="s">
        <v>13664</v>
      </c>
      <c r="B13664" s="2" t="str">
        <f>IFERROR(__xludf.DUMMYFUNCTION("GOOGLETRANSLATE(A13664, ""en"", ""mt"")"),"53%")</f>
        <v>53%</v>
      </c>
    </row>
    <row r="13665" ht="15.75" customHeight="1">
      <c r="A13665" s="2" t="s">
        <v>13665</v>
      </c>
      <c r="B13665" s="2" t="str">
        <f>IFERROR(__xludf.DUMMYFUNCTION("GOOGLETRANSLATE(A13665, ""en"", ""mt"")"),"Kemm mijiet ta 'snin kienet irregolata l-Iskozja direttament mill-Parlament tal-Gran Brittanja?")</f>
        <v>Kemm mijiet ta 'snin kienet irregolata l-Iskozja direttament mill-Parlament tal-Gran Brittanja?</v>
      </c>
    </row>
    <row r="13666" ht="15.75" customHeight="1">
      <c r="A13666" s="2" t="s">
        <v>13666</v>
      </c>
      <c r="B13666" s="2" t="str">
        <f>IFERROR(__xludf.DUMMYFUNCTION("GOOGLETRANSLATE(A13666, ""en"", ""mt"")"),"X'inhu terminu ieħor għall-arja vitali?")</f>
        <v>X'inhu terminu ieħor għall-arja vitali?</v>
      </c>
    </row>
    <row r="13667" ht="15.75" customHeight="1">
      <c r="A13667" s="2" t="s">
        <v>13667</v>
      </c>
      <c r="B13667" s="2" t="str">
        <f>IFERROR(__xludf.DUMMYFUNCTION("GOOGLETRANSLATE(A13667, ""en"", ""mt"")"),"Kif jinbidel il-fluss tal-magma?")</f>
        <v>Kif jinbidel il-fluss tal-magma?</v>
      </c>
    </row>
    <row r="13668" ht="15.75" customHeight="1">
      <c r="A13668" s="2" t="s">
        <v>13668</v>
      </c>
      <c r="B13668" s="2" t="str">
        <f>IFERROR(__xludf.DUMMYFUNCTION("GOOGLETRANSLATE(A13668, ""en"", ""mt"")"),"Dispożizzjoni tal-effetti personali tal-priġunieri")</f>
        <v>Dispożizzjoni tal-effetti personali tal-priġunieri</v>
      </c>
    </row>
    <row r="13669" ht="15.75" customHeight="1">
      <c r="A13669" s="2" t="s">
        <v>13669</v>
      </c>
      <c r="B13669" s="2" t="str">
        <f>IFERROR(__xludf.DUMMYFUNCTION("GOOGLETRANSLATE(A13669, ""en"", ""mt"")"),"X'inhuma l-aqwa 4-5% studenti li jiggradwaw?")</f>
        <v>X'inhuma l-aqwa 4-5% studenti li jiggradwaw?</v>
      </c>
    </row>
    <row r="13670" ht="15.75" customHeight="1">
      <c r="A13670" s="2" t="s">
        <v>13670</v>
      </c>
      <c r="B13670" s="2" t="str">
        <f>IFERROR(__xludf.DUMMYFUNCTION("GOOGLETRANSLATE(A13670, ""en"", ""mt"")"),"Metodu li jalloka minn qabel il-wisa 'tal-banda netwerk iddedikat speċifikament għal kull sessjoni ta' komunikazzjoni")</f>
        <v>Metodu li jalloka minn qabel il-wisa 'tal-banda netwerk iddedikat speċifikament għal kull sessjoni ta' komunikazzjoni</v>
      </c>
    </row>
    <row r="13671" ht="15.75" customHeight="1">
      <c r="A13671" s="2" t="s">
        <v>13671</v>
      </c>
      <c r="B13671" s="2" t="str">
        <f>IFERROR(__xludf.DUMMYFUNCTION("GOOGLETRANSLATE(A13671, ""en"", ""mt"")"),"skejjel prep")</f>
        <v>skejjel prep</v>
      </c>
    </row>
    <row r="13672" ht="15.75" customHeight="1">
      <c r="A13672" s="2" t="s">
        <v>13672</v>
      </c>
      <c r="B13672" s="2" t="str">
        <f>IFERROR(__xludf.DUMMYFUNCTION("GOOGLETRANSLATE(A13672, ""en"", ""mt"")"),"X'inhu l-għan tal-approċċ tal-kapaċitajiet?")</f>
        <v>X'inhu l-għan tal-approċċ tal-kapaċitajiet?</v>
      </c>
    </row>
    <row r="13673" ht="15.75" customHeight="1">
      <c r="A13673" s="2" t="s">
        <v>13673</v>
      </c>
      <c r="B13673" s="2" t="str">
        <f>IFERROR(__xludf.DUMMYFUNCTION("GOOGLETRANSLATE(A13673, ""en"", ""mt"")"),"3,792,621")</f>
        <v>3,792,621</v>
      </c>
    </row>
    <row r="13674" ht="15.75" customHeight="1">
      <c r="A13674" s="2" t="s">
        <v>13674</v>
      </c>
      <c r="B13674" s="2" t="str">
        <f>IFERROR(__xludf.DUMMYFUNCTION("GOOGLETRANSLATE(A13674, ""en"", ""mt"")"),"Liema żoni kienu l-inqas vulnerabbli għall-mard?")</f>
        <v>Liema żoni kienu l-inqas vulnerabbli għall-mard?</v>
      </c>
    </row>
    <row r="13675" ht="15.75" customHeight="1">
      <c r="A13675" s="2" t="s">
        <v>13675</v>
      </c>
      <c r="B13675" s="2" t="str">
        <f>IFERROR(__xludf.DUMMYFUNCTION("GOOGLETRANSLATE(A13675, ""en"", ""mt"")"),"Ormon sterojdi calcitriol")</f>
        <v>Ormon sterojdi calcitriol</v>
      </c>
    </row>
    <row r="13676" ht="15.75" customHeight="1">
      <c r="A13676" s="2" t="s">
        <v>13676</v>
      </c>
      <c r="B13676" s="2" t="str">
        <f>IFERROR(__xludf.DUMMYFUNCTION("GOOGLETRANSLATE(A13676, ""en"", ""mt"")"),"30–75%")</f>
        <v>30–75%</v>
      </c>
    </row>
    <row r="13677" ht="15.75" customHeight="1">
      <c r="A13677" s="2" t="s">
        <v>13677</v>
      </c>
      <c r="B13677" s="2" t="str">
        <f>IFERROR(__xludf.DUMMYFUNCTION("GOOGLETRANSLATE(A13677, ""en"", ""mt"")"),"Min ma ordnax Dinwiddie biex jindirizza l-Franċiż fit-territorju ta 'Virginia?")</f>
        <v>Min ma ordnax Dinwiddie biex jindirizza l-Franċiż fit-territorju ta 'Virginia?</v>
      </c>
    </row>
    <row r="13678" ht="15.75" customHeight="1">
      <c r="A13678" s="2" t="s">
        <v>13678</v>
      </c>
      <c r="B13678" s="2" t="str">
        <f>IFERROR(__xludf.DUMMYFUNCTION("GOOGLETRANSLATE(A13678, ""en"", ""mt"")"),"Dokumenti li jakkumpanjaw - Noti ta 'Spjegazzjoni")</f>
        <v>Dokumenti li jakkumpanjaw - Noti ta 'Spjegazzjoni</v>
      </c>
    </row>
    <row r="13679" ht="15.75" customHeight="1">
      <c r="A13679" s="2" t="s">
        <v>13679</v>
      </c>
      <c r="B13679" s="2" t="str">
        <f>IFERROR(__xludf.DUMMYFUNCTION("GOOGLETRANSLATE(A13679, ""en"", ""mt"")"),"Min kien in-nannu Kublai Khan?")</f>
        <v>Min kien in-nannu Kublai Khan?</v>
      </c>
    </row>
    <row r="13680" ht="15.75" customHeight="1">
      <c r="A13680" s="2" t="s">
        <v>13680</v>
      </c>
      <c r="B13680" s="2" t="str">
        <f>IFERROR(__xludf.DUMMYFUNCTION("GOOGLETRANSLATE(A13680, ""en"", ""mt"")"),"Is-suddiviżjoni iżolata")</f>
        <v>Is-suddiviżjoni iżolata</v>
      </c>
    </row>
    <row r="13681" ht="15.75" customHeight="1">
      <c r="A13681" s="2" t="s">
        <v>13681</v>
      </c>
      <c r="B13681" s="2" t="str">
        <f>IFERROR(__xludf.DUMMYFUNCTION("GOOGLETRANSLATE(A13681, ""en"", ""mt"")"),"X'inhu moviment ta 'qawmien mill-ġdid Iżlamiku?")</f>
        <v>X'inhu moviment ta 'qawmien mill-ġdid Iżlamiku?</v>
      </c>
    </row>
    <row r="13682" ht="15.75" customHeight="1">
      <c r="A13682" s="2" t="s">
        <v>13682</v>
      </c>
      <c r="B13682" s="2" t="str">
        <f>IFERROR(__xludf.DUMMYFUNCTION("GOOGLETRANSLATE(A13682, ""en"", ""mt"")"),"Ismailiyah, l-Eġittu")</f>
        <v>Ismailiyah, l-Eġittu</v>
      </c>
    </row>
    <row r="13683" ht="15.75" customHeight="1">
      <c r="A13683" s="2" t="s">
        <v>13683</v>
      </c>
      <c r="B13683" s="2" t="str">
        <f>IFERROR(__xludf.DUMMYFUNCTION("GOOGLETRANSLATE(A13683, ""en"", ""mt"")"),"forza strutturali")</f>
        <v>forza strutturali</v>
      </c>
    </row>
    <row r="13684" ht="15.75" customHeight="1">
      <c r="A13684" s="2" t="s">
        <v>13684</v>
      </c>
      <c r="B13684" s="2" t="str">
        <f>IFERROR(__xludf.DUMMYFUNCTION("GOOGLETRANSLATE(A13684, ""en"", ""mt"")"),"Kanali HD")</f>
        <v>Kanali HD</v>
      </c>
    </row>
    <row r="13685" ht="15.75" customHeight="1">
      <c r="A13685" s="2" t="s">
        <v>13685</v>
      </c>
      <c r="B13685" s="2" t="str">
        <f>IFERROR(__xludf.DUMMYFUNCTION("GOOGLETRANSLATE(A13685, ""en"", ""mt"")"),"X'inhi l-iktar kundizzjoni tal-biża 'li l-għaddasa jridu jevitaw?")</f>
        <v>X'inhi l-iktar kundizzjoni tal-biża 'li l-għaddasa jridu jevitaw?</v>
      </c>
    </row>
    <row r="13686" ht="15.75" customHeight="1">
      <c r="A13686" s="2" t="s">
        <v>13686</v>
      </c>
      <c r="B13686" s="2" t="str">
        <f>IFERROR(__xludf.DUMMYFUNCTION("GOOGLETRANSLATE(A13686, ""en"", ""mt"")"),"Kap tal-Gvern")</f>
        <v>Kap tal-Gvern</v>
      </c>
    </row>
    <row r="13687" ht="15.75" customHeight="1">
      <c r="A13687" s="2" t="s">
        <v>13687</v>
      </c>
      <c r="B13687" s="2" t="str">
        <f>IFERROR(__xludf.DUMMYFUNCTION("GOOGLETRANSLATE(A13687, ""en"", ""mt"")"),"livelli ta 'inugwaljanza ekonomika")</f>
        <v>livelli ta 'inugwaljanza ekonomika</v>
      </c>
    </row>
    <row r="13688" ht="15.75" customHeight="1">
      <c r="A13688" s="2" t="s">
        <v>13688</v>
      </c>
      <c r="B13688" s="2" t="str">
        <f>IFERROR(__xludf.DUMMYFUNCTION("GOOGLETRANSLATE(A13688, ""en"", ""mt"")"),"Liema karozzi ta 'daqs kienu l-inqas karozzi mitluba fil-kriżi?")</f>
        <v>Liema karozzi ta 'daqs kienu l-inqas karozzi mitluba fil-kriżi?</v>
      </c>
    </row>
    <row r="13689" ht="15.75" customHeight="1">
      <c r="A13689" s="2" t="s">
        <v>13689</v>
      </c>
      <c r="B13689" s="2" t="str">
        <f>IFERROR(__xludf.DUMMYFUNCTION("GOOGLETRANSLATE(A13689, ""en"", ""mt"")"),"Islam kwietist / mhux politiku")</f>
        <v>Islam kwietist / mhux politiku</v>
      </c>
    </row>
    <row r="13690" ht="15.75" customHeight="1">
      <c r="A13690" s="2" t="s">
        <v>13690</v>
      </c>
      <c r="B13690" s="2" t="str">
        <f>IFERROR(__xludf.DUMMYFUNCTION("GOOGLETRANSLATE(A13690, ""en"", ""mt"")"),"L-ex Speaker tal-Parlament huwa min?")</f>
        <v>L-ex Speaker tal-Parlament huwa min?</v>
      </c>
    </row>
    <row r="13691" ht="15.75" customHeight="1">
      <c r="A13691" s="2" t="s">
        <v>13691</v>
      </c>
      <c r="B13691" s="2" t="str">
        <f>IFERROR(__xludf.DUMMYFUNCTION("GOOGLETRANSLATE(A13691, ""en"", ""mt"")"),"Kif miet l-aħħar kanzunetta tal-kanzunetta?")</f>
        <v>Kif miet l-aħħar kanzunetta tal-kanzunetta?</v>
      </c>
    </row>
    <row r="13692" ht="15.75" customHeight="1">
      <c r="A13692" s="2" t="s">
        <v>13692</v>
      </c>
      <c r="B13692" s="2" t="str">
        <f>IFERROR(__xludf.DUMMYFUNCTION("GOOGLETRANSLATE(A13692, ""en"", ""mt"")"),"Min ma affermax id-dritt tar-Russja għal ""awtodeterminazzjoni?""")</f>
        <v>Min ma affermax id-dritt tar-Russja għal "awtodeterminazzjoni?"</v>
      </c>
    </row>
    <row r="13693" ht="15.75" customHeight="1">
      <c r="A13693" s="2" t="s">
        <v>13693</v>
      </c>
      <c r="B13693" s="2" t="str">
        <f>IFERROR(__xludf.DUMMYFUNCTION("GOOGLETRANSLATE(A13693, ""en"", ""mt"")"),"X'għandhom pajjiżi bħal Spanja?")</f>
        <v>X'għandhom pajjiżi bħal Spanja?</v>
      </c>
    </row>
    <row r="13694" ht="15.75" customHeight="1">
      <c r="A13694" s="2" t="s">
        <v>13694</v>
      </c>
      <c r="B13694" s="2" t="str">
        <f>IFERROR(__xludf.DUMMYFUNCTION("GOOGLETRANSLATE(A13694, ""en"", ""mt"")"),"Saħħa Mentali (Kura u Trattament) (l-Iskozja) Att 2003")</f>
        <v>Saħħa Mentali (Kura u Trattament) (l-Iskozja) Att 2003</v>
      </c>
    </row>
    <row r="13695" ht="15.75" customHeight="1">
      <c r="A13695" s="2" t="s">
        <v>13695</v>
      </c>
      <c r="B13695" s="2" t="str">
        <f>IFERROR(__xludf.DUMMYFUNCTION("GOOGLETRANSLATE(A13695, ""en"", ""mt"")"),"Kif inhuma r-rati ta 'oġġetti soċjali f'pajjiżi b'inugwaljanza ogħla?")</f>
        <v>Kif inhuma r-rati ta 'oġġetti soċjali f'pajjiżi b'inugwaljanza ogħla?</v>
      </c>
    </row>
    <row r="13696" ht="15.75" customHeight="1">
      <c r="A13696" s="2" t="s">
        <v>13696</v>
      </c>
      <c r="B13696" s="2" t="str">
        <f>IFERROR(__xludf.DUMMYFUNCTION("GOOGLETRANSLATE(A13696, ""en"", ""mt"")"),"Percy Shelley")</f>
        <v>Percy Shelley</v>
      </c>
    </row>
    <row r="13697" ht="15.75" customHeight="1">
      <c r="A13697" s="2" t="s">
        <v>13697</v>
      </c>
      <c r="B13697" s="2" t="str">
        <f>IFERROR(__xludf.DUMMYFUNCTION("GOOGLETRANSLATE(A13697, ""en"", ""mt"")"),"Fil-15 ta ’Awwissu, 1971")</f>
        <v>Fil-15 ta ’Awwissu, 1971</v>
      </c>
    </row>
    <row r="13698" ht="15.75" customHeight="1">
      <c r="A13698" s="2" t="s">
        <v>13698</v>
      </c>
      <c r="B13698" s="2" t="str">
        <f>IFERROR(__xludf.DUMMYFUNCTION("GOOGLETRANSLATE(A13698, ""en"", ""mt"")"),"Liema spiżjar wera li n-nar kellu bżonn biss parti mill-arja?")</f>
        <v>Liema spiżjar wera li n-nar kellu bżonn biss parti mill-arja?</v>
      </c>
    </row>
    <row r="13699" ht="15.75" customHeight="1">
      <c r="A13699" s="2" t="s">
        <v>13699</v>
      </c>
      <c r="B13699" s="2" t="str">
        <f>IFERROR(__xludf.DUMMYFUNCTION("GOOGLETRANSLATE(A13699, ""en"", ""mt"")"),"X'inhuma Los Angeles, Orange, San Diego, San Bernardino u Riverside?")</f>
        <v>X'inhuma Los Angeles, Orange, San Diego, San Bernardino u Riverside?</v>
      </c>
    </row>
    <row r="13700" ht="15.75" customHeight="1">
      <c r="A13700" s="2" t="s">
        <v>13700</v>
      </c>
      <c r="B13700" s="2" t="str">
        <f>IFERROR(__xludf.DUMMYFUNCTION("GOOGLETRANSLATE(A13700, ""en"", ""mt"")"),"X'inhi l-isem tad-ditta tal-video recorder li BSKYB qatt ma nbiegħ?")</f>
        <v>X'inhi l-isem tad-ditta tal-video recorder li BSKYB qatt ma nbiegħ?</v>
      </c>
    </row>
    <row r="13701" ht="15.75" customHeight="1">
      <c r="A13701" s="2" t="s">
        <v>13701</v>
      </c>
      <c r="B13701" s="2" t="str">
        <f>IFERROR(__xludf.DUMMYFUNCTION("GOOGLETRANSLATE(A13701, ""en"", ""mt"")"),"Żrar")</f>
        <v>Żrar</v>
      </c>
    </row>
    <row r="13702" ht="15.75" customHeight="1">
      <c r="A13702" s="2" t="s">
        <v>13702</v>
      </c>
      <c r="B13702" s="2" t="str">
        <f>IFERROR(__xludf.DUMMYFUNCTION("GOOGLETRANSLATE(A13702, ""en"", ""mt"")"),"L-Awstralja")</f>
        <v>L-Awstralja</v>
      </c>
    </row>
    <row r="13703" ht="15.75" customHeight="1">
      <c r="A13703" s="2" t="s">
        <v>13703</v>
      </c>
      <c r="B13703" s="2" t="str">
        <f>IFERROR(__xludf.DUMMYFUNCTION("GOOGLETRANSLATE(A13703, ""en"", ""mt"")"),"Bejn il-Franċiżi u l-Ingliżi, liema gruppi qatt ma kkontrollaw art?")</f>
        <v>Bejn il-Franċiżi u l-Ingliżi, liema gruppi qatt ma kkontrollaw art?</v>
      </c>
    </row>
    <row r="13704" ht="15.75" customHeight="1">
      <c r="A13704" s="2" t="s">
        <v>13704</v>
      </c>
      <c r="B13704" s="2" t="str">
        <f>IFERROR(__xludf.DUMMYFUNCTION("GOOGLETRANSLATE(A13704, ""en"", ""mt"")"),"X'inhu diffiċli bi proporzjon satellita-ħoss?")</f>
        <v>X'inhu diffiċli bi proporzjon satellita-ħoss?</v>
      </c>
    </row>
    <row r="13705" ht="15.75" customHeight="1">
      <c r="A13705" s="2" t="s">
        <v>13705</v>
      </c>
      <c r="B13705" s="2" t="str">
        <f>IFERROR(__xludf.DUMMYFUNCTION("GOOGLETRANSLATE(A13705, ""en"", ""mt"")"),"Tħeġġeġ kunsens fost il-membri eletti")</f>
        <v>Tħeġġeġ kunsens fost il-membri eletti</v>
      </c>
    </row>
    <row r="13706" ht="15.75" customHeight="1">
      <c r="A13706" s="2" t="s">
        <v>13706</v>
      </c>
      <c r="B13706" s="2" t="str">
        <f>IFERROR(__xludf.DUMMYFUNCTION("GOOGLETRANSLATE(A13706, ""en"", ""mt"")"),"X'kien l-isem oriġinali tal-Colonia Agrippina?")</f>
        <v>X'kien l-isem oriġinali tal-Colonia Agrippina?</v>
      </c>
    </row>
    <row r="13707" ht="15.75" customHeight="1">
      <c r="A13707" s="2" t="s">
        <v>13707</v>
      </c>
      <c r="B13707" s="2" t="str">
        <f>IFERROR(__xludf.DUMMYFUNCTION("GOOGLETRANSLATE(A13707, ""en"", ""mt"")"),"X'inhu l-proporzjon power-to-piż ta 'impjant tal-fwar meta mqabbel ma' dak ta 'magna ta' kombustjoni interna?")</f>
        <v>X'inhu l-proporzjon power-to-piż ta 'impjant tal-fwar meta mqabbel ma' dak ta 'magna ta' kombustjoni interna?</v>
      </c>
    </row>
    <row r="13708" ht="15.75" customHeight="1">
      <c r="A13708" s="2" t="s">
        <v>13708</v>
      </c>
      <c r="B13708" s="2" t="str">
        <f>IFERROR(__xludf.DUMMYFUNCTION("GOOGLETRANSLATE(A13708, ""en"", ""mt"")"),"veduta differenti")</f>
        <v>veduta differenti</v>
      </c>
    </row>
    <row r="13709" ht="15.75" customHeight="1">
      <c r="A13709" s="2" t="s">
        <v>13709</v>
      </c>
      <c r="B13709" s="2" t="str">
        <f>IFERROR(__xludf.DUMMYFUNCTION("GOOGLETRANSLATE(A13709, ""en"", ""mt"")"),"Dak li jinkludi s-suġġetti kollha li mhumiex iddikjarati fl-Iskeda 6 għall-Att dwar l-Iskozja?")</f>
        <v>Dak li jinkludi s-suġġetti kollha li mhumiex iddikjarati fl-Iskeda 6 għall-Att dwar l-Iskozja?</v>
      </c>
    </row>
    <row r="13710" ht="15.75" customHeight="1">
      <c r="A13710" s="2" t="s">
        <v>13710</v>
      </c>
      <c r="B13710" s="2" t="str">
        <f>IFERROR(__xludf.DUMMYFUNCTION("GOOGLETRANSLATE(A13710, ""en"", ""mt"")"),"Liema metodu jintuża fil-voti li jgħaqqdu fl-ewwel vot tal-votazzjoni?")</f>
        <v>Liema metodu jintuża fil-voti li jgħaqqdu fl-ewwel vot tal-votazzjoni?</v>
      </c>
    </row>
    <row r="13711" ht="15.75" customHeight="1">
      <c r="A13711" s="2" t="s">
        <v>13711</v>
      </c>
      <c r="B13711" s="2" t="str">
        <f>IFERROR(__xludf.DUMMYFUNCTION("GOOGLETRANSLATE(A13711, ""en"", ""mt"")"),"jottimizza l-użu tal-medikazzjoni u jippromwovi s-saħħa, il-benessri, u l-prevenzjoni tal-mard")</f>
        <v>jottimizza l-użu tal-medikazzjoni u jippromwovi s-saħħa, il-benessri, u l-prevenzjoni tal-mard</v>
      </c>
    </row>
    <row r="13712" ht="15.75" customHeight="1">
      <c r="A13712" s="2" t="s">
        <v>13712</v>
      </c>
      <c r="B13712" s="2" t="str">
        <f>IFERROR(__xludf.DUMMYFUNCTION("GOOGLETRANSLATE(A13712, ""en"", ""mt"")"),"Kemm dam biex titjieb fuq il-liġijiet tal-mozzjoni ta 'Sir Isaac Newton?")</f>
        <v>Kemm dam biex titjieb fuq il-liġijiet tal-mozzjoni ta 'Sir Isaac Newton?</v>
      </c>
    </row>
    <row r="13713" ht="15.75" customHeight="1">
      <c r="A13713" s="2" t="s">
        <v>13713</v>
      </c>
      <c r="B13713" s="2" t="str">
        <f>IFERROR(__xludf.DUMMYFUNCTION("GOOGLETRANSLATE(A13713, ""en"", ""mt"")"),"X'jagħmlu t-tentakli fuq plankton biex jgħinhom isibu priża?")</f>
        <v>X'jagħmlu t-tentakli fuq plankton biex jgħinhom isibu priża?</v>
      </c>
    </row>
    <row r="13714" ht="15.75" customHeight="1">
      <c r="A13714" s="2" t="s">
        <v>13714</v>
      </c>
      <c r="B13714" s="2" t="str">
        <f>IFERROR(__xludf.DUMMYFUNCTION("GOOGLETRANSLATE(A13714, ""en"", ""mt"")"),"Minn min kiseb l-SNP 16-il siġġu?")</f>
        <v>Minn min kiseb l-SNP 16-il siġġu?</v>
      </c>
    </row>
    <row r="13715" ht="15.75" customHeight="1">
      <c r="A13715" s="2" t="s">
        <v>13715</v>
      </c>
      <c r="B13715" s="2" t="str">
        <f>IFERROR(__xludf.DUMMYFUNCTION("GOOGLETRANSLATE(A13715, ""en"", ""mt"")"),"L-ewwel ippubblikat minn Sir Charles Lyell fl-1830 Dan il-ktieb kien jissejjaħ xiex?")</f>
        <v>L-ewwel ippubblikat minn Sir Charles Lyell fl-1830 Dan il-ktieb kien jissejjaħ xiex?</v>
      </c>
    </row>
    <row r="13716" ht="15.75" customHeight="1">
      <c r="A13716" s="2" t="s">
        <v>13716</v>
      </c>
      <c r="B13716" s="2" t="str">
        <f>IFERROR(__xludf.DUMMYFUNCTION("GOOGLETRANSLATE(A13716, ""en"", ""mt"")"),"Kif issejħu l-flus tal-karti tal-wan?")</f>
        <v>Kif issejħu l-flus tal-karti tal-wan?</v>
      </c>
    </row>
    <row r="13717" ht="15.75" customHeight="1">
      <c r="A13717" s="2" t="s">
        <v>13717</v>
      </c>
      <c r="B13717" s="2" t="str">
        <f>IFERROR(__xludf.DUMMYFUNCTION("GOOGLETRANSLATE(A13717, ""en"", ""mt"")"),"Bejn Brakel u liema belt oħra tista 'tiġi skoperta l-iktar influwenza tal-marea fuq l-art?")</f>
        <v>Bejn Brakel u liema belt oħra tista 'tiġi skoperta l-iktar influwenza tal-marea fuq l-art?</v>
      </c>
    </row>
    <row r="13718" ht="15.75" customHeight="1">
      <c r="A13718" s="2" t="s">
        <v>13718</v>
      </c>
      <c r="B13718" s="2" t="str">
        <f>IFERROR(__xludf.DUMMYFUNCTION("GOOGLETRANSLATE(A13718, ""en"", ""mt"")"),"Konfigurazzjoni tipika hija li tmexxi IP fuq ATM jew verżjoni ta 'MPLS")</f>
        <v>Konfigurazzjoni tipika hija li tmexxi IP fuq ATM jew verżjoni ta 'MPLS</v>
      </c>
    </row>
    <row r="13719" ht="15.75" customHeight="1">
      <c r="A13719" s="2" t="s">
        <v>13719</v>
      </c>
      <c r="B13719" s="2" t="str">
        <f>IFERROR(__xludf.DUMMYFUNCTION("GOOGLETRANSLATE(A13719, ""en"", ""mt"")"),"Madwar l-1700")</f>
        <v>Madwar l-1700</v>
      </c>
    </row>
    <row r="13720" ht="15.75" customHeight="1">
      <c r="A13720" s="2" t="s">
        <v>13720</v>
      </c>
      <c r="B13720" s="2" t="str">
        <f>IFERROR(__xludf.DUMMYFUNCTION("GOOGLETRANSLATE(A13720, ""en"", ""mt"")"),"arja likwifikata")</f>
        <v>arja likwifikata</v>
      </c>
    </row>
    <row r="13721" ht="15.75" customHeight="1">
      <c r="A13721" s="2" t="s">
        <v>13721</v>
      </c>
      <c r="B13721" s="2" t="str">
        <f>IFERROR(__xludf.DUMMYFUNCTION("GOOGLETRANSLATE(A13721, ""en"", ""mt"")"),"Gżejjer żgħar billi jippreċipitaw is-sedimenti")</f>
        <v>Gżejjer żgħar billi jippreċipitaw is-sedimenti</v>
      </c>
    </row>
    <row r="13722" ht="15.75" customHeight="1">
      <c r="A13722" s="2" t="s">
        <v>13722</v>
      </c>
      <c r="B13722" s="2" t="str">
        <f>IFERROR(__xludf.DUMMYFUNCTION("GOOGLETRANSLATE(A13722, ""en"", ""mt"")"),"260 kilometru")</f>
        <v>260 kilometru</v>
      </c>
    </row>
    <row r="13723" ht="15.75" customHeight="1">
      <c r="A13723" s="2" t="s">
        <v>13723</v>
      </c>
      <c r="B13723" s="2" t="str">
        <f>IFERROR(__xludf.DUMMYFUNCTION("GOOGLETRANSLATE(A13723, ""en"", ""mt"")"),"Sorsi ta 'enerġija bi pressjoni għolja kienu żgħar biżżejjed li jistgħu jintużaw f'liema applikazzjoni?")</f>
        <v>Sorsi ta 'enerġija bi pressjoni għolja kienu żgħar biżżejjed li jistgħu jintużaw f'liema applikazzjoni?</v>
      </c>
    </row>
    <row r="13724" ht="15.75" customHeight="1">
      <c r="A13724" s="2" t="s">
        <v>13724</v>
      </c>
      <c r="B13724" s="2" t="str">
        <f>IFERROR(__xludf.DUMMYFUNCTION("GOOGLETRANSLATE(A13724, ""en"", ""mt"")"),"Liema awtur tal-IPCC ikkritika l-qatran?")</f>
        <v>Liema awtur tal-IPCC ikkritika l-qatran?</v>
      </c>
    </row>
    <row r="13725" ht="15.75" customHeight="1">
      <c r="A13725" s="2" t="s">
        <v>13725</v>
      </c>
      <c r="B13725" s="2" t="str">
        <f>IFERROR(__xludf.DUMMYFUNCTION("GOOGLETRANSLATE(A13725, ""en"", ""mt"")"),"maniġer tal-kostruzzjoni, inġinier tad-disinn, inġinier tal-kostruzzjoni jew maniġer tal-proġett")</f>
        <v>maniġer tal-kostruzzjoni, inġinier tad-disinn, inġinier tal-kostruzzjoni jew maniġer tal-proġett</v>
      </c>
    </row>
    <row r="13726" ht="15.75" customHeight="1">
      <c r="A13726" s="2" t="s">
        <v>13726</v>
      </c>
      <c r="B13726" s="2" t="str">
        <f>IFERROR(__xludf.DUMMYFUNCTION("GOOGLETRANSLATE(A13726, ""en"", ""mt"")"),"X'inhuma l-magni li jużaw erba 'ċilindri ta' espansjoni magħrufa bħala?")</f>
        <v>X'inhuma l-magni li jużaw erba 'ċilindri ta' espansjoni magħrufa bħala?</v>
      </c>
    </row>
    <row r="13727" ht="15.75" customHeight="1">
      <c r="A13727" s="2" t="s">
        <v>13727</v>
      </c>
      <c r="B13727" s="2" t="str">
        <f>IFERROR(__xludf.DUMMYFUNCTION("GOOGLETRANSLATE(A13727, ""en"", ""mt"")")," Wieħed mill-oġġetti tal-aġenda tal-FIS kien li jġiegħel lill-irġiel jibdew jagħmlu xiex?")</f>
        <v> Wieħed mill-oġġetti tal-aġenda tal-FIS kien li jġiegħel lill-irġiel jibdew jagħmlu xiex?</v>
      </c>
    </row>
    <row r="13728" ht="15.75" customHeight="1">
      <c r="A13728" s="2" t="s">
        <v>13728</v>
      </c>
      <c r="B13728" s="2" t="str">
        <f>IFERROR(__xludf.DUMMYFUNCTION("GOOGLETRANSLATE(A13728, ""en"", ""mt"")"),"Strettament min kien inkluż fid-DataNet 1")</f>
        <v>Strettament min kien inkluż fid-DataNet 1</v>
      </c>
    </row>
    <row r="13729" ht="15.75" customHeight="1">
      <c r="A13729" s="2" t="s">
        <v>13729</v>
      </c>
      <c r="B13729" s="2" t="str">
        <f>IFERROR(__xludf.DUMMYFUNCTION("GOOGLETRANSLATE(A13729, ""en"", ""mt"")"),"SCOTTISH_PARLIAMENT")</f>
        <v>SCOTTISH_PARLIAMENT</v>
      </c>
    </row>
    <row r="13730" ht="15.75" customHeight="1">
      <c r="A13730" s="2" t="s">
        <v>13730</v>
      </c>
      <c r="B13730" s="2" t="str">
        <f>IFERROR(__xludf.DUMMYFUNCTION("GOOGLETRANSLATE(A13730, ""en"", ""mt"")"),"Università ta 'Riċerka Privata")</f>
        <v>Università ta 'Riċerka Privata</v>
      </c>
    </row>
    <row r="13731" ht="15.75" customHeight="1">
      <c r="A13731" s="2" t="s">
        <v>13731</v>
      </c>
      <c r="B13731" s="2" t="str">
        <f>IFERROR(__xludf.DUMMYFUNCTION("GOOGLETRANSLATE(A13731, ""en"", ""mt"")"),"Liema xjenzati evitaw il-ħolqien tal-farmakoloġija fl-Islam modern?")</f>
        <v>Liema xjenzati evitaw il-ħolqien tal-farmakoloġija fl-Islam modern?</v>
      </c>
    </row>
    <row r="13732" ht="15.75" customHeight="1">
      <c r="A13732" s="2" t="s">
        <v>13732</v>
      </c>
      <c r="B13732" s="2" t="str">
        <f>IFERROR(__xludf.DUMMYFUNCTION("GOOGLETRANSLATE(A13732, ""en"", ""mt"")"),"X'inhu l-isem għal rispons tas-sistema immunitarja li tagħmel ħsara lit-tessuti indiġeni tal-ġisem?")</f>
        <v>X'inhu l-isem għal rispons tas-sistema immunitarja li tagħmel ħsara lit-tessuti indiġeni tal-ġisem?</v>
      </c>
    </row>
    <row r="13733" ht="15.75" customHeight="1">
      <c r="A13733" s="2" t="s">
        <v>13733</v>
      </c>
      <c r="B13733" s="2" t="str">
        <f>IFERROR(__xludf.DUMMYFUNCTION("GOOGLETRANSLATE(A13733, ""en"", ""mt"")"),"X'inhu l-korp ġudizzjarju ewlieni attwali tal-UE?")</f>
        <v>X'inhu l-korp ġudizzjarju ewlieni attwali tal-UE?</v>
      </c>
    </row>
    <row r="13734" ht="15.75" customHeight="1">
      <c r="A13734" s="2" t="s">
        <v>13734</v>
      </c>
      <c r="B13734" s="2" t="str">
        <f>IFERROR(__xludf.DUMMYFUNCTION("GOOGLETRANSLATE(A13734, ""en"", ""mt"")"),"X'kienu l-kontribuzzjonijiet tal-Protestant għall-ħajja ekonomika tal-Istat Uniti?")</f>
        <v>X'kienu l-kontribuzzjonijiet tal-Protestant għall-ħajja ekonomika tal-Istat Uniti?</v>
      </c>
    </row>
    <row r="13735" ht="15.75" customHeight="1">
      <c r="A13735" s="2" t="s">
        <v>13735</v>
      </c>
      <c r="B13735" s="2" t="str">
        <f>IFERROR(__xludf.DUMMYFUNCTION("GOOGLETRANSLATE(A13735, ""en"", ""mt"")"),"Bejn l-1500 u l-1850")</f>
        <v>Bejn l-1500 u l-1850</v>
      </c>
    </row>
    <row r="13736" ht="15.75" customHeight="1">
      <c r="A13736" s="2" t="s">
        <v>13736</v>
      </c>
      <c r="B13736" s="2" t="str">
        <f>IFERROR(__xludf.DUMMYFUNCTION("GOOGLETRANSLATE(A13736, ""en"", ""mt"")"),"X'inhi funzjoni oħra li l-primes għandhom dak in-numru 1 ma għandux?")</f>
        <v>X'inhi funzjoni oħra li l-primes għandhom dak in-numru 1 ma għandux?</v>
      </c>
    </row>
    <row r="13737" ht="15.75" customHeight="1">
      <c r="A13737" s="2" t="s">
        <v>13737</v>
      </c>
      <c r="B13737" s="2" t="str">
        <f>IFERROR(__xludf.DUMMYFUNCTION("GOOGLETRANSLATE(A13737, ""en"", ""mt"")"),"415,000 sa 587,000")</f>
        <v>415,000 sa 587,000</v>
      </c>
    </row>
    <row r="13738" ht="15.75" customHeight="1">
      <c r="A13738" s="2" t="s">
        <v>13738</v>
      </c>
      <c r="B13738" s="2" t="str">
        <f>IFERROR(__xludf.DUMMYFUNCTION("GOOGLETRANSLATE(A13738, ""en"",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13739" ht="15.75" customHeight="1">
      <c r="A13739" s="2" t="s">
        <v>13739</v>
      </c>
      <c r="B13739" s="2" t="str">
        <f>IFERROR(__xludf.DUMMYFUNCTION("GOOGLETRANSLATE(A13739, ""en"", ""mt"")"),"X'inhi l-unità bażika tad-diviżjoni territorjali fil-Polonja?")</f>
        <v>X'inhi l-unità bażika tad-diviżjoni territorjali fil-Polonja?</v>
      </c>
    </row>
    <row r="13740" ht="15.75" customHeight="1">
      <c r="A13740" s="2" t="s">
        <v>13740</v>
      </c>
      <c r="B13740" s="2" t="str">
        <f>IFERROR(__xludf.DUMMYFUNCTION("GOOGLETRANSLATE(A13740, ""en"", ""mt"")"),"25")</f>
        <v>25</v>
      </c>
    </row>
    <row r="13741" ht="15.75" customHeight="1">
      <c r="A13741" s="2" t="s">
        <v>13741</v>
      </c>
      <c r="B13741" s="2" t="str">
        <f>IFERROR(__xludf.DUMMYFUNCTION("GOOGLETRANSLATE(A13741, ""en"", ""mt"")"),"Liema kunċetti influwenzaw l-arpanet aktar tard?")</f>
        <v>Liema kunċetti influwenzaw l-arpanet aktar tard?</v>
      </c>
    </row>
    <row r="13742" ht="15.75" customHeight="1">
      <c r="A13742" s="2" t="s">
        <v>13742</v>
      </c>
      <c r="B13742" s="2" t="str">
        <f>IFERROR(__xludf.DUMMYFUNCTION("GOOGLETRANSLATE(A13742, ""en"", ""mt"")"),"Biex tindika territorju mhux magħruf jew mhux esplorat")</f>
        <v>Biex tindika territorju mhux magħruf jew mhux esplorat</v>
      </c>
    </row>
    <row r="13743" ht="15.75" customHeight="1">
      <c r="A13743" s="2" t="s">
        <v>13743</v>
      </c>
      <c r="B13743" s="2" t="str">
        <f>IFERROR(__xludf.DUMMYFUNCTION("GOOGLETRANSLATE(A13743, ""en"", ""mt"")"),"Politiku")</f>
        <v>Politiku</v>
      </c>
    </row>
    <row r="13744" ht="15.75" customHeight="1">
      <c r="A13744" s="2" t="s">
        <v>13744</v>
      </c>
      <c r="B13744" s="2" t="str">
        <f>IFERROR(__xludf.DUMMYFUNCTION("GOOGLETRANSLATE(A13744, ""en"", ""mt"")"),"It-tieni l-akbar belt")</f>
        <v>It-tieni l-akbar belt</v>
      </c>
    </row>
    <row r="13745" ht="15.75" customHeight="1">
      <c r="A13745" s="2" t="s">
        <v>13745</v>
      </c>
      <c r="B13745" s="2" t="str">
        <f>IFERROR(__xludf.DUMMYFUNCTION("GOOGLETRANSLATE(A13745, ""en"", ""mt"")"),"1951")</f>
        <v>1951</v>
      </c>
    </row>
    <row r="13746" ht="15.75" customHeight="1">
      <c r="A13746" s="2" t="s">
        <v>13746</v>
      </c>
      <c r="B13746" s="2" t="str">
        <f>IFERROR(__xludf.DUMMYFUNCTION("GOOGLETRANSLATE(A13746, ""en"", ""mt"")"),"Liema truppi attakkaw lil Fort William Henry fil-bidu tal-1775?")</f>
        <v>Liema truppi attakkaw lil Fort William Henry fil-bidu tal-1775?</v>
      </c>
    </row>
    <row r="13747" ht="15.75" customHeight="1">
      <c r="A13747" s="2" t="s">
        <v>13747</v>
      </c>
      <c r="B13747" s="2" t="str">
        <f>IFERROR(__xludf.DUMMYFUNCTION("GOOGLETRANSLATE(A13747, ""en"", ""mt"")"),"Min żviluppa teorija ta 'kumplessità axiomatic ibbażata fuq l-axioms tiegħu fl-1974?")</f>
        <v>Min żviluppa teorija ta 'kumplessità axiomatic ibbażata fuq l-axioms tiegħu fl-1974?</v>
      </c>
    </row>
    <row r="13748" ht="15.75" customHeight="1">
      <c r="A13748" s="2" t="s">
        <v>13748</v>
      </c>
      <c r="B13748" s="2" t="str">
        <f>IFERROR(__xludf.DUMMYFUNCTION("GOOGLETRANSLATE(A13748, ""en"", ""mt"")"),"forza applikata")</f>
        <v>forza applikata</v>
      </c>
    </row>
    <row r="13749" ht="15.75" customHeight="1">
      <c r="A13749" s="2" t="s">
        <v>13749</v>
      </c>
      <c r="B13749" s="2" t="str">
        <f>IFERROR(__xludf.DUMMYFUNCTION("GOOGLETRANSLATE(A13749, ""en"", ""mt"")"),"Fl-1900, il-Los Angeles Times iddefinixxew in-Nofsinhar tal-Kalifornja bħala li jinkludu ""Is-Seba 'Pajjiżi ta' Los Angeles, San Bernardino, Orange, Riverside, San Diego, Ventura u Santa Barbara."" Fl-1999, The Times żiedet kontea aktar ġdida - imperjali "&amp;"- għal dik il-lista.")</f>
        <v>Fl-1900, il-Los Angeles Times iddefinixxew in-Nofsinhar tal-Kalifornja bħala li jinkludu "Is-Seba 'Pajjiżi ta' Los Angeles, San Bernardino, Orange, Riverside, San Diego, Ventura u Santa Barbara." Fl-1999, The Times żiedet kontea aktar ġdida - imperjali - għal dik il-lista.</v>
      </c>
    </row>
    <row r="13750" ht="15.75" customHeight="1">
      <c r="A13750" s="2" t="s">
        <v>13750</v>
      </c>
      <c r="B13750" s="2" t="str">
        <f>IFERROR(__xludf.DUMMYFUNCTION("GOOGLETRANSLATE(A13750, ""en"", ""mt"")"),"X'tagħmel l-estensjoni għas-sediment li hija inqas minn metru twil?")</f>
        <v>X'tagħmel l-estensjoni għas-sediment li hija inqas minn metru twil?</v>
      </c>
    </row>
    <row r="13751" ht="15.75" customHeight="1">
      <c r="A13751" s="2" t="s">
        <v>13751</v>
      </c>
      <c r="B13751" s="2" t="str">
        <f>IFERROR(__xludf.DUMMYFUNCTION("GOOGLETRANSLATE(A13751, ""en"", ""mt"")"),"Sky plc")</f>
        <v>Sky plc</v>
      </c>
    </row>
    <row r="13752" ht="15.75" customHeight="1">
      <c r="A13752" s="2" t="s">
        <v>13752</v>
      </c>
      <c r="B13752" s="2" t="str">
        <f>IFERROR(__xludf.DUMMYFUNCTION("GOOGLETRANSLATE(A13752, ""en"", ""mt"")"),"X'għandhom l-ispeċi kollha ħlief waħda Platycenida?")</f>
        <v>X'għandhom l-ispeċi kollha ħlief waħda Platycenida?</v>
      </c>
    </row>
    <row r="13753" ht="15.75" customHeight="1">
      <c r="A13753" s="2" t="s">
        <v>13753</v>
      </c>
      <c r="B13753" s="2" t="str">
        <f>IFERROR(__xludf.DUMMYFUNCTION("GOOGLETRANSLATE(A13753, ""en"", ""mt"")"),"Is-sid jipproduċi lista ta 'rekwiżiti għal proġett, li jagħti veduta ġenerali tal-għanijiet tal-proġett. Bosta kuntratturi ta 'D&amp;B jippreżentaw ideat differenti dwar kif jistgħu jintlaħqu dawn l-għanijiet. Is-sid jagħżel l-ideat li jħobb l-aħjar u jikri l"&amp;"-kuntrattur xieraq. Ħafna drabi, mhuwiex biss kuntrattur wieħed, iżda konsorzju ta 'diversi kuntratturi li jaħdmu flimkien. Ladarba dawn ikunu ġew mikrija, jibdew jibnu l-ewwel fażi tal-proġett. Hekk kif jibnu l-fażi 1, huma jiddisinjaw il-fażi 2. Dan huw"&amp;"a f'kuntrast ma 'kuntratt ta' bini-bid, fejn il-proġett huwa ddisinjat kompletament mis-sid, u mbagħad jitlesta, imbagħad tlesta.")</f>
        <v>Is-sid jipproduċi lista ta 'rekwiżiti għal proġett, li jagħti veduta ġenerali tal-għanijiet tal-proġett. Bosta kuntratturi ta 'D&amp;B jippreżentaw ideat differenti dwar kif jistgħu jintlaħqu dawn l-għanijiet. Is-sid jagħżel l-ideat li jħobb l-aħjar u jikri l-kuntrattur xieraq. Ħafna drabi, mhuwiex biss kuntrattur wieħed, iżda konsorzju ta 'diversi kuntratturi li jaħdmu flimkien. Ladarba dawn ikunu ġew mikrija, jibdew jibnu l-ewwel fażi tal-proġett. Hekk kif jibnu l-fażi 1, huma jiddisinjaw il-fażi 2. Dan huwa f'kuntrast ma 'kuntratt ta' bini-bid, fejn il-proġett huwa ddisinjat kompletament mis-sid, u mbagħad jitlesta, imbagħad tlesta.</v>
      </c>
    </row>
    <row r="13754" ht="15.75" customHeight="1">
      <c r="A13754" s="2" t="s">
        <v>13754</v>
      </c>
      <c r="B13754" s="2" t="str">
        <f>IFERROR(__xludf.DUMMYFUNCTION("GOOGLETRANSLATE(A13754, ""en"", ""mt"")"),"X'inhi l-matriċi?")</f>
        <v>X'inhi l-matriċi?</v>
      </c>
    </row>
    <row r="13755" ht="15.75" customHeight="1">
      <c r="A13755" s="2" t="s">
        <v>13755</v>
      </c>
      <c r="B13755" s="2" t="str">
        <f>IFERROR(__xludf.DUMMYFUNCTION("GOOGLETRANSLATE(A13755, ""en"", ""mt"")"),"Aġġustabbli mgħobbija bir-rebbiegħa")</f>
        <v>Aġġustabbli mgħobbija bir-rebbiegħa</v>
      </c>
    </row>
    <row r="13756" ht="15.75" customHeight="1">
      <c r="A13756" s="2" t="s">
        <v>13756</v>
      </c>
      <c r="B13756" s="2" t="str">
        <f>IFERROR(__xludf.DUMMYFUNCTION("GOOGLETRANSLATE(A13756, ""en"", ""mt"")"),"X'tip ta 'fjura hija mfittxija fil-Lejliet ta' Nofs is-Sajf?")</f>
        <v>X'tip ta 'fjura hija mfittxija fil-Lejliet ta' Nofs is-Sajf?</v>
      </c>
    </row>
    <row r="13757" ht="15.75" customHeight="1">
      <c r="A13757" s="2" t="s">
        <v>13757</v>
      </c>
      <c r="B13757" s="2" t="str">
        <f>IFERROR(__xludf.DUMMYFUNCTION("GOOGLETRANSLATE(A13757, ""en"", ""mt"")"),"naqas b’mod sinifikanti")</f>
        <v>naqas b’mod sinifikanti</v>
      </c>
    </row>
    <row r="13758" ht="15.75" customHeight="1">
      <c r="A13758" s="2" t="s">
        <v>13758</v>
      </c>
      <c r="B13758" s="2" t="str">
        <f>IFERROR(__xludf.DUMMYFUNCTION("GOOGLETRANSLATE(A13758, ""en"", ""mt"")"),"Eicosanoids u ċitokini")</f>
        <v>Eicosanoids u ċitokini</v>
      </c>
    </row>
    <row r="13759" ht="15.75" customHeight="1">
      <c r="A13759" s="2" t="s">
        <v>13759</v>
      </c>
      <c r="B13759" s="2" t="str">
        <f>IFERROR(__xludf.DUMMYFUNCTION("GOOGLETRANSLATE(A13759, ""en"", ""mt"")"),"X'tip ta 'awtorità huma l-ispiżjara tal-kura ambulatorja mogħtija fis-sistema federali tal-kura tas-saħħa ta' l-Istati Uniti?")</f>
        <v>X'tip ta 'awtorità huma l-ispiżjara tal-kura ambulatorja mogħtija fis-sistema federali tal-kura tas-saħħa ta' l-Istati Uniti?</v>
      </c>
    </row>
    <row r="13760" ht="15.75" customHeight="1">
      <c r="A13760" s="2" t="s">
        <v>13760</v>
      </c>
      <c r="B13760" s="2" t="str">
        <f>IFERROR(__xludf.DUMMYFUNCTION("GOOGLETRANSLATE(A13760, ""en"", ""mt"")"),"Mill-inqas is-seklu 14")</f>
        <v>Mill-inqas is-seklu 14</v>
      </c>
    </row>
    <row r="13761" ht="15.75" customHeight="1">
      <c r="A13761" s="2" t="s">
        <v>13761</v>
      </c>
      <c r="B13761" s="2" t="str">
        <f>IFERROR(__xludf.DUMMYFUNCTION("GOOGLETRANSLATE(A13761, ""en"", ""mt"")"),"$ 200 miljun")</f>
        <v>$ 200 miljun</v>
      </c>
    </row>
    <row r="13762" ht="15.75" customHeight="1">
      <c r="A13762" s="2" t="s">
        <v>13762</v>
      </c>
      <c r="B13762" s="2" t="str">
        <f>IFERROR(__xludf.DUMMYFUNCTION("GOOGLETRANSLATE(A13762, ""en"", ""mt"")"),"Kemm avvenimenti jseħħu f'ċiklu tal-fwar?")</f>
        <v>Kemm avvenimenti jseħħu f'ċiklu tal-fwar?</v>
      </c>
    </row>
    <row r="13763" ht="15.75" customHeight="1">
      <c r="A13763" s="2" t="s">
        <v>13763</v>
      </c>
      <c r="B13763" s="2" t="str">
        <f>IFERROR(__xludf.DUMMYFUNCTION("GOOGLETRANSLATE(A13763, ""en"", ""mt"")"),"Iżda l-limiti tal-ħin tal-komputazzjoni hawn fuq minn xi funzjoni konkreta F (n) ħafna drabi tagħti klassijiet ta 'kumplessità li jiddependu fuq il-mudell tal-magna magħżula. Pereżempju, il-lingwa {xx | X huwa kwalunkwe sekwenza binarja} tista 'tissolva f"&amp;"il-ħin lineari fuq magna b'ħafna tape, iżda neċessarjament teħtieġ ħin kwadratiku fil-mudell ta' magni tat-tejp ta 'tejp wieħed. Jekk inħallu varjazzjonijiet polinomjali fil-ħin ta 'tħaddim, it-teżi ta' Cobham-Edmonds tiddikjara li ""l-kumplessitajiet tal"&amp;"-ħin fi kwalunkwe żewġ mudelli raġonevoli u ġenerali ta 'komputazzjoni huma relatati mal-polinomjalment"" (Goldreich 2008, Kapitolu 1.2). Dan jifforma l-bażi għall-Klassi tal-Kumplessità P, li hija s-sett ta 'problemi ta' deċiżjoni li tista 'tissolva perm"&amp;"ezz ta' magna tat-Turing deterministika fi żmien polinomjali. Is-sett korrispondenti ta 'problemi ta' funzjoni huwa FP.")</f>
        <v>Iżda l-limiti tal-ħin tal-komputazzjoni hawn fuq minn xi funzjoni konkreta F (n) ħafna drabi tagħti klassijiet ta 'kumplessità li jiddependu fuq il-mudell tal-magna magħżula. Pereżempju, il-lingwa {xx | X huwa kwalunkwe sekwenza binarja} tista 'tissolva fil-ħin lineari fuq magna b'ħafna tape, iżda neċessarjament teħtieġ ħin kwadratiku fil-mudell ta' magni tat-tejp ta 'tejp wieħed. Jekk inħallu varjazzjonijiet polinomjali fil-ħin ta 'tħaddim, it-teżi ta' Cobham-Edmonds tiddikjara li "l-kumplessitajiet tal-ħin fi kwalunkwe żewġ mudelli raġonevoli u ġenerali ta 'komputazzjoni huma relatati mal-polinomjalment" (Goldreich 2008, Kapitolu 1.2). Dan jifforma l-bażi għall-Klassi tal-Kumplessità P, li hija s-sett ta 'problemi ta' deċiżjoni li tista 'tissolva permezz ta' magna tat-Turing deterministika fi żmien polinomjali. Is-sett korrispondenti ta 'problemi ta' funzjoni huwa FP.</v>
      </c>
    </row>
    <row r="13764" ht="15.75" customHeight="1">
      <c r="A13764" s="2" t="s">
        <v>13764</v>
      </c>
      <c r="B13764" s="2" t="str">
        <f>IFERROR(__xludf.DUMMYFUNCTION("GOOGLETRANSLATE(A13764, ""en"", ""mt"")"),"il-forza oriġinali")</f>
        <v>il-forza oriġinali</v>
      </c>
    </row>
    <row r="13765" ht="15.75" customHeight="1">
      <c r="A13765" s="2" t="s">
        <v>13765</v>
      </c>
      <c r="B13765" s="2" t="str">
        <f>IFERROR(__xludf.DUMMYFUNCTION("GOOGLETRANSLATE(A13765, ""en"", ""mt"")"),"X'inhu l-eqdem xogħol ta 'arti Norman?")</f>
        <v>X'inhu l-eqdem xogħol ta 'arti Norman?</v>
      </c>
    </row>
    <row r="13766" ht="15.75" customHeight="1">
      <c r="A13766" s="2" t="s">
        <v>13766</v>
      </c>
      <c r="B13766" s="2" t="str">
        <f>IFERROR(__xludf.DUMMYFUNCTION("GOOGLETRANSLATE(A13766, ""en"", ""mt"")"),"Minflok il-fjuwil, x'inhu ossiġnu għal nar?")</f>
        <v>Minflok il-fjuwil, x'inhu ossiġnu għal nar?</v>
      </c>
    </row>
    <row r="13767" ht="15.75" customHeight="1">
      <c r="A13767" s="2" t="s">
        <v>13767</v>
      </c>
      <c r="B13767" s="2" t="str">
        <f>IFERROR(__xludf.DUMMYFUNCTION("GOOGLETRANSLATE(A13767, ""en"", ""mt"")"),"X'tip ta 'żoni forestali jistgħu jinstabu fuq l-ogħla terrazzin?")</f>
        <v>X'tip ta 'żoni forestali jistgħu jinstabu fuq l-ogħla terrazzin?</v>
      </c>
    </row>
    <row r="13768" ht="15.75" customHeight="1">
      <c r="A13768" s="2" t="s">
        <v>13768</v>
      </c>
      <c r="B13768" s="2" t="str">
        <f>IFERROR(__xludf.DUMMYFUNCTION("GOOGLETRANSLATE(A13768, ""en"", ""mt"")"),"X'tip ta 'arkitettura hija d-dar tal-familja merkantili ta' San Ġwann eżempju notevoli?")</f>
        <v>X'tip ta 'arkitettura hija d-dar tal-familja merkantili ta' San Ġwann eżempju notevoli?</v>
      </c>
    </row>
    <row r="13769" ht="15.75" customHeight="1">
      <c r="A13769" s="2" t="s">
        <v>13769</v>
      </c>
      <c r="B13769" s="2" t="str">
        <f>IFERROR(__xludf.DUMMYFUNCTION("GOOGLETRANSLATE(A13769, ""en"", ""mt"")"),"Liema żona għandha l-iktar diversità ta 'kullimkien fil-pajjiż?")</f>
        <v>Liema żona għandha l-iktar diversità ta 'kullimkien fil-pajjiż?</v>
      </c>
    </row>
    <row r="13770" ht="15.75" customHeight="1">
      <c r="A13770" s="2" t="s">
        <v>13770</v>
      </c>
      <c r="B13770" s="2" t="str">
        <f>IFERROR(__xludf.DUMMYFUNCTION("GOOGLETRANSLATE(A13770, ""en"", ""mt"")"),"Ma kienx l-ewwel netwerk li għamel l-ospiti responsabbli għal xiex?")</f>
        <v>Ma kienx l-ewwel netwerk li għamel l-ospiti responsabbli għal xiex?</v>
      </c>
    </row>
    <row r="13771" ht="15.75" customHeight="1">
      <c r="A13771" s="2" t="s">
        <v>13771</v>
      </c>
      <c r="B13771" s="2" t="str">
        <f>IFERROR(__xludf.DUMMYFUNCTION("GOOGLETRANSLATE(A13771, ""en"", ""mt"")"),"Industrijali")</f>
        <v>Industrijali</v>
      </c>
    </row>
    <row r="13772" ht="15.75" customHeight="1">
      <c r="A13772" s="2" t="s">
        <v>13772</v>
      </c>
      <c r="B13772" s="2" t="str">
        <f>IFERROR(__xludf.DUMMYFUNCTION("GOOGLETRANSLATE(A13772, ""en"", ""mt"")"),"X'inhu mnaqqas billi twaqqaf l-espansjoni f'ċilindru wieħed?")</f>
        <v>X'inhu mnaqqas billi twaqqaf l-espansjoni f'ċilindru wieħed?</v>
      </c>
    </row>
    <row r="13773" ht="15.75" customHeight="1">
      <c r="A13773" s="2" t="s">
        <v>13773</v>
      </c>
      <c r="B13773" s="2" t="str">
        <f>IFERROR(__xludf.DUMMYFUNCTION("GOOGLETRANSLATE(A13773, ""en"", ""mt"")"),"X'tip ta 'teknoloġija li tibgħat qed tintuża biex tipproteġi l-artijiet tribali fl-Amażonja?")</f>
        <v>X'tip ta 'teknoloġija li tibgħat qed tintuża biex tipproteġi l-artijiet tribali fl-Amażonja?</v>
      </c>
    </row>
    <row r="13774" ht="15.75" customHeight="1">
      <c r="A13774" s="2" t="s">
        <v>13774</v>
      </c>
      <c r="B13774" s="2" t="str">
        <f>IFERROR(__xludf.DUMMYFUNCTION("GOOGLETRANSLATE(A13774, ""en"", ""mt"")"),"Fejn tinsab l-aktar farmaċija l-aktar ġdida li tinsab?")</f>
        <v>Fejn tinsab l-aktar farmaċija l-aktar ġdida li tinsab?</v>
      </c>
    </row>
    <row r="13775" ht="15.75" customHeight="1">
      <c r="A13775" s="2" t="s">
        <v>13775</v>
      </c>
      <c r="B13775" s="2" t="str">
        <f>IFERROR(__xludf.DUMMYFUNCTION("GOOGLETRANSLATE(A13775, ""en"", ""mt"")"),"X'inhu użat minn ċerti gruppi sinjuri biex jiksbu politiki ta 'benefiċċju finanzjarju għalihom?")</f>
        <v>X'inhu użat minn ċerti gruppi sinjuri biex jiksbu politiki ta 'benefiċċju finanzjarju għalihom?</v>
      </c>
    </row>
    <row r="13776" ht="15.75" customHeight="1">
      <c r="A13776" s="2" t="s">
        <v>13776</v>
      </c>
      <c r="B13776" s="2" t="str">
        <f>IFERROR(__xludf.DUMMYFUNCTION("GOOGLETRANSLATE(A13776, ""en"", ""mt"")"),"Dwar liema teorema hija l-formula li ta 'spiss tiġġenera n-numru 2 u l-primes l-oħra kollha preċiżament darba bbażati fuqha?")</f>
        <v>Dwar liema teorema hija l-formula li ta 'spiss tiġġenera n-numru 2 u l-primes l-oħra kollha preċiżament darba bbażati fuqha?</v>
      </c>
    </row>
    <row r="13777" ht="15.75" customHeight="1">
      <c r="A13777" s="2" t="s">
        <v>13777</v>
      </c>
      <c r="B13777" s="2" t="str">
        <f>IFERROR(__xludf.DUMMYFUNCTION("GOOGLETRANSLATE(A13777, ""en"", ""mt"")"),"Meta bnew il-Franċiżi Triq Kings?")</f>
        <v>Meta bnew il-Franċiżi Triq Kings?</v>
      </c>
    </row>
    <row r="13778" ht="15.75" customHeight="1">
      <c r="A13778" s="2" t="s">
        <v>13778</v>
      </c>
      <c r="B13778" s="2" t="str">
        <f>IFERROR(__xludf.DUMMYFUNCTION("GOOGLETRANSLATE(A13778, ""en"", ""mt"")"),"Fresno huwa servut mir-Rotta tal-Istat 99, l-awtostrada ewlenija tat-tramuntana / nofsinhar li tgħaqqad iċ-ċentri ewlenin tal-popolazzjoni tal-Wied Ċentrali ta 'Kalifornja. Ir-Rotta tal-Istat 168, is-Sierra Freeway, titlaq lejn il-lvant lejn il-belt ta ’C"&amp;"lovis u l-Lag Huntington. Ir-Rotta tal-Istat 41 (Yosemite Freeway / Eisenhower Freeway) tidħol fi Fresno minn Atascadero fin-nofsinhar, u mbagħad titlaq lejn it-tramuntana lejn Yosemite. Ir-Rotta tal-Istat 180 (Kings Canyon Freeway) ġejja mill-Punent perm"&amp;"ezz ta ’Mendota, u mill-Lvant fil-Park Nazzjonali ta’ Kings Canyon sejjer lejn il-belt ta ’Reedley.")</f>
        <v>Fresno huwa servut mir-Rotta tal-Istat 99, l-awtostrada ewlenija tat-tramuntana / nofsinhar li tgħaqqad iċ-ċentri ewlenin tal-popolazzjoni tal-Wied Ċentrali ta 'Kalifornja. Ir-Rotta tal-Istat 168, is-Sierra Freeway, titlaq lejn il-lvant lejn il-belt ta ’Clovis u l-Lag Huntington. Ir-Rotta tal-Istat 41 (Yosemite Freeway / Eisenhower Freeway) tidħol fi Fresno minn Atascadero fin-nofsinhar, u mbagħad titlaq lejn it-tramuntana lejn Yosemite. Ir-Rotta tal-Istat 180 (Kings Canyon Freeway) ġejja mill-Punent permezz ta ’Mendota, u mill-Lvant fil-Park Nazzjonali ta’ Kings Canyon sejjer lejn il-belt ta ’Reedley.</v>
      </c>
    </row>
    <row r="13779" ht="15.75" customHeight="1">
      <c r="A13779" s="2" t="s">
        <v>13779</v>
      </c>
      <c r="B13779" s="2" t="str">
        <f>IFERROR(__xludf.DUMMYFUNCTION("GOOGLETRANSLATE(A13779, ""en"", ""mt"")"),"Daily Mail")</f>
        <v>Daily Mail</v>
      </c>
    </row>
    <row r="13780" ht="15.75" customHeight="1">
      <c r="A13780" s="2" t="s">
        <v>13780</v>
      </c>
      <c r="B13780" s="2" t="str">
        <f>IFERROR(__xludf.DUMMYFUNCTION("GOOGLETRANSLATE(A13780, ""en"", ""mt"")"),"Min ġie assenjat biex jiddisinja t-tieni master plan?")</f>
        <v>Min ġie assenjat biex jiddisinja t-tieni master plan?</v>
      </c>
    </row>
    <row r="13781" ht="15.75" customHeight="1">
      <c r="A13781" s="2" t="s">
        <v>13781</v>
      </c>
      <c r="B13781" s="2" t="str">
        <f>IFERROR(__xludf.DUMMYFUNCTION("GOOGLETRANSLATE(A13781, ""en"", ""mt"")")," X'kienet l-ideoloġija tal-istat mhux uffiċjali ta 'Zia-ul-Haq?")</f>
        <v> X'kienet l-ideoloġija tal-istat mhux uffiċjali ta 'Zia-ul-Haq?</v>
      </c>
    </row>
    <row r="13782" ht="15.75" customHeight="1">
      <c r="A13782" s="2" t="s">
        <v>13782</v>
      </c>
      <c r="B13782" s="2" t="str">
        <f>IFERROR(__xludf.DUMMYFUNCTION("GOOGLETRANSLATE(A13782, ""en"", ""mt"")")," Għaliex is-suċċessuri ta 'Kublai rebħu l-kontroll tal-kumplament tal-imperu Mongol?")</f>
        <v> Għaliex is-suċċessuri ta 'Kublai rebħu l-kontroll tal-kumplament tal-imperu Mongol?</v>
      </c>
    </row>
    <row r="13783" ht="15.75" customHeight="1">
      <c r="A13783" s="2" t="s">
        <v>13783</v>
      </c>
      <c r="B13783" s="2" t="str">
        <f>IFERROR(__xludf.DUMMYFUNCTION("GOOGLETRANSLATE(A13783, ""en"", ""mt"")"),"Ir-Repubblika Olandiża")</f>
        <v>Ir-Repubblika Olandiża</v>
      </c>
    </row>
    <row r="13784" ht="15.75" customHeight="1">
      <c r="A13784" s="2" t="s">
        <v>13784</v>
      </c>
      <c r="B13784" s="2" t="str">
        <f>IFERROR(__xludf.DUMMYFUNCTION("GOOGLETRANSLATE(A13784, ""en"", ""mt"")"),"Ma 'liema kulleġġ huwa assoċjat Jake Rosenfield?")</f>
        <v>Ma 'liema kulleġġ huwa assoċjat Jake Rosenfield?</v>
      </c>
    </row>
    <row r="13785" ht="15.75" customHeight="1">
      <c r="A13785" s="2" t="s">
        <v>13785</v>
      </c>
      <c r="B13785" s="2" t="str">
        <f>IFERROR(__xludf.DUMMYFUNCTION("GOOGLETRANSLATE(A13785, ""en"", ""mt"")"),"X'jiġri biex taħli s-sħana fiċ-ċiklu ta 'Rankine?")</f>
        <v>X'jiġri biex taħli s-sħana fiċ-ċiklu ta 'Rankine?</v>
      </c>
    </row>
    <row r="13786" ht="15.75" customHeight="1">
      <c r="A13786" s="2" t="s">
        <v>13786</v>
      </c>
      <c r="B13786" s="2" t="str">
        <f>IFERROR(__xludf.DUMMYFUNCTION("GOOGLETRANSLATE(A13786, ""en"", ""mt"")"),"Jekk Q = 9 u A = 3,6 jew 9, kemm primes ikunu fil-progressjoni?")</f>
        <v>Jekk Q = 9 u A = 3,6 jew 9, kemm primes ikunu fil-progressjoni?</v>
      </c>
    </row>
    <row r="13787" ht="15.75" customHeight="1">
      <c r="A13787" s="2" t="s">
        <v>13787</v>
      </c>
      <c r="B13787" s="2" t="str">
        <f>IFERROR(__xludf.DUMMYFUNCTION("GOOGLETRANSLATE(A13787, ""en"", ""mt"")"),"Frontiers minn bejn Nova Scotia u Acadia fit-tramuntana, lejn il-pajjiż ta ’Ohio fin-nofsinhar, ġew mitluba miż-żewġ naħat")</f>
        <v>Frontiers minn bejn Nova Scotia u Acadia fit-tramuntana, lejn il-pajjiż ta ’Ohio fin-nofsinhar, ġew mitluba miż-żewġ naħat</v>
      </c>
    </row>
    <row r="13788" ht="15.75" customHeight="1">
      <c r="A13788" s="2" t="s">
        <v>13788</v>
      </c>
      <c r="B13788" s="2" t="str">
        <f>IFERROR(__xludf.DUMMYFUNCTION("GOOGLETRANSLATE(A13788, ""en"", ""mt"")"),"problemi intrattabbli")</f>
        <v>problemi intrattabbli</v>
      </c>
    </row>
    <row r="13789" ht="15.75" customHeight="1">
      <c r="A13789" s="2" t="s">
        <v>13789</v>
      </c>
      <c r="B13789" s="2" t="str">
        <f>IFERROR(__xludf.DUMMYFUNCTION("GOOGLETRANSLATE(A13789, ""en"", ""mt"")"),"Liema bliet Irlandiżi kellhom sindki Huguenot fl-1600 u l-1700s?")</f>
        <v>Liema bliet Irlandiżi kellhom sindki Huguenot fl-1600 u l-1700s?</v>
      </c>
    </row>
    <row r="13790" ht="15.75" customHeight="1">
      <c r="A13790" s="2" t="s">
        <v>13790</v>
      </c>
      <c r="B13790" s="2" t="str">
        <f>IFERROR(__xludf.DUMMYFUNCTION("GOOGLETRANSLATE(A13790, ""en"", ""mt"")"),"Wieħed mill-vantaġġi ewlenin li r-Rankine Cycle jżomm fuq oħrajn huwa li matul l-istadju tal-kompressjoni huwa meħtieġ xogħol relattivament żgħir biex issuq il-pompa, il-fluwidu tax-xogħol qiegħed fil-fażi likwida tiegħu f'dan il-punt. Billi tikkondensa l"&amp;"-fluwidu, ix-xogħol meħtieġ mill-pompa jikkonsma biss 1% sa 3% tal-qawwa tat-turbina u jikkontribwixxi għal effiċjenza ferm ogħla għal ċiklu reali. Il-benefiċċju ta 'dan jintilef xi ftit minħabba t-temperatura ta' żieda tas-sħana aktar baxxa. Turbini tal-"&amp;"gass, pereżempju, għandhom temperaturi tad-dħul tat-turbina li joqorbu 1500 ° C. Madankollu, l-effiċjenzi ta 'ċikli kbar tal-fwar attwali u turbini tal-gass moderni kbar huma mqabbla sew. [Ċitazzjoni meħtieġa]")</f>
        <v>Wieħed mill-vantaġġi ewlenin li r-Rankine Cycle jżomm fuq oħrajn huwa li matul l-istadju tal-kompressjoni huwa meħtieġ xogħol relattivament żgħir biex issuq il-pompa, il-fluwidu tax-xogħol qiegħed fil-fażi likwida tiegħu f'dan il-punt. Billi tikkondensa l-fluwidu, ix-xogħol meħtieġ mill-pompa jikkonsma biss 1% sa 3% tal-qawwa tat-turbina u jikkontribwixxi għal effiċjenza ferm ogħla għal ċiklu reali. Il-benefiċċju ta 'dan jintilef xi ftit minħabba t-temperatura ta' żieda tas-sħana aktar baxxa. Turbini tal-gass, pereżempju, għandhom temperaturi tad-dħul tat-turbina li joqorbu 1500 ° C. Madankollu, l-effiċjenzi ta 'ċikli kbar tal-fwar attwali u turbini tal-gass moderni kbar huma mqabbla sew. [Ċitazzjoni meħtieġa]</v>
      </c>
    </row>
    <row r="13791" ht="15.75" customHeight="1">
      <c r="A13791" s="2" t="s">
        <v>13791</v>
      </c>
      <c r="B13791" s="2" t="str">
        <f>IFERROR(__xludf.DUMMYFUNCTION("GOOGLETRANSLATE(A13791, ""en"", ""mt"")"),"Joriġinaw bħala l-Jama'at al-Tawhid Wal-Jihad fl-1999, wiegħed lealtà lejn al-Qaeda fl-2004, ipparteċipa fl-ribelljoni Iraqqina li segwiet l-invażjoni ta 'Marzu 2003 tal-Iraq mill-forzi tal-Punent, ingħaqdet mal-ġlieda fil-Gwerra Ċivili Sirjana Bidu f'Mar"&amp;"zu 2011, u ġie mkeċċi minn al-Qaeda fil-bidu tal-2014, (li lmenta min-nuqqas tiegħu li jikkonsulta u ""intransigenza notorja""). Il-grupp kiseb prominenza wara li mexxa l-forzi tal-gvern Iraqqin barra mill-ibliet ewlenin fil-Punent tal-Iraq fi offensiva t"&amp;"al-2014. Il-grupp huwa adept fil-midja soċjali, li jippubblika vidjows tal-internet ta 'bejs ta' suldati, ċivili, ġurnalisti u ħaddiema tal-għajnuna, u huwa magħruf għall-qerda tiegħu ta 'siti ta' wirt kulturali. In-Nazzjonijiet Uniti żammet l-ISIL respon"&amp;"sabbli għall-abbużi tad-drittijiet tal-bniedem u r-reati tal-gwerra, u Amnesty International irrappurtat tindif etniku mill-grupp fuq ""skala storika"". Il-grupp ġie nominat organizzazzjoni terroristika min-Nazzjonijiet Uniti, l-Unjoni Ewropea u l-Istati "&amp;"Membri, l-Istati Uniti, l-Indja, l-Indoneżja, it-Turkija, l-Arabja Sawdija, is-Sirja u pajjiżi oħra.")</f>
        <v>Joriġinaw bħala l-Jama'at al-Tawhid Wal-Jihad fl-1999, wiegħed lealtà lejn al-Qaeda fl-2004, ipparteċipa fl-ribelljoni Iraqqina li segwiet l-invażjoni ta 'Marzu 2003 tal-Iraq mill-forzi tal-Punent, ingħaqdet mal-ġlieda fil-Gwerra Ċivili Sirjana Bidu f'Marzu 2011, u ġie mkeċċi minn al-Qaeda fil-bidu tal-2014, (li lmenta min-nuqqas tiegħu li jikkonsulta u "intransigenza notorja"). Il-grupp kiseb prominenza wara li mexxa l-forzi tal-gvern Iraqqin barra mill-ibliet ewlenin fil-Punent tal-Iraq fi offensiva tal-2014. Il-grupp huwa adept fil-midja soċjali, li jippubblika vidjows tal-internet ta 'bejs ta' suldati, ċivili, ġurnalisti u ħaddiema tal-għajnuna, u huwa magħruf għall-qerda tiegħu ta 'siti ta' wirt kulturali. In-Nazzjonijiet Uniti żammet l-ISIL responsabbli għall-abbużi tad-drittijiet tal-bniedem u r-reati tal-gwerra, u Amnesty International irrappurtat tindif etniku mill-grupp fuq "skala storika". Il-grupp ġie nominat organizzazzjoni terroristika min-Nazzjonijiet Uniti, l-Unjoni Ewropea u l-Istati Membri, l-Istati Uniti, l-Indja, l-Indoneżja, it-Turkija, l-Arabja Sawdija, is-Sirja u pajjiżi oħra.</v>
      </c>
    </row>
    <row r="13792" ht="15.75" customHeight="1">
      <c r="A13792" s="2" t="s">
        <v>13792</v>
      </c>
      <c r="B13792" s="2" t="str">
        <f>IFERROR(__xludf.DUMMYFUNCTION("GOOGLETRANSLATE(A13792, ""en"", ""mt"")"),"mhux ċivilizzat")</f>
        <v>mhux ċivilizzat</v>
      </c>
    </row>
    <row r="13793" ht="15.75" customHeight="1">
      <c r="A13793" s="2" t="s">
        <v>13793</v>
      </c>
      <c r="B13793" s="2" t="str">
        <f>IFERROR(__xludf.DUMMYFUNCTION("GOOGLETRANSLATE(A13793, ""en"", ""mt"")"),"Fl-Istati Uniti, l-istudjużi jargumentaw li diġà kien hemm soluzzjoni negozjata bbażata fuq l-ugwaljanza bejn iż-żewġ partijiet qabel l-1973. Il-possibbiltà li l-Lvant Nofsani jista 'jsir konfrontazzjoni oħra ta' superpotenza mal-USSR kienet ta 'tħassib a"&amp;"ktar għall-Istati Uniti milli ż-żejt. Barra minn hekk, gruppi ta 'interess u aġenziji tal-gvern aktar inkwetati dwar l-enerġija ma kinux jaqblu għad-dominanza ta' Kissinger. Fil-produzzjoni, distribuzzjoni u tfixkil tal-prezz tal-Istati Uniti ""inżammu re"&amp;"sponsabbli għar-riċessjonijiet, perjodi ta 'inflazzjoni eċċessiva, produttività mnaqqsa, u tkabbir ekonomiku aktar baxx.""")</f>
        <v>Fl-Istati Uniti, l-istudjużi jargumentaw li diġà kien hemm soluzzjoni negozjata bbażata fuq l-ugwaljanza bejn iż-żewġ partijiet qabel l-1973. Il-possibbiltà li l-Lvant Nofsani jista 'jsir konfrontazzjoni oħra ta' superpotenza mal-USSR kienet ta 'tħassib aktar għall-Istati Uniti milli ż-żejt. Barra minn hekk, gruppi ta 'interess u aġenziji tal-gvern aktar inkwetati dwar l-enerġija ma kinux jaqblu għad-dominanza ta' Kissinger. Fil-produzzjoni, distribuzzjoni u tfixkil tal-prezz tal-Istati Uniti "inżammu responsabbli għar-riċessjonijiet, perjodi ta 'inflazzjoni eċċessiva, produttività mnaqqsa, u tkabbir ekonomiku aktar baxx."</v>
      </c>
    </row>
    <row r="13794" ht="15.75" customHeight="1">
      <c r="A13794" s="2" t="s">
        <v>13794</v>
      </c>
      <c r="B13794" s="2" t="str">
        <f>IFERROR(__xludf.DUMMYFUNCTION("GOOGLETRANSLATE(A13794, ""en"", ""mt"")"),"Wara t-Tieni Gwerra Dinjija, taħt reġim komunista mwaqqaf mis-Sovjetiċi li qed jirbħu, inbdiet il-kampanja ""Bricks for Varsav Belt, bħall-Palazz tal-Kultura u x-Xjenza, rigal mill-Unjoni Sovjetika. Il-belt reġgħet bdiet ir-rwol tagħha bħala l-kapitali ta"&amp;"l-Polonja u ċ-ċentru tal-ħajja politika u ekonomika tal-pajjiż. Ħafna mit-toroq storiċi, il-bini, u l-knejjes ġew restawrati għall-forma oriġinali tagħhom. Fl-1980, il-Belt il-Qadima Storika ta 'Varsavja kienet miktuba fil-lista tal-Wirt Dinji tal-UNESCO.")</f>
        <v>Wara t-Tieni Gwerra Dinjija, taħt reġim komunista mwaqqaf mis-Sovjetiċi li qed jirbħu, inbdiet il-kampanja "Bricks for Varsav Belt, bħall-Palazz tal-Kultura u x-Xjenza, rigal mill-Unjoni Sovjetika. Il-belt reġgħet bdiet ir-rwol tagħha bħala l-kapitali tal-Polonja u ċ-ċentru tal-ħajja politika u ekonomika tal-pajjiż. Ħafna mit-toroq storiċi, il-bini, u l-knejjes ġew restawrati għall-forma oriġinali tagħhom. Fl-1980, il-Belt il-Qadima Storika ta 'Varsavja kienet miktuba fil-lista tal-Wirt Dinji tal-UNESCO.</v>
      </c>
    </row>
    <row r="13795" ht="15.75" customHeight="1">
      <c r="A13795" s="2" t="s">
        <v>13795</v>
      </c>
      <c r="B13795" s="2" t="str">
        <f>IFERROR(__xludf.DUMMYFUNCTION("GOOGLETRANSLATE(A13795, ""en"", ""mt"")"),"X'inhuma ż-żewġ modi kif it-tubi tal-lava jiżdiedu waqt id-deformazzjoni?")</f>
        <v>X'inhuma ż-żewġ modi kif it-tubi tal-lava jiżdiedu waqt id-deformazzjoni?</v>
      </c>
    </row>
    <row r="13796" ht="15.75" customHeight="1">
      <c r="A13796" s="2" t="s">
        <v>13796</v>
      </c>
      <c r="B13796" s="2" t="str">
        <f>IFERROR(__xludf.DUMMYFUNCTION("GOOGLETRANSLATE(A13796, ""en"", ""mt"")"),"Segretarju tad-Difiża ta 'l-Istati Uniti")</f>
        <v>Segretarju tad-Difiża ta 'l-Istati Uniti</v>
      </c>
    </row>
    <row r="13797" ht="15.75" customHeight="1">
      <c r="A13797" s="2" t="s">
        <v>13797</v>
      </c>
      <c r="B13797" s="2" t="str">
        <f>IFERROR(__xludf.DUMMYFUNCTION("GOOGLETRANSLATE(A13797, ""en"", ""mt"")"),"Wrecking")</f>
        <v>Wrecking</v>
      </c>
    </row>
    <row r="13798" ht="15.75" customHeight="1">
      <c r="A13798" s="2" t="s">
        <v>13798</v>
      </c>
      <c r="B13798" s="2" t="str">
        <f>IFERROR(__xludf.DUMMYFUNCTION("GOOGLETRANSLATE(A13798, ""en"", ""mt"")"),"X'inhuma żewġ bidliet fil-vetturi MĠ li ġew implimentati fl-1982?")</f>
        <v>X'inhuma żewġ bidliet fil-vetturi MĠ li ġew implimentati fl-1982?</v>
      </c>
    </row>
    <row r="13799" ht="15.75" customHeight="1">
      <c r="A13799" s="2" t="s">
        <v>13799</v>
      </c>
      <c r="B13799" s="2" t="str">
        <f>IFERROR(__xludf.DUMMYFUNCTION("GOOGLETRANSLATE(A13799, ""en"", ""mt"")"),"Bażi flared distintiva")</f>
        <v>Bażi flared distintiva</v>
      </c>
    </row>
    <row r="13800" ht="15.75" customHeight="1">
      <c r="A13800" s="2" t="s">
        <v>13800</v>
      </c>
      <c r="B13800" s="2" t="str">
        <f>IFERROR(__xludf.DUMMYFUNCTION("GOOGLETRANSLATE(A13800, ""en"", ""mt"")"),"Min meta jasal ta lill-kolonizzaturi oriġinali tal-Viking identità komuni?")</f>
        <v>Min meta jasal ta lill-kolonizzaturi oriġinali tal-Viking identità komuni?</v>
      </c>
    </row>
    <row r="13801" ht="15.75" customHeight="1">
      <c r="A13801" s="2" t="s">
        <v>13801</v>
      </c>
      <c r="B13801" s="2" t="str">
        <f>IFERROR(__xludf.DUMMYFUNCTION("GOOGLETRANSLATE(A13801, ""en"", ""mt"")"),"mill-fruntiera tal-Lvant")</f>
        <v>mill-fruntiera tal-Lvant</v>
      </c>
    </row>
    <row r="13802" ht="15.75" customHeight="1">
      <c r="A13802" s="2" t="s">
        <v>13802</v>
      </c>
      <c r="B13802" s="2" t="str">
        <f>IFERROR(__xludf.DUMMYFUNCTION("GOOGLETRANSLATE(A13802, ""en"", ""mt"")"),"Xi wieħed ma jkollux għalfejn jibqa 'kostanti f'algoritmu ta' multiplikazzjoni biex jipproduċi l-istess riżultat kemm jekk jimmultiplikaw jew kwadri żewġ numri interi?")</f>
        <v>Xi wieħed ma jkollux għalfejn jibqa 'kostanti f'algoritmu ta' multiplikazzjoni biex jipproduċi l-istess riżultat kemm jekk jimmultiplikaw jew kwadri żewġ numri interi?</v>
      </c>
    </row>
    <row r="13803" ht="15.75" customHeight="1">
      <c r="A13803" s="2" t="s">
        <v>13803</v>
      </c>
      <c r="B13803" s="2" t="str">
        <f>IFERROR(__xludf.DUMMYFUNCTION("GOOGLETRANSLATE(A13803, ""en"", ""mt"")"),"Lauren Oliver")</f>
        <v>Lauren Oliver</v>
      </c>
    </row>
    <row r="13804" ht="15.75" customHeight="1">
      <c r="A13804" s="2" t="s">
        <v>13804</v>
      </c>
      <c r="B13804" s="2" t="str">
        <f>IFERROR(__xludf.DUMMYFUNCTION("GOOGLETRANSLATE(A13804, ""en"", ""mt"")"),"Sony")</f>
        <v>Sony</v>
      </c>
    </row>
    <row r="13805" ht="15.75" customHeight="1">
      <c r="A13805" s="2" t="s">
        <v>13805</v>
      </c>
      <c r="B13805" s="2" t="str">
        <f>IFERROR(__xludf.DUMMYFUNCTION("GOOGLETRANSLATE(A13805, ""en"", ""mt"")"),"Imla l-informazzjoni dwar l-indirizzar")</f>
        <v>Imla l-informazzjoni dwar l-indirizzar</v>
      </c>
    </row>
    <row r="13806" ht="15.75" customHeight="1">
      <c r="A13806" s="2" t="s">
        <v>13806</v>
      </c>
      <c r="B13806" s="2" t="str">
        <f>IFERROR(__xludf.DUMMYFUNCTION("GOOGLETRANSLATE(A13806, ""en"", ""mt"")"),"Dak li ma ġiex meqjus dejjem aktar bħala status fundamentali ta 'ċittadini tal-istat membru mill-Qorti tal-Ġustizzja?")</f>
        <v>Dak li ma ġiex meqjus dejjem aktar bħala status fundamentali ta 'ċittadini tal-istat membru mill-Qorti tal-Ġustizzja?</v>
      </c>
    </row>
    <row r="13807" ht="15.75" customHeight="1">
      <c r="A13807" s="2" t="s">
        <v>13807</v>
      </c>
      <c r="B13807" s="2" t="str">
        <f>IFERROR(__xludf.DUMMYFUNCTION("GOOGLETRANSLATE(A13807, ""en"", ""mt"")"),"Min hu Franza alleat tradizzjonali?")</f>
        <v>Min hu Franza alleat tradizzjonali?</v>
      </c>
    </row>
    <row r="13808" ht="15.75" customHeight="1">
      <c r="A13808" s="2" t="s">
        <v>13808</v>
      </c>
      <c r="B13808" s="2" t="str">
        <f>IFERROR(__xludf.DUMMYFUNCTION("GOOGLETRANSLATE(A13808, ""en"", ""mt"")"),"kilopond")</f>
        <v>kilopond</v>
      </c>
    </row>
    <row r="13809" ht="15.75" customHeight="1">
      <c r="A13809" s="2" t="s">
        <v>13809</v>
      </c>
      <c r="B13809" s="2" t="str">
        <f>IFERROR(__xludf.DUMMYFUNCTION("GOOGLETRANSLATE(A13809, ""en"", ""mt"")"),"Min inkluda 1 bħala l-ewwel numru ewlieni f'nofs is-seklu 18?")</f>
        <v>Min inkluda 1 bħala l-ewwel numru ewlieni f'nofs is-seklu 18?</v>
      </c>
    </row>
    <row r="13810" ht="15.75" customHeight="1">
      <c r="A13810" s="2" t="s">
        <v>13810</v>
      </c>
      <c r="B13810" s="2" t="str">
        <f>IFERROR(__xludf.DUMMYFUNCTION("GOOGLETRANSLATE(A13810, ""en"", ""mt"")"),"X'inhu l-iktar mod kumpless biex tevita s-sistema immuni adatta?")</f>
        <v>X'inhu l-iktar mod kumpless biex tevita s-sistema immuni adatta?</v>
      </c>
    </row>
    <row r="13811" ht="15.75" customHeight="1">
      <c r="A13811" s="2" t="s">
        <v>13811</v>
      </c>
      <c r="B13811" s="2" t="str">
        <f>IFERROR(__xludf.DUMMYFUNCTION("GOOGLETRANSLATE(A13811, ""en"", ""mt"")"),"Monasteru Latin f'Sant'eufemia.")</f>
        <v>Monasteru Latin f'Sant'eufemia.</v>
      </c>
    </row>
    <row r="13812" ht="15.75" customHeight="1">
      <c r="A13812" s="2" t="s">
        <v>13812</v>
      </c>
      <c r="B13812" s="2" t="str">
        <f>IFERROR(__xludf.DUMMYFUNCTION("GOOGLETRANSLATE(A13812, ""en"", ""mt"")"),"Kemm-il darba MacLure qasmet l-unjoni tgħid?")</f>
        <v>Kemm-il darba MacLure qasmet l-unjoni tgħid?</v>
      </c>
    </row>
    <row r="13813" ht="15.75" customHeight="1">
      <c r="A13813" s="2" t="s">
        <v>13813</v>
      </c>
      <c r="B13813" s="2" t="str">
        <f>IFERROR(__xludf.DUMMYFUNCTION("GOOGLETRANSLATE(A13813, ""en"", ""mt"")"),"Terra Nullius")</f>
        <v>Terra Nullius</v>
      </c>
    </row>
    <row r="13814" ht="15.75" customHeight="1">
      <c r="A13814" s="2" t="s">
        <v>13814</v>
      </c>
      <c r="B13814" s="2" t="str">
        <f>IFERROR(__xludf.DUMMYFUNCTION("GOOGLETRANSLATE(A13814, ""en"", ""mt"")"),"Fl-2006, skart tossiku jinxtered 'il barra mill-kosta ta' Côte d'Ivoire, minn vapur Ewropew, wassal lill-kummissjoni biex tistudja leġislazzjoni kontra l-iskart tossiku. Il-Kummissarju għall-Ambjent Stavros Dimas iddikjara li ""tali skart tossiku ħafna m'"&amp;"għandu qatt ħalla l-Unjoni Ewropea"". Ma 'pajjiżi bħal Spanja li lanqas biss ikollhom reat kontra t-tbaħħir ta' skart tossiku, Franco Fratini, il-Kummissarju tal-Ġustizzja, il-Libertà u s-Sigurtà, proposti ma 'Dimas biex joħolqu sentenzi kriminali għal """&amp;"reati ekoloġiċi"". Il-kompetenza għall-unjoni biex tagħmel dan ġiet ikkontestata fl-2005 fil-Qorti tal-Ġustizzja li rriżultat f'rebħa għall-kummissjoni. Din id-deċiżjoni stabbilixxiet preċedent li l-Kummissjoni, fuq bażi supranazzjonali, tista 'tilleġiżla"&amp;" fil-liġi kriminali - xi ħaġa li qatt ma saret qabel. S’issa, l-unika proposta oħra kienet l-abbozz tad-Direttiva dwar id-Drittijiet tal-Propjetà Intellettwali. Il-mozzjonijiet ġew imressqa fil-Parlament Ewropew kontra dik il-leġislazzjoni fuq il-bażi li "&amp;"l-liġi kriminali m'għandhiex tkun kompetenza tal-UE, iżda ġiet miċħuda bil-vot. Madankollu, f'Ottubru 2007, il-Qorti tal-Ġustizzja ddeċidiet li l-Kummissjoni ma setgħetx tipproponi x'jistgħu jkunu s-sanzjonijiet kriminali, biss li għandu jkun hemm xi wħud"&amp;".")</f>
        <v>Fl-2006, skart tossiku jinxtered 'il barra mill-kosta ta' Côte d'Ivoire, minn vapur Ewropew, wassal lill-kummissjoni biex tistudja leġislazzjoni kontra l-iskart tossiku. Il-Kummissarju għall-Ambjent Stavros Dimas iddikjara li "tali skart tossiku ħafna m'għandu qatt ħalla l-Unjoni Ewropea". Ma 'pajjiżi bħal Spanja li lanqas biss ikollhom reat kontra t-tbaħħir ta' skart tossiku, Franco Fratini, il-Kummissarju tal-Ġustizzja, il-Libertà u s-Sigurtà, proposti ma 'Dimas biex joħolqu sentenzi kriminali għal "reati ekoloġiċi". Il-kompetenza għall-unjoni biex tagħmel dan ġiet ikkontestata fl-2005 fil-Qorti tal-Ġustizzja li rriżultat f'rebħa għall-kummissjoni. Din id-deċiżjoni stabbilixxiet preċedent li l-Kummissjoni, fuq bażi supranazzjonali, tista 'tilleġiżla fil-liġi kriminali - xi ħaġa li qatt ma saret qabel. S’issa, l-unika proposta oħra kienet l-abbozz tad-Direttiva dwar id-Drittijiet tal-Propjetà Intellettwali. Il-mozzjonijiet ġew imressqa fil-Parlament Ewropew kontra dik il-leġislazzjoni fuq il-bażi li l-liġi kriminali m'għandhiex tkun kompetenza tal-UE, iżda ġiet miċħuda bil-vot. Madankollu, f'Ottubru 2007, il-Qorti tal-Ġustizzja ddeċidiet li l-Kummissjoni ma setgħetx tipproponi x'jistgħu jkunu s-sanzjonijiet kriminali, biss li għandu jkun hemm xi wħud.</v>
      </c>
    </row>
    <row r="13815" ht="15.75" customHeight="1">
      <c r="A13815" s="2" t="s">
        <v>13815</v>
      </c>
      <c r="B13815" s="2" t="str">
        <f>IFERROR(__xludf.DUMMYFUNCTION("GOOGLETRANSLATE(A13815, ""en"", ""mt"")"),"Min hi l-unika awtorità governattiva li kapaċi tibda proposti leġiżlattivi?")</f>
        <v>Min hi l-unika awtorità governattiva li kapaċi tibda proposti leġiżlattivi?</v>
      </c>
    </row>
    <row r="13816" ht="15.75" customHeight="1">
      <c r="A13816" s="2" t="s">
        <v>13816</v>
      </c>
      <c r="B13816" s="2" t="str">
        <f>IFERROR(__xludf.DUMMYFUNCTION("GOOGLETRANSLATE(A13816, ""en"", ""mt"")"),"Id-Dar tal-Familja Merkantili ta 'Baryczko hija eżempju notevoli ta' liema tip ta 'arkitettura?")</f>
        <v>Id-Dar tal-Familja Merkantili ta 'Baryczko hija eżempju notevoli ta' liema tip ta 'arkitettura?</v>
      </c>
    </row>
    <row r="13817" ht="15.75" customHeight="1">
      <c r="A13817" s="2" t="s">
        <v>13817</v>
      </c>
      <c r="B13817" s="2" t="str">
        <f>IFERROR(__xludf.DUMMYFUNCTION("GOOGLETRANSLATE(A13817, ""en"", ""mt"")"),"rati ogħla")</f>
        <v>rati ogħla</v>
      </c>
    </row>
    <row r="13818" ht="15.75" customHeight="1">
      <c r="A13818" s="2" t="s">
        <v>13818</v>
      </c>
      <c r="B13818" s="2" t="str">
        <f>IFERROR(__xludf.DUMMYFUNCTION("GOOGLETRANSLATE(A13818, ""en"", ""mt"")"),"sar il-prototip għall-konfederazzjoni matul il-gwerra tal-indipendenza")</f>
        <v>sar il-prototip għall-konfederazzjoni matul il-gwerra tal-indipendenza</v>
      </c>
    </row>
    <row r="13819" ht="15.75" customHeight="1">
      <c r="A13819" s="2" t="s">
        <v>13819</v>
      </c>
      <c r="B13819" s="2" t="str">
        <f>IFERROR(__xludf.DUMMYFUNCTION("GOOGLETRANSLATE(A13819, ""en"", ""mt"")"),"l-isfruttament tal-assi u l-provvisti siewja tan-nazzjon li ġie maħkum")</f>
        <v>l-isfruttament tal-assi u l-provvisti siewja tan-nazzjon li ġie maħkum</v>
      </c>
    </row>
    <row r="13820" ht="15.75" customHeight="1">
      <c r="A13820" s="2" t="s">
        <v>13820</v>
      </c>
      <c r="B13820" s="2" t="str">
        <f>IFERROR(__xludf.DUMMYFUNCTION("GOOGLETRANSLATE(A13820, ""en"", ""mt"")"),"Minn min il-Parlament kera bini addizzjonali?")</f>
        <v>Minn min il-Parlament kera bini addizzjonali?</v>
      </c>
    </row>
    <row r="13821" ht="15.75" customHeight="1">
      <c r="A13821" s="2" t="s">
        <v>13821</v>
      </c>
      <c r="B13821" s="2" t="str">
        <f>IFERROR(__xludf.DUMMYFUNCTION("GOOGLETRANSLATE(A13821, ""en"", ""mt"")"),"Kemm id-deheb ipproduċa Victoria fis-snin tal-1851-1860?")</f>
        <v>Kemm id-deheb ipproduċa Victoria fis-snin tal-1851-1860?</v>
      </c>
    </row>
    <row r="13822" ht="15.75" customHeight="1">
      <c r="A13822" s="2" t="s">
        <v>13822</v>
      </c>
      <c r="B13822" s="2" t="str">
        <f>IFERROR(__xludf.DUMMYFUNCTION("GOOGLETRANSLATE(A13822, ""en"", ""mt"")"),"Il-pjaneta Vulcan kienet imbassra li tispjega dak li bil-pjaneta Saturnu?")</f>
        <v>Il-pjaneta Vulcan kienet imbassra li tispjega dak li bil-pjaneta Saturnu?</v>
      </c>
    </row>
    <row r="13823" ht="15.75" customHeight="1">
      <c r="A13823" s="2" t="s">
        <v>13823</v>
      </c>
      <c r="B13823" s="2" t="str">
        <f>IFERROR(__xludf.DUMMYFUNCTION("GOOGLETRANSLATE(A13823, ""en"", ""mt"")"),"X'inhu l-proċess li jiżdiedu pjanijiet dettaljati u sorveljanza bir-reqqa?")</f>
        <v>X'inhu l-proċess li jiżdiedu pjanijiet dettaljati u sorveljanza bir-reqqa?</v>
      </c>
    </row>
    <row r="13824" ht="15.75" customHeight="1">
      <c r="A13824" s="2" t="s">
        <v>13824</v>
      </c>
      <c r="B13824" s="2" t="str">
        <f>IFERROR(__xludf.DUMMYFUNCTION("GOOGLETRANSLATE(A13824, ""en"", ""mt"")"),"Liema sena laqat il-maltempata ta 'Richard?")</f>
        <v>Liema sena laqat il-maltempata ta 'Richard?</v>
      </c>
    </row>
    <row r="13825" ht="15.75" customHeight="1">
      <c r="A13825" s="2" t="s">
        <v>13825</v>
      </c>
      <c r="B13825" s="2" t="str">
        <f>IFERROR(__xludf.DUMMYFUNCTION("GOOGLETRANSLATE(A13825, ""en"", ""mt"")"),"baxx ħafna")</f>
        <v>baxx ħafna</v>
      </c>
    </row>
    <row r="13826" ht="15.75" customHeight="1">
      <c r="A13826" s="2" t="s">
        <v>13826</v>
      </c>
      <c r="B13826" s="2" t="str">
        <f>IFERROR(__xludf.DUMMYFUNCTION("GOOGLETRANSLATE(A13826, ""en"", ""mt"")"),"marġinalment aktar")</f>
        <v>marġinalment aktar</v>
      </c>
    </row>
    <row r="13827" ht="15.75" customHeight="1">
      <c r="A13827" s="2" t="s">
        <v>13827</v>
      </c>
      <c r="B13827" s="2" t="str">
        <f>IFERROR(__xludf.DUMMYFUNCTION("GOOGLETRANSLATE(A13827, ""en"", ""mt"")"),"Għaliex ġie ffurmat it-trio ta 'informazzjoni dwar ir-riċerka edukattiva ta' Michigan?")</f>
        <v>Għaliex ġie ffurmat it-trio ta 'informazzjoni dwar ir-riċerka edukattiva ta' Michigan?</v>
      </c>
    </row>
    <row r="13828" ht="15.75" customHeight="1">
      <c r="A13828" s="2" t="s">
        <v>13828</v>
      </c>
      <c r="B13828" s="2" t="str">
        <f>IFERROR(__xludf.DUMMYFUNCTION("GOOGLETRANSLATE(A13828, ""en"", ""mt"")"),"Mitsubishi mill-ġdid mill-ġdid il-forte tiegħu?")</f>
        <v>Mitsubishi mill-ġdid mill-ġdid il-forte tiegħu?</v>
      </c>
    </row>
    <row r="13829" ht="15.75" customHeight="1">
      <c r="A13829" s="2" t="s">
        <v>13829</v>
      </c>
      <c r="B13829" s="2" t="str">
        <f>IFERROR(__xludf.DUMMYFUNCTION("GOOGLETRANSLATE(A13829, ""en"", ""mt"")"),"tobba u professjonisti oħra tal-kura tas-saħħa")</f>
        <v>tobba u professjonisti oħra tal-kura tas-saħħa</v>
      </c>
    </row>
    <row r="13830" ht="15.75" customHeight="1">
      <c r="A13830" s="2" t="s">
        <v>13830</v>
      </c>
      <c r="B13830" s="2" t="str">
        <f>IFERROR(__xludf.DUMMYFUNCTION("GOOGLETRANSLATE(A13830, ""en"", ""mt"")"),"Filwaqt li l-anarkisti jiffavorixxu lill-gvern, x'għandhom ma jemmnux?")</f>
        <v>Filwaqt li l-anarkisti jiffavorixxu lill-gvern, x'għandhom ma jemmnux?</v>
      </c>
    </row>
    <row r="13831" ht="15.75" customHeight="1">
      <c r="A13831" s="2" t="s">
        <v>13831</v>
      </c>
      <c r="B13831" s="2" t="str">
        <f>IFERROR(__xludf.DUMMYFUNCTION("GOOGLETRANSLATE(A13831, ""en"", ""mt"")"),"F’liema sena twieldet Rene Goulaine de Laudonniere?")</f>
        <v>F’liema sena twieldet Rene Goulaine de Laudonniere?</v>
      </c>
    </row>
    <row r="13832" ht="15.75" customHeight="1">
      <c r="A13832" s="2" t="s">
        <v>13832</v>
      </c>
      <c r="B13832" s="2" t="str">
        <f>IFERROR(__xludf.DUMMYFUNCTION("GOOGLETRANSLATE(A13832, ""en"", ""mt"")"),"F’Settembru 1760 min innegozja gwerra minn Montreal?")</f>
        <v>F’Settembru 1760 min innegozja gwerra minn Montreal?</v>
      </c>
    </row>
    <row r="13833" ht="15.75" customHeight="1">
      <c r="A13833" s="2" t="s">
        <v>13833</v>
      </c>
      <c r="B13833" s="2" t="str">
        <f>IFERROR(__xludf.DUMMYFUNCTION("GOOGLETRANSLATE(A13833, ""en"", ""mt"")"),"Il-Gwerra Franċiża u Indjana kienet l-aspett tad-dinja l-ġdida ta 'liema kunflitt Ewropew?")</f>
        <v>Il-Gwerra Franċiża u Indjana kienet l-aspett tad-dinja l-ġdida ta 'liema kunflitt Ewropew?</v>
      </c>
    </row>
    <row r="13834" ht="15.75" customHeight="1">
      <c r="A13834" s="2" t="s">
        <v>13834</v>
      </c>
      <c r="B13834" s="2" t="str">
        <f>IFERROR(__xludf.DUMMYFUNCTION("GOOGLETRANSLATE(A13834, ""en"", ""mt"")"),"Min kien il-mexxej tan-Norveġiż?")</f>
        <v>Min kien il-mexxej tan-Norveġiż?</v>
      </c>
    </row>
    <row r="13835" ht="15.75" customHeight="1">
      <c r="A13835" s="2" t="s">
        <v>13835</v>
      </c>
      <c r="B13835" s="2" t="str">
        <f>IFERROR(__xludf.DUMMYFUNCTION("GOOGLETRANSLATE(A13835, ""en"", ""mt"")"),"xi 2,000")</f>
        <v>xi 2,000</v>
      </c>
    </row>
    <row r="13836" ht="15.75" customHeight="1">
      <c r="A13836" s="2" t="s">
        <v>13836</v>
      </c>
      <c r="B13836" s="2" t="str">
        <f>IFERROR(__xludf.DUMMYFUNCTION("GOOGLETRANSLATE(A13836, ""en"", ""mt"")"),"L-ossiġnu jikkondensa f'90.20 K (−182.95 ° C, −297.31 ° F), u jiffriża f'54.36 K (−218.79 ° C, −361.82 ° F). Kemm likwidu kif ukoll solidu o
2 huma sustanzi ċari b'kulur ċar blu-sema kkawżat minn assorbiment fl-aħmar (b'kuntrast mal-kulur blu tas-sema, li"&amp;" huwa dovut għat-tifrix ta 'rayleigh ta' dawl blu). Likwidu ta 'purità għolja o
2 ġeneralment jinkiseb bid-distillazzjoni frazzjonali ta 'l-arja likwifikata. L-ossiġnu likwidu jista 'jkun prodott ukoll minn kondensazzjoni barra mill-arja, bl-użu ta' nitro"&amp;"ġenu likwidu bħala likwidu li jkessaħ. Hija sustanza reattiva ħafna u għandha tkun segregata minn materjali kombustibbli.")</f>
        <v>L-ossiġnu jikkondensa f'90.20 K (−182.95 ° C, −297.31 ° F), u jiffriża f'54.36 K (−218.79 ° C, −361.82 ° F). Kemm likwidu kif ukoll solidu o
2 huma sustanzi ċari b'kulur ċar blu-sema kkawżat minn assorbiment fl-aħmar (b'kuntrast mal-kulur blu tas-sema, li huwa dovut għat-tifrix ta 'rayleigh ta' dawl blu). Likwidu ta 'purità għolja o
2 ġeneralment jinkiseb bid-distillazzjoni frazzjonali ta 'l-arja likwifikata. L-ossiġnu likwidu jista 'jkun prodott ukoll minn kondensazzjoni barra mill-arja, bl-użu ta' nitroġenu likwidu bħala likwidu li jkessaħ. Hija sustanza reattiva ħafna u għandha tkun segregata minn materjali kombustibbli.</v>
      </c>
    </row>
    <row r="13837" ht="15.75" customHeight="1">
      <c r="A13837" s="2" t="s">
        <v>13837</v>
      </c>
      <c r="B13837" s="2" t="str">
        <f>IFERROR(__xludf.DUMMYFUNCTION("GOOGLETRANSLATE(A13837, ""en"", ""mt"")"),"X'jista 'spiss jiġi mbassar minn qabel?")</f>
        <v>X'jista 'spiss jiġi mbassar minn qabel?</v>
      </c>
    </row>
    <row r="13838" ht="15.75" customHeight="1">
      <c r="A13838" s="2" t="s">
        <v>13838</v>
      </c>
      <c r="B13838" s="2" t="str">
        <f>IFERROR(__xludf.DUMMYFUNCTION("GOOGLETRANSLATE(A13838, ""en"", ""mt"")"),"X'inhuma xi kumpaniji żgħar għall-immaniġġjar tal-ispiżerija?")</f>
        <v>X'inhuma xi kumpaniji żgħar għall-immaniġġjar tal-ispiżerija?</v>
      </c>
    </row>
    <row r="13839" ht="15.75" customHeight="1">
      <c r="A13839" s="2" t="s">
        <v>13839</v>
      </c>
      <c r="B13839" s="2" t="str">
        <f>IFERROR(__xludf.DUMMYFUNCTION("GOOGLETRANSLATE(A13839, ""en"", ""mt"")"),"1894")</f>
        <v>1894</v>
      </c>
    </row>
    <row r="13840" ht="15.75" customHeight="1">
      <c r="A13840" s="2" t="s">
        <v>13840</v>
      </c>
      <c r="B13840" s="2" t="str">
        <f>IFERROR(__xludf.DUMMYFUNCTION("GOOGLETRANSLATE(A13840, ""en"", ""mt"")"),"It-temperaturi żdiedu fuq il-bażi ta 'evidenza dokumentarja ta' vinji medjevali fl-Ingilterra")</f>
        <v>It-temperaturi żdiedu fuq il-bażi ta 'evidenza dokumentarja ta' vinji medjevali fl-Ingilterra</v>
      </c>
    </row>
    <row r="13841" ht="15.75" customHeight="1">
      <c r="A13841" s="2" t="s">
        <v>13841</v>
      </c>
      <c r="B13841" s="2" t="str">
        <f>IFERROR(__xludf.DUMMYFUNCTION("GOOGLETRANSLATE(A13841, ""en"", ""mt"")"),"Porzjonijiet tal-Punent tar-Reġjun tal-Lagi l-Kbar")</f>
        <v>Porzjonijiet tal-Punent tar-Reġjun tal-Lagi l-Kbar</v>
      </c>
    </row>
    <row r="13842" ht="15.75" customHeight="1">
      <c r="A13842" s="2" t="s">
        <v>13842</v>
      </c>
      <c r="B13842" s="2" t="str">
        <f>IFERROR(__xludf.DUMMYFUNCTION("GOOGLETRANSLATE(A13842, ""en"", ""mt"")"),"Prinċipju ta 'ekwivalenza")</f>
        <v>Prinċipju ta 'ekwivalenza</v>
      </c>
    </row>
    <row r="13843" ht="15.75" customHeight="1">
      <c r="A13843" s="2" t="s">
        <v>13843</v>
      </c>
      <c r="B13843" s="2" t="str">
        <f>IFERROR(__xludf.DUMMYFUNCTION("GOOGLETRANSLATE(A13843, ""en"", ""mt"")"),"Min brevettat magna tal-fwar fl-1781?")</f>
        <v>Min brevettat magna tal-fwar fl-1781?</v>
      </c>
    </row>
    <row r="13844" ht="15.75" customHeight="1">
      <c r="A13844" s="2" t="s">
        <v>13844</v>
      </c>
      <c r="B13844" s="2" t="str">
        <f>IFERROR(__xludf.DUMMYFUNCTION("GOOGLETRANSLATE(A13844, ""en"", ""mt"")"),"P mhuwiex fattur ewlieni ta 'Q")</f>
        <v>P mhuwiex fattur ewlieni ta 'Q</v>
      </c>
    </row>
    <row r="13845" ht="15.75" customHeight="1">
      <c r="A13845" s="2" t="s">
        <v>13845</v>
      </c>
      <c r="B13845" s="2" t="str">
        <f>IFERROR(__xludf.DUMMYFUNCTION("GOOGLETRANSLATE(A13845, ""en"", ""mt"")"),"X'inhu PPP magħruf ukoll bħala?")</f>
        <v>X'inhu PPP magħruf ukoll bħala?</v>
      </c>
    </row>
    <row r="13846" ht="15.75" customHeight="1">
      <c r="A13846" s="2" t="s">
        <v>13846</v>
      </c>
      <c r="B13846" s="2" t="str">
        <f>IFERROR(__xludf.DUMMYFUNCTION("GOOGLETRANSLATE(A13846, ""en"", ""mt"")"),"X'kien ix-xogħol indipendenti ta 'Donald Davis?")</f>
        <v>X'kien ix-xogħol indipendenti ta 'Donald Davis?</v>
      </c>
    </row>
    <row r="13847" ht="15.75" customHeight="1">
      <c r="A13847" s="2" t="s">
        <v>13847</v>
      </c>
      <c r="B13847" s="2" t="str">
        <f>IFERROR(__xludf.DUMMYFUNCTION("GOOGLETRANSLATE(A13847, ""en"", ""mt"")"),"X'inhuma l-maniġers tal-kostruzzjoni?")</f>
        <v>X'inhuma l-maniġers tal-kostruzzjoni?</v>
      </c>
    </row>
    <row r="13848" ht="15.75" customHeight="1">
      <c r="A13848" s="2" t="s">
        <v>13848</v>
      </c>
      <c r="B13848" s="2" t="str">
        <f>IFERROR(__xludf.DUMMYFUNCTION("GOOGLETRANSLATE(A13848, ""en"", ""mt"")"),"trasport")</f>
        <v>trasport</v>
      </c>
    </row>
    <row r="13849" ht="15.75" customHeight="1">
      <c r="A13849" s="2" t="s">
        <v>13849</v>
      </c>
      <c r="B13849" s="2" t="str">
        <f>IFERROR(__xludf.DUMMYFUNCTION("GOOGLETRANSLATE(A13849, ""en"", ""mt"")"),"Immunodefiċjenzi jseħħu meta wieħed jew aktar mill-komponenti tas-sistema immuni huma inattivi. L-abbiltà tas-sistema immuni biex tirreaġixxi għal patoġeni hija mnaqqsa kemm fiż-żgħażagħ kif ukoll fl-anzjani, b'reazzjonijiet immuni li jibdew jonqsu għal m"&amp;"adwar 50 sena minħabba l-immunosenescence. Fil-pajjiżi żviluppati, l-obeżità, l-alkoħoliżmu, u l-użu tad-droga huma kawżi komuni ta 'funzjoni immuni ħażina. Madankollu, il-malnutrizzjoni hija l-iktar kawża komuni ta 'immunodefiċjenza f'pajjiżi li qed jiżv"&amp;"iluppaw. Dieti li m'għandhomx biżżejjed proteina huma assoċjati ma 'immunità medjata minn ċelloli indebolita, attività ta' komplement, funzjoni tal-fagoċiti, konċentrazzjonijiet ta 'antikorpi IgA, u produzzjoni ta' ċitokini. Barra minn hekk, it-telf tat-t"&amp;"imu f'età bikrija permezz ta 'mutazzjoni ġenetika jew tneħħija kirurġika jirriżulta f'immunodefiċjenza severa u suxxettibilità għolja għall-infezzjoni.")</f>
        <v>Immunodefiċjenzi jseħħu meta wieħed jew aktar mill-komponenti tas-sistema immuni huma inattivi. L-abbiltà tas-sistema immuni biex tirreaġixxi għal patoġeni hija mnaqqsa kemm fiż-żgħażagħ kif ukoll fl-anzjani, b'reazzjonijiet immuni li jibdew jonqsu għal madwar 50 sena minħabba l-immunosenescence. Fil-pajjiżi żviluppati, l-obeżità, l-alkoħoliżmu, u l-użu tad-droga huma kawżi komuni ta 'funzjoni immuni ħażina. Madankollu, il-malnutrizzjoni hija l-iktar kawża komuni ta 'immunodefiċjenza f'pajjiżi li qed jiżviluppaw. Dieti li m'għandhomx biżżejjed proteina huma assoċjati ma 'immunità medjata minn ċelloli indebolita, attività ta' komplement, funzjoni tal-fagoċiti, konċentrazzjonijiet ta 'antikorpi IgA, u produzzjoni ta' ċitokini. Barra minn hekk, it-telf tat-timu f'età bikrija permezz ta 'mutazzjoni ġenetika jew tneħħija kirurġika jirriżulta f'immunodefiċjenza severa u suxxettibilità għolja għall-infezzjoni.</v>
      </c>
    </row>
    <row r="13850" ht="15.75" customHeight="1">
      <c r="A13850" s="2" t="s">
        <v>13850</v>
      </c>
      <c r="B13850" s="2" t="str">
        <f>IFERROR(__xludf.DUMMYFUNCTION("GOOGLETRANSLATE(A13850, ""en"", ""mt"")"),"Fejn kienu jinsabu oriġinarjament it-tribujiet Ġermaniċi?")</f>
        <v>Fejn kienu jinsabu oriġinarjament it-tribujiet Ġermaniċi?</v>
      </c>
    </row>
    <row r="13851" ht="15.75" customHeight="1">
      <c r="A13851" s="2" t="s">
        <v>13851</v>
      </c>
      <c r="B13851" s="2" t="str">
        <f>IFERROR(__xludf.DUMMYFUNCTION("GOOGLETRANSLATE(A13851, ""en"", ""mt"")"),"Min kellu l-WWVA Jamboree?")</f>
        <v>Min kellu l-WWVA Jamboree?</v>
      </c>
    </row>
    <row r="13852" ht="15.75" customHeight="1">
      <c r="A13852" s="2" t="s">
        <v>13852</v>
      </c>
      <c r="B13852" s="2" t="str">
        <f>IFERROR(__xludf.DUMMYFUNCTION("GOOGLETRANSLATE(A13852, ""en"", ""mt"")"),"X'inhu n-numru ta 'speċi ta' pjanti fl-ekonomija u l-interess soċjali?")</f>
        <v>X'inhu n-numru ta 'speċi ta' pjanti fl-ekonomija u l-interess soċjali?</v>
      </c>
    </row>
    <row r="13853" ht="15.75" customHeight="1">
      <c r="A13853" s="2" t="s">
        <v>13853</v>
      </c>
      <c r="B13853" s="2" t="str">
        <f>IFERROR(__xludf.DUMMYFUNCTION("GOOGLETRANSLATE(A13853, ""en"", ""mt"")"),"Fejn jaħdem Halford Mackinder?")</f>
        <v>Fejn jaħdem Halford Mackinder?</v>
      </c>
    </row>
    <row r="13854" ht="15.75" customHeight="1">
      <c r="A13854" s="2" t="s">
        <v>13854</v>
      </c>
      <c r="B13854" s="2" t="str">
        <f>IFERROR(__xludf.DUMMYFUNCTION("GOOGLETRANSLATE(A13854, ""en"", ""mt"")"),"Settembru 2007")</f>
        <v>Settembru 2007</v>
      </c>
    </row>
    <row r="13855" ht="15.75" customHeight="1">
      <c r="A13855" s="2" t="s">
        <v>13855</v>
      </c>
      <c r="B13855" s="2" t="str">
        <f>IFERROR(__xludf.DUMMYFUNCTION("GOOGLETRANSLATE(A13855, ""en"", ""mt"")"),"Għaqli jew imut")</f>
        <v>Għaqli jew imut</v>
      </c>
    </row>
    <row r="13856" ht="15.75" customHeight="1">
      <c r="A13856" s="2" t="s">
        <v>13856</v>
      </c>
      <c r="B13856" s="2" t="str">
        <f>IFERROR(__xludf.DUMMYFUNCTION("GOOGLETRANSLATE(A13856, ""en"", ""mt"")"),"Kemm ġie salvat trab tal-pistola?")</f>
        <v>Kemm ġie salvat trab tal-pistola?</v>
      </c>
    </row>
    <row r="13857" ht="15.75" customHeight="1">
      <c r="A13857" s="2" t="s">
        <v>13857</v>
      </c>
      <c r="B13857" s="2" t="str">
        <f>IFERROR(__xludf.DUMMYFUNCTION("GOOGLETRANSLATE(A13857, ""en"", ""mt"")"),"Min mexxa l-proġett tax-Xjenza u l-Politika Ambjentali?")</f>
        <v>Min mexxa l-proġett tax-Xjenza u l-Politika Ambjentali?</v>
      </c>
    </row>
    <row r="13858" ht="15.75" customHeight="1">
      <c r="A13858" s="2" t="s">
        <v>13858</v>
      </c>
      <c r="B13858" s="2" t="str">
        <f>IFERROR(__xludf.DUMMYFUNCTION("GOOGLETRANSLATE(A13858, ""en"", ""mt"")"),"Louisiana Franċiża fil-punent tax-Xmara Mississippi (inkluża New Orleans)")</f>
        <v>Louisiana Franċiża fil-punent tax-Xmara Mississippi (inkluża New Orleans)</v>
      </c>
    </row>
    <row r="13859" ht="15.75" customHeight="1">
      <c r="A13859" s="2" t="s">
        <v>13859</v>
      </c>
      <c r="B13859" s="2" t="str">
        <f>IFERROR(__xludf.DUMMYFUNCTION("GOOGLETRANSLATE(A13859, ""en"", ""mt"")"),"Kieku (kif argumentajt il-WWF), il-livelli tal-popolazzjoni jibdew jonqsu għal livell sostenibbli")</f>
        <v>Kieku (kif argumentajt il-WWF), il-livelli tal-popolazzjoni jibdew jonqsu għal livell sostenibbli</v>
      </c>
    </row>
    <row r="13860" ht="15.75" customHeight="1">
      <c r="A13860" s="2" t="s">
        <v>13860</v>
      </c>
      <c r="B13860" s="2" t="str">
        <f>IFERROR(__xludf.DUMMYFUNCTION("GOOGLETRANSLATE(A13860, ""en"", ""mt"")"),"Dwar kemm kienet tiswa skola ta ’New York City Jum kull sena fl-2012?")</f>
        <v>Dwar kemm kienet tiswa skola ta ’New York City Jum kull sena fl-2012?</v>
      </c>
    </row>
    <row r="13861" ht="15.75" customHeight="1">
      <c r="A13861" s="2" t="s">
        <v>13861</v>
      </c>
      <c r="B13861" s="2" t="str">
        <f>IFERROR(__xludf.DUMMYFUNCTION("GOOGLETRANSLATE(A13861, ""en"", ""mt"")"),"Xi xerrejja lmentaw id-daqs żgħir tal-ewwel kumpatti Ġappuniżi, u kemm Toyota kif ukoll Nissan (dak iż-żmien magħrufa bħala Datsun) introduċew karozzi ikbar bħalma huma t-Toyota Corona Mark II, it-Toyota Cressida, il-Mazda 616 u Datsun 810, li żiedu l-isp"&amp;"azju tal-passiġġieri u Il-faċilitajiet bħall-kondizzjonament tal-arja, l-isteering tal-enerġija, ir-radji AM-FM, u anke t-twieqi tal-enerġija u l-illokkjar ċentrali mingħajr ma jiżdied il-prezz tal-vettura. Għaxar snin wara l-kriżi taż-żejt tal-1973, Hond"&amp;"a, Toyota u Nissan, affettwati mir-restrizzjonijiet volontarji tal-esportazzjoni tal-1981, fetħu impjanti tal-assemblaġġ tal-Istati Uniti u stabbilixxew id-diviżjonijiet lussużi tagħhom (Acura, Lexus u Infiniti, rispettivament) biex jiddistingwu ruħhom mi"&amp;"ll-marki tas-suq tal-massa tagħhom.")</f>
        <v>Xi xerrejja lmentaw id-daqs żgħir tal-ewwel kumpatti Ġappuniżi, u kemm Toyota kif ukoll Nissan (dak iż-żmien magħrufa bħala Datsun) introduċew karozzi ikbar bħalma huma t-Toyota Corona Mark II, it-Toyota Cressida, il-Mazda 616 u Datsun 810, li żiedu l-ispazju tal-passiġġieri u Il-faċilitajiet bħall-kondizzjonament tal-arja, l-isteering tal-enerġija, ir-radji AM-FM, u anke t-twieqi tal-enerġija u l-illokkjar ċentrali mingħajr ma jiżdied il-prezz tal-vettura. Għaxar snin wara l-kriżi taż-żejt tal-1973, Honda, Toyota u Nissan, affettwati mir-restrizzjonijiet volontarji tal-esportazzjoni tal-1981, fetħu impjanti tal-assemblaġġ tal-Istati Uniti u stabbilixxew id-diviżjonijiet lussużi tagħhom (Acura, Lexus u Infiniti, rispettivament) biex jiddistingwu ruħhom mill-marki tas-suq tal-massa tagħhom.</v>
      </c>
    </row>
    <row r="13862" ht="15.75" customHeight="1">
      <c r="A13862" s="2" t="s">
        <v>13862</v>
      </c>
      <c r="B13862" s="2" t="str">
        <f>IFERROR(__xludf.DUMMYFUNCTION("GOOGLETRANSLATE(A13862, ""en"", ""mt"")"),"Meta bskyb aġġorna l-kaxxa tas-sema +?")</f>
        <v>Meta bskyb aġġorna l-kaxxa tas-sema +?</v>
      </c>
    </row>
    <row r="13863" ht="15.75" customHeight="1">
      <c r="A13863" s="2" t="s">
        <v>13863</v>
      </c>
      <c r="B13863" s="2" t="str">
        <f>IFERROR(__xludf.DUMMYFUNCTION("GOOGLETRANSLATE(A13863, ""en"", ""mt"")"),"X’jikkorrelata l-iktar benesseri tat-tfal f’pajjiżi sinjuri?")</f>
        <v>X’jikkorrelata l-iktar benesseri tat-tfal f’pajjiżi sinjuri?</v>
      </c>
    </row>
    <row r="13864" ht="15.75" customHeight="1">
      <c r="A13864" s="2" t="s">
        <v>13864</v>
      </c>
      <c r="B13864" s="2" t="str">
        <f>IFERROR(__xludf.DUMMYFUNCTION("GOOGLETRANSLATE(A13864, ""en"", ""mt"")"),"Il-parametri tal-link huma bbażati fuq id-daqs?")</f>
        <v>Il-parametri tal-link huma bbażati fuq id-daqs?</v>
      </c>
    </row>
    <row r="13865" ht="15.75" customHeight="1">
      <c r="A13865" s="2" t="s">
        <v>13865</v>
      </c>
      <c r="B13865" s="2" t="str">
        <f>IFERROR(__xludf.DUMMYFUNCTION("GOOGLETRANSLATE(A13865, ""en"", ""mt"")"),"Qawwa kolonjali dominanti")</f>
        <v>Qawwa kolonjali dominanti</v>
      </c>
    </row>
    <row r="13866" ht="15.75" customHeight="1">
      <c r="A13866" s="2" t="s">
        <v>13866</v>
      </c>
      <c r="B13866" s="2" t="str">
        <f>IFERROR(__xludf.DUMMYFUNCTION("GOOGLETRANSLATE(A13866, ""en"", ""mt"")"),"X'għandu l-Metodoloġija ta 'Rotta tal-Messaġġi tiegħu?")</f>
        <v>X'għandu l-Metodoloġija ta 'Rotta tal-Messaġġi tiegħu?</v>
      </c>
    </row>
    <row r="13867" ht="15.75" customHeight="1">
      <c r="A13867" s="2" t="s">
        <v>13867</v>
      </c>
      <c r="B13867" s="2" t="str">
        <f>IFERROR(__xludf.DUMMYFUNCTION("GOOGLETRANSLATE(A13867, ""en"", ""mt"")"),"Qoton għażil")</f>
        <v>Qoton għażil</v>
      </c>
    </row>
    <row r="13868" ht="15.75" customHeight="1">
      <c r="A13868" s="2" t="s">
        <v>13868</v>
      </c>
      <c r="B13868" s="2" t="str">
        <f>IFERROR(__xludf.DUMMYFUNCTION("GOOGLETRANSLATE(A13868, ""en"", ""mt"")"),"zip ""il-ħalq jingħalaq meta l-annimal ma jkunx qed jitma ',")</f>
        <v>zip "il-ħalq jingħalaq meta l-annimal ma jkunx qed jitma ',</v>
      </c>
    </row>
    <row r="13869" ht="15.75" customHeight="1">
      <c r="A13869" s="2" t="s">
        <v>13869</v>
      </c>
      <c r="B13869" s="2" t="str">
        <f>IFERROR(__xludf.DUMMYFUNCTION("GOOGLETRANSLATE(A13869, ""en"", ""mt"")"),"Liema bliet 340 km minn Jacksonville?")</f>
        <v>Liema bliet 340 km minn Jacksonville?</v>
      </c>
    </row>
    <row r="13870" ht="15.75" customHeight="1">
      <c r="A13870" s="2" t="s">
        <v>13870</v>
      </c>
      <c r="B13870" s="2" t="str">
        <f>IFERROR(__xludf.DUMMYFUNCTION("GOOGLETRANSLATE(A13870, ""en"", ""mt"")"),"Min skopra t-tektonika tal-pjanċa?")</f>
        <v>Min skopra t-tektonika tal-pjanċa?</v>
      </c>
    </row>
    <row r="13871" ht="15.75" customHeight="1">
      <c r="A13871" s="2" t="s">
        <v>13871</v>
      </c>
      <c r="B13871" s="2" t="str">
        <f>IFERROR(__xludf.DUMMYFUNCTION("GOOGLETRANSLATE(A13871, ""en"", ""mt"")"),"Fresno Traction Company")</f>
        <v>Fresno Traction Company</v>
      </c>
    </row>
    <row r="13872" ht="15.75" customHeight="1">
      <c r="A13872" s="2" t="s">
        <v>13872</v>
      </c>
      <c r="B13872" s="2" t="str">
        <f>IFERROR(__xludf.DUMMYFUNCTION("GOOGLETRANSLATE(A13872, ""en"", ""mt"")"),"Storja turbulenti tal-belt")</f>
        <v>Storja turbulenti tal-belt</v>
      </c>
    </row>
    <row r="13873" ht="15.75" customHeight="1">
      <c r="A13873" s="2" t="s">
        <v>13873</v>
      </c>
      <c r="B13873" s="2" t="str">
        <f>IFERROR(__xludf.DUMMYFUNCTION("GOOGLETRANSLATE(A13873, ""en"", ""mt"")"),"Kemm kienu nies fil-kolonji Ingliżi tal-Amerika ta ’Fuq?")</f>
        <v>Kemm kienu nies fil-kolonji Ingliżi tal-Amerika ta ’Fuq?</v>
      </c>
    </row>
    <row r="13874" ht="15.75" customHeight="1">
      <c r="A13874" s="2" t="s">
        <v>13874</v>
      </c>
      <c r="B13874" s="2" t="str">
        <f>IFERROR(__xludf.DUMMYFUNCTION("GOOGLETRANSLATE(A13874, ""en"", ""mt"")"),"X'kien il-persentaġġ ta 'familja femminili mingħajr l-ebda raġel preżenti?")</f>
        <v>X'kien il-persentaġġ ta 'familja femminili mingħajr l-ebda raġel preżenti?</v>
      </c>
    </row>
    <row r="13875" ht="15.75" customHeight="1">
      <c r="A13875" s="2" t="s">
        <v>13875</v>
      </c>
      <c r="B13875" s="2" t="str">
        <f>IFERROR(__xludf.DUMMYFUNCTION("GOOGLETRANSLATE(A13875, ""en"", ""mt"")"),"Tours")</f>
        <v>Tours</v>
      </c>
    </row>
    <row r="13876" ht="15.75" customHeight="1">
      <c r="A13876" s="2" t="s">
        <v>13876</v>
      </c>
      <c r="B13876" s="2" t="str">
        <f>IFERROR(__xludf.DUMMYFUNCTION("GOOGLETRANSLATE(A13876, ""en"", ""mt"")"),"X'inhu terminu ieħor għall-wiċċ tal-port?")</f>
        <v>X'inhu terminu ieħor għall-wiċċ tal-port?</v>
      </c>
    </row>
    <row r="13877" ht="15.75" customHeight="1">
      <c r="A13877" s="2" t="s">
        <v>13877</v>
      </c>
      <c r="B13877" s="2" t="str">
        <f>IFERROR(__xludf.DUMMYFUNCTION("GOOGLETRANSLATE(A13877, ""en"", ""mt"")"),"B'mod ġenerali, filwaqt li l-istati membri kollha jirrikonoxxu li l-liġi tal-UE tieħu l-preminenza fuq il-liġi nazzjonali fejn din qablu fit-trattati, huma ma jaċċettawx li l-Qorti tal-Ġustizzja għandha l-aħħar kelma dwar mistoqsijiet kostituzzjonali fund"&amp;"amentali li jaffettwaw id-demokrazija u d-drittijiet tal-bniedem. Fir-Renju Unit, il-prinċipju bażiku huwa li l-Parlament, bħala l-espressjoni sovrana tal-leġittimità demokratika, jista 'jiddeċiedi jekk jixtieqx jilleġiżla espressament kontra l-liġi tal-U"&amp;"E. Dan, madankollu, iseħħ biss fil-każ ta 'xewqa espressa tan-nies li jirtiraw mill-UE. Inżamm f'R (Factortame Ltd) v Segretarju ta 'l-Istat għat-Trasport li ""tkun xi tkun il-limitazzjoni tal-Parlament tas-Sovranità tagħha aċċettata meta ppromulgat l-Att"&amp;" dwar il-Komunitajiet Ewropej tal-1972 kien kompletament volontarju"" u għalhekk ""dejjem kien ċar"" li l-qrati tar-Renju Unit għandhom dmir ""li twarrab kwalunkwe regola tad-dritt nazzjonali li tinstab f'kunflitt ma 'kwalunkwe regola direttament infurzab"&amp;"bli tal-liġi tal-komunità."" Aktar reċentement il-Qorti Suprema tar-Renju Unit innotat li f'R (HS2 Action Alliance Ltd) v Segretarju ta 'l-Istat għat-Trasport, għalkemm il-Kostituzzjoni tar-Renju Unit mhix ikkodifikata, jista' jkun hemm ""prinċipji fundam"&amp;"entali"" tal-liġi komuni, u l-Parlament ""ma kkontemplax jew jawtorizza L-abrogazzjoni ""ta 'dawk il-prinċipji meta ppromulgat l-Att dwar il-Komunitajiet Ewropej 1972. Il-fehma tal-Qorti Kostituzzjonali Ġermaniża mid-deċiżjonijiet ta' Solange I u Solange "&amp;"II hija li jekk l-UE ma tikkonformax mad-drittijiet u l-prinċipji kostituzzjonali bażiċi tagħha (partikolarment id-demokrazija, l-istat tad-dritt u l-prinċipji tal-istat soċjali) allura ma jistax jwarrab il-liġi Ġermaniża. Madankollu, hekk kif imorru l-la"&amp;"qmijiet tas-sentenzi, ""sakemm"" l-UE taħdem lejn id-demokratizzazzjoni tal-istituzzjonijiet tagħha, u għandha qafas li jipproteġi d-drittijiet fundamentali tal-bniedem, ma jirrevedix il-leġislazzjoni tal-UE għall-kompatibilità mal-prinċipji kostituzzjona"&amp;"li Ġermaniżi. Ħafna mill-Istati Membri l-oħra esprimew riservi simili. Dan jissuġġerixxi li l-leġittimità tal-UE tistrieħ fuq l-awtorità aħħarija tal-istati membri, l-impenn fattwali tagħha għad-drittijiet tal-bniedem, u r-rieda demokratika tal-poplu.")</f>
        <v>B'mod ġenerali, filwaqt li l-istati membri kollha jirrikonoxxu li l-liġi tal-UE tieħu l-preminenza fuq il-liġi nazzjonali fejn din qablu fit-trattati, huma ma jaċċettawx li l-Qorti tal-Ġustizzja għandha l-aħħar kelma dwar mistoqsijiet kostituzzjonali fundamentali li jaffettwaw id-demokrazija u d-drittijiet tal-bniedem. Fir-Renju Unit, il-prinċipju bażiku huwa li l-Parlament, bħala l-espressjoni sovrana tal-leġittimità demokratika, jista 'jiddeċiedi jekk jixtieqx jilleġiżla espressament kontra l-liġi tal-UE. Dan, madankollu, iseħħ biss fil-każ ta 'xewqa espressa tan-nies li jirtiraw mill-UE. Inżamm f'R (Factortame Ltd) v Segretarju ta 'l-Istat għat-Trasport li "tkun xi tkun il-limitazzjoni tal-Parlament tas-Sovranità tagħha aċċettata meta ppromulgat l-Att dwar il-Komunitajiet Ewropej tal-1972 kien kompletament volontarju" u għalhekk "dejjem kien ċar" li l-qrati tar-Renju Unit għandhom dmir "li twarrab kwalunkwe regola tad-dritt nazzjonali li tinstab f'kunflitt ma 'kwalunkwe regola direttament infurzabbli tal-liġi tal-komunità." Aktar reċentement il-Qorti Suprema tar-Renju Unit innotat li f'R (HS2 Action Alliance Ltd) v Segretarju ta 'l-Istat għat-Trasport, għalkemm il-Kostituzzjoni tar-Renju Unit mhix ikkodifikata, jista' jkun hemm "prinċipji fundamentali" tal-liġi komuni, u l-Parlament "ma kkontemplax jew jawtorizza L-abrogazzjoni "ta 'dawk il-prinċipji meta ppromulgat l-Att dwar il-Komunitajiet Ewropej 1972. Il-fehma tal-Qorti Kostituzzjonali Ġermaniża mid-deċiżjonijiet ta' Solange I u Solange II hija li jekk l-UE ma tikkonformax mad-drittijiet u l-prinċipji kostituzzjonali bażiċi tagħha (partikolarment id-demokrazija, l-istat tad-dritt u l-prinċipji tal-istat soċjali) allura ma jistax jwarrab il-liġi Ġermaniża. Madankollu, hekk kif imorru l-laqmijiet tas-sentenzi, "sakemm" l-UE taħdem lejn id-demokratizzazzjoni tal-istituzzjonijiet tagħha, u għandha qafas li jipproteġi d-drittijiet fundamentali tal-bniedem, ma jirrevedix il-leġislazzjoni tal-UE għall-kompatibilità mal-prinċipji kostituzzjonali Ġermaniżi. Ħafna mill-Istati Membri l-oħra esprimew riservi simili. Dan jissuġġerixxi li l-leġittimità tal-UE tistrieħ fuq l-awtorità aħħarija tal-istati membri, l-impenn fattwali tagħha għad-drittijiet tal-bniedem, u r-rieda demokratika tal-poplu.</v>
      </c>
    </row>
    <row r="13878" ht="15.75" customHeight="1">
      <c r="A13878" s="2" t="s">
        <v>13878</v>
      </c>
      <c r="B13878" s="2" t="str">
        <f>IFERROR(__xludf.DUMMYFUNCTION("GOOGLETRANSLATE(A13878, ""en"", ""mt"")"),"X'jifhem l-Artikolu 102 li ma jippermettix li l-Kunsill Ewropew jagħmel?")</f>
        <v>X'jifhem l-Artikolu 102 li ma jippermettix li l-Kunsill Ewropew jagħmel?</v>
      </c>
    </row>
    <row r="13879" ht="15.75" customHeight="1">
      <c r="A13879" s="2" t="s">
        <v>13879</v>
      </c>
      <c r="B13879" s="2" t="str">
        <f>IFERROR(__xludf.DUMMYFUNCTION("GOOGLETRANSLATE(A13879, ""en"", ""mt"")"),"Ix-xogħol ġie ppubblikat l-ewwel")</f>
        <v>Ix-xogħol ġie ppubblikat l-ewwel</v>
      </c>
    </row>
    <row r="13880" ht="15.75" customHeight="1">
      <c r="A13880" s="2" t="s">
        <v>13880</v>
      </c>
      <c r="B13880" s="2" t="str">
        <f>IFERROR(__xludf.DUMMYFUNCTION("GOOGLETRANSLATE(A13880, ""en"", ""mt"")"),"Kif jistgħu jiġu osservati l-effetti tal-gravità b'mod differenti skont Newton?")</f>
        <v>Kif jistgħu jiġu osservati l-effetti tal-gravità b'mod differenti skont Newton?</v>
      </c>
    </row>
    <row r="13881" ht="15.75" customHeight="1">
      <c r="A13881" s="2" t="s">
        <v>13881</v>
      </c>
      <c r="B13881" s="2" t="str">
        <f>IFERROR(__xludf.DUMMYFUNCTION("GOOGLETRANSLATE(A13881, ""en"", ""mt"")")," X'kienet l-oppożizzjoni ta 'Kublai Khan għal Ogedei Khan?")</f>
        <v> X'kienet l-oppożizzjoni ta 'Kublai Khan għal Ogedei Khan?</v>
      </c>
    </row>
    <row r="13882" ht="15.75" customHeight="1">
      <c r="A13882" s="2" t="s">
        <v>13882</v>
      </c>
      <c r="B13882" s="2" t="str">
        <f>IFERROR(__xludf.DUMMYFUNCTION("GOOGLETRANSLATE(A13882, ""en"", ""mt"")")," X'kien l-isem ta 'l-istil Ġappuniż ta' Temur Khan?")</f>
        <v> X'kien l-isem ta 'l-istil Ġappuniż ta' Temur Khan?</v>
      </c>
    </row>
    <row r="13883" ht="15.75" customHeight="1">
      <c r="A13883" s="2" t="s">
        <v>13883</v>
      </c>
      <c r="B13883" s="2" t="str">
        <f>IFERROR(__xludf.DUMMYFUNCTION("GOOGLETRANSLATE(A13883, ""en"", ""mt"")"),"Kemm sororitajiet jappartjenu għall-Konferenza Panhellenic Nazzjonali?")</f>
        <v>Kemm sororitajiet jappartjenu għall-Konferenza Panhellenic Nazzjonali?</v>
      </c>
    </row>
    <row r="13884" ht="15.75" customHeight="1">
      <c r="A13884" s="2" t="s">
        <v>13884</v>
      </c>
      <c r="B13884" s="2" t="str">
        <f>IFERROR(__xludf.DUMMYFUNCTION("GOOGLETRANSLATE(A13884, ""en"", ""mt"")"),"18 ta 'Jannar, 1974")</f>
        <v>18 ta 'Jannar, 1974</v>
      </c>
    </row>
    <row r="13885" ht="15.75" customHeight="1">
      <c r="A13885" s="2" t="s">
        <v>13885</v>
      </c>
      <c r="B13885" s="2" t="str">
        <f>IFERROR(__xludf.DUMMYFUNCTION("GOOGLETRANSLATE(A13885, ""en"", ""mt"")"),"L-Università ta ’Chicago żżomm ukoll faċilitajiet apparti mill-kampus ewlieni tagħha. L-Iskola tan-Negozju tal-Booth tal-Università żżomm kampus f’Singapore, Londra, u fil-viċinat ta ’Downtown Streeterville f’Chicago. Iċ-ċentru f'Pariġi, kampus li jinsab "&amp;"fuq ix-xellug ta 'Seine f'Pariġi, jospita diversi programmi ta' studju li għadhom ma ggradwawx u gradwati. Fil-ħarifa tal-2010, l-Università ta ’Chicago fetħet ukoll ċentru f’Beijing, qrib il-kampus tal-Università ta’ Renmin fid-distrett ta ’Haidian. L-ik"&amp;"tar żidiet riċenti huma ċentru fi New Delhi, l-Indja, li nfetaħ fl-2014, u ċentru f'Hong Kong li nfetaħ fl-2015.")</f>
        <v>L-Università ta ’Chicago żżomm ukoll faċilitajiet apparti mill-kampus ewlieni tagħha. L-Iskola tan-Negozju tal-Booth tal-Università żżomm kampus f’Singapore, Londra, u fil-viċinat ta ’Downtown Streeterville f’Chicago. Iċ-ċentru f'Pariġi, kampus li jinsab fuq ix-xellug ta 'Seine f'Pariġi, jospita diversi programmi ta' studju li għadhom ma ggradwawx u gradwati. Fil-ħarifa tal-2010, l-Università ta ’Chicago fetħet ukoll ċentru f’Beijing, qrib il-kampus tal-Università ta’ Renmin fid-distrett ta ’Haidian. L-iktar żidiet riċenti huma ċentru fi New Delhi, l-Indja, li nfetaħ fl-2014, u ċentru f'Hong Kong li nfetaħ fl-2015.</v>
      </c>
    </row>
    <row r="13886" ht="15.75" customHeight="1">
      <c r="A13886" s="2" t="s">
        <v>13886</v>
      </c>
      <c r="B13886" s="2" t="str">
        <f>IFERROR(__xludf.DUMMYFUNCTION("GOOGLETRANSLATE(A13886, ""en"", ""mt"")"),"L-għanijiet ta 'spiss għadhom jopponu l-IPCC?")</f>
        <v>L-għanijiet ta 'spiss għadhom jopponu l-IPCC?</v>
      </c>
    </row>
    <row r="13887" ht="15.75" customHeight="1">
      <c r="A13887" s="2" t="s">
        <v>13887</v>
      </c>
      <c r="B13887" s="2" t="str">
        <f>IFERROR(__xludf.DUMMYFUNCTION("GOOGLETRANSLATE(A13887, ""en"", ""mt"")"),"rati għoljin")</f>
        <v>rati għoljin</v>
      </c>
    </row>
    <row r="13888" ht="15.75" customHeight="1">
      <c r="A13888" s="2" t="s">
        <v>13888</v>
      </c>
      <c r="B13888" s="2" t="str">
        <f>IFERROR(__xludf.DUMMYFUNCTION("GOOGLETRANSLATE(A13888, ""en"", ""mt"")"),"Iċ-Cestida")</f>
        <v>Iċ-Cestida</v>
      </c>
    </row>
    <row r="13889" ht="15.75" customHeight="1">
      <c r="A13889" s="2" t="s">
        <v>13889</v>
      </c>
      <c r="B13889" s="2" t="str">
        <f>IFERROR(__xludf.DUMMYFUNCTION("GOOGLETRANSLATE(A13889, ""en"", ""mt"")"),"Liema karozza hija liċenzjata mill-fabbrika FSO Tico u mibnija fl-Eġittu?")</f>
        <v>Liema karozza hija liċenzjata mill-fabbrika FSO Tico u mibnija fl-Eġittu?</v>
      </c>
    </row>
    <row r="13890" ht="15.75" customHeight="1">
      <c r="A13890" s="2" t="s">
        <v>13890</v>
      </c>
      <c r="B13890" s="2" t="str">
        <f>IFERROR(__xludf.DUMMYFUNCTION("GOOGLETRANSLATE(A13890, ""en"", ""mt"")"),"X'inhu l-istess sett ta 'regoli matematiċi minn kwantitajiet fiżiċi?")</f>
        <v>X'inhu l-istess sett ta 'regoli matematiċi minn kwantitajiet fiżiċi?</v>
      </c>
    </row>
    <row r="13891" ht="15.75" customHeight="1">
      <c r="A13891" s="2" t="s">
        <v>13891</v>
      </c>
      <c r="B13891" s="2" t="str">
        <f>IFERROR(__xludf.DUMMYFUNCTION("GOOGLETRANSLATE(A13891, ""en"", ""mt"")"),"triq bejn żewġ avvenimenti spazjali-ħin")</f>
        <v>triq bejn żewġ avvenimenti spazjali-ħin</v>
      </c>
    </row>
    <row r="13892" ht="15.75" customHeight="1">
      <c r="A13892" s="2" t="s">
        <v>13892</v>
      </c>
      <c r="B13892" s="2" t="str">
        <f>IFERROR(__xludf.DUMMYFUNCTION("GOOGLETRANSLATE(A13892, ""en"", ""mt"")"),"Kemm ħin l-aħjar algoritmu jirrikjedi biex issolvi l-problema")</f>
        <v>Kemm ħin l-aħjar algoritmu jirrikjedi biex issolvi l-problema</v>
      </c>
    </row>
    <row r="13893" ht="15.75" customHeight="1">
      <c r="A13893" s="2" t="s">
        <v>13893</v>
      </c>
      <c r="B13893" s="2" t="str">
        <f>IFERROR(__xludf.DUMMYFUNCTION("GOOGLETRANSLATE(A13893, ""en"", ""mt"")"),"Meta l-pesta waslet f'Lixandra?")</f>
        <v>Meta l-pesta waslet f'Lixandra?</v>
      </c>
    </row>
    <row r="13894" ht="15.75" customHeight="1">
      <c r="A13894" s="2" t="s">
        <v>13894</v>
      </c>
      <c r="B13894" s="2" t="str">
        <f>IFERROR(__xludf.DUMMYFUNCTION("GOOGLETRANSLATE(A13894, ""en"", ""mt"")"),"X'inhu l-għan ewlieni li tipprova tikseb in-nullifikazzjoni tal-ġurija waqt il-prova?")</f>
        <v>X'inhu l-għan ewlieni li tipprova tikseb in-nullifikazzjoni tal-ġurija waqt il-prova?</v>
      </c>
    </row>
    <row r="13895" ht="15.75" customHeight="1">
      <c r="A13895" s="2" t="s">
        <v>13895</v>
      </c>
      <c r="B13895" s="2" t="str">
        <f>IFERROR(__xludf.DUMMYFUNCTION("GOOGLETRANSLATE(A13895, ""en"", ""mt"")"),"X'ġara mill-bumpers tas-sigurtà fl-1979?")</f>
        <v>X'ġara mill-bumpers tas-sigurtà fl-1979?</v>
      </c>
    </row>
    <row r="13896" ht="15.75" customHeight="1">
      <c r="A13896" s="2" t="s">
        <v>13896</v>
      </c>
      <c r="B13896" s="2" t="str">
        <f>IFERROR(__xludf.DUMMYFUNCTION("GOOGLETRANSLATE(A13896, ""en"", ""mt"")"),"Għaliex mhux netwerk dinji għall-kuntrarju ta 'sempliċement netwerk tar-Renju Unit?")</f>
        <v>Għaliex mhux netwerk dinji għall-kuntrarju ta 'sempliċement netwerk tar-Renju Unit?</v>
      </c>
    </row>
    <row r="13897" ht="15.75" customHeight="1">
      <c r="A13897" s="2" t="s">
        <v>13897</v>
      </c>
      <c r="B13897" s="2" t="str">
        <f>IFERROR(__xludf.DUMMYFUNCTION("GOOGLETRANSLATE(A13897, ""en"", ""mt"")"),"Madwar 15,000")</f>
        <v>Madwar 15,000</v>
      </c>
    </row>
    <row r="13898" ht="15.75" customHeight="1">
      <c r="A13898" s="2" t="s">
        <v>13898</v>
      </c>
      <c r="B13898" s="2" t="str">
        <f>IFERROR(__xludf.DUMMYFUNCTION("GOOGLETRANSLATE(A13898, ""en"", ""mt"")"),"1,000 m3 / s")</f>
        <v>1,000 m3 / s</v>
      </c>
    </row>
    <row r="13899" ht="15.75" customHeight="1">
      <c r="A13899" s="2" t="s">
        <v>13899</v>
      </c>
      <c r="B13899" s="2" t="str">
        <f>IFERROR(__xludf.DUMMYFUNCTION("GOOGLETRANSLATE(A13899, ""en"", ""mt"")"),"Flimkien ma '7 fraternitajiet, kemm sororitajiet għandhom l-U ta' C?")</f>
        <v>Flimkien ma '7 fraternitajiet, kemm sororitajiet għandhom l-U ta' C?</v>
      </c>
    </row>
    <row r="13900" ht="15.75" customHeight="1">
      <c r="A13900" s="2" t="s">
        <v>13900</v>
      </c>
      <c r="B13900" s="2" t="str">
        <f>IFERROR(__xludf.DUMMYFUNCTION("GOOGLETRANSLATE(A13900, ""en"", ""mt"")"),"Meta ġie adottat il-kulur krimżi f'Harvard bħala kulur uffiċjali?")</f>
        <v>Meta ġie adottat il-kulur krimżi f'Harvard bħala kulur uffiċjali?</v>
      </c>
    </row>
    <row r="13901" ht="15.75" customHeight="1">
      <c r="A13901" s="2" t="s">
        <v>13901</v>
      </c>
      <c r="B13901" s="2" t="str">
        <f>IFERROR(__xludf.DUMMYFUNCTION("GOOGLETRANSLATE(A13901, ""en"", ""mt"")"),"Liema mexxej Ċiniż Han iddefetta lill-Mongoli?")</f>
        <v>Liema mexxej Ċiniż Han iddefetta lill-Mongoli?</v>
      </c>
    </row>
    <row r="13902" ht="15.75" customHeight="1">
      <c r="A13902" s="2" t="s">
        <v>13902</v>
      </c>
      <c r="B13902" s="2" t="str">
        <f>IFERROR(__xludf.DUMMYFUNCTION("GOOGLETRANSLATE(A13902, ""en"", ""mt"")"),"Il-forza dgħajfa hija dovuta għall-iskambju tal-bosons W u Z tqal. L-iktar effett familjari tiegħu huwa t-tħassir beta (ta 'newtroni fin-nuklei atomiċi) u r-radjuattività assoċjata. Il-kelma ""dgħajfa"" ġejja mill-fatt li s-saħħa tal-qasam hija xi 1013 da"&amp;"rbiet inqas minn dik tal-forza qawwija. Xorta, hija iktar b'saħħitha mill-gravità fuq distanzi qosra. Ġiet żviluppata wkoll teorija tal-elettroweak konsistenti, li turi li l-forzi elettromanjetiċi u l-forza dgħajfa ma jistgħux jintgħarfu f'temperaturi li "&amp;"jaqbżu madwar 1015 Kelvins. Temperaturi bħal dawn ġew sondati fl-aċċeleraturi moderni tal-partikuli u juru l-kundizzjonijiet tal-univers fil-mumenti bikrija tal-Big Bang.")</f>
        <v>Il-forza dgħajfa hija dovuta għall-iskambju tal-bosons W u Z tqal. L-iktar effett familjari tiegħu huwa t-tħassir beta (ta 'newtroni fin-nuklei atomiċi) u r-radjuattività assoċjata. Il-kelma "dgħajfa" ġejja mill-fatt li s-saħħa tal-qasam hija xi 1013 darbiet inqas minn dik tal-forza qawwija. Xorta, hija iktar b'saħħitha mill-gravità fuq distanzi qosra. Ġiet żviluppata wkoll teorija tal-elettroweak konsistenti, li turi li l-forzi elettromanjetiċi u l-forza dgħajfa ma jistgħux jintgħarfu f'temperaturi li jaqbżu madwar 1015 Kelvins. Temperaturi bħal dawn ġew sondati fl-aċċeleraturi moderni tal-partikuli u juru l-kundizzjonijiet tal-univers fil-mumenti bikrija tal-Big Bang.</v>
      </c>
    </row>
    <row r="13903" ht="15.75" customHeight="1">
      <c r="A13903" s="2" t="s">
        <v>13903</v>
      </c>
      <c r="B13903" s="2" t="str">
        <f>IFERROR(__xludf.DUMMYFUNCTION("GOOGLETRANSLATE(A13903, ""en"", ""mt"")"),"Meta kienet l-aħħar gwerra Sino-Ġappuniża?")</f>
        <v>Meta kienet l-aħħar gwerra Sino-Ġappuniża?</v>
      </c>
    </row>
    <row r="13904" ht="15.75" customHeight="1">
      <c r="A13904" s="2" t="s">
        <v>13904</v>
      </c>
      <c r="B13904" s="2" t="str">
        <f>IFERROR(__xludf.DUMMYFUNCTION("GOOGLETRANSLATE(A13904, ""en"", ""mt"")"),"Ban Ki-moon")</f>
        <v>Ban Ki-moon</v>
      </c>
    </row>
    <row r="13905" ht="15.75" customHeight="1">
      <c r="A13905" s="2" t="s">
        <v>13905</v>
      </c>
      <c r="B13905" s="2" t="str">
        <f>IFERROR(__xludf.DUMMYFUNCTION("GOOGLETRANSLATE(A13905, ""en"", ""mt"")"),"Xi jfisser il-Mużew tal-Armata tal-Irkib?")</f>
        <v>Xi jfisser il-Mużew tal-Armata tal-Irkib?</v>
      </c>
    </row>
    <row r="13906" ht="15.75" customHeight="1">
      <c r="A13906" s="2" t="s">
        <v>13906</v>
      </c>
      <c r="B13906" s="2" t="str">
        <f>IFERROR(__xludf.DUMMYFUNCTION("GOOGLETRANSLATE(A13906, ""en"", ""mt"")"),"Għaliex hija meħtieġa l-ħtieġa għall-aċċettazzjoni tal-kastig?")</f>
        <v>Għaliex hija meħtieġa l-ħtieġa għall-aċċettazzjoni tal-kastig?</v>
      </c>
    </row>
    <row r="13907" ht="15.75" customHeight="1">
      <c r="A13907" s="2" t="s">
        <v>13907</v>
      </c>
      <c r="B13907" s="2" t="str">
        <f>IFERROR(__xludf.DUMMYFUNCTION("GOOGLETRANSLATE(A13907, ""en"", ""mt"")"),"Liema kwistjonijiet ma ġewx indirizzati fit-Trattat ta 'Aix-La-Chapelle?")</f>
        <v>Liema kwistjonijiet ma ġewx indirizzati fit-Trattat ta 'Aix-La-Chapelle?</v>
      </c>
    </row>
    <row r="13908" ht="15.75" customHeight="1">
      <c r="A13908" s="2" t="s">
        <v>13908</v>
      </c>
      <c r="B13908" s="2" t="str">
        <f>IFERROR(__xludf.DUMMYFUNCTION("GOOGLETRANSLATE(A13908, ""en"", ""mt"")"),"Liema prinċipju jgħin biex isib id-differenza bejn tort normali jew ta 'l-ispinta?")</f>
        <v>Liema prinċipju jgħin biex isib id-differenza bejn tort normali jew ta 'l-ispinta?</v>
      </c>
    </row>
    <row r="13909" ht="15.75" customHeight="1">
      <c r="A13909" s="2" t="s">
        <v>13909</v>
      </c>
      <c r="B13909" s="2" t="str">
        <f>IFERROR(__xludf.DUMMYFUNCTION("GOOGLETRANSLATE(A13909, ""en"", ""mt"")"),"Liema prinċipju jenfasizza s-sinifikat tal-primes fit-teorija tan-numri")</f>
        <v>Liema prinċipju jenfasizza s-sinifikat tal-primes fit-teorija tan-numri</v>
      </c>
    </row>
    <row r="13910" ht="15.75" customHeight="1">
      <c r="A13910" s="2" t="s">
        <v>13910</v>
      </c>
      <c r="B13910" s="2" t="str">
        <f>IFERROR(__xludf.DUMMYFUNCTION("GOOGLETRANSLATE(A13910, ""en"", ""mt"")"),"Kwistjonijiet riservati huma suġġetti li huma barra l-kompetenza leġiżlattiva tal-Parlament tal-Iskozja. Il-Parlament Skoċċiż ma jistax jilleġiżla dwar dawn il-kwistjonijiet li huma riservati, u ttrattati fi, Westminster (u fejn il-funzjonijiet ministerja"&amp;"li ġeneralment jinsabu mal-ministri tal-gvern tar-Renju Unit). Dawn jinkludu abort, politika tax-xandir, servizz ċivili, swieq komuni għal oġġetti u servizzi tar-Renju Unit, kostituzzjoni, elettriku, faħam, żejt, gass, enerġija nukleari, difiża u sigurtà "&amp;"nazzjonali, politika tad-droga, impjieg, politika barranija, politika barranija u relazzjonijiet mal-Ewropa, ħafna aspetti ta 'sigurtà u regolamentazzjoni tat-trasport, lotterija nazzjonali, protezzjoni tal-fruntieri, sigurtà soċjali u stabbiltà tas-siste"&amp;"ma fiskali, ekonomika u monetarja tar-Renju Unit.")</f>
        <v>Kwistjonijiet riservati huma suġġetti li huma barra l-kompetenza leġiżlattiva tal-Parlament tal-Iskozja. Il-Parlament Skoċċiż ma jistax jilleġiżla dwar dawn il-kwistjonijiet li huma riservati, u ttrattati fi, Westminster (u fejn il-funzjonijiet ministerjali ġeneralment jinsabu mal-ministri tal-gvern tar-Renju Unit). Dawn jinkludu abort, politika tax-xandir, servizz ċivili, swieq komuni għal oġġetti u servizzi tar-Renju Unit, kostituzzjoni, elettriku, faħam, żejt, gass, enerġija nukleari, difiża u sigurtà nazzjonali, politika tad-droga, impjieg, politika barranija, politika barranija u relazzjonijiet mal-Ewropa, ħafna aspetti ta 'sigurtà u regolamentazzjoni tat-trasport, lotterija nazzjonali, protezzjoni tal-fruntieri, sigurtà soċjali u stabbiltà tas-sistema fiskali, ekonomika u monetarja tar-Renju Unit.</v>
      </c>
    </row>
    <row r="13911" ht="15.75" customHeight="1">
      <c r="A13911" s="2" t="s">
        <v>13911</v>
      </c>
      <c r="B13911" s="2" t="str">
        <f>IFERROR(__xludf.DUMMYFUNCTION("GOOGLETRANSLATE(A13911, ""en"", ""mt"")"),"APCs")</f>
        <v>APCs</v>
      </c>
    </row>
    <row r="13912" ht="15.75" customHeight="1">
      <c r="A13912" s="2" t="s">
        <v>13912</v>
      </c>
      <c r="B13912" s="2" t="str">
        <f>IFERROR(__xludf.DUMMYFUNCTION("GOOGLETRANSLATE(A13912, ""en"", ""mt"")"),"Meta kissru l-ftehim tal-irġiel hekk imsejħa bejn Sadat u l-Iżlamisti?")</f>
        <v>Meta kissru l-ftehim tal-irġiel hekk imsejħa bejn Sadat u l-Iżlamisti?</v>
      </c>
    </row>
    <row r="13913" ht="15.75" customHeight="1">
      <c r="A13913" s="2" t="s">
        <v>13913</v>
      </c>
      <c r="B13913" s="2" t="str">
        <f>IFERROR(__xludf.DUMMYFUNCTION("GOOGLETRANSLATE(A13913, ""en"", ""mt"")"),"Hemm rabtiet kuntrattwali diretti bejn min?")</f>
        <v>Hemm rabtiet kuntrattwali diretti bejn min?</v>
      </c>
    </row>
    <row r="13914" ht="15.75" customHeight="1">
      <c r="A13914" s="2" t="s">
        <v>13914</v>
      </c>
      <c r="B13914" s="2" t="str">
        <f>IFERROR(__xludf.DUMMYFUNCTION("GOOGLETRANSLATE(A13914, ""en"", ""mt"")"),"provvista u domanda")</f>
        <v>provvista u domanda</v>
      </c>
    </row>
    <row r="13915" ht="15.75" customHeight="1">
      <c r="A13915" s="2" t="s">
        <v>13915</v>
      </c>
      <c r="B13915" s="2" t="str">
        <f>IFERROR(__xludf.DUMMYFUNCTION("GOOGLETRANSLATE(A13915, ""en"", ""mt"")"),"titla 'u taqa' skont id-domanda tas-suq")</f>
        <v>titla 'u taqa' skont id-domanda tas-suq</v>
      </c>
    </row>
    <row r="13916" ht="15.75" customHeight="1">
      <c r="A13916" s="2" t="s">
        <v>13916</v>
      </c>
      <c r="B13916" s="2" t="str">
        <f>IFERROR(__xludf.DUMMYFUNCTION("GOOGLETRANSLATE(A13916, ""en"", ""mt"")"),"detrimentali fit-tul")</f>
        <v>detrimentali fit-tul</v>
      </c>
    </row>
    <row r="13917" ht="15.75" customHeight="1">
      <c r="A13917" s="2" t="s">
        <v>13917</v>
      </c>
      <c r="B13917" s="2" t="str">
        <f>IFERROR(__xludf.DUMMYFUNCTION("GOOGLETRANSLATE(A13917, ""en"", ""mt"")"),"Il-Parlament Skoċċiż")</f>
        <v>Il-Parlament Skoċċiż</v>
      </c>
    </row>
    <row r="13918" ht="15.75" customHeight="1">
      <c r="A13918" s="2" t="s">
        <v>13918</v>
      </c>
      <c r="B13918" s="2" t="str">
        <f>IFERROR(__xludf.DUMMYFUNCTION("GOOGLETRANSLATE(A13918, ""en"", ""mt"")"),"86 km twil")</f>
        <v>86 km twil</v>
      </c>
    </row>
    <row r="13919" ht="15.75" customHeight="1">
      <c r="A13919" s="2" t="s">
        <v>13919</v>
      </c>
      <c r="B13919" s="2" t="str">
        <f>IFERROR(__xludf.DUMMYFUNCTION("GOOGLETRANSLATE(A13919, ""en"", ""mt"")"),"Predaturi kbar tal-foresta tropikali tal-Amazon jinkludu l-Jaguar, Cougar, u Anaconda, x'inhu eżempju ieħor?")</f>
        <v>Predaturi kbar tal-foresta tropikali tal-Amazon jinkludu l-Jaguar, Cougar, u Anaconda, x'inhu eżempju ieħor?</v>
      </c>
    </row>
    <row r="13920" ht="15.75" customHeight="1">
      <c r="A13920" s="2" t="s">
        <v>13920</v>
      </c>
      <c r="B13920" s="2" t="str">
        <f>IFERROR(__xludf.DUMMYFUNCTION("GOOGLETRANSLATE(A13920, ""en"", ""mt"")"),"Ta 'liema forma huma Gaussjani razzjonali?")</f>
        <v>Ta 'liema forma huma Gaussjani razzjonali?</v>
      </c>
    </row>
    <row r="13921" ht="15.75" customHeight="1">
      <c r="A13921" s="2" t="s">
        <v>13921</v>
      </c>
      <c r="B13921" s="2" t="str">
        <f>IFERROR(__xludf.DUMMYFUNCTION("GOOGLETRANSLATE(A13921, ""en"", ""mt"")"),"Kemm bini kien imqaxxar min-nar ta 'Jacksonville?")</f>
        <v>Kemm bini kien imqaxxar min-nar ta 'Jacksonville?</v>
      </c>
    </row>
    <row r="13922" ht="15.75" customHeight="1">
      <c r="A13922" s="2" t="s">
        <v>13922</v>
      </c>
      <c r="B13922" s="2" t="str">
        <f>IFERROR(__xludf.DUMMYFUNCTION("GOOGLETRANSLATE(A13922, ""en"", ""mt"")"),"Liema park huwa viċin Triq John Lennon?")</f>
        <v>Liema park huwa viċin Triq John Lennon?</v>
      </c>
    </row>
    <row r="13923" ht="15.75" customHeight="1">
      <c r="A13923" s="2" t="s">
        <v>13923</v>
      </c>
      <c r="B13923" s="2" t="str">
        <f>IFERROR(__xludf.DUMMYFUNCTION("GOOGLETRANSLATE(A13923, ""en"", ""mt"")"),"X'tip ta 'reġjun jista' jinstab fiż-żona urbana tan-Nofsinhar ta 'California?")</f>
        <v>X'tip ta 'reġjun jista' jinstab fiż-żona urbana tan-Nofsinhar ta 'California?</v>
      </c>
    </row>
    <row r="13924" ht="15.75" customHeight="1">
      <c r="A13924" s="2" t="s">
        <v>13924</v>
      </c>
      <c r="B13924" s="2" t="str">
        <f>IFERROR(__xludf.DUMMYFUNCTION("GOOGLETRANSLATE(A13924, ""en"", ""mt"")"),"Kważi 7,000 student huma rreġistrati fejn?")</f>
        <v>Kważi 7,000 student huma rreġistrati fejn?</v>
      </c>
    </row>
    <row r="13925" ht="15.75" customHeight="1">
      <c r="A13925" s="2" t="s">
        <v>13925</v>
      </c>
      <c r="B13925" s="2" t="str">
        <f>IFERROR(__xludf.DUMMYFUNCTION("GOOGLETRANSLATE(A13925, ""en"", ""mt"")"),"X'kienet il-gwerra ta 'sitt snin?")</f>
        <v>X'kienet il-gwerra ta 'sitt snin?</v>
      </c>
    </row>
    <row r="13926" ht="15.75" customHeight="1">
      <c r="A13926" s="2" t="s">
        <v>13926</v>
      </c>
      <c r="B13926" s="2" t="str">
        <f>IFERROR(__xludf.DUMMYFUNCTION("GOOGLETRANSLATE(A13926, ""en"", ""mt"")"),"Lothar de Maizière")</f>
        <v>Lothar de Maizière</v>
      </c>
    </row>
    <row r="13927" ht="15.75" customHeight="1">
      <c r="A13927" s="2" t="s">
        <v>13927</v>
      </c>
      <c r="B13927" s="2" t="str">
        <f>IFERROR(__xludf.DUMMYFUNCTION("GOOGLETRANSLATE(A13927, ""en"", ""mt"")"),"Erbgħa")</f>
        <v>Erbgħa</v>
      </c>
    </row>
    <row r="13928" ht="15.75" customHeight="1">
      <c r="A13928" s="2" t="s">
        <v>13928</v>
      </c>
      <c r="B13928" s="2" t="str">
        <f>IFERROR(__xludf.DUMMYFUNCTION("GOOGLETRANSLATE(A13928, ""en"", ""mt"")"),"identifikazzjoni ta 'għanijiet ta' terapija")</f>
        <v>identifikazzjoni ta 'għanijiet ta' terapija</v>
      </c>
    </row>
    <row r="13929" ht="15.75" customHeight="1">
      <c r="A13929" s="2" t="s">
        <v>13929</v>
      </c>
      <c r="B13929" s="2" t="str">
        <f>IFERROR(__xludf.DUMMYFUNCTION("GOOGLETRANSLATE(A13929, ""en"", ""mt"")"),"Fejn mhumiex konservati ribonukleasi?")</f>
        <v>Fejn mhumiex konservati ribonukleasi?</v>
      </c>
    </row>
    <row r="13930" ht="15.75" customHeight="1">
      <c r="A13930" s="2" t="s">
        <v>13930</v>
      </c>
      <c r="B13930" s="2" t="str">
        <f>IFERROR(__xludf.DUMMYFUNCTION("GOOGLETRANSLATE(A13930, ""en"", ""mt"")"),"Żieda fil-karozzi importati fl-Amerika ta ’Fuq ġiegħlet lil General Motors, Ford u Chrysler jintroduċu mudelli iżgħar u effiċjenti fil-fjuwil għall-bejgħ domestiku. Id-Dodge Omni / Plymouth Horizon minn Chrysler, il-Ford Fiesta u l-Chevrolet Chevette koll"&amp;"ha kellhom magni b'erba 'ċilindri u spazju għal mill-inqas erba' passiġġieri sa l-aħħar tas-snin sebgħin. Sal-1985, il-vettura Amerikana medja mxiet 17.4 mili għal kull gallun, meta mqabbla ma '13 .5 fl-1970. It-titjib baqa 'minkejja li l-prezz ta' barmil"&amp;" taż-żejt baqa 'kostanti għal $ 12 mill-1974 sal-1979. Bejgħ ta' sedans kbar għal ħafna make (ħlief Chrysler prodotti) irkuprati fi żmien sentejn mudell mill-kriżi tal-1973. Il-Cadillac DeVille u Fleetwood, Buick Electra, Oldsmobile 98, Lincoln Continenta"&amp;"l, Mercury Marquis, u diversi sedans oħra orjentati mill-lussu reġgħu saru popolari f'nofs is-snin sebgħin. L-uniċi mudelli ta 'daqs sħiħ li ma rkuprawx kienu mudelli ta' prezzijiet aktar baxxi bħal Chevrolet Bel Air, u Ford Galaxie 500. Mudelli kemmxejn "&amp;"iżgħar, ta 'daqs medju bħal Oldsmobile Cutlass, Chevrolet Monte Carlo, Ford Thunderbird u diversi mudelli oħra mibjugħa Ukoll.")</f>
        <v>Żieda fil-karozzi importati fl-Amerika ta ’Fuq ġiegħlet lil General Motors, Ford u Chrysler jintroduċu mudelli iżgħar u effiċjenti fil-fjuwil għall-bejgħ domestiku. Id-Dodge Omni / Plymouth Horizon minn Chrysler, il-Ford Fiesta u l-Chevrolet Chevette kollha kellhom magni b'erba 'ċilindri u spazju għal mill-inqas erba' passiġġieri sa l-aħħar tas-snin sebgħin. Sal-1985, il-vettura Amerikana medja mxiet 17.4 mili għal kull gallun, meta mqabbla ma '13 .5 fl-1970. It-titjib baqa 'minkejja li l-prezz ta' barmil taż-żejt baqa 'kostanti għal $ 12 mill-1974 sal-1979. Bejgħ ta' sedans kbar għal ħafna make (ħlief Chrysler prodotti) irkuprati fi żmien sentejn mudell mill-kriżi tal-1973. Il-Cadillac DeVille u Fleetwood, Buick Electra, Oldsmobile 98, Lincoln Continental, Mercury Marquis, u diversi sedans oħra orjentati mill-lussu reġgħu saru popolari f'nofs is-snin sebgħin. L-uniċi mudelli ta 'daqs sħiħ li ma rkuprawx kienu mudelli ta' prezzijiet aktar baxxi bħal Chevrolet Bel Air, u Ford Galaxie 500. Mudelli kemmxejn iżgħar, ta 'daqs medju bħal Oldsmobile Cutlass, Chevrolet Monte Carlo, Ford Thunderbird u diversi mudelli oħra mibjugħa Ukoll.</v>
      </c>
    </row>
    <row r="13931" ht="15.75" customHeight="1">
      <c r="A13931" s="2" t="s">
        <v>13931</v>
      </c>
      <c r="B13931" s="2" t="str">
        <f>IFERROR(__xludf.DUMMYFUNCTION("GOOGLETRANSLATE(A13931, ""en"", ""mt"")"),"Il-Qorti Ewropea tal-Ġustizzja Regola l-imputat fil-każ tal-Kummissjoni v. Edith Cresson kiser xi liġijiet?")</f>
        <v>Il-Qorti Ewropea tal-Ġustizzja Regola l-imputat fil-każ tal-Kummissjoni v. Edith Cresson kiser xi liġijiet?</v>
      </c>
    </row>
    <row r="13932" ht="15.75" customHeight="1">
      <c r="A13932" s="2" t="s">
        <v>13932</v>
      </c>
      <c r="B13932" s="2" t="str">
        <f>IFERROR(__xludf.DUMMYFUNCTION("GOOGLETRANSLATE(A13932, ""en"", ""mt"")"),"Linja waħda tgħaqqad San Bernardino, Riverside u liema kontea oħra?")</f>
        <v>Linja waħda tgħaqqad San Bernardino, Riverside u liema kontea oħra?</v>
      </c>
    </row>
    <row r="13933" ht="15.75" customHeight="1">
      <c r="A13933" s="2" t="s">
        <v>13933</v>
      </c>
      <c r="B13933" s="2" t="str">
        <f>IFERROR(__xludf.DUMMYFUNCTION("GOOGLETRANSLATE(A13933, ""en"", ""mt"")"),"parti ewlenija tas-sinsla tal-internet")</f>
        <v>parti ewlenija tas-sinsla tal-internet</v>
      </c>
    </row>
    <row r="13934" ht="15.75" customHeight="1">
      <c r="A13934" s="2" t="s">
        <v>13934</v>
      </c>
      <c r="B13934" s="2" t="str">
        <f>IFERROR(__xludf.DUMMYFUNCTION("GOOGLETRANSLATE(A13934, ""en"", ""mt"")"),"diviżjoni")</f>
        <v>diviżjoni</v>
      </c>
    </row>
    <row r="13935" ht="15.75" customHeight="1">
      <c r="A13935" s="2" t="s">
        <v>13935</v>
      </c>
      <c r="B13935" s="2" t="str">
        <f>IFERROR(__xludf.DUMMYFUNCTION("GOOGLETRANSLATE(A13935, ""en"", ""mt"")"),"organiżmi")</f>
        <v>organiżmi</v>
      </c>
    </row>
    <row r="13936" ht="15.75" customHeight="1">
      <c r="A13936" s="2" t="s">
        <v>13936</v>
      </c>
      <c r="B13936" s="2" t="str">
        <f>IFERROR(__xludf.DUMMYFUNCTION("GOOGLETRANSLATE(A13936, ""en"", ""mt"")"),"Kif jissejħu skejjel sekondarji privati ​​fil-Ġermanja?")</f>
        <v>Kif jissejħu skejjel sekondarji privati ​​fil-Ġermanja?</v>
      </c>
    </row>
    <row r="13937" ht="15.75" customHeight="1">
      <c r="A13937" s="2" t="s">
        <v>13937</v>
      </c>
      <c r="B13937" s="2" t="str">
        <f>IFERROR(__xludf.DUMMYFUNCTION("GOOGLETRANSLATE(A13937, ""en"", ""mt"")"),"Botanika u Kimika")</f>
        <v>Botanika u Kimika</v>
      </c>
    </row>
    <row r="13938" ht="15.75" customHeight="1">
      <c r="A13938" s="2" t="s">
        <v>13938</v>
      </c>
      <c r="B13938" s="2" t="str">
        <f>IFERROR(__xludf.DUMMYFUNCTION("GOOGLETRANSLATE(A13938, ""en"", ""mt"")"),"X'tip ta 'teknoloġija qed tissepara l-gassijiet mhux organiċi?")</f>
        <v>X'tip ta 'teknoloġija qed tissepara l-gassijiet mhux organiċi?</v>
      </c>
    </row>
    <row r="13939" ht="15.75" customHeight="1">
      <c r="A13939" s="2" t="s">
        <v>13939</v>
      </c>
      <c r="B13939" s="2" t="str">
        <f>IFERROR(__xludf.DUMMYFUNCTION("GOOGLETRANSLATE(A13939, ""en"", ""mt"")"),"Min ipprovda definizzjoni ta 'Automata Linear Limitat fl-1970?")</f>
        <v>Min ipprovda definizzjoni ta 'Automata Linear Limitat fl-1970?</v>
      </c>
    </row>
    <row r="13940" ht="15.75" customHeight="1">
      <c r="A13940" s="2" t="s">
        <v>13940</v>
      </c>
      <c r="B13940" s="2" t="str">
        <f>IFERROR(__xludf.DUMMYFUNCTION("GOOGLETRANSLATE(A13940, ""en"", ""mt"")"),"X’jadaw b’mod preċiż il-istrixxi manjetiċi?")</f>
        <v>X’jadaw b’mod preċiż il-istrixxi manjetiċi?</v>
      </c>
    </row>
    <row r="13941" ht="15.75" customHeight="1">
      <c r="A13941" s="2" t="s">
        <v>13941</v>
      </c>
      <c r="B13941" s="2" t="str">
        <f>IFERROR(__xludf.DUMMYFUNCTION("GOOGLETRANSLATE(A13941, ""en"", ""mt"")"),"Kemm ma kinux fl-ispedizzjoni tal-Langlades?")</f>
        <v>Kemm ma kinux fl-ispedizzjoni tal-Langlades?</v>
      </c>
    </row>
    <row r="13942" ht="15.75" customHeight="1">
      <c r="A13942" s="2" t="s">
        <v>13942</v>
      </c>
      <c r="B13942" s="2" t="str">
        <f>IFERROR(__xludf.DUMMYFUNCTION("GOOGLETRANSLATE(A13942, ""en"", ""mt"")"),"Liema bini ta 'sebgħa u tletin storja nbena fl-1972?")</f>
        <v>Liema bini ta 'sebgħa u tletin storja nbena fl-1972?</v>
      </c>
    </row>
    <row r="13943" ht="15.75" customHeight="1">
      <c r="A13943" s="2" t="s">
        <v>13943</v>
      </c>
      <c r="B13943" s="2" t="str">
        <f>IFERROR(__xludf.DUMMYFUNCTION("GOOGLETRANSLATE(A13943, ""en"", ""mt"")"),"Servizzi diretti għall-kura tal-pazjenti li jottimizzaw l-użu tal-medikazzjoni u jippromwovu s-saħħa, il-benessri, u l-prevenzjoni tal-mard")</f>
        <v>Servizzi diretti għall-kura tal-pazjenti li jottimizzaw l-użu tal-medikazzjoni u jippromwovu s-saħħa, il-benessri, u l-prevenzjoni tal-mard</v>
      </c>
    </row>
    <row r="13944" ht="15.75" customHeight="1">
      <c r="A13944" s="2" t="s">
        <v>13944</v>
      </c>
      <c r="B13944" s="2" t="str">
        <f>IFERROR(__xludf.DUMMYFUNCTION("GOOGLETRANSLATE(A13944, ""en"", ""mt"")"),"F'liema punt il-baċin tad-drenaġġ tal-Amazon maqsum?")</f>
        <v>F'liema punt il-baċin tad-drenaġġ tal-Amazon maqsum?</v>
      </c>
    </row>
    <row r="13945" ht="15.75" customHeight="1">
      <c r="A13945" s="2" t="s">
        <v>13945</v>
      </c>
      <c r="B13945" s="2" t="str">
        <f>IFERROR(__xludf.DUMMYFUNCTION("GOOGLETRANSLATE(A13945, ""en"", ""mt"")"),"X'kienet id-densità tal-popolazzjoni fl-2000?")</f>
        <v>X'kienet id-densità tal-popolazzjoni fl-2000?</v>
      </c>
    </row>
    <row r="13946" ht="15.75" customHeight="1">
      <c r="A13946" s="2" t="s">
        <v>13946</v>
      </c>
      <c r="B13946" s="2" t="str">
        <f>IFERROR(__xludf.DUMMYFUNCTION("GOOGLETRANSLATE(A13946, ""en"", ""mt"")"),"Royal Ujazdów Castle")</f>
        <v>Royal Ujazdów Castle</v>
      </c>
    </row>
    <row r="13947" ht="15.75" customHeight="1">
      <c r="A13947" s="2" t="s">
        <v>13947</v>
      </c>
      <c r="B13947" s="2" t="str">
        <f>IFERROR(__xludf.DUMMYFUNCTION("GOOGLETRANSLATE(A13947, ""en"", ""mt"")"),"Ateni fl-430 QK")</f>
        <v>Ateni fl-430 QK</v>
      </c>
    </row>
    <row r="13948" ht="15.75" customHeight="1">
      <c r="A13948" s="2" t="s">
        <v>13948</v>
      </c>
      <c r="B13948" s="2" t="str">
        <f>IFERROR(__xludf.DUMMYFUNCTION("GOOGLETRANSLATE(A13948, ""en"", ""mt"")"),"Jin")</f>
        <v>Jin</v>
      </c>
    </row>
    <row r="13949" ht="15.75" customHeight="1">
      <c r="A13949" s="2" t="s">
        <v>13949</v>
      </c>
      <c r="B13949" s="2" t="str">
        <f>IFERROR(__xludf.DUMMYFUNCTION("GOOGLETRANSLATE(A13949, ""en"", ""mt"")"),"erożjoni")</f>
        <v>erożjoni</v>
      </c>
    </row>
    <row r="13950" ht="15.75" customHeight="1">
      <c r="A13950" s="2" t="s">
        <v>13950</v>
      </c>
      <c r="B13950" s="2" t="str">
        <f>IFERROR(__xludf.DUMMYFUNCTION("GOOGLETRANSLATE(A13950, ""en"", ""mt"")"),"Kif is-soċjetajiet ġeografiċi fl-Ewropa kif jappoġġjaw ċerti vjaġġaturi?")</f>
        <v>Kif is-soċjetajiet ġeografiċi fl-Ewropa kif jappoġġjaw ċerti vjaġġaturi?</v>
      </c>
    </row>
    <row r="13951" ht="15.75" customHeight="1">
      <c r="A13951" s="2" t="s">
        <v>13951</v>
      </c>
      <c r="B13951" s="2" t="str">
        <f>IFERROR(__xludf.DUMMYFUNCTION("GOOGLETRANSLATE(A13951, ""en"", ""mt"")"),"Kemm speċi ta 'insetti huma magħrufa fir-reġjun?")</f>
        <v>Kemm speċi ta 'insetti huma magħrufa fir-reġjun?</v>
      </c>
    </row>
    <row r="13952" ht="15.75" customHeight="1">
      <c r="A13952" s="2" t="s">
        <v>13952</v>
      </c>
      <c r="B13952" s="2" t="str">
        <f>IFERROR(__xludf.DUMMYFUNCTION("GOOGLETRANSLATE(A13952, ""en"", ""mt"")"),"Iddikjarat il-Ġappun pajjiż ""mhux ħbieb""")</f>
        <v>Iddikjarat il-Ġappun pajjiż "mhux ħbieb"</v>
      </c>
    </row>
    <row r="13953" ht="15.75" customHeight="1">
      <c r="A13953" s="2" t="s">
        <v>13953</v>
      </c>
      <c r="B13953" s="2" t="str">
        <f>IFERROR(__xludf.DUMMYFUNCTION("GOOGLETRANSLATE(A13953, ""en"", ""mt"")"),"Liema forza taġixxi bejn ħlasijiet elettriċi?")</f>
        <v>Liema forza taġixxi bejn ħlasijiet elettriċi?</v>
      </c>
    </row>
    <row r="13954" ht="15.75" customHeight="1">
      <c r="A13954" s="2" t="s">
        <v>13954</v>
      </c>
      <c r="B13954" s="2" t="str">
        <f>IFERROR(__xludf.DUMMYFUNCTION("GOOGLETRANSLATE(A13954, ""en"", ""mt"")"),"X'inhi problema partikolari fil-kimika li tibbenefika mid-determinazzjoni ta 'dak p = np?")</f>
        <v>X'inhi problema partikolari fil-kimika li tibbenefika mid-determinazzjoni ta 'dak p = np?</v>
      </c>
    </row>
    <row r="13955" ht="15.75" customHeight="1">
      <c r="A13955" s="2" t="s">
        <v>13955</v>
      </c>
      <c r="B13955" s="2" t="str">
        <f>IFERROR(__xludf.DUMMYFUNCTION("GOOGLETRANSLATE(A13955, ""en"", ""mt"")"),"13.34%")</f>
        <v>13.34%</v>
      </c>
    </row>
    <row r="13956" ht="15.75" customHeight="1">
      <c r="A13956" s="2" t="s">
        <v>13956</v>
      </c>
      <c r="B13956" s="2" t="str">
        <f>IFERROR(__xludf.DUMMYFUNCTION("GOOGLETRANSLATE(A13956, ""en"", ""mt"")"),"Xi jfisser tnaqqis fis-sehem tad-dħul tal-qiegħ tal-20 fil-mija tan-nies ta 'soċjetà?")</f>
        <v>Xi jfisser tnaqqis fis-sehem tad-dħul tal-qiegħ tal-20 fil-mija tan-nies ta 'soċjetà?</v>
      </c>
    </row>
    <row r="13957" ht="15.75" customHeight="1">
      <c r="A13957" s="2" t="s">
        <v>13957</v>
      </c>
      <c r="B13957" s="2" t="str">
        <f>IFERROR(__xludf.DUMMYFUNCTION("GOOGLETRANSLATE(A13957, ""en"", ""mt"")"),"Qorti Imperjali Pre-Heian")</f>
        <v>Qorti Imperjali Pre-Heian</v>
      </c>
    </row>
    <row r="13958" ht="15.75" customHeight="1">
      <c r="A13958" s="2" t="s">
        <v>13958</v>
      </c>
      <c r="B13958" s="2" t="str">
        <f>IFERROR(__xludf.DUMMYFUNCTION("GOOGLETRANSLATE(A13958, ""en"", ""mt"")"),"Għaliex iseħħ livell aktar baxx ta 'tkabbir ekonomiku minħabba konsum high-end?")</f>
        <v>Għaliex iseħħ livell aktar baxx ta 'tkabbir ekonomiku minħabba konsum high-end?</v>
      </c>
    </row>
    <row r="13959" ht="15.75" customHeight="1">
      <c r="A13959" s="2" t="s">
        <v>13959</v>
      </c>
      <c r="B13959" s="2" t="str">
        <f>IFERROR(__xludf.DUMMYFUNCTION("GOOGLETRANSLATE(A13959, ""en"", ""mt"")"),"tard")</f>
        <v>tard</v>
      </c>
    </row>
    <row r="13960" ht="15.75" customHeight="1">
      <c r="A13960" s="2" t="s">
        <v>13960</v>
      </c>
      <c r="B13960" s="2" t="str">
        <f>IFERROR(__xludf.DUMMYFUNCTION("GOOGLETRANSLATE(A13960, ""en"", ""mt"")"),"li BSKYB żied sostanzjalment il-prezz mitlub għall-kanali")</f>
        <v>li BSKYB żied sostanzjalment il-prezz mitlub għall-kanali</v>
      </c>
    </row>
    <row r="13961" ht="15.75" customHeight="1">
      <c r="A13961" s="2" t="s">
        <v>13961</v>
      </c>
      <c r="B13961" s="2" t="str">
        <f>IFERROR(__xludf.DUMMYFUNCTION("GOOGLETRANSLATE(A13961, ""en"", ""mt"")"),"Kważi $ 41 triljun")</f>
        <v>Kważi $ 41 triljun</v>
      </c>
    </row>
    <row r="13962" ht="15.75" customHeight="1">
      <c r="A13962" s="2" t="s">
        <v>13962</v>
      </c>
      <c r="B13962" s="2" t="str">
        <f>IFERROR(__xludf.DUMMYFUNCTION("GOOGLETRANSLATE(A13962, ""en"", ""mt"")"),"neputi")</f>
        <v>neputi</v>
      </c>
    </row>
    <row r="13963" ht="15.75" customHeight="1">
      <c r="A13963" s="2" t="s">
        <v>13963</v>
      </c>
      <c r="B13963" s="2" t="str">
        <f>IFERROR(__xludf.DUMMYFUNCTION("GOOGLETRANSLATE(A13963, ""en"", ""mt"")"),"kodifikazzjoni tal-input")</f>
        <v>kodifikazzjoni tal-input</v>
      </c>
    </row>
    <row r="13964" ht="15.75" customHeight="1">
      <c r="A13964" s="2" t="s">
        <v>13964</v>
      </c>
      <c r="B13964" s="2" t="str">
        <f>IFERROR(__xludf.DUMMYFUNCTION("GOOGLETRANSLATE(A13964, ""en"", ""mt"")"),"Min ippubblika l-blueprint tiegħu għad-devozzjoni fl-1995?")</f>
        <v>Min ippubblika l-blueprint tiegħu għad-devozzjoni fl-1995?</v>
      </c>
    </row>
    <row r="13965" ht="15.75" customHeight="1">
      <c r="A13965" s="2" t="s">
        <v>13965</v>
      </c>
      <c r="B13965" s="2" t="str">
        <f>IFERROR(__xludf.DUMMYFUNCTION("GOOGLETRANSLATE(A13965, ""en"", ""mt"")"),"Kemm huma komuni l-kopepodi f'postijiet oħra?")</f>
        <v>Kemm huma komuni l-kopepodi f'postijiet oħra?</v>
      </c>
    </row>
    <row r="13966" ht="15.75" customHeight="1">
      <c r="A13966" s="2" t="s">
        <v>13966</v>
      </c>
      <c r="B13966" s="2" t="str">
        <f>IFERROR(__xludf.DUMMYFUNCTION("GOOGLETRANSLATE(A13966, ""en"", ""mt"")"),"Min hu l-Gvernatur tal-Bank tal-Ġustizzja?")</f>
        <v>Min hu l-Gvernatur tal-Bank tal-Ġustizzja?</v>
      </c>
    </row>
    <row r="13967" ht="15.75" customHeight="1">
      <c r="A13967" s="2" t="s">
        <v>13967</v>
      </c>
      <c r="B13967" s="2" t="str">
        <f>IFERROR(__xludf.DUMMYFUNCTION("GOOGLETRANSLATE(A13967, ""en"", ""mt"")"),"Liema kumpanija kienet irrabjata dwar l-għaqda ta 'Sky Television u British Satellite Broadcasting?")</f>
        <v>Liema kumpanija kienet irrabjata dwar l-għaqda ta 'Sky Television u British Satellite Broadcasting?</v>
      </c>
    </row>
    <row r="13968" ht="15.75" customHeight="1">
      <c r="A13968" s="2" t="s">
        <v>13968</v>
      </c>
      <c r="B13968" s="2" t="str">
        <f>IFERROR(__xludf.DUMMYFUNCTION("GOOGLETRANSLATE(A13968, ""en"", ""mt"")"),"il-movimenti tan-natura")</f>
        <v>il-movimenti tan-natura</v>
      </c>
    </row>
    <row r="13969" ht="15.75" customHeight="1">
      <c r="A13969" s="2" t="s">
        <v>13969</v>
      </c>
      <c r="B13969" s="2" t="str">
        <f>IFERROR(__xludf.DUMMYFUNCTION("GOOGLETRANSLATE(A13969, ""en"", ""mt"")")," L-Ewropa l-ewwel kolonizzat l-Amerika, imbagħad l-Asja, imma liema kontinent kien ir-raba '?")</f>
        <v> L-Ewropa l-ewwel kolonizzat l-Amerika, imbagħad l-Asja, imma liema kontinent kien ir-raba '?</v>
      </c>
    </row>
    <row r="13970" ht="15.75" customHeight="1">
      <c r="A13970" s="2" t="s">
        <v>13970</v>
      </c>
      <c r="B13970" s="2" t="str">
        <f>IFERROR(__xludf.DUMMYFUNCTION("GOOGLETRANSLATE(A13970, ""en"", ""mt"")"),"Ġinevra")</f>
        <v>Ġinevra</v>
      </c>
    </row>
    <row r="13971" ht="15.75" customHeight="1">
      <c r="A13971" s="2" t="s">
        <v>13971</v>
      </c>
      <c r="B13971" s="2" t="str">
        <f>IFERROR(__xludf.DUMMYFUNCTION("GOOGLETRANSLATE(A13971, ""en"", ""mt"")"),"Tancred")</f>
        <v>Tancred</v>
      </c>
    </row>
    <row r="13972" ht="15.75" customHeight="1">
      <c r="A13972" s="2" t="s">
        <v>13972</v>
      </c>
      <c r="B13972" s="2" t="str">
        <f>IFERROR(__xludf.DUMMYFUNCTION("GOOGLETRANSLATE(A13972, ""en"", ""mt"")"),"figuri politiċi")</f>
        <v>figuri politiċi</v>
      </c>
    </row>
    <row r="13973" ht="15.75" customHeight="1">
      <c r="A13973" s="2" t="s">
        <v>13973</v>
      </c>
      <c r="B13973" s="2" t="str">
        <f>IFERROR(__xludf.DUMMYFUNCTION("GOOGLETRANSLATE(A13973, ""en"", ""mt"")"),"L-Iżlamisti ta ’min akkużaw ir-reġim Sawdi li kienu?")</f>
        <v>L-Iżlamisti ta ’min akkużaw ir-reġim Sawdi li kienu?</v>
      </c>
    </row>
    <row r="13974" ht="15.75" customHeight="1">
      <c r="A13974" s="2" t="s">
        <v>13974</v>
      </c>
      <c r="B13974" s="2" t="str">
        <f>IFERROR(__xludf.DUMMYFUNCTION("GOOGLETRANSLATE(A13974, ""en"", ""mt"")"),"X'tip ta 'proċess huwa ċ-ċiklu tal-ossiġnu?")</f>
        <v>X'tip ta 'proċess huwa ċ-ċiklu tal-ossiġnu?</v>
      </c>
    </row>
    <row r="13975" ht="15.75" customHeight="1">
      <c r="A13975" s="2" t="s">
        <v>13975</v>
      </c>
      <c r="B13975" s="2" t="str">
        <f>IFERROR(__xludf.DUMMYFUNCTION("GOOGLETRANSLATE(A13975, ""en"", ""mt"")"),"X'jispjega r-rilevanza ta 'kuljum għall-kultura popolari?")</f>
        <v>X'jispjega r-rilevanza ta 'kuljum għall-kultura popolari?</v>
      </c>
    </row>
    <row r="13976" ht="15.75" customHeight="1">
      <c r="A13976" s="2" t="s">
        <v>13976</v>
      </c>
      <c r="B13976" s="2" t="str">
        <f>IFERROR(__xludf.DUMMYFUNCTION("GOOGLETRANSLATE(A13976, ""en"", ""mt"")"),"L-avvanzi fl-alġebra polinomjali saru mill-matematiċi matul l-era tal-wan. Il-matematiku Zhu Shijie (1249-1314) solva ekwazzjonijiet simultanji sa erba 'mhux magħrufa bl-użu ta' firxa rettangolari ta 'koeffiċjenti, ekwivalenti għal matriċi moderni. Zhu uż"&amp;"a metodu ta 'eliminazzjoni biex inaqqas l-ekwazzjonijiet simultanji għal ekwazzjoni waħda ma' waħda mhux magħrufa biss. Il-metodu tiegħu huwa deskritt fil-mera tal-ġada tal-erba 'mhux magħrufa, miktuba fl-1303. Il-paġni tal-ftuħ fihom dijagramma tat-trija"&amp;"nglu ta' Pascal. Is-somma ta 'serje aritmetika finita hija wkoll koperta fil-ktieb.")</f>
        <v>L-avvanzi fl-alġebra polinomjali saru mill-matematiċi matul l-era tal-wan. Il-matematiku Zhu Shijie (1249-1314) solva ekwazzjonijiet simultanji sa erba 'mhux magħrufa bl-użu ta' firxa rettangolari ta 'koeffiċjenti, ekwivalenti għal matriċi moderni. Zhu uża metodu ta 'eliminazzjoni biex inaqqas l-ekwazzjonijiet simultanji għal ekwazzjoni waħda ma' waħda mhux magħrufa biss. Il-metodu tiegħu huwa deskritt fil-mera tal-ġada tal-erba 'mhux magħrufa, miktuba fl-1303. Il-paġni tal-ftuħ fihom dijagramma tat-trijanglu ta' Pascal. Is-somma ta 'serje aritmetika finita hija wkoll koperta fil-ktieb.</v>
      </c>
    </row>
    <row r="13977" ht="15.75" customHeight="1">
      <c r="A13977" s="2" t="s">
        <v>13977</v>
      </c>
      <c r="B13977" s="2" t="str">
        <f>IFERROR(__xludf.DUMMYFUNCTION("GOOGLETRANSLATE(A13977, ""en"", ""mt"")"),"Liema terminu jintuża għal skejjel li jaċċettaw biss tfal suwed?")</f>
        <v>Liema terminu jintuża għal skejjel li jaċċettaw biss tfal suwed?</v>
      </c>
    </row>
    <row r="13978" ht="15.75" customHeight="1">
      <c r="A13978" s="2" t="s">
        <v>13978</v>
      </c>
      <c r="B13978" s="2" t="str">
        <f>IFERROR(__xludf.DUMMYFUNCTION("GOOGLETRANSLATE(A13978, ""en"", ""mt"")"),"Għal liema applikanti l-Fondazzjoni Carnegie trid ikollha aktar appoġġ?")</f>
        <v>Għal liema applikanti l-Fondazzjoni Carnegie trid ikollha aktar appoġġ?</v>
      </c>
    </row>
    <row r="13979" ht="15.75" customHeight="1">
      <c r="A13979" s="2" t="s">
        <v>13979</v>
      </c>
      <c r="B13979" s="2" t="str">
        <f>IFERROR(__xludf.DUMMYFUNCTION("GOOGLETRANSLATE(A13979, ""en"", ""mt"")"),"Għaliex it-teorija ta 'Wegener kienet importanti biex tifhem il-litosfera?")</f>
        <v>Għaliex it-teorija ta 'Wegener kienet importanti biex tifhem il-litosfera?</v>
      </c>
    </row>
    <row r="13980" ht="15.75" customHeight="1">
      <c r="A13980" s="2" t="s">
        <v>13980</v>
      </c>
      <c r="B13980" s="2" t="str">
        <f>IFERROR(__xludf.DUMMYFUNCTION("GOOGLETRANSLATE(A13980, ""en"", ""mt"")"),"L-iktar xhur sħan minn Mejju sa Settembru")</f>
        <v>L-iktar xhur sħan minn Mejju sa Settembru</v>
      </c>
    </row>
    <row r="13981" ht="15.75" customHeight="1">
      <c r="A13981" s="2" t="s">
        <v>13981</v>
      </c>
      <c r="B13981" s="2" t="str">
        <f>IFERROR(__xludf.DUMMYFUNCTION("GOOGLETRANSLATE(A13981, ""en"", ""mt"")"),"respirazzjoni")</f>
        <v>respirazzjoni</v>
      </c>
    </row>
    <row r="13982" ht="15.75" customHeight="1">
      <c r="A13982" s="2" t="s">
        <v>13982</v>
      </c>
      <c r="B13982" s="2" t="str">
        <f>IFERROR(__xludf.DUMMYFUNCTION("GOOGLETRANSLATE(A13982, ""en"", ""mt"")"),"tikkoordina r-rispons għall-embargo")</f>
        <v>tikkoordina r-rispons għall-embargo</v>
      </c>
    </row>
    <row r="13983" ht="15.75" customHeight="1">
      <c r="A13983" s="2" t="s">
        <v>13983</v>
      </c>
      <c r="B13983" s="2" t="str">
        <f>IFERROR(__xludf.DUMMYFUNCTION("GOOGLETRANSLATE(A13983, ""en"", ""mt"")"),"X'inhi l-akbar żona metropolitana fi Florida u fix-Xlokk?")</f>
        <v>X'inhi l-akbar żona metropolitana fi Florida u fix-Xlokk?</v>
      </c>
    </row>
    <row r="13984" ht="15.75" customHeight="1">
      <c r="A13984" s="2" t="s">
        <v>13984</v>
      </c>
      <c r="B13984" s="2" t="str">
        <f>IFERROR(__xludf.DUMMYFUNCTION("GOOGLETRANSLATE(A13984, ""en"", ""mt"")"),"fqir")</f>
        <v>fqir</v>
      </c>
    </row>
    <row r="13985" ht="15.75" customHeight="1">
      <c r="A13985" s="2" t="s">
        <v>13985</v>
      </c>
      <c r="B13985" s="2" t="str">
        <f>IFERROR(__xludf.DUMMYFUNCTION("GOOGLETRANSLATE(A13985, ""en"", ""mt"")"),"562 sa 1598")</f>
        <v>562 sa 1598</v>
      </c>
    </row>
    <row r="13986" ht="15.75" customHeight="1">
      <c r="A13986" s="2" t="s">
        <v>13986</v>
      </c>
      <c r="B13986" s="2" t="str">
        <f>IFERROR(__xludf.DUMMYFUNCTION("GOOGLETRANSLATE(A13986, ""en"", ""mt"")"),"Beijing")</f>
        <v>Beijing</v>
      </c>
    </row>
    <row r="13987" ht="15.75" customHeight="1">
      <c r="A13987" s="2" t="s">
        <v>13987</v>
      </c>
      <c r="B13987" s="2" t="str">
        <f>IFERROR(__xludf.DUMMYFUNCTION("GOOGLETRANSLATE(A13987, ""en"", ""mt"")"),"Saddam Hussein's")</f>
        <v>Saddam Hussein's</v>
      </c>
    </row>
    <row r="13988" ht="15.75" customHeight="1">
      <c r="A13988" s="2" t="s">
        <v>13988</v>
      </c>
      <c r="B13988" s="2" t="str">
        <f>IFERROR(__xludf.DUMMYFUNCTION("GOOGLETRANSLATE(A13988, ""en"", ""mt"")"),"Xi jkun fih l-arja f'ekwilibriju bl-ilma?")</f>
        <v>Xi jkun fih l-arja f'ekwilibriju bl-ilma?</v>
      </c>
    </row>
    <row r="13989" ht="15.75" customHeight="1">
      <c r="A13989" s="2" t="s">
        <v>13989</v>
      </c>
      <c r="B13989" s="2" t="str">
        <f>IFERROR(__xludf.DUMMYFUNCTION("GOOGLETRANSLATE(A13989, ""en"", ""mt"")"),"Il-gvernijiet tal-Punent ikkunsidraw l-Iżlamisti bħala l-agħar minn żewġ ħażen meta mqabbla ma 'min?")</f>
        <v>Il-gvernijiet tal-Punent ikkunsidraw l-Iżlamisti bħala l-agħar minn żewġ ħażen meta mqabbla ma 'min?</v>
      </c>
    </row>
    <row r="13990" ht="15.75" customHeight="1">
      <c r="A13990" s="2" t="s">
        <v>13990</v>
      </c>
      <c r="B13990" s="2" t="str">
        <f>IFERROR(__xludf.DUMMYFUNCTION("GOOGLETRANSLATE(A13990, ""en"", ""mt"")"),"Id- ""Distrett Storiku tat-Triq Huguenot"" fi New Paltz")</f>
        <v>Id- "Distrett Storiku tat-Triq Huguenot" fi New Paltz</v>
      </c>
    </row>
    <row r="13991" ht="15.75" customHeight="1">
      <c r="A13991" s="2" t="s">
        <v>13991</v>
      </c>
      <c r="B13991" s="2" t="str">
        <f>IFERROR(__xludf.DUMMYFUNCTION("GOOGLETRANSLATE(A13991, ""en"", ""mt"")"),"Xi Huguenots stabbilixxew f'Bedfordshire, wieħed miċ-ċentri ewlenin tal-industrija tal-bizzilla Ingliża dak iż-żmien. Għalkemm is-sorsi tas-seklu 19 affermaw li wħud minn dawn ir-refuġjati kienu lacemakers u kkontribwew għall-industrija tal-bizzilla tal-E"&amp;"ast Midlands, dan huwa kontenzjuż. L-unika referenza għall-lacemakers immigranti f'dan il-perjodu hija ta 'ħamsa u għoxrin romol li stabbilixxew f'Dover, u m'hemm l-ebda dokumentazzjoni kontemporanja biex tappoġġja li jkun hemm Huguenot Lacemakers f'Bedfo"&amp;"rdshire. L-implikazzjoni li l-istil tal-bizzilla magħruf bħala 'Bucks Point' juri influwenza ta 'Huguenot, li hija ""kombinazzjoni ta' mudelli ta 'mechlin fuq Lille Ground"", hija falza: dak li issa huwa magħruf bħala Mechlin Lace ma żviluppax sal-ewwel n"&amp;"ofs tas-seklu tmintax U l-bizzilla b'disinji ta 'Mechlin u Lille Ground ma dehritx sal-aħħar tas-seklu 18, meta ġiet ikkupjata ħafna fl-Ewropa kollha.")</f>
        <v>Xi Huguenots stabbilixxew f'Bedfordshire, wieħed miċ-ċentri ewlenin tal-industrija tal-bizzilla Ingliża dak iż-żmien. Għalkemm is-sorsi tas-seklu 19 affermaw li wħud minn dawn ir-refuġjati kienu lacemakers u kkontribwew għall-industrija tal-bizzilla tal-East Midlands, dan huwa kontenzjuż. L-unika referenza għall-lacemakers immigranti f'dan il-perjodu hija ta 'ħamsa u għoxrin romol li stabbilixxew f'Dover, u m'hemm l-ebda dokumentazzjoni kontemporanja biex tappoġġja li jkun hemm Huguenot Lacemakers f'Bedfordshire. L-implikazzjoni li l-istil tal-bizzilla magħruf bħala 'Bucks Point' juri influwenza ta 'Huguenot, li hija "kombinazzjoni ta' mudelli ta 'mechlin fuq Lille Ground", hija falza: dak li issa huwa magħruf bħala Mechlin Lace ma żviluppax sal-ewwel nofs tas-seklu tmintax U l-bizzilla b'disinji ta 'Mechlin u Lille Ground ma dehritx sal-aħħar tas-seklu 18, meta ġiet ikkupjata ħafna fl-Ewropa kollha.</v>
      </c>
    </row>
    <row r="13992" ht="15.75" customHeight="1">
      <c r="A13992" s="2" t="s">
        <v>13992</v>
      </c>
      <c r="B13992" s="2" t="str">
        <f>IFERROR(__xludf.DUMMYFUNCTION("GOOGLETRANSLATE(A13992, ""en"", ""mt"")"),"jirreżisti li jwieġbu għall-mistoqsijiet tal-investigaturi")</f>
        <v>jirreżisti li jwieġbu għall-mistoqsijiet tal-investigaturi</v>
      </c>
    </row>
    <row r="13993" ht="15.75" customHeight="1">
      <c r="A13993" s="2" t="s">
        <v>13993</v>
      </c>
      <c r="B13993" s="2" t="str">
        <f>IFERROR(__xludf.DUMMYFUNCTION("GOOGLETRANSLATE(A13993, ""en"", ""mt"")"),"L-ewwel insedjamenti msaħħa fuq is-sit tal-Varsavja tal-lum kienu jinsabu fi Bródno (seklu 9/10) u Jazdów (seklu 12/13). Wara li Jazdów ġie attakkat minn gruppi u duki fil-viċin, ġie stabbilit soluzzjoni simili ġdida fuq is-sit ta 'villaġġ tas-sajd żgħir "&amp;"imsejjaħ Warszowa. Il-Prinċep ta 'Płock, Bolesław II ta' Masovia, stabbilixxa dan is-soluzzjoni, il-ġurnata moderna ta 'Varsav Fl-1413. L-ekonomija ta 'Varsavja tas-seklu 14 mistrieħ fuq l-aktar snajja u kummerċ. Mal-estinzjoni tal-linja dukali lokali, id"&amp;"-dukat ġie inkorporat mill-ġdid fil-kuruna Pollakka fl-1526.")</f>
        <v>L-ewwel insedjamenti msaħħa fuq is-sit tal-Varsavja tal-lum kienu jinsabu fi Bródno (seklu 9/10) u Jazdów (seklu 12/13). Wara li Jazdów ġie attakkat minn gruppi u duki fil-viċin, ġie stabbilit soluzzjoni simili ġdida fuq is-sit ta 'villaġġ tas-sajd żgħir imsejjaħ Warszowa. Il-Prinċep ta 'Płock, Bolesław II ta' Masovia, stabbilixxa dan is-soluzzjoni, il-ġurnata moderna ta 'Varsav Fl-1413. L-ekonomija ta 'Varsavja tas-seklu 14 mistrieħ fuq l-aktar snajja u kummerċ. Mal-estinzjoni tal-linja dukali lokali, id-dukat ġie inkorporat mill-ġdid fil-kuruna Pollakka fl-1526.</v>
      </c>
    </row>
    <row r="13994" ht="15.75" customHeight="1">
      <c r="A13994" s="2" t="s">
        <v>13994</v>
      </c>
      <c r="B13994" s="2" t="str">
        <f>IFERROR(__xludf.DUMMYFUNCTION("GOOGLETRANSLATE(A13994, ""en"", ""mt"")"),"132 miljun")</f>
        <v>132 miljun</v>
      </c>
    </row>
    <row r="13995" ht="15.75" customHeight="1">
      <c r="A13995" s="2" t="s">
        <v>13995</v>
      </c>
      <c r="B13995" s="2" t="str">
        <f>IFERROR(__xludf.DUMMYFUNCTION("GOOGLETRANSLATE(A13995, ""en"", ""mt"")"),"Ħodor Awstraljani")</f>
        <v>Ħodor Awstraljani</v>
      </c>
    </row>
    <row r="13996" ht="15.75" customHeight="1">
      <c r="A13996" s="2" t="s">
        <v>13996</v>
      </c>
      <c r="B13996" s="2" t="str">
        <f>IFERROR(__xludf.DUMMYFUNCTION("GOOGLETRANSLATE(A13996, ""en"", ""mt"")"),"Fejn ċempel il-Brittaniku l-qadim id-dar?")</f>
        <v>Fejn ċempel il-Brittaniku l-qadim id-dar?</v>
      </c>
    </row>
    <row r="13997" ht="15.75" customHeight="1">
      <c r="A13997" s="2" t="s">
        <v>13997</v>
      </c>
      <c r="B13997" s="2" t="str">
        <f>IFERROR(__xludf.DUMMYFUNCTION("GOOGLETRANSLATE(A13997, ""en"", ""mt"")"),"Fatturi ta 'emissjoni ta' inadempjenza")</f>
        <v>Fatturi ta 'emissjoni ta' inadempjenza</v>
      </c>
    </row>
    <row r="13998" ht="15.75" customHeight="1">
      <c r="A13998" s="2" t="s">
        <v>13998</v>
      </c>
      <c r="B13998" s="2" t="str">
        <f>IFERROR(__xludf.DUMMYFUNCTION("GOOGLETRANSLATE(A13998, ""en"", ""mt"")"),"Min imexxi l-Università ta 'Chicago?")</f>
        <v>Min imexxi l-Università ta 'Chicago?</v>
      </c>
    </row>
    <row r="13999" ht="15.75" customHeight="1">
      <c r="A13999" s="2" t="s">
        <v>13999</v>
      </c>
      <c r="B13999" s="2" t="str">
        <f>IFERROR(__xludf.DUMMYFUNCTION("GOOGLETRANSLATE(A13999, ""en"", ""mt"")"),"Il-granit huwa magħmul fil-biċċa l-kbira minn liema kompost kimiku?")</f>
        <v>Il-granit huwa magħmul fil-biċċa l-kbira minn liema kompost kimiku?</v>
      </c>
    </row>
    <row r="14000" ht="15.75" customHeight="1">
      <c r="A14000" s="2" t="s">
        <v>14000</v>
      </c>
      <c r="B14000" s="2" t="str">
        <f>IFERROR(__xludf.DUMMYFUNCTION("GOOGLETRANSLATE(A14000, ""en"", ""mt"")"),"Fuq xiex kien jiddependi n-numru ta 'leġjuni fi żminijiet Rumani?")</f>
        <v>Fuq xiex kien jiddependi n-numru ta 'leġjuni fi żminijiet Rumani?</v>
      </c>
    </row>
    <row r="14001" ht="15.75" customHeight="1">
      <c r="A14001" s="2" t="s">
        <v>14001</v>
      </c>
      <c r="B14001" s="2" t="str">
        <f>IFERROR(__xludf.DUMMYFUNCTION("GOOGLETRANSLATE(A14001, ""en"", ""mt"")"),"Ikklassifikat hawn fuq")</f>
        <v>Ikklassifikat hawn fuq</v>
      </c>
    </row>
    <row r="14002" ht="15.75" customHeight="1">
      <c r="A14002" s="2" t="s">
        <v>14002</v>
      </c>
      <c r="B14002" s="2" t="str">
        <f>IFERROR(__xludf.DUMMYFUNCTION("GOOGLETRANSLATE(A14002, ""en"", ""mt"")"),"Sky Movies u Sky Box Office jinkludu wkoll liema soundtracks fakultattivi?")</f>
        <v>Sky Movies u Sky Box Office jinkludu wkoll liema soundtracks fakultattivi?</v>
      </c>
    </row>
    <row r="14003" ht="15.75" customHeight="1">
      <c r="A14003" s="2" t="s">
        <v>14003</v>
      </c>
      <c r="B14003" s="2" t="str">
        <f>IFERROR(__xludf.DUMMYFUNCTION("GOOGLETRANSLATE(A14003, ""en"", ""mt"")"),"7,000,000")</f>
        <v>7,000,000</v>
      </c>
    </row>
    <row r="14004" ht="15.75" customHeight="1">
      <c r="A14004" s="2" t="s">
        <v>14004</v>
      </c>
      <c r="B14004" s="2" t="str">
        <f>IFERROR(__xludf.DUMMYFUNCTION("GOOGLETRANSLATE(A14004, ""en"", ""mt"")"),"X'INHU CDB?")</f>
        <v>X'INHU CDB?</v>
      </c>
    </row>
    <row r="14005" ht="15.75" customHeight="1">
      <c r="A14005" s="2" t="s">
        <v>14005</v>
      </c>
      <c r="B14005" s="2" t="str">
        <f>IFERROR(__xludf.DUMMYFUNCTION("GOOGLETRANSLATE(A14005, ""en"", ""mt"")"),"Evidenza għal liema tipi ta 'strutturi nstabu fl-2003?")</f>
        <v>Evidenza għal liema tipi ta 'strutturi nstabu fl-2003?</v>
      </c>
    </row>
    <row r="14006" ht="15.75" customHeight="1">
      <c r="A14006" s="2" t="s">
        <v>14006</v>
      </c>
      <c r="B14006" s="2" t="str">
        <f>IFERROR(__xludf.DUMMYFUNCTION("GOOGLETRANSLATE(A14006, ""en"", ""mt"")"),"New Rochelle, li tinsab fil-kontea ta ’Westchester fuq ix-xatt tat-tramuntana ta’ Long Island Sound, dehret li kienet il-post tajjeb ħafna tal-Huguenots fi New York. Jingħad li żbarkaw fuq il-kosta tal-peniżola ta 'Davenports Neck imsejħa ""Bauffet's Poin"&amp;"t"" wara li vvjaġġaw mill-Ingilterra fejn qabel kienu refuġjaw minħabba l-persekuzzjoni reliġjuża, erba' snin qabel ir-revoka tal-editt ta 'Nantes. Huma xtraw mingħand John Pell, Lord of Pelham Manor, medda ta ’art li tikkonsisti f’sitt elf mitt acres bl-"&amp;"għajnuna ta’ Jacob Leisler. Ġie msemmi New Rochelle wara La Rochelle, l-ex-hold qawwi tagħhom fi Franza. Knisja żgħira tal-injam inbniet l-ewwel fil-komunità, segwita minn tieni knisja li nbniet minn ġebla. Qabel it-twaqqif ta 'dan, l-irġiel b'saħħithom s"&amp;"piss jimxu tlieta u għoxrin mil nhar is-Sibt filgħaxija, id-distanza fit-triq minn New Rochelle għal New York, biex jattendu s-servizz tal-Ħadd. Il-knisja eventwalment ġiet sostitwita minn terz, Trinity-St. Il-Knisja Episkopali ta 'Pawlu, li fiha l-werrie"&amp;"t inkluż il-qanpiena oriġinali mill-Knisja Huguenot Franċiża ""Eglise du St Esperit"" fi Triq Pine fi New York City, li hija ppreservata bħala relikwa fil-kamra tat-torri. Iċ-ċimiterju Huguenot, jew ""dfin ta 'Huguenot"", minn dakinhar ġie rikonoxxut bħal"&amp;"a ċimiterju storiku li huwa l-aħħar post ta' mistrieħ għal firxa wiesgħa tal-fundaturi Huguenot, kolonizzaturi bikrija u ċittadini prominenti li jmorru lura aktar minn tliet sekli.")</f>
        <v>New Rochelle, li tinsab fil-kontea ta ’Westchester fuq ix-xatt tat-tramuntana ta’ Long Island Sound, dehret li kienet il-post tajjeb ħafna tal-Huguenots fi New York. Jingħad li żbarkaw fuq il-kosta tal-peniżola ta 'Davenports Neck imsejħa "Bauffet's Point" wara li vvjaġġaw mill-Ingilterra fejn qabel kienu refuġjaw minħabba l-persekuzzjoni reliġjuża, erba' snin qabel ir-revoka tal-editt ta 'Nantes. Huma xtraw mingħand John Pell, Lord of Pelham Manor, medda ta ’art li tikkonsisti f’sitt elf mitt acres bl-għajnuna ta’ Jacob Leisler. Ġie msemmi New Rochelle wara La Rochelle, l-ex-hold qawwi tagħhom fi Franza. Knisja żgħira tal-injam inbniet l-ewwel fil-komunità, segwita minn tieni knisja li nbniet minn ġebla. Qabel it-twaqqif ta 'dan, l-irġiel b'saħħithom spiss jimxu tlieta u għoxrin mil nhar is-Sibt filgħaxija, id-distanza fit-triq minn New Rochelle għal New York, biex jattendu s-servizz tal-Ħadd. Il-knisja eventwalment ġiet sostitwita minn terz, Trinity-St. Il-Knisja Episkopali ta 'Pawlu, li fiha l-werriet inkluż il-qanpiena oriġinali mill-Knisja Huguenot Franċiża "Eglise du St Esperit" fi Triq Pine fi New York City, li hija ppreservata bħala relikwa fil-kamra tat-torri. Iċ-ċimiterju Huguenot, jew "dfin ta 'Huguenot", minn dakinhar ġie rikonoxxut bħala ċimiterju storiku li huwa l-aħħar post ta' mistrieħ għal firxa wiesgħa tal-fundaturi Huguenot, kolonizzaturi bikrija u ċittadini prominenti li jmorru lura aktar minn tliet sekli.</v>
      </c>
    </row>
    <row r="14007" ht="15.75" customHeight="1">
      <c r="A14007" s="2" t="s">
        <v>14007</v>
      </c>
      <c r="B14007" s="2" t="str">
        <f>IFERROR(__xludf.DUMMYFUNCTION("GOOGLETRANSLATE(A14007, ""en"", ""mt"")"),"regolamenti u direttivi")</f>
        <v>regolamenti u direttivi</v>
      </c>
    </row>
    <row r="14008" ht="15.75" customHeight="1">
      <c r="A14008" s="2" t="s">
        <v>14008</v>
      </c>
      <c r="B14008" s="2" t="str">
        <f>IFERROR(__xludf.DUMMYFUNCTION("GOOGLETRANSLATE(A14008, ""en"", ""mt"")"),"L-Awstrija")</f>
        <v>L-Awstrija</v>
      </c>
    </row>
    <row r="14009" ht="15.75" customHeight="1">
      <c r="A14009" s="2" t="s">
        <v>14009</v>
      </c>
      <c r="B14009" s="2" t="str">
        <f>IFERROR(__xludf.DUMMYFUNCTION("GOOGLETRANSLATE(A14009, ""en"", ""mt"")"),"Iż-żona fejn Jacksonville bħalissa qiegħed ilha abitata għal kemm snin?")</f>
        <v>Iż-żona fejn Jacksonville bħalissa qiegħed ilha abitata għal kemm snin?</v>
      </c>
    </row>
    <row r="14010" ht="15.75" customHeight="1">
      <c r="A14010" s="2" t="s">
        <v>14010</v>
      </c>
      <c r="B14010" s="2" t="str">
        <f>IFERROR(__xludf.DUMMYFUNCTION("GOOGLETRANSLATE(A14010, ""en"", ""mt"")"),"il-problema ta 'sodisfazzjon Boolean NP-komplut NP")</f>
        <v>il-problema ta 'sodisfazzjon Boolean NP-komplut NP</v>
      </c>
    </row>
    <row r="14011" ht="15.75" customHeight="1">
      <c r="A14011" s="2" t="s">
        <v>14011</v>
      </c>
      <c r="B14011" s="2" t="str">
        <f>IFERROR(__xludf.DUMMYFUNCTION("GOOGLETRANSLATE(A14011, ""en"", ""mt"")"),"L-Att tal-2012")</f>
        <v>L-Att tal-2012</v>
      </c>
    </row>
    <row r="14012" ht="15.75" customHeight="1">
      <c r="A14012" s="2" t="s">
        <v>14012</v>
      </c>
      <c r="B14012" s="2" t="str">
        <f>IFERROR(__xludf.DUMMYFUNCTION("GOOGLETRANSLATE(A14012, ""en"", ""mt"")"),"Liberaliżmu Ewropew Kontinentali")</f>
        <v>Liberaliżmu Ewropew Kontinentali</v>
      </c>
    </row>
    <row r="14013" ht="15.75" customHeight="1">
      <c r="A14013" s="2" t="s">
        <v>14013</v>
      </c>
      <c r="B14013" s="2" t="str">
        <f>IFERROR(__xludf.DUMMYFUNCTION("GOOGLETRANSLATE(A14013, ""en"", ""mt"")"),"ix-xemx")</f>
        <v>ix-xemx</v>
      </c>
    </row>
    <row r="14014" ht="15.75" customHeight="1">
      <c r="A14014" s="2" t="s">
        <v>14014</v>
      </c>
      <c r="B14014" s="2" t="str">
        <f>IFERROR(__xludf.DUMMYFUNCTION("GOOGLETRANSLATE(A14014, ""en"", ""mt"")"),"Albany f'Diċembru 1755")</f>
        <v>Albany f'Diċembru 1755</v>
      </c>
    </row>
    <row r="14015" ht="15.75" customHeight="1">
      <c r="A14015" s="2" t="s">
        <v>14015</v>
      </c>
      <c r="B14015" s="2" t="str">
        <f>IFERROR(__xludf.DUMMYFUNCTION("GOOGLETRANSLATE(A14015, ""en"", ""mt"")"),"X'inhu użat biex tara l-proprjetajiet tal-kristalli?")</f>
        <v>X'inhu użat biex tara l-proprjetajiet tal-kristalli?</v>
      </c>
    </row>
    <row r="14016" ht="15.75" customHeight="1">
      <c r="A14016" s="2" t="s">
        <v>14016</v>
      </c>
      <c r="B14016" s="2" t="str">
        <f>IFERROR(__xludf.DUMMYFUNCTION("GOOGLETRANSLATE(A14016, ""en"", ""mt"")"),"Li tipprova li xi waħda minn dawn il-klassijiet hija inugwali")</f>
        <v>Li tipprova li xi waħda minn dawn il-klassijiet hija inugwali</v>
      </c>
    </row>
    <row r="14017" ht="15.75" customHeight="1">
      <c r="A14017" s="2" t="s">
        <v>14017</v>
      </c>
      <c r="B14017" s="2" t="str">
        <f>IFERROR(__xludf.DUMMYFUNCTION("GOOGLETRANSLATE(A14017, ""en"", ""mt"")"),"n = 2 · 1017")</f>
        <v>n = 2 · 1017</v>
      </c>
    </row>
    <row r="14018" ht="15.75" customHeight="1">
      <c r="A14018" s="2" t="s">
        <v>14018</v>
      </c>
      <c r="B14018" s="2" t="str">
        <f>IFERROR(__xludf.DUMMYFUNCTION("GOOGLETRANSLATE(A14018, ""en"", ""mt"")"),"Avveniment ta 'Ignition")</f>
        <v>Avveniment ta 'Ignition</v>
      </c>
    </row>
    <row r="14019" ht="15.75" customHeight="1">
      <c r="A14019" s="2" t="s">
        <v>14019</v>
      </c>
      <c r="B14019" s="2" t="str">
        <f>IFERROR(__xludf.DUMMYFUNCTION("GOOGLETRANSLATE(A14019, ""en"", ""mt"")"),"Taħt liema kundizzjoni huwa element ġenerali xy?")</f>
        <v>Taħt liema kundizzjoni huwa element ġenerali xy?</v>
      </c>
    </row>
    <row r="14020" ht="15.75" customHeight="1">
      <c r="A14020" s="2" t="s">
        <v>14020</v>
      </c>
      <c r="B14020" s="2" t="str">
        <f>IFERROR(__xludf.DUMMYFUNCTION("GOOGLETRANSLATE(A14020, ""en"", ""mt"")"),"teknoloġiji u ideat")</f>
        <v>teknoloġiji u ideat</v>
      </c>
    </row>
    <row r="14021" ht="15.75" customHeight="1">
      <c r="A14021" s="2" t="s">
        <v>14021</v>
      </c>
      <c r="B14021" s="2" t="str">
        <f>IFERROR(__xludf.DUMMYFUNCTION("GOOGLETRANSLATE(A14021, ""en"", ""mt"")"),"Liema Papa oppona l-kampanja Roberts?")</f>
        <v>Liema Papa oppona l-kampanja Roberts?</v>
      </c>
    </row>
    <row r="14022" ht="15.75" customHeight="1">
      <c r="A14022" s="2" t="s">
        <v>14022</v>
      </c>
      <c r="B14022" s="2" t="str">
        <f>IFERROR(__xludf.DUMMYFUNCTION("GOOGLETRANSLATE(A14022, ""en"", ""mt"")"),"L- ""10 miljun dollaru miljunarji"" kiber għal kważi $ 41 triljun fl-2008")</f>
        <v>L- "10 miljun dollaru miljunarji" kiber għal kważi $ 41 triljun fl-2008</v>
      </c>
    </row>
    <row r="14023" ht="15.75" customHeight="1">
      <c r="A14023" s="2" t="s">
        <v>14023</v>
      </c>
      <c r="B14023" s="2" t="str">
        <f>IFERROR(__xludf.DUMMYFUNCTION("GOOGLETRANSLATE(A14023, ""en"", ""mt"")"),"fil-fruntieri ta 'Varsavja")</f>
        <v>fil-fruntieri ta 'Varsavja</v>
      </c>
    </row>
    <row r="14024" ht="15.75" customHeight="1">
      <c r="A14024" s="2" t="s">
        <v>14024</v>
      </c>
      <c r="B14024" s="2" t="str">
        <f>IFERROR(__xludf.DUMMYFUNCTION("GOOGLETRANSLATE(A14024, ""en"", ""mt"")"),"X'kien qed jistudja Iqbal fl-Ingilterra u l-Ġermanja?")</f>
        <v>X'kien qed jistudja Iqbal fl-Ingilterra u l-Ġermanja?</v>
      </c>
    </row>
    <row r="14025" ht="15.75" customHeight="1">
      <c r="A14025" s="2" t="s">
        <v>14025</v>
      </c>
      <c r="B14025" s="2" t="str">
        <f>IFERROR(__xludf.DUMMYFUNCTION("GOOGLETRANSLATE(A14025, ""en"", ""mt"")"),"Liema industrija ġiet attirata minn Jacksonville fil-bidu tas-seklu dsatax?")</f>
        <v>Liema industrija ġiet attirata minn Jacksonville fil-bidu tas-seklu dsatax?</v>
      </c>
    </row>
    <row r="14026" ht="15.75" customHeight="1">
      <c r="A14026" s="2" t="s">
        <v>14026</v>
      </c>
      <c r="B14026" s="2" t="str">
        <f>IFERROR(__xludf.DUMMYFUNCTION("GOOGLETRANSLATE(A14026, ""en"", ""mt"")"),"L-imbuttatura kontra oġġett fuq wiċċ frizzjonali tista 'tirriżulta f'sitwazzjoni fejn l-oġġett ma jiċċaqlaqx minħabba li l-forza applikata hija opposta minn frizzjoni statika, iġġenerata bejn l-oġġett u l-wiċċ tal-mejda. Għal sitwazzjoni mingħajr moviment"&amp;", il-forza tal-frizzjoni statika tibbilanċja eżattament il-forza applikata li tirriżulta fl-ebda aċċelerazzjoni. Il-frizzjoni statika tiżdied jew tonqos b'reazzjoni għall-forza applikata sa limitu massimu determinat mill-karatteristiċi tal-kuntatt bejn il"&amp;"-wiċċ u l-oġġett.")</f>
        <v>L-imbuttatura kontra oġġett fuq wiċċ frizzjonali tista 'tirriżulta f'sitwazzjoni fejn l-oġġett ma jiċċaqlaqx minħabba li l-forza applikata hija opposta minn frizzjoni statika, iġġenerata bejn l-oġġett u l-wiċċ tal-mejda. Għal sitwazzjoni mingħajr moviment, il-forza tal-frizzjoni statika tibbilanċja eżattament il-forza applikata li tirriżulta fl-ebda aċċelerazzjoni. Il-frizzjoni statika tiżdied jew tonqos b'reazzjoni għall-forza applikata sa limitu massimu determinat mill-karatteristiċi tal-kuntatt bejn il-wiċċ u l-oġġett.</v>
      </c>
    </row>
    <row r="14027" ht="15.75" customHeight="1">
      <c r="A14027" s="2" t="s">
        <v>14027</v>
      </c>
      <c r="B14027" s="2" t="str">
        <f>IFERROR(__xludf.DUMMYFUNCTION("GOOGLETRANSLATE(A14027, ""en"", ""mt"")"),"Liema motivazzjoni hija mmexxija mill-intraprenditorija bbażata fuq l-opportunità?")</f>
        <v>Liema motivazzjoni hija mmexxija mill-intraprenditorija bbażata fuq l-opportunità?</v>
      </c>
    </row>
    <row r="14028" ht="15.75" customHeight="1">
      <c r="A14028" s="2" t="s">
        <v>14028</v>
      </c>
      <c r="B14028" s="2" t="str">
        <f>IFERROR(__xludf.DUMMYFUNCTION("GOOGLETRANSLATE(A14028, ""en"", ""mt"")"),"Matul liema snin kien it-tim tal-mudell tan-Nazzjonijiet Uniti kklassifikat l-ewwel fl-Amerika t'Isfel?")</f>
        <v>Matul liema snin kien it-tim tal-mudell tan-Nazzjonijiet Uniti kklassifikat l-ewwel fl-Amerika t'Isfel?</v>
      </c>
    </row>
    <row r="14029" ht="15.75" customHeight="1">
      <c r="A14029" s="2" t="s">
        <v>14029</v>
      </c>
      <c r="B14029" s="2" t="str">
        <f>IFERROR(__xludf.DUMMYFUNCTION("GOOGLETRANSLATE(A14029, ""en"", ""mt"")"),"Bejn l-1991 u l-2000, l-erja totali tal-foresta mitlufa fl-Amażonja telgħet minn 415,000 għal 587,000 kilometru kwadru (160,000 għal 227,000 sq mi), bil-biċċa l-kbira tal-foresta mitlufa ssir mergħa għall-baqar. Sebgħin fil-mija tal-art li qabel kienet fo"&amp;"restata fl-Amażonja, u 91% tal-art deforestata mill-1970, hija użata għall-mergħa tal-bhejjem. Bħalissa, il-Brażil huwa t-tieni l-akbar produttur globali tas-sojja wara l-Istati Uniti. Riċerka ġdida madankollu, immexxija minn Leydimere Oliveira et al., Ur"&amp;"iet li l-aktar foresta tropikali tkun illoggjata fl-Amażonja, inqas il-preċipitazzjoni tilħaq iż-żona u għalhekk iktar ikun baxx ir-rendiment għal kull ettaru. Allura minkejja l-perċezzjoni popolari, ma kien hemm l-ebda vantaġġ ekonomiku għall-Brażil minn"&amp;" żoni ta 'foresti tropikali u kkonvertiti dawn f'għelieqi pastorali.")</f>
        <v>Bejn l-1991 u l-2000, l-erja totali tal-foresta mitlufa fl-Amażonja telgħet minn 415,000 għal 587,000 kilometru kwadru (160,000 għal 227,000 sq mi), bil-biċċa l-kbira tal-foresta mitlufa ssir mergħa għall-baqar. Sebgħin fil-mija tal-art li qabel kienet forestata fl-Amażonja, u 91% tal-art deforestata mill-1970, hija użata għall-mergħa tal-bhejjem. Bħalissa, il-Brażil huwa t-tieni l-akbar produttur globali tas-sojja wara l-Istati Uniti. Riċerka ġdida madankollu, immexxija minn Leydimere Oliveira et al., Uriet li l-aktar foresta tropikali tkun illoggjata fl-Amażonja, inqas il-preċipitazzjoni tilħaq iż-żona u għalhekk iktar ikun baxx ir-rendiment għal kull ettaru. Allura minkejja l-perċezzjoni popolari, ma kien hemm l-ebda vantaġġ ekonomiku għall-Brażil minn żoni ta 'foresti tropikali u kkonvertiti dawn f'għelieqi pastorali.</v>
      </c>
    </row>
    <row r="14030" ht="15.75" customHeight="1">
      <c r="A14030" s="2" t="s">
        <v>14030</v>
      </c>
      <c r="B14030" s="2" t="str">
        <f>IFERROR(__xludf.DUMMYFUNCTION("GOOGLETRANSLATE(A14030, ""en"", ""mt"")"),"Old Rhine Bridge f'Konstance")</f>
        <v>Old Rhine Bridge f'Konstance</v>
      </c>
    </row>
    <row r="14031" ht="15.75" customHeight="1">
      <c r="A14031" s="2" t="s">
        <v>14031</v>
      </c>
      <c r="B14031" s="2" t="str">
        <f>IFERROR(__xludf.DUMMYFUNCTION("GOOGLETRANSLATE(A14031, ""en"", ""mt"")"),"Norseman, Viking")</f>
        <v>Norseman, Viking</v>
      </c>
    </row>
    <row r="14032" ht="15.75" customHeight="1">
      <c r="A14032" s="2" t="s">
        <v>14032</v>
      </c>
      <c r="B14032" s="2" t="str">
        <f>IFERROR(__xludf.DUMMYFUNCTION("GOOGLETRANSLATE(A14032, ""en"", ""mt"")"),"Liema Ctenophora kienu l-iktar studji?")</f>
        <v>Liema Ctenophora kienu l-iktar studji?</v>
      </c>
    </row>
    <row r="14033" ht="15.75" customHeight="1">
      <c r="A14033" s="2" t="s">
        <v>14033</v>
      </c>
      <c r="B14033" s="2" t="str">
        <f>IFERROR(__xludf.DUMMYFUNCTION("GOOGLETRANSLATE(A14033, ""en"", ""mt"")"),"X'inhu jiddelimita d-Delta tar-Renu fil-Punent?")</f>
        <v>X'inhu jiddelimita d-Delta tar-Renu fil-Punent?</v>
      </c>
    </row>
    <row r="14034" ht="15.75" customHeight="1">
      <c r="A14034" s="2" t="s">
        <v>14034</v>
      </c>
      <c r="B14034" s="2" t="str">
        <f>IFERROR(__xludf.DUMMYFUNCTION("GOOGLETRANSLATE(A14034, ""en"", ""mt"")"),"Liema pajjiż m'għadux juża l-iskutella ta 'Hygieia bħala simbolu tal-ispiżerija?")</f>
        <v>Liema pajjiż m'għadux juża l-iskutella ta 'Hygieia bħala simbolu tal-ispiżerija?</v>
      </c>
    </row>
    <row r="14035" ht="15.75" customHeight="1">
      <c r="A14035" s="2" t="s">
        <v>14035</v>
      </c>
      <c r="B14035" s="2" t="str">
        <f>IFERROR(__xludf.DUMMYFUNCTION("GOOGLETRANSLATE(A14035, ""en"", ""mt"")"),"Ipprovdi interkonnessjoni ta 'veloċità għolja bejn ċentri ta' superkompjuters sponsorjati mill-NSF u tagħżel punti ta 'aċċess fl-Istati Uniti")</f>
        <v>Ipprovdi interkonnessjoni ta 'veloċità għolja bejn ċentri ta' superkompjuters sponsorjati mill-NSF u tagħżel punti ta 'aċċess fl-Istati Uniti</v>
      </c>
    </row>
    <row r="14036" ht="15.75" customHeight="1">
      <c r="A14036" s="2" t="s">
        <v>14036</v>
      </c>
      <c r="B14036" s="2" t="str">
        <f>IFERROR(__xludf.DUMMYFUNCTION("GOOGLETRANSLATE(A14036, ""en"", ""mt"")"),"X’kien isemmi John Mayow il-parti tal-arja li kkawżat kombustjoni?")</f>
        <v>X’kien isemmi John Mayow il-parti tal-arja li kkawżat kombustjoni?</v>
      </c>
    </row>
    <row r="14037" ht="15.75" customHeight="1">
      <c r="A14037" s="2" t="s">
        <v>14037</v>
      </c>
      <c r="B14037" s="2" t="str">
        <f>IFERROR(__xludf.DUMMYFUNCTION("GOOGLETRANSLATE(A14037, ""en"", ""mt"")"),"Londonistan")</f>
        <v>Londonistan</v>
      </c>
    </row>
    <row r="14038" ht="15.75" customHeight="1">
      <c r="A14038" s="2" t="s">
        <v>14038</v>
      </c>
      <c r="B14038" s="2" t="str">
        <f>IFERROR(__xludf.DUMMYFUNCTION("GOOGLETRANSLATE(A14038, ""en"", ""mt"")"),"Min kiteb il-ktieb ""Kapitali fis-Seklu Għoxrin""?")</f>
        <v>Min kiteb il-ktieb "Kapitali fis-Seklu Għoxrin"?</v>
      </c>
    </row>
    <row r="14039" ht="15.75" customHeight="1">
      <c r="A14039" s="2" t="s">
        <v>14039</v>
      </c>
      <c r="B14039" s="2" t="str">
        <f>IFERROR(__xludf.DUMMYFUNCTION("GOOGLETRANSLATE(A14039, ""en"", ""mt"")"),"barriera tad-demm-moħħ, barriera ta 'fluwidu tad-demm - ċerikrospinali")</f>
        <v>barriera tad-demm-moħħ, barriera ta 'fluwidu tad-demm - ċerikrospinali</v>
      </c>
    </row>
    <row r="14040" ht="15.75" customHeight="1">
      <c r="A14040" s="2" t="s">
        <v>14040</v>
      </c>
      <c r="B14040" s="2" t="str">
        <f>IFERROR(__xludf.DUMMYFUNCTION("GOOGLETRANSLATE(A14040, ""en"", ""mt"")"),"Sussegwentement għall-konkwista, madankollu, il-marċi ġew kompletament taħt id-dominanza tal-baruni Norman l-iktar fdati ta 'William, inkluż Bernard de Neufmarché, Roger ta' Montgomery fi Shropshire u Hugh Lupus f'Cheshire. Dawn in-Normanni bdew perjodu t"&amp;"wil ta 'konkwista bil-mod li matulu kważi kollha ta' Wales kienu f'xi punt soġġetti għal interferenza Norman. Kliem Norman, bħal Baron (Barwn), l-ewwel daħlu fil-Welsh dak iż-żmien.")</f>
        <v>Sussegwentement għall-konkwista, madankollu, il-marċi ġew kompletament taħt id-dominanza tal-baruni Norman l-iktar fdati ta 'William, inkluż Bernard de Neufmarché, Roger ta' Montgomery fi Shropshire u Hugh Lupus f'Cheshire. Dawn in-Normanni bdew perjodu twil ta 'konkwista bil-mod li matulu kważi kollha ta' Wales kienu f'xi punt soġġetti għal interferenza Norman. Kliem Norman, bħal Baron (Barwn), l-ewwel daħlu fil-Welsh dak iż-żmien.</v>
      </c>
    </row>
    <row r="14041" ht="15.75" customHeight="1">
      <c r="A14041" s="2" t="s">
        <v>14041</v>
      </c>
      <c r="B14041" s="2" t="str">
        <f>IFERROR(__xludf.DUMMYFUNCTION("GOOGLETRANSLATE(A14041, ""en"", ""mt"")"),"X'inhu l-isem tal-proċess li jikkonferma l-primalità ta 'numru N?")</f>
        <v>X'inhu l-isem tal-proċess li jikkonferma l-primalità ta 'numru N?</v>
      </c>
    </row>
    <row r="14042" ht="15.75" customHeight="1">
      <c r="A14042" s="2" t="s">
        <v>14042</v>
      </c>
      <c r="B14042" s="2" t="str">
        <f>IFERROR(__xludf.DUMMYFUNCTION("GOOGLETRANSLATE(A14042, ""en"", ""mt"")"),"Minn xiex kienu l-ktajjen ta 'Iżakk?")</f>
        <v>Minn xiex kienu l-ktajjen ta 'Iżakk?</v>
      </c>
    </row>
    <row r="14043" ht="15.75" customHeight="1">
      <c r="A14043" s="2" t="s">
        <v>14043</v>
      </c>
      <c r="B14043" s="2" t="str">
        <f>IFERROR(__xludf.DUMMYFUNCTION("GOOGLETRANSLATE(A14043, ""en"", ""mt"")"),"Genghis Khan")</f>
        <v>Genghis Khan</v>
      </c>
    </row>
    <row r="14044" ht="15.75" customHeight="1">
      <c r="A14044" s="2" t="s">
        <v>14044</v>
      </c>
      <c r="B14044" s="2" t="str">
        <f>IFERROR(__xludf.DUMMYFUNCTION("GOOGLETRANSLATE(A14044, ""en"", ""mt"")"),"X'jiġri meta s-sistema immuni inqas attiva min-normal?")</f>
        <v>X'jiġri meta s-sistema immuni inqas attiva min-normal?</v>
      </c>
    </row>
    <row r="14045" ht="15.75" customHeight="1">
      <c r="A14045" s="2" t="s">
        <v>14045</v>
      </c>
      <c r="B14045" s="2" t="str">
        <f>IFERROR(__xludf.DUMMYFUNCTION("GOOGLETRANSLATE(A14045, ""en"", ""mt"")"),"SOHO SQUARE")</f>
        <v>SOHO SQUARE</v>
      </c>
    </row>
    <row r="14046" ht="15.75" customHeight="1">
      <c r="A14046" s="2" t="s">
        <v>14046</v>
      </c>
      <c r="B14046" s="2" t="str">
        <f>IFERROR(__xludf.DUMMYFUNCTION("GOOGLETRANSLATE(A14046, ""en"", ""mt"")"),"Microsoft x’ħabbret li se tibdel l-isem ta ’Sky Drive Pro?")</f>
        <v>Microsoft x’ħabbret li se tibdel l-isem ta ’Sky Drive Pro?</v>
      </c>
    </row>
    <row r="14047" ht="15.75" customHeight="1">
      <c r="A14047" s="2" t="s">
        <v>14047</v>
      </c>
      <c r="B14047" s="2" t="str">
        <f>IFERROR(__xludf.DUMMYFUNCTION("GOOGLETRANSLATE(A14047, ""en"", ""mt"")"),"X'kien id-daqs medju tal-familja mingħajr l-ebda mara preżenti?")</f>
        <v>X'kien id-daqs medju tal-familja mingħajr l-ebda mara preżenti?</v>
      </c>
    </row>
    <row r="14048" ht="15.75" customHeight="1">
      <c r="A14048" s="2" t="s">
        <v>14048</v>
      </c>
      <c r="B14048" s="2" t="str">
        <f>IFERROR(__xludf.DUMMYFUNCTION("GOOGLETRANSLATE(A14048, ""en"", ""mt"")"),"kien jipproduċi wkoll dokument kostituzzjonali wieħed")</f>
        <v>kien jipproduċi wkoll dokument kostituzzjonali wieħed</v>
      </c>
    </row>
    <row r="14049" ht="15.75" customHeight="1">
      <c r="A14049" s="2" t="s">
        <v>14049</v>
      </c>
      <c r="B14049" s="2" t="str">
        <f>IFERROR(__xludf.DUMMYFUNCTION("GOOGLETRANSLATE(A14049, ""en"", ""mt"")"),"mibegħda")</f>
        <v>mibegħda</v>
      </c>
    </row>
    <row r="14050" ht="15.75" customHeight="1">
      <c r="A14050" s="2" t="s">
        <v>14050</v>
      </c>
      <c r="B14050" s="2" t="str">
        <f>IFERROR(__xludf.DUMMYFUNCTION("GOOGLETRANSLATE(A14050, ""en"", ""mt"")"),"karozzi kbar")</f>
        <v>karozzi kbar</v>
      </c>
    </row>
    <row r="14051" ht="15.75" customHeight="1">
      <c r="A14051" s="2" t="s">
        <v>14051</v>
      </c>
      <c r="B14051" s="2" t="str">
        <f>IFERROR(__xludf.DUMMYFUNCTION("GOOGLETRANSLATE(A14051, ""en"", ""mt"")"),"X'ġara mill-kredibilità tal-politika sekulari bħala riżultat tal-gwerra ta 'sitt ijiem?")</f>
        <v>X'ġara mill-kredibilità tal-politika sekulari bħala riżultat tal-gwerra ta 'sitt ijiem?</v>
      </c>
    </row>
    <row r="14052" ht="15.75" customHeight="1">
      <c r="A14052" s="2" t="s">
        <v>14052</v>
      </c>
      <c r="B14052" s="2" t="str">
        <f>IFERROR(__xludf.DUMMYFUNCTION("GOOGLETRANSLATE(A14052, ""en"", ""mt"")"),"Monterey")</f>
        <v>Monterey</v>
      </c>
    </row>
    <row r="14053" ht="15.75" customHeight="1">
      <c r="A14053" s="2" t="s">
        <v>14053</v>
      </c>
      <c r="B14053" s="2" t="str">
        <f>IFERROR(__xludf.DUMMYFUNCTION("GOOGLETRANSLATE(A14053, ""en"", ""mt"")"),"X'inhu rwol ewlieni fl-assorbiment tal-ossiġnu?")</f>
        <v>X'inhu rwol ewlieni fl-assorbiment tal-ossiġnu?</v>
      </c>
    </row>
    <row r="14054" ht="15.75" customHeight="1">
      <c r="A14054" s="2" t="s">
        <v>14054</v>
      </c>
      <c r="B14054" s="2" t="str">
        <f>IFERROR(__xludf.DUMMYFUNCTION("GOOGLETRANSLATE(A14054, ""en"", ""mt"")"),"Kemm hemm speċi ta 'siġar fil-foresta tropikali?")</f>
        <v>Kemm hemm speċi ta 'siġar fil-foresta tropikali?</v>
      </c>
    </row>
    <row r="14055" ht="15.75" customHeight="1">
      <c r="A14055" s="2" t="s">
        <v>14055</v>
      </c>
      <c r="B14055" s="2" t="str">
        <f>IFERROR(__xludf.DUMMYFUNCTION("GOOGLETRANSLATE(A14055, ""en"", ""mt"")"),"Il-mili ta 'orbitali molekulari ffurmati mill-orbitali atomiċi ta' l-atomi ta 'ossiġnu individwali")</f>
        <v>Il-mili ta 'orbitali molekulari ffurmati mill-orbitali atomiċi ta' l-atomi ta 'ossiġnu individwali</v>
      </c>
    </row>
    <row r="14056" ht="15.75" customHeight="1">
      <c r="A14056" s="2" t="s">
        <v>14056</v>
      </c>
      <c r="B14056" s="2" t="str">
        <f>IFERROR(__xludf.DUMMYFUNCTION("GOOGLETRANSLATE(A14056, ""en"", ""mt"")"),"forza u vjolenza u rifjut li tissottometti għall-arrest")</f>
        <v>forza u vjolenza u rifjut li tissottometti għall-arrest</v>
      </c>
    </row>
    <row r="14057" ht="15.75" customHeight="1">
      <c r="A14057" s="2" t="s">
        <v>14057</v>
      </c>
      <c r="B14057" s="2" t="str">
        <f>IFERROR(__xludf.DUMMYFUNCTION("GOOGLETRANSLATE(A14057, ""en"", ""mt"")"),"Għal min l-awturi ewlenin iħejju graffs u dejta?")</f>
        <v>Għal min l-awturi ewlenin iħejju graffs u dejta?</v>
      </c>
    </row>
    <row r="14058" ht="15.75" customHeight="1">
      <c r="A14058" s="2" t="s">
        <v>14058</v>
      </c>
      <c r="B14058" s="2" t="str">
        <f>IFERROR(__xludf.DUMMYFUNCTION("GOOGLETRANSLATE(A14058, ""en"", ""mt"")"),"Meta l-formazzjonijiet tal-blat jinstabu fuq tort li ma nqatgħux, allura għandhom ikunu anzjani jew iżgħar mit-tort?")</f>
        <v>Meta l-formazzjonijiet tal-blat jinstabu fuq tort li ma nqatgħux, allura għandhom ikunu anzjani jew iżgħar mit-tort?</v>
      </c>
    </row>
    <row r="14059" ht="15.75" customHeight="1">
      <c r="A14059" s="2" t="s">
        <v>14059</v>
      </c>
      <c r="B14059" s="2" t="str">
        <f>IFERROR(__xludf.DUMMYFUNCTION("GOOGLETRANSLATE(A14059, ""en"", ""mt"")"),"X'inhi l-iktar ħaġa importanti meta tiddeċiedi jekk liġi hijiex morali?")</f>
        <v>X'inhi l-iktar ħaġa importanti meta tiddeċiedi jekk liġi hijiex morali?</v>
      </c>
    </row>
    <row r="14060" ht="15.75" customHeight="1">
      <c r="A14060" s="2" t="s">
        <v>14060</v>
      </c>
      <c r="B14060" s="2" t="str">
        <f>IFERROR(__xludf.DUMMYFUNCTION("GOOGLETRANSLATE(A14060, ""en"", ""mt"")"),"Le Grand jitlob varjazzjoni ta 'liema tliet termini?")</f>
        <v>Le Grand jitlob varjazzjoni ta 'liema tliet termini?</v>
      </c>
    </row>
    <row r="14061" ht="15.75" customHeight="1">
      <c r="A14061" s="2" t="s">
        <v>14061</v>
      </c>
      <c r="B14061" s="2" t="str">
        <f>IFERROR(__xludf.DUMMYFUNCTION("GOOGLETRANSLATE(A14061, ""en"", ""mt"")"),"Liema riżultati mhumiex mistennija bil-ġestjoni tat-terapija tal-medikazzjoni?")</f>
        <v>Liema riżultati mhumiex mistennija bil-ġestjoni tat-terapija tal-medikazzjoni?</v>
      </c>
    </row>
    <row r="14062" ht="15.75" customHeight="1">
      <c r="A14062" s="2" t="s">
        <v>14062</v>
      </c>
      <c r="B14062" s="2" t="str">
        <f>IFERROR(__xludf.DUMMYFUNCTION("GOOGLETRANSLATE(A14062, ""en"", ""mt"")"),"Uża Sickles biex tiddefla wieħed mill-koppli l-kbar")</f>
        <v>Uża Sickles biex tiddefla wieħed mill-koppli l-kbar</v>
      </c>
    </row>
    <row r="14063" ht="15.75" customHeight="1">
      <c r="A14063" s="2" t="s">
        <v>14063</v>
      </c>
      <c r="B14063" s="2" t="str">
        <f>IFERROR(__xludf.DUMMYFUNCTION("GOOGLETRANSLATE(A14063, ""en"", ""mt"")"),"X'għandu kobor ta 'madwar 8.81 metri kull sekonda kwadru?")</f>
        <v>X'għandu kobor ta 'madwar 8.81 metri kull sekonda kwadru?</v>
      </c>
    </row>
    <row r="14064" ht="15.75" customHeight="1">
      <c r="A14064" s="2" t="s">
        <v>14064</v>
      </c>
      <c r="B14064" s="2" t="str">
        <f>IFERROR(__xludf.DUMMYFUNCTION("GOOGLETRANSLATE(A14064, ""en"", ""mt"")"),"Min ifformula l-liġijiet tal-mozzjoni li ma kinux imtejba għal kważi tlett elef sena?")</f>
        <v>Min ifformula l-liġijiet tal-mozzjoni li ma kinux imtejba għal kważi tlett elef sena?</v>
      </c>
    </row>
    <row r="14065" ht="15.75" customHeight="1">
      <c r="A14065" s="2" t="s">
        <v>14065</v>
      </c>
      <c r="B14065" s="2" t="str">
        <f>IFERROR(__xludf.DUMMYFUNCTION("GOOGLETRANSLATE(A14065, ""en"", ""mt"")"),"Fl-1273")</f>
        <v>Fl-1273</v>
      </c>
    </row>
    <row r="14066" ht="15.75" customHeight="1">
      <c r="A14066" s="2" t="s">
        <v>14066</v>
      </c>
      <c r="B14066" s="2" t="str">
        <f>IFERROR(__xludf.DUMMYFUNCTION("GOOGLETRANSLATE(A14066, ""en"", ""mt"")"),"kuntest modern")</f>
        <v>kuntest modern</v>
      </c>
    </row>
    <row r="14067" ht="15.75" customHeight="1">
      <c r="A14067" s="2" t="s">
        <v>14067</v>
      </c>
      <c r="B14067" s="2" t="str">
        <f>IFERROR(__xludf.DUMMYFUNCTION("GOOGLETRANSLATE(A14067, ""en"", ""mt"")"),"X'kien l-isem tas-sett tal-manifattur tal-kaxxa ta 'fuq li BSKYB kellu problemi?")</f>
        <v>X'kien l-isem tas-sett tal-manifattur tal-kaxxa ta 'fuq li BSKYB kellu problemi?</v>
      </c>
    </row>
    <row r="14068" ht="15.75" customHeight="1">
      <c r="A14068" s="2" t="s">
        <v>14068</v>
      </c>
      <c r="B14068" s="2" t="str">
        <f>IFERROR(__xludf.DUMMYFUNCTION("GOOGLETRANSLATE(A14068, ""en"", ""mt"")"),"l-ogħla")</f>
        <v>l-ogħla</v>
      </c>
    </row>
    <row r="14069" ht="15.75" customHeight="1">
      <c r="A14069" s="2" t="s">
        <v>14069</v>
      </c>
      <c r="B14069" s="2" t="str">
        <f>IFERROR(__xludf.DUMMYFUNCTION("GOOGLETRANSLATE(A14069, ""en"", ""mt"")")," X’għamel l-Istat Iżlamiku fl-2015?")</f>
        <v> X’għamel l-Istat Iżlamiku fl-2015?</v>
      </c>
    </row>
    <row r="14070" ht="15.75" customHeight="1">
      <c r="A14070" s="2" t="s">
        <v>14070</v>
      </c>
      <c r="B14070" s="2" t="str">
        <f>IFERROR(__xludf.DUMMYFUNCTION("GOOGLETRANSLATE(A14070, ""en"", ""mt"")"),"Liema futboler Belġjan sostna li m'għandux ikun jista 'jittrasferixxi minn R.F.C. De Liege lil USL Dunkerque?")</f>
        <v>Liema futboler Belġjan sostna li m'għandux ikun jista 'jittrasferixxi minn R.F.C. De Liege lil USL Dunkerque?</v>
      </c>
    </row>
    <row r="14071" ht="15.75" customHeight="1">
      <c r="A14071" s="2" t="s">
        <v>14071</v>
      </c>
      <c r="B14071" s="2" t="str">
        <f>IFERROR(__xludf.DUMMYFUNCTION("GOOGLETRANSLATE(A14071, ""en"", ""mt"")"),"L- ""Ipotesi tal-Hugues""")</f>
        <v>L- "Ipotesi tal-Hugues"</v>
      </c>
    </row>
    <row r="14072" ht="15.75" customHeight="1">
      <c r="A14072" s="2" t="s">
        <v>14072</v>
      </c>
      <c r="B14072" s="2" t="str">
        <f>IFERROR(__xludf.DUMMYFUNCTION("GOOGLETRANSLATE(A14072, ""en"", ""mt"")"),"Maria Skłodowska-Curie Institute of Onkology")</f>
        <v>Maria Skłodowska-Curie Institute of Onkology</v>
      </c>
    </row>
    <row r="14073" ht="15.75" customHeight="1">
      <c r="A14073" s="2" t="s">
        <v>14073</v>
      </c>
      <c r="B14073" s="2" t="str">
        <f>IFERROR(__xludf.DUMMYFUNCTION("GOOGLETRANSLATE(A14073, ""en"", ""mt"")"),"Liema sena kienu l-art agrikola mibdula fi subborgi?")</f>
        <v>Liema sena kienu l-art agrikola mibdula fi subborgi?</v>
      </c>
    </row>
    <row r="14074" ht="15.75" customHeight="1">
      <c r="A14074" s="2" t="s">
        <v>14074</v>
      </c>
      <c r="B14074" s="2" t="str">
        <f>IFERROR(__xludf.DUMMYFUNCTION("GOOGLETRANSLATE(A14074, ""en"", ""mt"")"),"2.2 pulzieri")</f>
        <v>2.2 pulzieri</v>
      </c>
    </row>
    <row r="14075" ht="15.75" customHeight="1">
      <c r="A14075" s="2" t="s">
        <v>14075</v>
      </c>
      <c r="B14075" s="2" t="str">
        <f>IFERROR(__xludf.DUMMYFUNCTION("GOOGLETRANSLATE(A14075, ""en"", ""mt"")"),"Chicago Pile-1")</f>
        <v>Chicago Pile-1</v>
      </c>
    </row>
    <row r="14076" ht="15.75" customHeight="1">
      <c r="A14076" s="2" t="s">
        <v>14076</v>
      </c>
      <c r="B14076" s="2" t="str">
        <f>IFERROR(__xludf.DUMMYFUNCTION("GOOGLETRANSLATE(A14076, ""en"", ""mt"")"),"Tuzzjonijiet bejn il-pari")</f>
        <v>Tuzzjonijiet bejn il-pari</v>
      </c>
    </row>
    <row r="14077" ht="15.75" customHeight="1">
      <c r="A14077" s="2" t="s">
        <v>14077</v>
      </c>
      <c r="B14077" s="2" t="str">
        <f>IFERROR(__xludf.DUMMYFUNCTION("GOOGLETRANSLATE(A14077, ""en"", ""mt"")"),"X'inhu isem ieħor formazzjoni?")</f>
        <v>X'inhu isem ieħor formazzjoni?</v>
      </c>
    </row>
    <row r="14078" ht="15.75" customHeight="1">
      <c r="A14078" s="2" t="s">
        <v>14078</v>
      </c>
      <c r="B14078" s="2" t="str">
        <f>IFERROR(__xludf.DUMMYFUNCTION("GOOGLETRANSLATE(A14078, ""en"", ""mt"")"),"G")</f>
        <v>G</v>
      </c>
    </row>
    <row r="14079" ht="15.75" customHeight="1">
      <c r="A14079" s="2" t="s">
        <v>14079</v>
      </c>
      <c r="B14079" s="2" t="str">
        <f>IFERROR(__xludf.DUMMYFUNCTION("GOOGLETRANSLATE(A14079, ""en"", ""mt"")"),"Kemm għandhom il-lapidi li jirreferu għall-pesta?")</f>
        <v>Kemm għandhom il-lapidi li jirreferu għall-pesta?</v>
      </c>
    </row>
    <row r="14080" ht="15.75" customHeight="1">
      <c r="A14080" s="2" t="s">
        <v>14080</v>
      </c>
      <c r="B14080" s="2" t="str">
        <f>IFERROR(__xludf.DUMMYFUNCTION("GOOGLETRANSLATE(A14080, ""en"", ""mt"")")," Għaliex l-Iżlamisti m'għandhomx bżonn elezzjonijiet demokratiċi?")</f>
        <v> Għaliex l-Iżlamisti m'għandhomx bżonn elezzjonijiet demokratiċi?</v>
      </c>
    </row>
    <row r="14081" ht="15.75" customHeight="1">
      <c r="A14081" s="2" t="s">
        <v>14081</v>
      </c>
      <c r="B14081" s="2" t="str">
        <f>IFERROR(__xludf.DUMMYFUNCTION("GOOGLETRANSLATE(A14081, ""en"", ""mt"")")," Xi numru uniformi ikbar minn dak li ma jistax jitqies bħala prim?")</f>
        <v> Xi numru uniformi ikbar minn dak li ma jistax jitqies bħala prim?</v>
      </c>
    </row>
    <row r="14082" ht="15.75" customHeight="1">
      <c r="A14082" s="2" t="s">
        <v>14082</v>
      </c>
      <c r="B14082" s="2" t="str">
        <f>IFERROR(__xludf.DUMMYFUNCTION("GOOGLETRANSLATE(A14082, ""en"", ""mt"")"),"Ir-Renu jqassam mill-ġdid fl-ijssel u liema korp ieħor?")</f>
        <v>Ir-Renu jqassam mill-ġdid fl-ijssel u liema korp ieħor?</v>
      </c>
    </row>
    <row r="14083" ht="15.75" customHeight="1">
      <c r="A14083" s="2" t="s">
        <v>14083</v>
      </c>
      <c r="B14083" s="2" t="str">
        <f>IFERROR(__xludf.DUMMYFUNCTION("GOOGLETRANSLATE(A14083, ""en"", ""mt"")"),"l-iktar algoritmu effiċjenti")</f>
        <v>l-iktar algoritmu effiċjenti</v>
      </c>
    </row>
    <row r="14084" ht="15.75" customHeight="1">
      <c r="A14084" s="2" t="s">
        <v>14084</v>
      </c>
      <c r="B14084" s="2" t="str">
        <f>IFERROR(__xludf.DUMMYFUNCTION("GOOGLETRANSLATE(A14084, ""en"", ""mt"")"),"Liema problema tikkonsisti f'li tipprova żżid il-provvisti taż-żejt u t-theddid għas-sigurtà tal-enerġija tal-Istati Uniti?")</f>
        <v>Liema problema tikkonsisti f'li tipprova żżid il-provvisti taż-żejt u t-theddid għas-sigurtà tal-enerġija tal-Istati Uniti?</v>
      </c>
    </row>
    <row r="14085" ht="15.75" customHeight="1">
      <c r="A14085" s="2" t="s">
        <v>14085</v>
      </c>
      <c r="B14085" s="2" t="str">
        <f>IFERROR(__xludf.DUMMYFUNCTION("GOOGLETRANSLATE(A14085, ""en"", ""mt"")"),"X'għandhom il-biċċa l-kbira tal-platyctenida fuq il-wiċċ aboral tagħhom?")</f>
        <v>X'għandhom il-biċċa l-kbira tal-platyctenida fuq il-wiċċ aboral tagħhom?</v>
      </c>
    </row>
    <row r="14086" ht="15.75" customHeight="1">
      <c r="A14086" s="2" t="s">
        <v>14086</v>
      </c>
      <c r="B14086" s="2" t="str">
        <f>IFERROR(__xludf.DUMMYFUNCTION("GOOGLETRANSLATE(A14086, ""en"", ""mt"")"),"Liema proċess jattribwixxi ġid ġdid lil dawk li diġà għandhom?")</f>
        <v>Liema proċess jattribwixxi ġid ġdid lil dawk li diġà għandhom?</v>
      </c>
    </row>
    <row r="14087" ht="15.75" customHeight="1">
      <c r="A14087" s="2" t="s">
        <v>14087</v>
      </c>
      <c r="B14087" s="2" t="str">
        <f>IFERROR(__xludf.DUMMYFUNCTION("GOOGLETRANSLATE(A14087, ""en"", ""mt"")"),"X'tip ta 'arti iffjorixxew fil-wan?")</f>
        <v>X'tip ta 'arti iffjorixxew fil-wan?</v>
      </c>
    </row>
    <row r="14088" ht="15.75" customHeight="1">
      <c r="A14088" s="2" t="s">
        <v>14088</v>
      </c>
      <c r="B14088" s="2" t="str">
        <f>IFERROR(__xludf.DUMMYFUNCTION("GOOGLETRANSLATE(A14088, ""en"", ""mt"")"),"X'jiġri man-norma meta numru jiġi mmultiplikat b'P?")</f>
        <v>X'jiġri man-norma meta numru jiġi mmultiplikat b'P?</v>
      </c>
    </row>
    <row r="14089" ht="15.75" customHeight="1">
      <c r="A14089" s="2" t="s">
        <v>14089</v>
      </c>
      <c r="B14089" s="2" t="str">
        <f>IFERROR(__xludf.DUMMYFUNCTION("GOOGLETRANSLATE(A14089, ""en"", ""mt"")"),"X'tip ta 'aurikoli għandhom cilia?")</f>
        <v>X'tip ta 'aurikoli għandhom cilia?</v>
      </c>
    </row>
    <row r="14090" ht="15.75" customHeight="1">
      <c r="A14090" s="2" t="s">
        <v>14090</v>
      </c>
      <c r="B14090" s="2" t="str">
        <f>IFERROR(__xludf.DUMMYFUNCTION("GOOGLETRANSLATE(A14090, ""en"", ""mt"")"),"Grazzi għal bosta postijiet mużikali, inkluż it-Teatr Wielki, l-Opra Nazzjonali Pollakka, l-Opera tal-Kamra, is-Sala Filarmonika Nazzjonali u t-Teatru Nazzjonali, kif ukoll it-Teatri tal-Mużika Roma u Buffo u s-Sala tal-Kungress fil-Palazz tal-Kultura u x"&amp;"-Xjenza, Varsavja tospita bosta avvenimenti u festivals. Fost l-avvenimenti li jiswew attenzjoni partikolari hemm: il-kompetizzjoni internazzjonali tal-pjanu Frédéric Chopin, il-Festival Internazzjonali tal-Mużika Kontemporanja Varsavja, il-Jazz Jamboree,"&amp;" il-jiem tal-jazz tas-sajf ta 'Varsavja, il-kompetizzjoni vokali internazzjonali Stanisław Moniuszko, il-Festival Mozart, il-Festival Mozart, u l-Festival tal-Mużika l-Qadima.")</f>
        <v>Grazzi għal bosta postijiet mużikali, inkluż it-Teatr Wielki, l-Opra Nazzjonali Pollakka, l-Opera tal-Kamra, is-Sala Filarmonika Nazzjonali u t-Teatru Nazzjonali, kif ukoll it-Teatri tal-Mużika Roma u Buffo u s-Sala tal-Kungress fil-Palazz tal-Kultura u x-Xjenza, Varsavja tospita bosta avvenimenti u festivals. Fost l-avvenimenti li jiswew attenzjoni partikolari hemm: il-kompetizzjoni internazzjonali tal-pjanu Frédéric Chopin, il-Festival Internazzjonali tal-Mużika Kontemporanja Varsavja, il-Jazz Jamboree, il-jiem tal-jazz tas-sajf ta 'Varsavja, il-kompetizzjoni vokali internazzjonali Stanisław Moniuszko, il-Festival Mozart, il-Festival Mozart, u l-Festival tal-Mużika l-Qadima.</v>
      </c>
    </row>
    <row r="14091" ht="15.75" customHeight="1">
      <c r="A14091" s="2" t="s">
        <v>14091</v>
      </c>
      <c r="B14091" s="2" t="str">
        <f>IFERROR(__xludf.DUMMYFUNCTION("GOOGLETRANSLATE(A14091, ""en"", ""mt"")"),"Public Pad Service Telepad")</f>
        <v>Public Pad Service Telepad</v>
      </c>
    </row>
    <row r="14092" ht="15.75" customHeight="1">
      <c r="A14092" s="2" t="s">
        <v>14092</v>
      </c>
      <c r="B14092" s="2" t="str">
        <f>IFERROR(__xludf.DUMMYFUNCTION("GOOGLETRANSLATE(A14092, ""en"", ""mt"")"),"Liema skola medika tinsab f'Allston?")</f>
        <v>Liema skola medika tinsab f'Allston?</v>
      </c>
    </row>
    <row r="14093" ht="15.75" customHeight="1">
      <c r="A14093" s="2" t="s">
        <v>14093</v>
      </c>
      <c r="B14093" s="2" t="str">
        <f>IFERROR(__xludf.DUMMYFUNCTION("GOOGLETRANSLATE(A14093, ""en"", ""mt"")"),"kompressjoni orizzontali")</f>
        <v>kompressjoni orizzontali</v>
      </c>
    </row>
    <row r="14094" ht="15.75" customHeight="1">
      <c r="A14094" s="2" t="s">
        <v>14094</v>
      </c>
      <c r="B14094" s="2" t="str">
        <f>IFERROR(__xludf.DUMMYFUNCTION("GOOGLETRANSLATE(A14094, ""en"", ""mt"")"),"34")</f>
        <v>34</v>
      </c>
    </row>
    <row r="14095" ht="15.75" customHeight="1">
      <c r="A14095" s="2" t="s">
        <v>14095</v>
      </c>
      <c r="B14095" s="2" t="str">
        <f>IFERROR(__xludf.DUMMYFUNCTION("GOOGLETRANSLATE(A14095, ""en"", ""mt"")"),"X'għandu x'jaqsam ħafna ma 'kif fiżikament irridu nikkalkulaw l-algoritmi?")</f>
        <v>X'għandu x'jaqsam ħafna ma 'kif fiżikament irridu nikkalkulaw l-algoritmi?</v>
      </c>
    </row>
    <row r="14096" ht="15.75" customHeight="1">
      <c r="A14096" s="2" t="s">
        <v>14096</v>
      </c>
      <c r="B14096" s="2" t="str">
        <f>IFERROR(__xludf.DUMMYFUNCTION("GOOGLETRANSLATE(A14096, ""en"", ""mt"")"),"żewġ atomi")</f>
        <v>żewġ atomi</v>
      </c>
    </row>
    <row r="14097" ht="15.75" customHeight="1">
      <c r="A14097" s="2" t="s">
        <v>14097</v>
      </c>
      <c r="B14097" s="2" t="str">
        <f>IFERROR(__xludf.DUMMYFUNCTION("GOOGLETRANSLATE(A14097, ""en"", ""mt"")"),"Min hu l-ewwel premier ta ’Victoria?")</f>
        <v>Min hu l-ewwel premier ta ’Victoria?</v>
      </c>
    </row>
    <row r="14098" ht="15.75" customHeight="1">
      <c r="A14098" s="2" t="s">
        <v>14098</v>
      </c>
      <c r="B14098" s="2" t="str">
        <f>IFERROR(__xludf.DUMMYFUNCTION("GOOGLETRANSLATE(A14098, ""en"", ""mt"")"),"1872")</f>
        <v>1872</v>
      </c>
    </row>
    <row r="14099" ht="15.75" customHeight="1">
      <c r="A14099" s="2" t="s">
        <v>14099</v>
      </c>
      <c r="B14099" s="2" t="str">
        <f>IFERROR(__xludf.DUMMYFUNCTION("GOOGLETRANSLATE(A14099, ""en"", ""mt"")"),"X'inhu l-istudju tal-proteini involuti fir-rispons immuni magħruf bħala?")</f>
        <v>X'inhu l-istudju tal-proteini involuti fir-rispons immuni magħruf bħala?</v>
      </c>
    </row>
    <row r="14100" ht="15.75" customHeight="1">
      <c r="A14100" s="2" t="s">
        <v>14100</v>
      </c>
      <c r="B14100" s="2" t="str">
        <f>IFERROR(__xludf.DUMMYFUNCTION("GOOGLETRANSLATE(A14100, ""en"", ""mt"")"),"X'inhu l-mace muri?")</f>
        <v>X'inhu l-mace muri?</v>
      </c>
    </row>
    <row r="14101" ht="15.75" customHeight="1">
      <c r="A14101" s="2" t="s">
        <v>14101</v>
      </c>
      <c r="B14101" s="2" t="str">
        <f>IFERROR(__xludf.DUMMYFUNCTION("GOOGLETRANSLATE(A14101, ""en"", ""mt"")"),"Kummissjoni v Edith Cresson")</f>
        <v>Kummissjoni v Edith Cresson</v>
      </c>
    </row>
    <row r="14102" ht="15.75" customHeight="1">
      <c r="A14102" s="2" t="s">
        <v>14102</v>
      </c>
      <c r="B14102" s="2" t="str">
        <f>IFERROR(__xludf.DUMMYFUNCTION("GOOGLETRANSLATE(A14102, ""en"", ""mt"")"),"Liema satellita ppermettiet lil Sky Digital biex tniedi servizz diġitali ġdid kollu?")</f>
        <v>Liema satellita ppermettiet lil Sky Digital biex tniedi servizz diġitali ġdid kollu?</v>
      </c>
    </row>
    <row r="14103" ht="15.75" customHeight="1">
      <c r="A14103" s="2" t="s">
        <v>14103</v>
      </c>
      <c r="B14103" s="2" t="str">
        <f>IFERROR(__xludf.DUMMYFUNCTION("GOOGLETRANSLATE(A14103, ""en"", ""mt"")"),"Ġeneral Amherst")</f>
        <v>Ġeneral Amherst</v>
      </c>
    </row>
    <row r="14104" ht="15.75" customHeight="1">
      <c r="A14104" s="2" t="s">
        <v>14104</v>
      </c>
      <c r="B14104" s="2" t="str">
        <f>IFERROR(__xludf.DUMMYFUNCTION("GOOGLETRANSLATE(A14104, ""en"", ""mt"")"),"Ir-residenti ta 'Millerton meta marru barra minn Fresno?")</f>
        <v>Ir-residenti ta 'Millerton meta marru barra minn Fresno?</v>
      </c>
    </row>
    <row r="14105" ht="15.75" customHeight="1">
      <c r="A14105" s="2" t="s">
        <v>14105</v>
      </c>
      <c r="B14105" s="2" t="str">
        <f>IFERROR(__xludf.DUMMYFUNCTION("GOOGLETRANSLATE(A14105, ""en"", ""mt"")"),"Meta kienet id-dinastija Ming fil-poter?")</f>
        <v>Meta kienet id-dinastija Ming fil-poter?</v>
      </c>
    </row>
    <row r="14106" ht="15.75" customHeight="1">
      <c r="A14106" s="2" t="s">
        <v>14106</v>
      </c>
      <c r="B14106" s="2" t="str">
        <f>IFERROR(__xludf.DUMMYFUNCTION("GOOGLETRANSLATE(A14106, ""en"", ""mt"")"),"inċitament għat-terroriżmu")</f>
        <v>inċitament għat-terroriżmu</v>
      </c>
    </row>
    <row r="14107" ht="15.75" customHeight="1">
      <c r="A14107" s="2" t="s">
        <v>14107</v>
      </c>
      <c r="B14107" s="2" t="str">
        <f>IFERROR(__xludf.DUMMYFUNCTION("GOOGLETRANSLATE(A14107, ""en"", ""mt"")"),"22,338,618 ċifri deċimali")</f>
        <v>22,338,618 ċifri deċimali</v>
      </c>
    </row>
    <row r="14108" ht="15.75" customHeight="1">
      <c r="A14108" s="2" t="s">
        <v>14108</v>
      </c>
      <c r="B14108" s="2" t="str">
        <f>IFERROR(__xludf.DUMMYFUNCTION("GOOGLETRANSLATE(A14108, ""en"", ""mt"")"),"Għal liema skop l-organiżmi jagħmlu l-perossidu u s-superossidu?")</f>
        <v>Għal liema skop l-organiżmi jagħmlu l-perossidu u s-superossidu?</v>
      </c>
    </row>
    <row r="14109" ht="15.75" customHeight="1">
      <c r="A14109" s="2" t="s">
        <v>14109</v>
      </c>
      <c r="B14109" s="2" t="str">
        <f>IFERROR(__xludf.DUMMYFUNCTION("GOOGLETRANSLATE(A14109, ""en"", ""mt"")"),"Min spiss jopera l-ispiżeriji tal-internet?")</f>
        <v>Min spiss jopera l-ispiżeriji tal-internet?</v>
      </c>
    </row>
    <row r="14110" ht="15.75" customHeight="1">
      <c r="A14110" s="2" t="s">
        <v>14110</v>
      </c>
      <c r="B14110" s="2" t="str">
        <f>IFERROR(__xludf.DUMMYFUNCTION("GOOGLETRANSLATE(A14110, ""en"", ""mt"")"),"Kemm rikostruzzjonijiet koprew aktar minn 10,000 sena?")</f>
        <v>Kemm rikostruzzjonijiet koprew aktar minn 10,000 sena?</v>
      </c>
    </row>
    <row r="14111" ht="15.75" customHeight="1">
      <c r="A14111" s="2" t="s">
        <v>14111</v>
      </c>
      <c r="B14111" s="2" t="str">
        <f>IFERROR(__xludf.DUMMYFUNCTION("GOOGLETRANSLATE(A14111, ""en"", ""mt"")"),"X'inhu l-mekkaniżmu għat-tektonika tal-pjanċa?")</f>
        <v>X'inhu l-mekkaniżmu għat-tektonika tal-pjanċa?</v>
      </c>
    </row>
    <row r="14112" ht="15.75" customHeight="1">
      <c r="A14112" s="2" t="s">
        <v>14112</v>
      </c>
      <c r="B14112" s="2" t="str">
        <f>IFERROR(__xludf.DUMMYFUNCTION("GOOGLETRANSLATE(A14112, ""en"", ""mt"")"),"Meta ġew miġġielda l-gwerer tar-reliġjon?")</f>
        <v>Meta ġew miġġielda l-gwerer tar-reliġjon?</v>
      </c>
    </row>
    <row r="14113" ht="15.75" customHeight="1">
      <c r="A14113" s="2" t="s">
        <v>14113</v>
      </c>
      <c r="B14113" s="2" t="str">
        <f>IFERROR(__xludf.DUMMYFUNCTION("GOOGLETRANSLATE(A14113, ""en"", ""mt"")"),"1350")</f>
        <v>1350</v>
      </c>
    </row>
    <row r="14114" ht="15.75" customHeight="1">
      <c r="A14114" s="2" t="s">
        <v>14114</v>
      </c>
      <c r="B14114" s="2" t="str">
        <f>IFERROR(__xludf.DUMMYFUNCTION("GOOGLETRANSLATE(A14114, ""en"", ""mt"")"),"Avvanzi magħmula fil-Lvant Nofsani fil-Botanika u l-Kimika")</f>
        <v>Avvanzi magħmula fil-Lvant Nofsani fil-Botanika u l-Kimika</v>
      </c>
    </row>
    <row r="14115" ht="15.75" customHeight="1">
      <c r="A14115" s="2" t="s">
        <v>14115</v>
      </c>
      <c r="B14115" s="2" t="str">
        <f>IFERROR(__xludf.DUMMYFUNCTION("GOOGLETRANSLATE(A14115, ""en"", ""mt"")"),"bi ħlas għal kull unità ta 'informazzjoni trażmessa, bħal karattri, pakketti, jew messaġġi")</f>
        <v>bi ħlas għal kull unità ta 'informazzjoni trażmessa, bħal karattri, pakketti, jew messaġġi</v>
      </c>
    </row>
    <row r="14116" ht="15.75" customHeight="1">
      <c r="A14116" s="2" t="s">
        <v>14116</v>
      </c>
      <c r="B14116" s="2" t="str">
        <f>IFERROR(__xludf.DUMMYFUNCTION("GOOGLETRANSLATE(A14116, ""en"", ""mt"")"),"Liema entità huwa l-korp leġiżlattiv sekondarju?")</f>
        <v>Liema entità huwa l-korp leġiżlattiv sekondarju?</v>
      </c>
    </row>
    <row r="14117" ht="15.75" customHeight="1">
      <c r="A14117" s="2" t="s">
        <v>14117</v>
      </c>
      <c r="B14117" s="2" t="str">
        <f>IFERROR(__xludf.DUMMYFUNCTION("GOOGLETRANSLATE(A14117, ""en"", ""mt"")"),"X'inhu interessat fil-mod kif l-algoritmi jiskalaw bi tnaqqis fid-daqs tal-input?")</f>
        <v>X'inhu interessat fil-mod kif l-algoritmi jiskalaw bi tnaqqis fid-daqs tal-input?</v>
      </c>
    </row>
    <row r="14118" ht="15.75" customHeight="1">
      <c r="A14118" s="2" t="s">
        <v>14118</v>
      </c>
      <c r="B14118" s="2" t="str">
        <f>IFERROR(__xludf.DUMMYFUNCTION("GOOGLETRANSLATE(A14118, ""en"", ""mt"")"),"Liema programm tal-kompjuter jippermetti lill-istratigraphers jaraw il-wiċċ fi tliet dimensjonijiet?")</f>
        <v>Liema programm tal-kompjuter jippermetti lill-istratigraphers jaraw il-wiċċ fi tliet dimensjonijiet?</v>
      </c>
    </row>
    <row r="14119" ht="15.75" customHeight="1">
      <c r="A14119" s="2" t="s">
        <v>14119</v>
      </c>
      <c r="B14119" s="2" t="str">
        <f>IFERROR(__xludf.DUMMYFUNCTION("GOOGLETRANSLATE(A14119, ""en"", ""mt"")"),"Wang Zhen")</f>
        <v>Wang Zhen</v>
      </c>
    </row>
    <row r="14120" ht="15.75" customHeight="1">
      <c r="A14120" s="2" t="s">
        <v>14120</v>
      </c>
      <c r="B14120" s="2" t="str">
        <f>IFERROR(__xludf.DUMMYFUNCTION("GOOGLETRANSLATE(A14120, ""en"", ""mt"")"),"Għaliex l-operazzjoni Ingliża naqset fl-1755, 56, 57?")</f>
        <v>Għaliex l-operazzjoni Ingliża naqset fl-1755, 56, 57?</v>
      </c>
    </row>
    <row r="14121" ht="15.75" customHeight="1">
      <c r="A14121" s="2" t="s">
        <v>14121</v>
      </c>
      <c r="B14121" s="2" t="str">
        <f>IFERROR(__xludf.DUMMYFUNCTION("GOOGLETRANSLATE(A14121, ""en"", ""mt"")"),"100-150 speċi ġew ivvalidati")</f>
        <v>100-150 speċi ġew ivvalidati</v>
      </c>
    </row>
    <row r="14122" ht="15.75" customHeight="1">
      <c r="A14122" s="2" t="s">
        <v>14122</v>
      </c>
      <c r="B14122" s="2" t="str">
        <f>IFERROR(__xludf.DUMMYFUNCTION("GOOGLETRANSLATE(A14122, ""en"", ""mt"")"),"Meta ċellola T qattiel attivata ssib ċelloli fejn ir-riċettur MHC 1 għandu antiġeni speċifiċi, jirrilaxxa ċitotossini bħal dak?")</f>
        <v>Meta ċellola T qattiel attivata ssib ċelloli fejn ir-riċettur MHC 1 għandu antiġeni speċifiċi, jirrilaxxa ċitotossini bħal dak?</v>
      </c>
    </row>
    <row r="14123" ht="15.75" customHeight="1">
      <c r="A14123" s="2" t="s">
        <v>14123</v>
      </c>
      <c r="B14123" s="2" t="str">
        <f>IFERROR(__xludf.DUMMYFUNCTION("GOOGLETRANSLATE(A14123, ""en"", ""mt"")"),"Imperatur Wenzong")</f>
        <v>Imperatur Wenzong</v>
      </c>
    </row>
    <row r="14124" ht="15.75" customHeight="1">
      <c r="A14124" s="2" t="s">
        <v>14124</v>
      </c>
      <c r="B14124" s="2" t="str">
        <f>IFERROR(__xludf.DUMMYFUNCTION("GOOGLETRANSLATE(A14124, ""en"", ""mt"")"),"Regolamenti finanzjarji u regoli tal-WMO")</f>
        <v>Regolamenti finanzjarji u regoli tal-WMO</v>
      </c>
    </row>
    <row r="14125" ht="15.75" customHeight="1">
      <c r="A14125" s="2" t="s">
        <v>14125</v>
      </c>
      <c r="B14125" s="2" t="str">
        <f>IFERROR(__xludf.DUMMYFUNCTION("GOOGLETRANSLATE(A14125, ""en"", ""mt"")"),"Liema organizzazzjoni tkopri l-ispiża tal-president tal-IPCC?")</f>
        <v>Liema organizzazzjoni tkopri l-ispiża tal-president tal-IPCC?</v>
      </c>
    </row>
    <row r="14126" ht="15.75" customHeight="1">
      <c r="A14126" s="2" t="s">
        <v>14126</v>
      </c>
      <c r="B14126" s="2" t="str">
        <f>IFERROR(__xludf.DUMMYFUNCTION("GOOGLETRANSLATE(A14126, ""en"", ""mt"")"),"Min kien influwenti fil-promozzjoni tal-użu ta 'komposti kimiċi bħala mediċini?")</f>
        <v>Min kien influwenti fil-promozzjoni tal-użu ta 'komposti kimiċi bħala mediċini?</v>
      </c>
    </row>
    <row r="14127" ht="15.75" customHeight="1">
      <c r="A14127" s="2" t="s">
        <v>14127</v>
      </c>
      <c r="B14127" s="2" t="str">
        <f>IFERROR(__xludf.DUMMYFUNCTION("GOOGLETRANSLATE(A14127, ""en"", ""mt"")"),"Min hu magħruf għall-kalkolu tal-veloċità tar-reazzjonijiet nukleari?")</f>
        <v>Min hu magħruf għall-kalkolu tal-veloċità tar-reazzjonijiet nukleari?</v>
      </c>
    </row>
    <row r="14128" ht="15.75" customHeight="1">
      <c r="A14128" s="2" t="s">
        <v>14128</v>
      </c>
      <c r="B14128" s="2" t="str">
        <f>IFERROR(__xludf.DUMMYFUNCTION("GOOGLETRANSLATE(A14128, ""en"", ""mt"")"),"X'inhu d-dmir ewlieni tal-GPHC?")</f>
        <v>X'inhu d-dmir ewlieni tal-GPHC?</v>
      </c>
    </row>
    <row r="14129" ht="15.75" customHeight="1">
      <c r="A14129" s="2" t="s">
        <v>14129</v>
      </c>
      <c r="B14129" s="2" t="str">
        <f>IFERROR(__xludf.DUMMYFUNCTION("GOOGLETRANSLATE(A14129, ""en"", ""mt"")"),"X'hemm bżonn li jsir biex tiżgura li membri ifqar tas-soċjetà jistgħu jipparteċipaw fit-tkabbir ekonomiku?")</f>
        <v>X'hemm bżonn li jsir biex tiżgura li membri ifqar tas-soċjetà jistgħu jipparteċipaw fit-tkabbir ekonomiku?</v>
      </c>
    </row>
    <row r="14130" ht="15.75" customHeight="1">
      <c r="A14130" s="2" t="s">
        <v>14130</v>
      </c>
      <c r="B14130" s="2" t="str">
        <f>IFERROR(__xludf.DUMMYFUNCTION("GOOGLETRANSLATE(A14130, ""en"", ""mt"")"),"Meta jsofru minn ċaħda ta 'l-irqad, tilqim attiv jista' jkollu effett imnaqqas u jista 'jirriżulta fi produzzjoni ta' antikorpi aktar baxxa, u rispons immuni aktar baxx, milli jkun innutat f'individwu ristrett. Barra minn hekk, proteini bħal NFIL3, li ntw"&amp;"erew li huma marbutin mill-qrib kemm mad-differenzjazzjoni taċ-ċelloli T kif ukoll ma 'ritmi ċirkadjani tagħna, jistgħu jiġu affettwati permezz tat-tfixkil tad-dawl naturali u ċikli skuri permezz ta' każijiet ta 'ċaħda ta' rqad, xogħol ta 'bidla, eċċ Riżu"&amp;"ltat, dawn it-tfixkil jistgħu jwasslu għal żieda fil-kundizzjonijiet kroniċi bħal mard tal-qalb, uġigħ kroniku, u ażma.")</f>
        <v>Meta jsofru minn ċaħda ta 'l-irqad, tilqim attiv jista' jkollu effett imnaqqas u jista 'jirriżulta fi produzzjoni ta' antikorpi aktar baxxa, u rispons immuni aktar baxx, milli jkun innutat f'individwu ristrett. Barra minn hekk, proteini bħal NFIL3, li ntwerew li huma marbutin mill-qrib kemm mad-differenzjazzjoni taċ-ċelloli T kif ukoll ma 'ritmi ċirkadjani tagħna, jistgħu jiġu affettwati permezz tat-tfixkil tad-dawl naturali u ċikli skuri permezz ta' każijiet ta 'ċaħda ta' rqad, xogħol ta 'bidla, eċċ Riżultat, dawn it-tfixkil jistgħu jwasslu għal żieda fil-kundizzjonijiet kroniċi bħal mard tal-qalb, uġigħ kroniku, u ażma.</v>
      </c>
    </row>
    <row r="14131" ht="15.75" customHeight="1">
      <c r="A14131" s="2" t="s">
        <v>14131</v>
      </c>
      <c r="B14131" s="2" t="str">
        <f>IFERROR(__xludf.DUMMYFUNCTION("GOOGLETRANSLATE(A14131, ""en"", ""mt"")"),"Meta Francia skopriet li r-Rhine daħlet kienet daħlet fil-fruntieri tagħhom?")</f>
        <v>Meta Francia skopriet li r-Rhine daħlet kienet daħlet fil-fruntieri tagħhom?</v>
      </c>
    </row>
    <row r="14132" ht="15.75" customHeight="1">
      <c r="A14132" s="2" t="s">
        <v>14132</v>
      </c>
      <c r="B14132" s="2" t="str">
        <f>IFERROR(__xludf.DUMMYFUNCTION("GOOGLETRANSLATE(A14132, ""en"", ""mt"")"),"Liema ġeneru m'għandux tentakli u għant?")</f>
        <v>Liema ġeneru m'għandux tentakli u għant?</v>
      </c>
    </row>
    <row r="14133" ht="15.75" customHeight="1">
      <c r="A14133" s="2" t="s">
        <v>14133</v>
      </c>
      <c r="B14133" s="2" t="str">
        <f>IFERROR(__xludf.DUMMYFUNCTION("GOOGLETRANSLATE(A14133, ""en"", ""mt"")"),"Xi jfisser is-sjieda privata ta 'xi ħaġa?")</f>
        <v>Xi jfisser is-sjieda privata ta 'xi ħaġa?</v>
      </c>
    </row>
    <row r="14134" ht="15.75" customHeight="1">
      <c r="A14134" s="2" t="s">
        <v>14134</v>
      </c>
      <c r="B14134" s="2" t="str">
        <f>IFERROR(__xludf.DUMMYFUNCTION("GOOGLETRANSLATE(A14134, ""en"", ""mt"")"),"L-għarbiel ta 'Eratosthenes ma jkunx validu kieku dak li kien veru?")</f>
        <v>L-għarbiel ta 'Eratosthenes ma jkunx validu kieku dak li kien veru?</v>
      </c>
    </row>
    <row r="14135" ht="15.75" customHeight="1">
      <c r="A14135" s="2" t="s">
        <v>14135</v>
      </c>
      <c r="B14135" s="2" t="str">
        <f>IFERROR(__xludf.DUMMYFUNCTION("GOOGLETRANSLATE(A14135, ""en"", ""mt"")"),"Kemm Huguenot stabbilixxa fit-territorju tal-Baden tal-Ġermanja?")</f>
        <v>Kemm Huguenot stabbilixxa fit-territorju tal-Baden tal-Ġermanja?</v>
      </c>
    </row>
    <row r="14136" ht="15.75" customHeight="1">
      <c r="A14136" s="2" t="s">
        <v>14136</v>
      </c>
      <c r="B14136" s="2" t="str">
        <f>IFERROR(__xludf.DUMMYFUNCTION("GOOGLETRANSLATE(A14136, ""en"", ""mt"")"),"X'kien tip ta 'varjetà popolari ta' wirja matul il-wan?")</f>
        <v>X'kien tip ta 'varjetà popolari ta' wirja matul il-wan?</v>
      </c>
    </row>
    <row r="14137" ht="15.75" customHeight="1">
      <c r="A14137" s="2" t="s">
        <v>14137</v>
      </c>
      <c r="B14137" s="2" t="str">
        <f>IFERROR(__xludf.DUMMYFUNCTION("GOOGLETRANSLATE(A14137, ""en"", ""mt"")"),"it-trattat dwar il-funzjonament tal-Unjoni Ewropea.")</f>
        <v>it-trattat dwar il-funzjonament tal-Unjoni Ewropea.</v>
      </c>
    </row>
    <row r="14138" ht="15.75" customHeight="1">
      <c r="A14138" s="2" t="s">
        <v>14138</v>
      </c>
      <c r="B14138" s="2" t="str">
        <f>IFERROR(__xludf.DUMMYFUNCTION("GOOGLETRANSLATE(A14138, ""en"", ""mt"")"),"X'kien l-isem tan-nofs tal-Lvant tal-kolonja tal-1788?")</f>
        <v>X'kien l-isem tan-nofs tal-Lvant tal-kolonja tal-1788?</v>
      </c>
    </row>
    <row r="14139" ht="15.75" customHeight="1">
      <c r="A14139" s="2" t="s">
        <v>14139</v>
      </c>
      <c r="B14139" s="2" t="str">
        <f>IFERROR(__xludf.DUMMYFUNCTION("GOOGLETRANSLATE(A14139, ""en"", ""mt"")"),"pagi staġnati")</f>
        <v>pagi staġnati</v>
      </c>
    </row>
    <row r="14140" ht="15.75" customHeight="1">
      <c r="A14140" s="2" t="s">
        <v>14140</v>
      </c>
      <c r="B14140" s="2" t="str">
        <f>IFERROR(__xludf.DUMMYFUNCTION("GOOGLETRANSLATE(A14140, ""en"", ""mt"")"),"fuq il-parti ta 'fuq")</f>
        <v>fuq il-parti ta 'fuq</v>
      </c>
    </row>
    <row r="14141" ht="15.75" customHeight="1">
      <c r="A14141" s="2" t="s">
        <v>14141</v>
      </c>
      <c r="B14141" s="2" t="str">
        <f>IFERROR(__xludf.DUMMYFUNCTION("GOOGLETRANSLATE(A14141, ""en"", ""mt"")"),"Subtropikali umda")</f>
        <v>Subtropikali umda</v>
      </c>
    </row>
    <row r="14142" ht="15.75" customHeight="1">
      <c r="A14142" s="2" t="s">
        <v>14142</v>
      </c>
      <c r="B14142" s="2" t="str">
        <f>IFERROR(__xludf.DUMMYFUNCTION("GOOGLETRANSLATE(A14142, ""en"", ""mt"")"),"Fulton Mall")</f>
        <v>Fulton Mall</v>
      </c>
    </row>
    <row r="14143" ht="15.75" customHeight="1">
      <c r="A14143" s="2" t="s">
        <v>14143</v>
      </c>
      <c r="B14143" s="2" t="str">
        <f>IFERROR(__xludf.DUMMYFUNCTION("GOOGLETRANSLATE(A14143, ""en"", ""mt"")"),"Meta Robert Crispin tela 'kontra t-Torok?")</f>
        <v>Meta Robert Crispin tela 'kontra t-Torok?</v>
      </c>
    </row>
    <row r="14144" ht="15.75" customHeight="1">
      <c r="A14144" s="2" t="s">
        <v>14144</v>
      </c>
      <c r="B14144" s="2" t="str">
        <f>IFERROR(__xludf.DUMMYFUNCTION("GOOGLETRANSLATE(A14144, ""en"", ""mt"")"),"Għal żmien twil, in-numru tat-teorija b'mod ġenerali, u l-istudju tan-numri ewlenin b'mod partikolari, kien meqjus bħala l-eżempju kanoniku tal-matematika pura, mingħajr l-ebda applikazzjoni barra mill-interess innifsu li tistudja s-suġġett bl-eċċezzjoni "&amp;"tal-użu tal-użu tal-prim numerat Snien tal-irkaptu biex iqassmu l-ilbies b'mod uniformi. B'mod partikolari, teoriċi tan-numru bħall-matematiku Ingliż G. H. Hardy kburin lilhom infushom li jagħmlu xogħol li ma kellu l-ebda sinifikat militari. Madankollu, d"&amp;"in il-viżjoni ġiet għebet fis-snin sebgħin, meta ġie mħabbar pubblikament li n-numri ewlenin jistgħu jintużaw bħala l-bażi għall-ħolqien ta 'algoritmi ta' kriptografija ewlenija pubblika. In-numri ewlenin jintużaw ukoll għat-tabelli tal-hash u l-ġeneratur"&amp;"i tan-numri tal-pseudorandom.")</f>
        <v>Għal żmien twil, in-numru tat-teorija b'mod ġenerali, u l-istudju tan-numri ewlenin b'mod partikolari, kien meqjus bħala l-eżempju kanoniku tal-matematika pura, mingħajr l-ebda applikazzjoni barra mill-interess innifsu li tistudja s-suġġett bl-eċċezzjoni tal-użu tal-użu tal-prim numerat Snien tal-irkaptu biex iqassmu l-ilbies b'mod uniformi. B'mod partikolari, teoriċi tan-numru bħall-matematiku Ingliż G. H. Hardy kburin lilhom infushom li jagħmlu xogħol li ma kellu l-ebda sinifikat militari. Madankollu, din il-viżjoni ġiet għebet fis-snin sebgħin, meta ġie mħabbar pubblikament li n-numri ewlenin jistgħu jintużaw bħala l-bażi għall-ħolqien ta 'algoritmi ta' kriptografija ewlenija pubblika. In-numri ewlenin jintużaw ukoll għat-tabelli tal-hash u l-ġeneraturi tan-numri tal-pseudorandom.</v>
      </c>
    </row>
    <row r="14145" ht="15.75" customHeight="1">
      <c r="A14145" s="2" t="s">
        <v>14145</v>
      </c>
      <c r="B14145" s="2" t="str">
        <f>IFERROR(__xludf.DUMMYFUNCTION("GOOGLETRANSLATE(A14145, ""en"", ""mt"")"),"Xi tfisser Decnet Suite?")</f>
        <v>Xi tfisser Decnet Suite?</v>
      </c>
    </row>
    <row r="14146" ht="15.75" customHeight="1">
      <c r="A14146" s="2" t="s">
        <v>14146</v>
      </c>
      <c r="B14146" s="2" t="str">
        <f>IFERROR(__xludf.DUMMYFUNCTION("GOOGLETRANSLATE(A14146, ""en"", ""mt"")"),"Kemm hemm laureati Nobel fost l-alumni tal-iskola?")</f>
        <v>Kemm hemm laureati Nobel fost l-alumni tal-iskola?</v>
      </c>
    </row>
    <row r="14147" ht="15.75" customHeight="1">
      <c r="A14147" s="2" t="s">
        <v>14147</v>
      </c>
      <c r="B14147" s="2" t="str">
        <f>IFERROR(__xludf.DUMMYFUNCTION("GOOGLETRANSLATE(A14147, ""en"", ""mt"")"),"intern")</f>
        <v>intern</v>
      </c>
    </row>
    <row r="14148" ht="15.75" customHeight="1">
      <c r="A14148" s="2" t="s">
        <v>14148</v>
      </c>
      <c r="B14148" s="2" t="str">
        <f>IFERROR(__xludf.DUMMYFUNCTION("GOOGLETRANSLATE(A14148, ""en"", ""mt"")"),"l-elettorat ta 'Brandenburg u l-elettorat tal-palatinate")</f>
        <v>l-elettorat ta 'Brandenburg u l-elettorat tal-palatinate</v>
      </c>
    </row>
    <row r="14149" ht="15.75" customHeight="1">
      <c r="A14149" s="2" t="s">
        <v>14149</v>
      </c>
      <c r="B14149" s="2" t="str">
        <f>IFERROR(__xludf.DUMMYFUNCTION("GOOGLETRANSLATE(A14149, ""en"", ""mt"")"),"F'liema sena Oliver Evans brevett l-apparat tiegħu?")</f>
        <v>F'liema sena Oliver Evans brevett l-apparat tiegħu?</v>
      </c>
    </row>
    <row r="14150" ht="15.75" customHeight="1">
      <c r="A14150" s="2" t="s">
        <v>14150</v>
      </c>
      <c r="B14150" s="2" t="str">
        <f>IFERROR(__xludf.DUMMYFUNCTION("GOOGLETRANSLATE(A14150, ""en"", ""mt"")"),"Wara liema avveniment huwa maħsub li Lagerstatten deher?")</f>
        <v>Wara liema avveniment huwa maħsub li Lagerstatten deher?</v>
      </c>
    </row>
    <row r="14151" ht="15.75" customHeight="1">
      <c r="A14151" s="2" t="s">
        <v>14151</v>
      </c>
      <c r="B14151" s="2" t="str">
        <f>IFERROR(__xludf.DUMMYFUNCTION("GOOGLETRANSLATE(A14151, ""en"", ""mt"")"),"Bukhara")</f>
        <v>Bukhara</v>
      </c>
    </row>
    <row r="14152" ht="15.75" customHeight="1">
      <c r="A14152" s="2" t="s">
        <v>14152</v>
      </c>
      <c r="B14152" s="2" t="str">
        <f>IFERROR(__xludf.DUMMYFUNCTION("GOOGLETRANSLATE(A14152, ""en"", ""mt"")"),"L-armata ta ’min ħabbet lil Dukat fl-1806?")</f>
        <v>L-armata ta ’min ħabbet lil Dukat fl-1806?</v>
      </c>
    </row>
    <row r="14153" ht="15.75" customHeight="1">
      <c r="A14153" s="2" t="s">
        <v>14153</v>
      </c>
      <c r="B14153" s="2" t="str">
        <f>IFERROR(__xludf.DUMMYFUNCTION("GOOGLETRANSLATE(A14153, ""en"", ""mt"")"),"Billi jaħbtu l-lobi tagħhom")</f>
        <v>Billi jaħbtu l-lobi tagħhom</v>
      </c>
    </row>
    <row r="14154" ht="15.75" customHeight="1">
      <c r="A14154" s="2" t="s">
        <v>14154</v>
      </c>
      <c r="B14154" s="2" t="str">
        <f>IFERROR(__xludf.DUMMYFUNCTION("GOOGLETRANSLATE(A14154, ""en"", ""mt"")")," Min kien sar għani u prosperu qabel it-Tieni Gwerra Dinjija?")</f>
        <v> Min kien sar għani u prosperu qabel it-Tieni Gwerra Dinjija?</v>
      </c>
    </row>
    <row r="14155" ht="15.75" customHeight="1">
      <c r="A14155" s="2" t="s">
        <v>14155</v>
      </c>
      <c r="B14155" s="2" t="str">
        <f>IFERROR(__xludf.DUMMYFUNCTION("GOOGLETRANSLATE(A14155, ""en"", ""mt"")"),"X'inhi l-forma mhux tas-soltu tar-ridistribuzzjoni tal-ġid tal-gvern?")</f>
        <v>X'inhi l-forma mhux tas-soltu tar-ridistribuzzjoni tal-ġid tal-gvern?</v>
      </c>
    </row>
    <row r="14156" ht="15.75" customHeight="1">
      <c r="A14156" s="2" t="s">
        <v>14156</v>
      </c>
      <c r="B14156" s="2" t="str">
        <f>IFERROR(__xludf.DUMMYFUNCTION("GOOGLETRANSLATE(A14156, ""en"", ""mt"")"),"L-Introduzzjoni Aċċidentali tal-Mnemiopsis li tiekol l-Amerika ta ’Fuq Ctenophore Beroe Ovata")</f>
        <v>L-Introduzzjoni Aċċidentali tal-Mnemiopsis li tiekol l-Amerika ta ’Fuq Ctenophore Beroe Ovata</v>
      </c>
    </row>
    <row r="14157" ht="15.75" customHeight="1">
      <c r="A14157" s="2" t="s">
        <v>14157</v>
      </c>
      <c r="B14157" s="2" t="str">
        <f>IFERROR(__xludf.DUMMYFUNCTION("GOOGLETRANSLATE(A14157, ""en"", ""mt"")"),"X'inhu l-għadd totali ta 'voti li għandhom jingħaddu matul il-proċess tal-votazzjoni?")</f>
        <v>X'inhu l-għadd totali ta 'voti li għandhom jingħaddu matul il-proċess tal-votazzjoni?</v>
      </c>
    </row>
    <row r="14158" ht="15.75" customHeight="1">
      <c r="A14158" s="2" t="s">
        <v>14158</v>
      </c>
      <c r="B14158" s="2" t="str">
        <f>IFERROR(__xludf.DUMMYFUNCTION("GOOGLETRANSLATE(A14158, ""en"", ""mt"")"),"tirċievi l-ebda ħin tal-ħabs")</f>
        <v>tirċievi l-ebda ħin tal-ħabs</v>
      </c>
    </row>
    <row r="14159" ht="15.75" customHeight="1">
      <c r="A14159" s="2" t="s">
        <v>14159</v>
      </c>
      <c r="B14159" s="2" t="str">
        <f>IFERROR(__xludf.DUMMYFUNCTION("GOOGLETRANSLATE(A14159, ""en"", ""mt"")"),"X'tagħmel il-bażi tat-teoremi tal-ġerarkija tal-ħin u tal-ispazju li għaddew?")</f>
        <v>X'tagħmel il-bażi tat-teoremi tal-ġerarkija tal-ħin u tal-ispazju li għaddew?</v>
      </c>
    </row>
    <row r="14160" ht="15.75" customHeight="1">
      <c r="A14160" s="2" t="s">
        <v>14160</v>
      </c>
      <c r="B14160" s="2" t="str">
        <f>IFERROR(__xludf.DUMMYFUNCTION("GOOGLETRANSLATE(A14160, ""en"", ""mt"")"),"Ir-Renu joħroġ mill-Lag Constance, il-flussi ġeneralment lejn il-punent, bħala l-Hochrhein, jgħaddi r-Rhine Falls, u huwa magħqud mit-tributarju ewlieni tiegħu, ix-Xmara Aare. L-AARE aktar milli tirdoppja l-iskarikar tal-ilma tar-Rhine, għal medja ta 'kwa"&amp;"żi 1,000 m3 / s (35,000 cu ft / s), u tipprovdi aktar minn ħamsa tal-kwittanza fil-fruntiera Olandiża. L-AARE fih ukoll l-ilmijiet mis-summit ta 'Finsteraarhorn ta' 4,274 m (14,022 ft), l-ogħla punt tal-baċin tar-Renu. Ir-Rhine bejn wieħed u ieħor jifform"&amp;"a l-fruntiera Ġermaniża-Żvizzera mill-Lag Constance bl-eċċezzjonijiet tal-canton ta 'Schaffhausen u partijiet tal-kantuni ta' Zürich u Basel-Stadt, sakemm idur lejn it-tramuntana fl-hekk imsejjaħ irkoppa tar-Renu f'Basel, li jħalli l-Isvizzera.")</f>
        <v>Ir-Renu joħroġ mill-Lag Constance, il-flussi ġeneralment lejn il-punent, bħala l-Hochrhein, jgħaddi r-Rhine Falls, u huwa magħqud mit-tributarju ewlieni tiegħu, ix-Xmara Aare. L-AARE aktar milli tirdoppja l-iskarikar tal-ilma tar-Rhine, għal medja ta 'kważi 1,000 m3 / s (35,000 cu ft / s), u tipprovdi aktar minn ħamsa tal-kwittanza fil-fruntiera Olandiża. L-AARE fih ukoll l-ilmijiet mis-summit ta 'Finsteraarhorn ta' 4,274 m (14,022 ft), l-ogħla punt tal-baċin tar-Renu. Ir-Rhine bejn wieħed u ieħor jifforma l-fruntiera Ġermaniża-Żvizzera mill-Lag Constance bl-eċċezzjonijiet tal-canton ta 'Schaffhausen u partijiet tal-kantuni ta' Zürich u Basel-Stadt, sakemm idur lejn it-tramuntana fl-hekk imsejjaħ irkoppa tar-Renu f'Basel, li jħalli l-Isvizzera.</v>
      </c>
    </row>
    <row r="14161" ht="15.75" customHeight="1">
      <c r="A14161" s="2" t="s">
        <v>14161</v>
      </c>
      <c r="B14161" s="2" t="str">
        <f>IFERROR(__xludf.DUMMYFUNCTION("GOOGLETRANSLATE(A14161, ""en"", ""mt"")"),"Seklu 10")</f>
        <v>Seklu 10</v>
      </c>
    </row>
    <row r="14162" ht="15.75" customHeight="1">
      <c r="A14162" s="2" t="s">
        <v>14162</v>
      </c>
      <c r="B14162" s="2" t="str">
        <f>IFERROR(__xludf.DUMMYFUNCTION("GOOGLETRANSLATE(A14162, ""en"", ""mt"")"),"X'jiġri meta Syncline huwa kompressat orizzontalment?")</f>
        <v>X'jiġri meta Syncline huwa kompressat orizzontalment?</v>
      </c>
    </row>
    <row r="14163" ht="15.75" customHeight="1">
      <c r="A14163" s="2" t="s">
        <v>14163</v>
      </c>
      <c r="B14163" s="2" t="str">
        <f>IFERROR(__xludf.DUMMYFUNCTION("GOOGLETRANSLATE(A14163, ""en"", ""mt"")"),"Nikita Khrushchev")</f>
        <v>Nikita Khrushchev</v>
      </c>
    </row>
    <row r="14164" ht="15.75" customHeight="1">
      <c r="A14164" s="2" t="s">
        <v>14164</v>
      </c>
      <c r="B14164" s="2" t="str">
        <f>IFERROR(__xludf.DUMMYFUNCTION("GOOGLETRANSLATE(A14164, ""en"", ""mt"")"),"X'kien implimentat b'interface X.25?")</f>
        <v>X'kien implimentat b'interface X.25?</v>
      </c>
    </row>
    <row r="14165" ht="15.75" customHeight="1">
      <c r="A14165" s="2" t="s">
        <v>14165</v>
      </c>
      <c r="B14165" s="2" t="str">
        <f>IFERROR(__xludf.DUMMYFUNCTION("GOOGLETRANSLATE(A14165, ""en"", ""mt"")"),"Fuq liema teorema hija l-formula li ta 'spiss tiġġenera n-numru 2 u l-primes l-oħra kollha preċiżament darbtejn ibbażati fuqha?")</f>
        <v>Fuq liema teorema hija l-formula li ta 'spiss tiġġenera n-numru 2 u l-primes l-oħra kollha preċiżament darbtejn ibbażati fuqha?</v>
      </c>
    </row>
    <row r="14166" ht="15.75" customHeight="1">
      <c r="A14166" s="2" t="s">
        <v>14166</v>
      </c>
      <c r="B14166" s="2" t="str">
        <f>IFERROR(__xludf.DUMMYFUNCTION("GOOGLETRANSLATE(A14166, ""en"", ""mt"")"),"Łazienki")</f>
        <v>Łazienki</v>
      </c>
    </row>
    <row r="14167" ht="15.75" customHeight="1">
      <c r="A14167" s="2" t="s">
        <v>14167</v>
      </c>
      <c r="B14167" s="2" t="str">
        <f>IFERROR(__xludf.DUMMYFUNCTION("GOOGLETRANSLATE(A14167, ""en"", ""mt"")")," J. A. Hobson ried liema tiġrijiet tiżviluppa d-dinja?")</f>
        <v> J. A. Hobson ried liema tiġrijiet tiżviluppa d-dinja?</v>
      </c>
    </row>
    <row r="14168" ht="15.75" customHeight="1">
      <c r="A14168" s="2" t="s">
        <v>14168</v>
      </c>
      <c r="B14168" s="2" t="str">
        <f>IFERROR(__xludf.DUMMYFUNCTION("GOOGLETRANSLATE(A14168, ""en"", ""mt"")"),"Robert Nozick argumenta li l-gvern jerġa 'jqassam il-ġid bil-forza (ġeneralment fil-forma ta' tassazzjoni), u li s-soċjetà morali ideali tkun waħda fejn l-individwi kollha huma ħielsa mill-forza. Madankollu, Nozick irrikonoxxa li xi inugwaljanzi ekonomiċi"&amp;" moderni kienu r-riżultat ta 'teħid qawwi ta' propjetà, u ċertu ammont ta 'tqassim mill-ġdid ikun iġġustifikat li jikkumpensa għal din il-forza iżda mhux minħabba l-inugwaljanzi nfushom. John Rawls argumenta fit-teorija tal-ġustizzja li l-inugwaljanzi fid"&amp;"-distribuzzjoni tal-ġid huma ġustifikati biss meta jtejbu s-soċjetà kollha, inklużi l-ifqar membri. Rawls ma jiddiskutix l-implikazzjonijiet sħaħ tat-teorija tal-ġustizzja tiegħu. Xi wħud jaraw l-argument ta 'Rawls bħala ġustifikazzjoni għall-kapitaliżmu "&amp;"peress li anke l-ifqar membri tas-soċjetà teoretikament jibbenefikaw minn innovazzjonijiet miżjuda taħt il-kapitaliżmu; Oħrajn jemmnu li stat ta 'benesseri qawwi biss jista' jissodisfa t-teorija tal-ġustizzja ta 'Rawls.")</f>
        <v>Robert Nozick argumenta li l-gvern jerġa 'jqassam il-ġid bil-forza (ġeneralment fil-forma ta' tassazzjoni), u li s-soċjetà morali ideali tkun waħda fejn l-individwi kollha huma ħielsa mill-forza. Madankollu, Nozick irrikonoxxa li xi inugwaljanzi ekonomiċi moderni kienu r-riżultat ta 'teħid qawwi ta' propjetà, u ċertu ammont ta 'tqassim mill-ġdid ikun iġġustifikat li jikkumpensa għal din il-forza iżda mhux minħabba l-inugwaljanzi nfushom. John Rawls argumenta fit-teorija tal-ġustizzja li l-inugwaljanzi fid-distribuzzjoni tal-ġid huma ġustifikati biss meta jtejbu s-soċjetà kollha, inklużi l-ifqar membri. Rawls ma jiddiskutix l-implikazzjonijiet sħaħ tat-teorija tal-ġustizzja tiegħu. Xi wħud jaraw l-argument ta 'Rawls bħala ġustifikazzjoni għall-kapitaliżmu peress li anke l-ifqar membri tas-soċjetà teoretikament jibbenefikaw minn innovazzjonijiet miżjuda taħt il-kapitaliżmu; Oħrajn jemmnu li stat ta 'benesseri qawwi biss jista' jissodisfa t-teorija tal-ġustizzja ta 'Rawls.</v>
      </c>
    </row>
    <row r="14169" ht="15.75" customHeight="1">
      <c r="A14169" s="2" t="s">
        <v>14169</v>
      </c>
      <c r="B14169" s="2" t="str">
        <f>IFERROR(__xludf.DUMMYFUNCTION("GOOGLETRANSLATE(A14169, ""en"", ""mt"")"),"Adobe li jipprovdi inqas utilità lil persuna waħda minn oħra huwa eżempju ta 'xiex imnaqqas?")</f>
        <v>Adobe li jipprovdi inqas utilità lil persuna waħda minn oħra huwa eżempju ta 'xiex imnaqqas?</v>
      </c>
    </row>
    <row r="14170" ht="15.75" customHeight="1">
      <c r="A14170" s="2" t="s">
        <v>14170</v>
      </c>
      <c r="B14170" s="2" t="str">
        <f>IFERROR(__xludf.DUMMYFUNCTION("GOOGLETRANSLATE(A14170, ""en"", ""mt"")"),"Aktar minn nofs")</f>
        <v>Aktar minn nofs</v>
      </c>
    </row>
    <row r="14171" ht="15.75" customHeight="1">
      <c r="A14171" s="2" t="s">
        <v>14171</v>
      </c>
      <c r="B14171" s="2" t="str">
        <f>IFERROR(__xludf.DUMMYFUNCTION("GOOGLETRANSLATE(A14171, ""en"", ""mt"")"),"X'għandu jiġi analizzat biex tqabbel Amazon Rainfall fil-passat u fil-preżent?")</f>
        <v>X'għandu jiġi analizzat biex tqabbel Amazon Rainfall fil-passat u fil-preżent?</v>
      </c>
    </row>
    <row r="14172" ht="15.75" customHeight="1">
      <c r="A14172" s="2" t="s">
        <v>14172</v>
      </c>
      <c r="B14172" s="2" t="str">
        <f>IFERROR(__xludf.DUMMYFUNCTION("GOOGLETRANSLATE(A14172, ""en"", ""mt"")"),"X'inhu SIO?")</f>
        <v>X'inhu SIO?</v>
      </c>
    </row>
    <row r="14173" ht="15.75" customHeight="1">
      <c r="A14173" s="2" t="s">
        <v>14173</v>
      </c>
      <c r="B14173" s="2" t="str">
        <f>IFERROR(__xludf.DUMMYFUNCTION("GOOGLETRANSLATE(A14173, ""en"", ""mt"")"),"X'jiddettaw id-djar iddisinjati apposta fiż-żona?")</f>
        <v>X'jiddettaw id-djar iddisinjati apposta fiż-żona?</v>
      </c>
    </row>
    <row r="14174" ht="15.75" customHeight="1">
      <c r="A14174" s="2" t="s">
        <v>14174</v>
      </c>
      <c r="B14174" s="2" t="str">
        <f>IFERROR(__xludf.DUMMYFUNCTION("GOOGLETRANSLATE(A14174, ""en"", ""mt"")"),"Liema grupp jistabbilixxi l-aġenda tal-ħin?")</f>
        <v>Liema grupp jistabbilixxi l-aġenda tal-ħin?</v>
      </c>
    </row>
    <row r="14175" ht="15.75" customHeight="1">
      <c r="A14175" s="2" t="s">
        <v>14175</v>
      </c>
      <c r="B14175" s="2" t="str">
        <f>IFERROR(__xludf.DUMMYFUNCTION("GOOGLETRANSLATE(A14175, ""en"", ""mt"")"),"X'inhi ċ-ċarezza tal-ossiġnu likwidu?")</f>
        <v>X'inhi ċ-ċarezza tal-ossiġnu likwidu?</v>
      </c>
    </row>
    <row r="14176" ht="15.75" customHeight="1">
      <c r="A14176" s="2" t="s">
        <v>14176</v>
      </c>
      <c r="B14176" s="2" t="str">
        <f>IFERROR(__xludf.DUMMYFUNCTION("GOOGLETRANSLATE(A14176, ""en"", ""mt"")"),"Min iddisinja l-bini tal-Parlament Skoċċiż?")</f>
        <v>Min iddisinja l-bini tal-Parlament Skoċċiż?</v>
      </c>
    </row>
    <row r="14177" ht="15.75" customHeight="1">
      <c r="A14177" s="2" t="s">
        <v>14177</v>
      </c>
      <c r="B14177" s="2" t="str">
        <f>IFERROR(__xludf.DUMMYFUNCTION("GOOGLETRANSLATE(A14177, ""en"", ""mt"")"),"koppla trasparenti magħmula minn ċili twil u immobbli")</f>
        <v>koppla trasparenti magħmula minn ċili twil u immobbli</v>
      </c>
    </row>
    <row r="14178" ht="15.75" customHeight="1">
      <c r="A14178" s="2" t="s">
        <v>14178</v>
      </c>
      <c r="B14178" s="2" t="str">
        <f>IFERROR(__xludf.DUMMYFUNCTION("GOOGLETRANSLATE(A14178, ""en"", ""mt"")"),"Liema snin il-prezz tad-dollaru taż-żejt tela 'bi 2% fis-sena?")</f>
        <v>Liema snin il-prezz tad-dollaru taż-żejt tela 'bi 2% fis-sena?</v>
      </c>
    </row>
    <row r="14179" ht="15.75" customHeight="1">
      <c r="A14179" s="2" t="s">
        <v>14179</v>
      </c>
      <c r="B14179" s="2" t="str">
        <f>IFERROR(__xludf.DUMMYFUNCTION("GOOGLETRANSLATE(A14179, ""en"", ""mt"")"),"X’ganera Conant biex jattira studenti għonja lejn l-iskola fl-1933?")</f>
        <v>X’ganera Conant biex jattira studenti għonja lejn l-iskola fl-1933?</v>
      </c>
    </row>
    <row r="14180" ht="15.75" customHeight="1">
      <c r="A14180" s="2" t="s">
        <v>14180</v>
      </c>
      <c r="B14180" s="2" t="str">
        <f>IFERROR(__xludf.DUMMYFUNCTION("GOOGLETRANSLATE(A14180, ""en"", ""mt"")"),"Saltniet")</f>
        <v>Saltniet</v>
      </c>
    </row>
    <row r="14181" ht="15.75" customHeight="1">
      <c r="A14181" s="2" t="s">
        <v>14181</v>
      </c>
      <c r="B14181" s="2" t="str">
        <f>IFERROR(__xludf.DUMMYFUNCTION("GOOGLETRANSLATE(A14181, ""en"", ""mt"")"),"1349")</f>
        <v>1349</v>
      </c>
    </row>
    <row r="14182" ht="15.75" customHeight="1">
      <c r="A14182" s="2" t="s">
        <v>14182</v>
      </c>
      <c r="B14182" s="2" t="str">
        <f>IFERROR(__xludf.DUMMYFUNCTION("GOOGLETRANSLATE(A14182, ""en"", ""mt"")"),"l-ogħla fid-dinja")</f>
        <v>l-ogħla fid-dinja</v>
      </c>
    </row>
    <row r="14183" ht="15.75" customHeight="1">
      <c r="A14183" s="2" t="s">
        <v>14183</v>
      </c>
      <c r="B14183" s="2" t="str">
        <f>IFERROR(__xludf.DUMMYFUNCTION("GOOGLETRANSLATE(A14183, ""en"", ""mt"")"),"Nitroġenu likwidu")</f>
        <v>Nitroġenu likwidu</v>
      </c>
    </row>
    <row r="14184" ht="15.75" customHeight="1">
      <c r="A14184" s="2" t="s">
        <v>14184</v>
      </c>
      <c r="B14184" s="2" t="str">
        <f>IFERROR(__xludf.DUMMYFUNCTION("GOOGLETRANSLATE(A14184, ""en"", ""mt"")"),"Liema avveniment Ewropew ikkawża li l-Huguenots jabbandunaw lil Charlesfort?")</f>
        <v>Liema avveniment Ewropew ikkawża li l-Huguenots jabbandunaw lil Charlesfort?</v>
      </c>
    </row>
    <row r="14185" ht="15.75" customHeight="1">
      <c r="A14185" s="2" t="s">
        <v>14185</v>
      </c>
      <c r="B14185" s="2" t="str">
        <f>IFERROR(__xludf.DUMMYFUNCTION("GOOGLETRANSLATE(A14185, ""en"", ""mt"")"),"Mediċini ġodda")</f>
        <v>Mediċini ġodda</v>
      </c>
    </row>
    <row r="14186" ht="15.75" customHeight="1">
      <c r="A14186" s="2" t="s">
        <v>14186</v>
      </c>
      <c r="B14186" s="2" t="str">
        <f>IFERROR(__xludf.DUMMYFUNCTION("GOOGLETRANSLATE(A14186, ""en"", ""mt"")"),"Fejn jinsab il-Kulleġġ ta 'San Aloysius?")</f>
        <v>Fejn jinsab il-Kulleġġ ta 'San Aloysius?</v>
      </c>
    </row>
    <row r="14187" ht="15.75" customHeight="1">
      <c r="A14187" s="2" t="s">
        <v>14187</v>
      </c>
      <c r="B14187" s="2" t="str">
        <f>IFERROR(__xludf.DUMMYFUNCTION("GOOGLETRANSLATE(A14187, ""en"", ""mt"")"),"silikati kumplessi")</f>
        <v>silikati kumplessi</v>
      </c>
    </row>
    <row r="14188" ht="15.75" customHeight="1">
      <c r="A14188" s="2" t="s">
        <v>14188</v>
      </c>
      <c r="B14188" s="2" t="str">
        <f>IFERROR(__xludf.DUMMYFUNCTION("GOOGLETRANSLATE(A14188, ""en"", ""mt"")"),"X'kienet il-porzjon ta 'l-Amerika ta' Fuq tal-Gwerra ta 'Suċċessjoni Awstrijaka?")</f>
        <v>X'kienet il-porzjon ta 'l-Amerika ta' Fuq tal-Gwerra ta 'Suċċessjoni Awstrijaka?</v>
      </c>
    </row>
    <row r="14189" ht="15.75" customHeight="1">
      <c r="A14189" s="2" t="s">
        <v>14189</v>
      </c>
      <c r="B14189" s="2" t="str">
        <f>IFERROR(__xludf.DUMMYFUNCTION("GOOGLETRANSLATE(A14189, ""en"", ""mt"")"),"Fejn saru dawn ir-rewwixti?")</f>
        <v>Fejn saru dawn ir-rewwixti?</v>
      </c>
    </row>
    <row r="14190" ht="15.75" customHeight="1">
      <c r="A14190" s="2" t="s">
        <v>14190</v>
      </c>
      <c r="B14190" s="2" t="str">
        <f>IFERROR(__xludf.DUMMYFUNCTION("GOOGLETRANSLATE(A14190, ""en"", ""mt"")"),"Ix-xandiriet standard ta 'definizzjoni standard ta' BSKYB huma f'MPEG-2 konformi mad-DVB, bil-films Sky u l-kanali tal-box office Sky inklużi soundtracks diġitali Dolby mhux obbligatorji għal films riċenti, għalkemm dawn huma aċċessibbli biss b'kaxxa Sky "&amp;"+. SKY + HD Material huwa mxandar bl-użu ta 'MPEG-4 u l-biċċa l-kbira tal-materjal HD juża l-istandard DVB-S2. Servizzi interattivi u EPG ta '7 ijiem jużaw is-sistema proprjetarja OPENTV, b'kaxex set-top inklużi modems għal mogħdija ta' ritorn. Sky News, "&amp;"fost kanali oħra, tipprovdi servizz interattiv psewdo-video fuq talba billi xxandar flussi ta 'vidjow looping.")</f>
        <v>Ix-xandiriet standard ta 'definizzjoni standard ta' BSKYB huma f'MPEG-2 konformi mad-DVB, bil-films Sky u l-kanali tal-box office Sky inklużi soundtracks diġitali Dolby mhux obbligatorji għal films riċenti, għalkemm dawn huma aċċessibbli biss b'kaxxa Sky +. SKY + HD Material huwa mxandar bl-użu ta 'MPEG-4 u l-biċċa l-kbira tal-materjal HD juża l-istandard DVB-S2. Servizzi interattivi u EPG ta '7 ijiem jużaw is-sistema proprjetarja OPENTV, b'kaxex set-top inklużi modems għal mogħdija ta' ritorn. Sky News, fost kanali oħra, tipprovdi servizz interattiv psewdo-video fuq talba billi xxandar flussi ta 'vidjow looping.</v>
      </c>
    </row>
    <row r="14191" ht="15.75" customHeight="1">
      <c r="A14191" s="2" t="s">
        <v>14191</v>
      </c>
      <c r="B14191" s="2" t="str">
        <f>IFERROR(__xludf.DUMMYFUNCTION("GOOGLETRANSLATE(A14191, ""en"", ""mt"")"),"X’kien jiddependi l-Golf Persjan fuq is-Saudis biex jimmaniġġjaw?")</f>
        <v>X’kien jiddependi l-Golf Persjan fuq is-Saudis biex jimmaniġġjaw?</v>
      </c>
    </row>
    <row r="14192" ht="15.75" customHeight="1">
      <c r="A14192" s="2" t="s">
        <v>14192</v>
      </c>
      <c r="B14192" s="2" t="str">
        <f>IFERROR(__xludf.DUMMYFUNCTION("GOOGLETRANSLATE(A14192, ""en"", ""mt"")"),"X'jikludu l-mudelli analoġiċi fil-passaġġ għall-metamorfiżmu?")</f>
        <v>X'jikludu l-mudelli analoġiċi fil-passaġġ għall-metamorfiżmu?</v>
      </c>
    </row>
    <row r="14193" ht="15.75" customHeight="1">
      <c r="A14193" s="2" t="s">
        <v>14193</v>
      </c>
      <c r="B14193" s="2" t="str">
        <f>IFERROR(__xludf.DUMMYFUNCTION("GOOGLETRANSLATE(A14193, ""en"", ""mt"")"),"F'liema reġjun ta 'California jinsab Palm Springs?")</f>
        <v>F'liema reġjun ta 'California jinsab Palm Springs?</v>
      </c>
    </row>
    <row r="14194" ht="15.75" customHeight="1">
      <c r="A14194" s="2" t="s">
        <v>14194</v>
      </c>
      <c r="B14194" s="2" t="str">
        <f>IFERROR(__xludf.DUMMYFUNCTION("GOOGLETRANSLATE(A14194, ""en"", ""mt"")"),"Meta l-wan beda juża pjanċi tal-istampar tal-bronż għal flusha?")</f>
        <v>Meta l-wan beda juża pjanċi tal-istampar tal-bronż għal flusha?</v>
      </c>
    </row>
    <row r="14195" ht="15.75" customHeight="1">
      <c r="A14195" s="2" t="s">
        <v>14195</v>
      </c>
      <c r="B14195" s="2" t="str">
        <f>IFERROR(__xludf.DUMMYFUNCTION("GOOGLETRANSLATE(A14195, ""en"", ""mt"")"),"L-Islam Konservattiv jikklassifika l-Musulmani li jsegwu l-interpretazzjoni Shia?")</f>
        <v>L-Islam Konservattiv jikklassifika l-Musulmani li jsegwu l-interpretazzjoni Shia?</v>
      </c>
    </row>
    <row r="14196" ht="15.75" customHeight="1">
      <c r="A14196" s="2" t="s">
        <v>14196</v>
      </c>
      <c r="B14196" s="2" t="str">
        <f>IFERROR(__xludf.DUMMYFUNCTION("GOOGLETRANSLATE(A14196, ""en"", ""mt"")"),"X'inhi ċ-ċitazzjoni għall-każ Pierce v. Society of Sisters?")</f>
        <v>X'inhi ċ-ċitazzjoni għall-każ Pierce v. Society of Sisters?</v>
      </c>
    </row>
    <row r="14197" ht="15.75" customHeight="1">
      <c r="A14197" s="2" t="s">
        <v>14197</v>
      </c>
      <c r="B14197" s="2" t="str">
        <f>IFERROR(__xludf.DUMMYFUNCTION("GOOGLETRANSLATE(A14197, ""en"", ""mt"")"),"Meta l-Ġeneral Sejm għamel lil Vilnius is-sedil permanenti tiegħu?")</f>
        <v>Meta l-Ġeneral Sejm għamel lil Vilnius is-sedil permanenti tiegħu?</v>
      </c>
    </row>
    <row r="14198" ht="15.75" customHeight="1">
      <c r="A14198" s="2" t="s">
        <v>14198</v>
      </c>
      <c r="B14198" s="2" t="str">
        <f>IFERROR(__xludf.DUMMYFUNCTION("GOOGLETRANSLATE(A14198, ""en"", ""mt"")")," X'użaw al-gama'a al-Islamiyya biex ma jsibux triqtu?")</f>
        <v> X'użaw al-gama'a al-Islamiyya biex ma jsibux triqtu?</v>
      </c>
    </row>
    <row r="14199" ht="15.75" customHeight="1">
      <c r="A14199" s="2" t="s">
        <v>14199</v>
      </c>
      <c r="B14199" s="2" t="str">
        <f>IFERROR(__xludf.DUMMYFUNCTION("GOOGLETRANSLATE(A14199, ""en"", ""mt"")"),"Meta ġie żviluppat l-ossiġnu likwidu għal użu kummerċjali?")</f>
        <v>Meta ġie żviluppat l-ossiġnu likwidu għal użu kummerċjali?</v>
      </c>
    </row>
    <row r="14200" ht="15.75" customHeight="1">
      <c r="A14200" s="2" t="s">
        <v>14200</v>
      </c>
      <c r="B14200" s="2" t="str">
        <f>IFERROR(__xludf.DUMMYFUNCTION("GOOGLETRANSLATE(A14200, ""en"", ""mt"")"),"Żewġ aġenziji pubbliċi, speċjalment żewġ fergħat ugwalment sovrani tal-gvern, kunflitti.")</f>
        <v>Żewġ aġenziji pubbliċi, speċjalment żewġ fergħat ugwalment sovrani tal-gvern, kunflitti.</v>
      </c>
    </row>
    <row r="14201" ht="15.75" customHeight="1">
      <c r="A14201" s="2" t="s">
        <v>14201</v>
      </c>
      <c r="B14201" s="2" t="str">
        <f>IFERROR(__xludf.DUMMYFUNCTION("GOOGLETRANSLATE(A14201, ""en"", ""mt"")"),"żoni muntanjużi")</f>
        <v>żoni muntanjużi</v>
      </c>
    </row>
    <row r="14202" ht="15.75" customHeight="1">
      <c r="A14202" s="2" t="s">
        <v>14202</v>
      </c>
      <c r="B14202" s="2" t="str">
        <f>IFERROR(__xludf.DUMMYFUNCTION("GOOGLETRANSLATE(A14202, ""en"", ""mt"")"),"Liema ġlied ieħor ma kienx involut fit-teħid ta 'Louisbourg?")</f>
        <v>Liema ġlied ieħor ma kienx involut fit-teħid ta 'Louisbourg?</v>
      </c>
    </row>
    <row r="14203" ht="15.75" customHeight="1">
      <c r="A14203" s="2" t="s">
        <v>14203</v>
      </c>
      <c r="B14203" s="2" t="str">
        <f>IFERROR(__xludf.DUMMYFUNCTION("GOOGLETRANSLATE(A14203, ""en"", ""mt"")"),"X'inhu l-element ta 'żmien fil-kostruzzjoni bejn żewġ partijiet jew aktar?")</f>
        <v>X'inhu l-element ta 'żmien fil-kostruzzjoni bejn żewġ partijiet jew aktar?</v>
      </c>
    </row>
    <row r="14204" ht="15.75" customHeight="1">
      <c r="A14204" s="2" t="s">
        <v>14204</v>
      </c>
      <c r="B14204" s="2" t="str">
        <f>IFERROR(__xludf.DUMMYFUNCTION("GOOGLETRANSLATE(A14204, ""en"", ""mt"")"),"tnaqqas l-ispejjeż u timmassimizza l-profitti")</f>
        <v>tnaqqas l-ispejjeż u timmassimizza l-profitti</v>
      </c>
    </row>
    <row r="14205" ht="15.75" customHeight="1">
      <c r="A14205" s="2" t="s">
        <v>14205</v>
      </c>
      <c r="B14205" s="2" t="str">
        <f>IFERROR(__xludf.DUMMYFUNCTION("GOOGLETRANSLATE(A14205, ""en"", ""mt"")"),"Liema jum tal-ġimgħa jsiru l-elezzjonijiet ġenerali?")</f>
        <v>Liema jum tal-ġimgħa jsiru l-elezzjonijiet ġenerali?</v>
      </c>
    </row>
    <row r="14206" ht="15.75" customHeight="1">
      <c r="A14206" s="2" t="s">
        <v>14206</v>
      </c>
      <c r="B14206" s="2" t="str">
        <f>IFERROR(__xludf.DUMMYFUNCTION("GOOGLETRANSLATE(A14206, ""en"", ""mt"")"),"X'jiteħtieġu X.25 u Frame Relay it-tnejn")</f>
        <v>X'jiteħtieġu X.25 u Frame Relay it-tnejn</v>
      </c>
    </row>
    <row r="14207" ht="15.75" customHeight="1">
      <c r="A14207" s="2" t="s">
        <v>14207</v>
      </c>
      <c r="B14207" s="2" t="str">
        <f>IFERROR(__xludf.DUMMYFUNCTION("GOOGLETRANSLATE(A14207, ""en"", ""mt"")"),"Christian Whiton")</f>
        <v>Christian Whiton</v>
      </c>
    </row>
    <row r="14208" ht="15.75" customHeight="1">
      <c r="A14208" s="2" t="s">
        <v>14208</v>
      </c>
      <c r="B14208" s="2" t="str">
        <f>IFERROR(__xludf.DUMMYFUNCTION("GOOGLETRANSLATE(A14208, ""en"", ""mt"")"),"Il-Gżejjer Faroe")</f>
        <v>Il-Gżejjer Faroe</v>
      </c>
    </row>
    <row r="14209" ht="15.75" customHeight="1">
      <c r="A14209" s="2" t="s">
        <v>14209</v>
      </c>
      <c r="B14209" s="2" t="str">
        <f>IFERROR(__xludf.DUMMYFUNCTION("GOOGLETRANSLATE(A14209, ""en"", ""mt"")"),"Minn liema skala ma tinnegozjax il-liberalizzazzjoni tbiddel l-inugwaljanza ekonomika?")</f>
        <v>Minn liema skala ma tinnegozjax il-liberalizzazzjoni tbiddel l-inugwaljanza ekonomika?</v>
      </c>
    </row>
    <row r="14210" ht="15.75" customHeight="1">
      <c r="A14210" s="2" t="s">
        <v>14210</v>
      </c>
      <c r="B14210" s="2" t="str">
        <f>IFERROR(__xludf.DUMMYFUNCTION("GOOGLETRANSLATE(A14210, ""en"", ""mt"")"),"affarijiet li huma kwistjoni ta 'drawwa jew aspettattiva")</f>
        <v>affarijiet li huma kwistjoni ta 'drawwa jew aspettattiva</v>
      </c>
    </row>
    <row r="14211" ht="15.75" customHeight="1">
      <c r="A14211" s="2" t="s">
        <v>14211</v>
      </c>
      <c r="B14211" s="2" t="str">
        <f>IFERROR(__xludf.DUMMYFUNCTION("GOOGLETRANSLATE(A14211, ""en"", ""mt"")"),"Minn xiex ma tiddependix il-legalità tal-azzjoni?")</f>
        <v>Minn xiex ma tiddependix il-legalità tal-azzjoni?</v>
      </c>
    </row>
    <row r="14212" ht="15.75" customHeight="1">
      <c r="A14212" s="2" t="s">
        <v>14212</v>
      </c>
      <c r="B14212" s="2" t="str">
        <f>IFERROR(__xludf.DUMMYFUNCTION("GOOGLETRANSLATE(A14212, ""en"", ""mt"")"),"Kemm hemm punti ta 'aċċess fi ""skema ta' aċċess multipli""?")</f>
        <v>Kemm hemm punti ta 'aċċess fi "skema ta' aċċess multipli"?</v>
      </c>
    </row>
    <row r="14213" ht="15.75" customHeight="1">
      <c r="A14213" s="2" t="s">
        <v>14213</v>
      </c>
      <c r="B14213" s="2" t="str">
        <f>IFERROR(__xludf.DUMMYFUNCTION("GOOGLETRANSLATE(A14213, ""en"", ""mt"")"),"Vjal il-qastan jgħaddi minn xiex?")</f>
        <v>Vjal il-qastan jgħaddi minn xiex?</v>
      </c>
    </row>
    <row r="14214" ht="15.75" customHeight="1">
      <c r="A14214" s="2" t="s">
        <v>14214</v>
      </c>
      <c r="B14214" s="2" t="str">
        <f>IFERROR(__xludf.DUMMYFUNCTION("GOOGLETRANSLATE(A14214, ""en"", ""mt"")"),"X'kienet id-densità tal-popolazzjoni fl-1970?")</f>
        <v>X'kienet id-densità tal-popolazzjoni fl-1970?</v>
      </c>
    </row>
    <row r="14215" ht="15.75" customHeight="1">
      <c r="A14215" s="2" t="s">
        <v>14215</v>
      </c>
      <c r="B14215" s="2" t="str">
        <f>IFERROR(__xludf.DUMMYFUNCTION("GOOGLETRANSLATE(A14215, ""en"", ""mt"")"),"Min għandu l-awtorità tad-disinn fuq ir-riċevituri kollha tas-satellita diġitali li huma kapaċi jużaw is-servizz tagħhom?")</f>
        <v>Min għandu l-awtorità tad-disinn fuq ir-riċevituri kollha tas-satellita diġitali li huma kapaċi jużaw is-servizz tagħhom?</v>
      </c>
    </row>
    <row r="14216" ht="15.75" customHeight="1">
      <c r="A14216" s="2" t="s">
        <v>14216</v>
      </c>
      <c r="B14216" s="2" t="str">
        <f>IFERROR(__xludf.DUMMYFUNCTION("GOOGLETRANSLATE(A14216, ""en"", ""mt"")"),"Min ħoloq il-komunitajiet kollha tal-avjazzjoni tan-nazzjon?")</f>
        <v>Min ħoloq il-komunitajiet kollha tal-avjazzjoni tan-nazzjon?</v>
      </c>
    </row>
    <row r="14217" ht="15.75" customHeight="1">
      <c r="A14217" s="2" t="s">
        <v>14217</v>
      </c>
      <c r="B14217" s="2" t="str">
        <f>IFERROR(__xludf.DUMMYFUNCTION("GOOGLETRANSLATE(A14217, ""en"", ""mt"")"),"Seklu 7")</f>
        <v>Seklu 7</v>
      </c>
    </row>
    <row r="14218" ht="15.75" customHeight="1">
      <c r="A14218" s="2" t="s">
        <v>14218</v>
      </c>
      <c r="B14218" s="2" t="str">
        <f>IFERROR(__xludf.DUMMYFUNCTION("GOOGLETRANSLATE(A14218, ""en"", ""mt"")"),"Ir-Renu u liema xmara oħra ġew aċċettati bħala l-fruntiera Ġermanika?")</f>
        <v>Ir-Renu u liema xmara oħra ġew aċċettati bħala l-fruntiera Ġermanika?</v>
      </c>
    </row>
    <row r="14219" ht="15.75" customHeight="1">
      <c r="A14219" s="2" t="s">
        <v>14219</v>
      </c>
      <c r="B14219" s="2" t="str">
        <f>IFERROR(__xludf.DUMMYFUNCTION("GOOGLETRANSLATE(A14219, ""en"", ""mt"")"),"It-tramuntana rat in-nofsinhar bħala xiex?")</f>
        <v>It-tramuntana rat in-nofsinhar bħala xiex?</v>
      </c>
    </row>
    <row r="14220" ht="15.75" customHeight="1">
      <c r="A14220" s="2" t="s">
        <v>14220</v>
      </c>
      <c r="B14220" s="2" t="str">
        <f>IFERROR(__xludf.DUMMYFUNCTION("GOOGLETRANSLATE(A14220, ""en"", ""mt"")"),"Dewweb (magma u / jew lava)")</f>
        <v>Dewweb (magma u / jew lava)</v>
      </c>
    </row>
    <row r="14221" ht="15.75" customHeight="1">
      <c r="A14221" s="2" t="s">
        <v>14221</v>
      </c>
      <c r="B14221" s="2" t="str">
        <f>IFERROR(__xludf.DUMMYFUNCTION("GOOGLETRANSLATE(A14221, ""en"", ""mt"")"),"Minħabba li ż-żejt kien ipprezzat f'dollari, id-dħul reali tal-produtturi taż-żejt naqas.")</f>
        <v>Minħabba li ż-żejt kien ipprezzat f'dollari, id-dħul reali tal-produtturi taż-żejt naqas.</v>
      </c>
    </row>
    <row r="14222" ht="15.75" customHeight="1">
      <c r="A14222" s="2" t="s">
        <v>14222</v>
      </c>
      <c r="B14222" s="2" t="str">
        <f>IFERROR(__xludf.DUMMYFUNCTION("GOOGLETRANSLATE(A14222, ""en"", ""mt"")"),"Liema batterji jgħixu ġewwa kapsula protettiva li sservi biex tevita l-lisi taċ-ċellula?")</f>
        <v>Liema batterji jgħixu ġewwa kapsula protettiva li sservi biex tevita l-lisi taċ-ċellula?</v>
      </c>
    </row>
    <row r="14223" ht="15.75" customHeight="1">
      <c r="A14223" s="2" t="s">
        <v>14223</v>
      </c>
      <c r="B14223" s="2" t="str">
        <f>IFERROR(__xludf.DUMMYFUNCTION("GOOGLETRANSLATE(A14223, ""en"", ""mt"")"),"Liema astronomu ħadem għal Kublai?")</f>
        <v>Liema astronomu ħadem għal Kublai?</v>
      </c>
    </row>
    <row r="14224" ht="15.75" customHeight="1">
      <c r="A14224" s="2" t="s">
        <v>14224</v>
      </c>
      <c r="B14224" s="2" t="str">
        <f>IFERROR(__xludf.DUMMYFUNCTION("GOOGLETRANSLATE(A14224, ""en"", ""mt"")"),"Min appoġġja politiki li għandhom soluzzjonijiet li jidhru tajbin imma għandhom prospetti ħżiena?")</f>
        <v>Min appoġġja politiki li għandhom soluzzjonijiet li jidhru tajbin imma għandhom prospetti ħżiena?</v>
      </c>
    </row>
    <row r="14225" ht="15.75" customHeight="1">
      <c r="A14225" s="2" t="s">
        <v>14225</v>
      </c>
      <c r="B14225" s="2" t="str">
        <f>IFERROR(__xludf.DUMMYFUNCTION("GOOGLETRANSLATE(A14225, ""en"", ""mt"")"),"X'tip ta 'ċelloli immuni jgħinu biex jeqirdu ċelloli anormali fit-tumuri?")</f>
        <v>X'tip ta 'ċelloli immuni jgħinu biex jeqirdu ċelloli anormali fit-tumuri?</v>
      </c>
    </row>
    <row r="14226" ht="15.75" customHeight="1">
      <c r="A14226" s="2" t="s">
        <v>14226</v>
      </c>
      <c r="B14226" s="2" t="str">
        <f>IFERROR(__xludf.DUMMYFUNCTION("GOOGLETRANSLATE(A14226, ""en"", ""mt"")"),"F'liema sena ħareġ ir-rapport tad-Darfur?")</f>
        <v>F'liema sena ħareġ ir-rapport tad-Darfur?</v>
      </c>
    </row>
    <row r="14227" ht="15.75" customHeight="1">
      <c r="A14227" s="2" t="s">
        <v>14227</v>
      </c>
      <c r="B14227" s="2" t="str">
        <f>IFERROR(__xludf.DUMMYFUNCTION("GOOGLETRANSLATE(A14227, ""en"", ""mt"")"),"Kemm ilma jagħti l-AARE lir-Renu?")</f>
        <v>Kemm ilma jagħti l-AARE lir-Renu?</v>
      </c>
    </row>
    <row r="14228" ht="15.75" customHeight="1">
      <c r="A14228" s="2" t="s">
        <v>14228</v>
      </c>
      <c r="B14228" s="2" t="str">
        <f>IFERROR(__xludf.DUMMYFUNCTION("GOOGLETRANSLATE(A14228, ""en"", ""mt"")"),"Kemm huwa wiesa 'l-baċin ta' Mainz?")</f>
        <v>Kemm huwa wiesa 'l-baċin ta' Mainz?</v>
      </c>
    </row>
    <row r="14229" ht="15.75" customHeight="1">
      <c r="A14229" s="2" t="s">
        <v>14229</v>
      </c>
      <c r="B14229" s="2" t="str">
        <f>IFERROR(__xludf.DUMMYFUNCTION("GOOGLETRANSLATE(A14229, ""en"", ""mt"")"),"X'tip ta 'magna elettrika tipproduċi ħafna mill-elettriku fid-dinja llum?")</f>
        <v>X'tip ta 'magna elettrika tipproduċi ħafna mill-elettriku fid-dinja llum?</v>
      </c>
    </row>
    <row r="14230" ht="15.75" customHeight="1">
      <c r="A14230" s="2" t="s">
        <v>14230</v>
      </c>
      <c r="B14230" s="2" t="str">
        <f>IFERROR(__xludf.DUMMYFUNCTION("GOOGLETRANSLATE(A14230, ""en"", ""mt"")"),"Kolonji tal-Amerika Ingliża u Franza l-ġdida")</f>
        <v>Kolonji tal-Amerika Ingliża u Franza l-ġdida</v>
      </c>
    </row>
    <row r="14231" ht="15.75" customHeight="1">
      <c r="A14231" s="2" t="s">
        <v>14231</v>
      </c>
      <c r="B14231" s="2" t="str">
        <f>IFERROR(__xludf.DUMMYFUNCTION("GOOGLETRANSLATE(A14231, ""en"", ""mt"")"),"X'inhuma l-problemi li ma jistgħux jissolvew fit-teorija, imma li fil-prattika jieħdu wisq żmien biex is-soluzzjonijiet tagħhom ikunu utli?")</f>
        <v>X'inhuma l-problemi li ma jistgħux jissolvew fit-teorija, imma li fil-prattika jieħdu wisq żmien biex is-soluzzjonijiet tagħhom ikunu utli?</v>
      </c>
    </row>
    <row r="14232" ht="15.75" customHeight="1">
      <c r="A14232" s="2" t="s">
        <v>14232</v>
      </c>
      <c r="B14232" s="2" t="str">
        <f>IFERROR(__xludf.DUMMYFUNCTION("GOOGLETRANSLATE(A14232, ""en"", ""mt"")"),"Skond The Princeton Review fejn Harvard ikklassifika bħala ""Dream College"" fl-2013")</f>
        <v>Skond The Princeton Review fejn Harvard ikklassifika bħala "Dream College" fl-2013</v>
      </c>
    </row>
    <row r="14233" ht="15.75" customHeight="1">
      <c r="A14233" s="2" t="s">
        <v>14233</v>
      </c>
      <c r="B14233" s="2" t="str">
        <f>IFERROR(__xludf.DUMMYFUNCTION("GOOGLETRANSLATE(A14233, ""en"", ""mt"")"),"""Dibattitu dwar il-Membri"" ġeneralment isir immedjatament qabel xiex?")</f>
        <v>"Dibattitu dwar il-Membri" ġeneralment isir immedjatament qabel xiex?</v>
      </c>
    </row>
    <row r="14234" ht="15.75" customHeight="1">
      <c r="A14234" s="2" t="s">
        <v>14234</v>
      </c>
      <c r="B14234" s="2" t="str">
        <f>IFERROR(__xludf.DUMMYFUNCTION("GOOGLETRANSLATE(A14234, ""en"", ""mt"")"),"nervituri")</f>
        <v>nervituri</v>
      </c>
    </row>
    <row r="14235" ht="15.75" customHeight="1">
      <c r="A14235" s="2" t="s">
        <v>14235</v>
      </c>
      <c r="B14235" s="2" t="str">
        <f>IFERROR(__xludf.DUMMYFUNCTION("GOOGLETRANSLATE(A14235, ""en"", ""mt"")"),"Il-gvernijiet tal-Punent ikkunsidraw l-Iżlamisti bħala l-inqas minn żewġ ħażen meta mqabbla ma 'min?")</f>
        <v>Il-gvernijiet tal-Punent ikkunsidraw l-Iżlamisti bħala l-inqas minn żewġ ħażen meta mqabbla ma 'min?</v>
      </c>
    </row>
    <row r="14236" ht="15.75" customHeight="1">
      <c r="A14236" s="2" t="s">
        <v>14236</v>
      </c>
      <c r="B14236" s="2" t="str">
        <f>IFERROR(__xludf.DUMMYFUNCTION("GOOGLETRANSLATE(A14236, ""en"", ""mt"")"),"Meta Tugh Temur sab l-akkademja tiegħu?")</f>
        <v>Meta Tugh Temur sab l-akkademja tiegħu?</v>
      </c>
    </row>
    <row r="14237" ht="15.75" customHeight="1">
      <c r="A14237" s="2" t="s">
        <v>14237</v>
      </c>
      <c r="B14237" s="2" t="str">
        <f>IFERROR(__xludf.DUMMYFUNCTION("GOOGLETRANSLATE(A14237, ""en"", ""mt"")"),"X'se jkollha soċjetà b'inqas ugwaljanza?")</f>
        <v>X'se jkollha soċjetà b'inqas ugwaljanza?</v>
      </c>
    </row>
    <row r="14238" ht="15.75" customHeight="1">
      <c r="A14238" s="2" t="s">
        <v>14238</v>
      </c>
      <c r="B14238" s="2" t="str">
        <f>IFERROR(__xludf.DUMMYFUNCTION("GOOGLETRANSLATE(A14238, ""en"", ""mt"")"),"il-bidu tad-disgħinijiet")</f>
        <v>il-bidu tad-disgħinijiet</v>
      </c>
    </row>
    <row r="14239" ht="15.75" customHeight="1">
      <c r="A14239" s="2" t="s">
        <v>14239</v>
      </c>
      <c r="B14239" s="2" t="str">
        <f>IFERROR(__xludf.DUMMYFUNCTION("GOOGLETRANSLATE(A14239, ""en"", ""mt"")"),"Liema pajjiż għandu inugwaljanza bi dħul baxx u preżenza għolja ta 'unions?")</f>
        <v>Liema pajjiż għandu inugwaljanza bi dħul baxx u preżenza għolja ta 'unions?</v>
      </c>
    </row>
    <row r="14240" ht="15.75" customHeight="1">
      <c r="A14240" s="2" t="s">
        <v>14240</v>
      </c>
      <c r="B14240" s="2" t="str">
        <f>IFERROR(__xludf.DUMMYFUNCTION("GOOGLETRANSLATE(A14240, ""en"", ""mt"")"),"X'inhi l-Forest Kampinos l-aħħar fdal ta '?")</f>
        <v>X'inhi l-Forest Kampinos l-aħħar fdal ta '?</v>
      </c>
    </row>
    <row r="14241" ht="15.75" customHeight="1">
      <c r="A14241" s="2" t="s">
        <v>14241</v>
      </c>
      <c r="B14241" s="2" t="str">
        <f>IFERROR(__xludf.DUMMYFUNCTION("GOOGLETRANSLATE(A14241, ""en"", ""mt"")"),"Isaac Newton")</f>
        <v>Isaac Newton</v>
      </c>
    </row>
    <row r="14242" ht="15.75" customHeight="1">
      <c r="A14242" s="2" t="s">
        <v>14242</v>
      </c>
      <c r="B14242" s="2" t="str">
        <f>IFERROR(__xludf.DUMMYFUNCTION("GOOGLETRANSLATE(A14242, ""en"", ""mt"")"),"1368–1644")</f>
        <v>1368–1644</v>
      </c>
    </row>
    <row r="14243" ht="15.75" customHeight="1">
      <c r="A14243" s="2" t="s">
        <v>14243</v>
      </c>
      <c r="B14243" s="2" t="str">
        <f>IFERROR(__xludf.DUMMYFUNCTION("GOOGLETRANSLATE(A14243, ""en"", ""mt"")"),"X'tip ta 'belt ilha Varsavja sakemm ilha belt?")</f>
        <v>X'tip ta 'belt ilha Varsavja sakemm ilha belt?</v>
      </c>
    </row>
    <row r="14244" ht="15.75" customHeight="1">
      <c r="A14244" s="2" t="s">
        <v>14244</v>
      </c>
      <c r="B14244" s="2" t="str">
        <f>IFERROR(__xludf.DUMMYFUNCTION("GOOGLETRANSLATE(A14244, ""en"", ""mt"")"),"Magni tat-Turing huma komunement impjegati biex jiddefinixxu x'inhu?")</f>
        <v>Magni tat-Turing huma komunement impjegati biex jiddefinixxu x'inhu?</v>
      </c>
    </row>
    <row r="14245" ht="15.75" customHeight="1">
      <c r="A14245" s="2" t="s">
        <v>14245</v>
      </c>
      <c r="B14245" s="2" t="str">
        <f>IFERROR(__xludf.DUMMYFUNCTION("GOOGLETRANSLATE(A14245, ""en"", ""mt"")"),"1169")</f>
        <v>1169</v>
      </c>
    </row>
    <row r="14246" ht="15.75" customHeight="1">
      <c r="A14246" s="2" t="s">
        <v>14246</v>
      </c>
      <c r="B14246" s="2" t="str">
        <f>IFERROR(__xludf.DUMMYFUNCTION("GOOGLETRANSLATE(A14246, ""en"", ""mt"")"),"Larry Roberts")</f>
        <v>Larry Roberts</v>
      </c>
    </row>
    <row r="14247" ht="15.75" customHeight="1">
      <c r="A14247" s="2" t="s">
        <v>14247</v>
      </c>
      <c r="B14247" s="2" t="str">
        <f>IFERROR(__xludf.DUMMYFUNCTION("GOOGLETRANSLATE(A14247, ""en"", ""mt"")"),"tqajjem il-produttività ta 'kull ħaddiem")</f>
        <v>tqajjem il-produttività ta 'kull ħaddiem</v>
      </c>
    </row>
    <row r="14248" ht="15.75" customHeight="1">
      <c r="A14248" s="2" t="s">
        <v>14248</v>
      </c>
      <c r="B14248" s="2" t="str">
        <f>IFERROR(__xludf.DUMMYFUNCTION("GOOGLETRANSLATE(A14248, ""en"", ""mt"")"),"Surveyor tal-Kwantità")</f>
        <v>Surveyor tal-Kwantità</v>
      </c>
    </row>
    <row r="14249" ht="15.75" customHeight="1">
      <c r="A14249" s="2" t="s">
        <v>14249</v>
      </c>
      <c r="B14249" s="2" t="str">
        <f>IFERROR(__xludf.DUMMYFUNCTION("GOOGLETRANSLATE(A14249, ""en"", ""mt"")"),"X'inhu l-moniker li qed jintuża biex jiddeskrivi t-teknoloġija diversifikata tar-reġjun?")</f>
        <v>X'inhu l-moniker li qed jintuża biex jiddeskrivi t-teknoloġija diversifikata tar-reġjun?</v>
      </c>
    </row>
    <row r="14250" ht="15.75" customHeight="1">
      <c r="A14250" s="2" t="s">
        <v>14250</v>
      </c>
      <c r="B14250" s="2" t="str">
        <f>IFERROR(__xludf.DUMMYFUNCTION("GOOGLETRANSLATE(A14250, ""en"", ""mt"")"),"Iż-żona ta ’Los Angeles")</f>
        <v>Iż-żona ta ’Los Angeles</v>
      </c>
    </row>
    <row r="14251" ht="15.75" customHeight="1">
      <c r="A14251" s="2" t="s">
        <v>14251</v>
      </c>
      <c r="B14251" s="2" t="str">
        <f>IFERROR(__xludf.DUMMYFUNCTION("GOOGLETRANSLATE(A14251, ""en"", ""mt"")"),"B'liema korp m'għandhiex titħalla farmaċija?")</f>
        <v>B'liema korp m'għandhiex titħalla farmaċija?</v>
      </c>
    </row>
    <row r="14252" ht="15.75" customHeight="1">
      <c r="A14252" s="2" t="s">
        <v>14252</v>
      </c>
      <c r="B14252" s="2" t="str">
        <f>IFERROR(__xludf.DUMMYFUNCTION("GOOGLETRANSLATE(A14252, ""en"", ""mt"")"),"X'inhu d-dispensarju suġġett għal minoranza ta 'pajjiżi?")</f>
        <v>X'inhu d-dispensarju suġġett għal minoranza ta 'pajjiżi?</v>
      </c>
    </row>
    <row r="14253" ht="15.75" customHeight="1">
      <c r="A14253" s="2" t="s">
        <v>14253</v>
      </c>
      <c r="B14253" s="2" t="str">
        <f>IFERROR(__xludf.DUMMYFUNCTION("GOOGLETRANSLATE(A14253, ""en"", ""mt"")"),"Liema molekuli tas-sistema immuni adatta jeżistu biss fil-vertebrati tax-xedaq?")</f>
        <v>Liema molekuli tas-sistema immuni adatta jeżistu biss fil-vertebrati tax-xedaq?</v>
      </c>
    </row>
    <row r="14254" ht="15.75" customHeight="1">
      <c r="A14254" s="2" t="s">
        <v>14254</v>
      </c>
      <c r="B14254" s="2" t="str">
        <f>IFERROR(__xludf.DUMMYFUNCTION("GOOGLETRANSLATE(A14254, ""en"", ""mt"")"),"Familji bl-ismijiet Franċiżi fl-Afrika t'Isfel jitkellmu liema lingwa llum?")</f>
        <v>Familji bl-ismijiet Franċiżi fl-Afrika t'Isfel jitkellmu liema lingwa llum?</v>
      </c>
    </row>
    <row r="14255" ht="15.75" customHeight="1">
      <c r="A14255" s="2" t="s">
        <v>14255</v>
      </c>
      <c r="B14255" s="2" t="str">
        <f>IFERROR(__xludf.DUMMYFUNCTION("GOOGLETRANSLATE(A14255, ""en"", ""mt"")"),"Cytokine TBF-B irażżan l-attività ta 'liema tipi ta' ċelloli?")</f>
        <v>Cytokine TBF-B irażżan l-attività ta 'liema tipi ta' ċelloli?</v>
      </c>
    </row>
    <row r="14256" ht="15.75" customHeight="1">
      <c r="A14256" s="2" t="s">
        <v>14256</v>
      </c>
      <c r="B14256" s="2" t="str">
        <f>IFERROR(__xludf.DUMMYFUNCTION("GOOGLETRANSLATE(A14256, ""en"", ""mt"")"),"Rock jikkristallizza minn Melt (Magma u / jew Lava)")</f>
        <v>Rock jikkristallizza minn Melt (Magma u / jew Lava)</v>
      </c>
    </row>
    <row r="14257" ht="15.75" customHeight="1">
      <c r="A14257" s="2" t="s">
        <v>14257</v>
      </c>
      <c r="B14257" s="2" t="str">
        <f>IFERROR(__xludf.DUMMYFUNCTION("GOOGLETRANSLATE(A14257, ""en"", ""mt"")"),"X'inhu tip wieħed ta 'algoritmu ta' kriptografija ta 'ċavetta privata?")</f>
        <v>X'inhu tip wieħed ta 'algoritmu ta' kriptografija ta 'ċavetta privata?</v>
      </c>
    </row>
    <row r="14258" ht="15.75" customHeight="1">
      <c r="A14258" s="2" t="s">
        <v>14258</v>
      </c>
      <c r="B14258" s="2" t="str">
        <f>IFERROR(__xludf.DUMMYFUNCTION("GOOGLETRANSLATE(A14258, ""en"", ""mt"")"),"X'tip ta 'konfini ta' difett huwa definit billi jkollok terremoti qawwija mifruxa, bħal fl-istat ta 'California?")</f>
        <v>X'tip ta 'konfini ta' difett huwa definit billi jkollok terremoti qawwija mifruxa, bħal fl-istat ta 'California?</v>
      </c>
    </row>
    <row r="14259" ht="15.75" customHeight="1">
      <c r="A14259" s="2" t="s">
        <v>14259</v>
      </c>
      <c r="B14259" s="2" t="str">
        <f>IFERROR(__xludf.DUMMYFUNCTION("GOOGLETRANSLATE(A14259, ""en"", ""mt"")"),"Überseering bv v construction nordic gmbH")</f>
        <v>Überseering bv v construction nordic gmbH</v>
      </c>
    </row>
    <row r="14260" ht="15.75" customHeight="1">
      <c r="A14260" s="2" t="s">
        <v>14260</v>
      </c>
      <c r="B14260" s="2" t="str">
        <f>IFERROR(__xludf.DUMMYFUNCTION("GOOGLETRANSLATE(A14260, ""en"", ""mt"")"),"Al-Qaeda u t-Taliban")</f>
        <v>Al-Qaeda u t-Taliban</v>
      </c>
    </row>
    <row r="14261" ht="15.75" customHeight="1">
      <c r="A14261" s="2" t="s">
        <v>14261</v>
      </c>
      <c r="B14261" s="2" t="str">
        <f>IFERROR(__xludf.DUMMYFUNCTION("GOOGLETRANSLATE(A14261, ""en"", ""mt"")"),"Ftit qtar biss")</f>
        <v>Ftit qtar biss</v>
      </c>
    </row>
    <row r="14262" ht="15.75" customHeight="1">
      <c r="A14262" s="2" t="s">
        <v>14262</v>
      </c>
      <c r="B14262" s="2" t="str">
        <f>IFERROR(__xludf.DUMMYFUNCTION("GOOGLETRANSLATE(A14262, ""en"", ""mt"")"),"Meta Washington tgħallem dwar l-avvanz ta 'Trent?")</f>
        <v>Meta Washington tgħallem dwar l-avvanz ta 'Trent?</v>
      </c>
    </row>
    <row r="14263" ht="15.75" customHeight="1">
      <c r="A14263" s="2" t="s">
        <v>14263</v>
      </c>
      <c r="B14263" s="2" t="str">
        <f>IFERROR(__xludf.DUMMYFUNCTION("GOOGLETRANSLATE(A14263, ""en"", ""mt"")"),"diżastru")</f>
        <v>diżastru</v>
      </c>
    </row>
    <row r="14264" ht="15.75" customHeight="1">
      <c r="A14264" s="2" t="s">
        <v>14264</v>
      </c>
      <c r="B14264" s="2" t="str">
        <f>IFERROR(__xludf.DUMMYFUNCTION("GOOGLETRANSLATE(A14264, ""en"", ""mt"")"),"Liema park jospita l-akbar mill-ġdid tal-gwerra ċivili fuq il-kosta tal-punent?")</f>
        <v>Liema park jospita l-akbar mill-ġdid tal-gwerra ċivili fuq il-kosta tal-punent?</v>
      </c>
    </row>
    <row r="14265" ht="15.75" customHeight="1">
      <c r="A14265" s="2" t="s">
        <v>14265</v>
      </c>
      <c r="B14265" s="2" t="str">
        <f>IFERROR(__xludf.DUMMYFUNCTION("GOOGLETRANSLATE(A14265, ""en"", ""mt"")"),"Liema ftehim kellhom Montcalm u l-Indjani?")</f>
        <v>Liema ftehim kellhom Montcalm u l-Indjani?</v>
      </c>
    </row>
    <row r="14266" ht="15.75" customHeight="1">
      <c r="A14266" s="2" t="s">
        <v>14266</v>
      </c>
      <c r="B14266" s="2" t="str">
        <f>IFERROR(__xludf.DUMMYFUNCTION("GOOGLETRANSLATE(A14266, ""en"", ""mt"")"),"Liema artikoli jiddikjaraw li s-setgħat jibqgħu ma 'stati membri sakemm ma ġewx mogħtija?")</f>
        <v>Liema artikoli jiddikjaraw li s-setgħat jibqgħu ma 'stati membri sakemm ma ġewx mogħtija?</v>
      </c>
    </row>
    <row r="14267" ht="15.75" customHeight="1">
      <c r="A14267" s="2" t="s">
        <v>14267</v>
      </c>
      <c r="B14267" s="2" t="str">
        <f>IFERROR(__xludf.DUMMYFUNCTION("GOOGLETRANSLATE(A14267, ""en"", ""mt"")"),"X'riżultat fix-xogħol meħtieġ mill-pompa biex tikkonsma biss 0.5% tal-qawwa tat-turbina?")</f>
        <v>X'riżultat fix-xogħol meħtieġ mill-pompa biex tikkonsma biss 0.5% tal-qawwa tat-turbina?</v>
      </c>
    </row>
    <row r="14268" ht="15.75" customHeight="1">
      <c r="A14268" s="2" t="s">
        <v>14268</v>
      </c>
      <c r="B14268" s="2" t="str">
        <f>IFERROR(__xludf.DUMMYFUNCTION("GOOGLETRANSLATE(A14268, ""en"", ""mt"")"),"Liema belt tdawwar lil Jacksonville?")</f>
        <v>Liema belt tdawwar lil Jacksonville?</v>
      </c>
    </row>
    <row r="14269" ht="15.75" customHeight="1">
      <c r="A14269" s="2" t="s">
        <v>14269</v>
      </c>
      <c r="B14269" s="2" t="str">
        <f>IFERROR(__xludf.DUMMYFUNCTION("GOOGLETRANSLATE(A14269, ""en"", ""mt"")"),"Skismatiku Kattoliku")</f>
        <v>Skismatiku Kattoliku</v>
      </c>
    </row>
    <row r="14270" ht="15.75" customHeight="1">
      <c r="A14270" s="2" t="s">
        <v>14270</v>
      </c>
      <c r="B14270" s="2" t="str">
        <f>IFERROR(__xludf.DUMMYFUNCTION("GOOGLETRANSLATE(A14270, ""en"", ""mt"")"),"Diploblastic")</f>
        <v>Diploblastic</v>
      </c>
    </row>
    <row r="14271" ht="15.75" customHeight="1">
      <c r="A14271" s="2" t="s">
        <v>14271</v>
      </c>
      <c r="B14271" s="2" t="str">
        <f>IFERROR(__xludf.DUMMYFUNCTION("GOOGLETRANSLATE(A14271, ""en"", ""mt"")"),"Aħżen")</f>
        <v>Aħżen</v>
      </c>
    </row>
    <row r="14272" ht="15.75" customHeight="1">
      <c r="A14272" s="2" t="s">
        <v>14272</v>
      </c>
      <c r="B14272" s="2" t="str">
        <f>IFERROR(__xludf.DUMMYFUNCTION("GOOGLETRANSLATE(A14272, ""en"", ""mt"")"),"Liema kejl użaw ix-xjenzati biex jiddeterminaw il-kwalità tal-ilma?")</f>
        <v>Liema kejl użaw ix-xjenzati biex jiddeterminaw il-kwalità tal-ilma?</v>
      </c>
    </row>
    <row r="14273" ht="15.75" customHeight="1">
      <c r="A14273" s="2" t="s">
        <v>14273</v>
      </c>
      <c r="B14273" s="2" t="str">
        <f>IFERROR(__xludf.DUMMYFUNCTION("GOOGLETRANSLATE(A14273, ""en"", ""mt"")")," Il-kolonji kienu sinjal ta 'dak fost il-pajjiżi Asjatiċi?")</f>
        <v> Il-kolonji kienu sinjal ta 'dak fost il-pajjiżi Asjatiċi?</v>
      </c>
    </row>
    <row r="14274" ht="15.75" customHeight="1">
      <c r="A14274" s="2" t="s">
        <v>14274</v>
      </c>
      <c r="B14274" s="2" t="str">
        <f>IFERROR(__xludf.DUMMYFUNCTION("GOOGLETRANSLATE(A14274, ""en"", ""mt"")"),"Xi jfisser li l-MSP taqsam mal-House of Commons?")</f>
        <v>Xi jfisser li l-MSP taqsam mal-House of Commons?</v>
      </c>
    </row>
    <row r="14275" ht="15.75" customHeight="1">
      <c r="A14275" s="2" t="s">
        <v>14275</v>
      </c>
      <c r="B14275" s="2" t="str">
        <f>IFERROR(__xludf.DUMMYFUNCTION("GOOGLETRANSLATE(A14275, ""en"", ""mt"")"),"MSP wieħed")</f>
        <v>MSP wieħed</v>
      </c>
    </row>
    <row r="14276" ht="15.75" customHeight="1">
      <c r="A14276" s="2" t="s">
        <v>14276</v>
      </c>
      <c r="B14276" s="2" t="str">
        <f>IFERROR(__xludf.DUMMYFUNCTION("GOOGLETRANSLATE(A14276, ""en"", ""mt"")"),"Iżlamisti domestiċi")</f>
        <v>Iżlamisti domestiċi</v>
      </c>
    </row>
    <row r="14277" ht="15.75" customHeight="1">
      <c r="A14277" s="2" t="s">
        <v>14277</v>
      </c>
      <c r="B14277" s="2" t="str">
        <f>IFERROR(__xludf.DUMMYFUNCTION("GOOGLETRANSLATE(A14277, ""en"", ""mt"")"),"$ 40,000")</f>
        <v>$ 40,000</v>
      </c>
    </row>
    <row r="14278" ht="15.75" customHeight="1">
      <c r="A14278" s="2" t="s">
        <v>14278</v>
      </c>
      <c r="B14278" s="2" t="str">
        <f>IFERROR(__xludf.DUMMYFUNCTION("GOOGLETRANSLATE(A14278, ""en"", ""mt"")"),"ittawwal uċuħ tal-ħakk tal-valv")</f>
        <v>ittawwal uċuħ tal-ħakk tal-valv</v>
      </c>
    </row>
    <row r="14279" ht="15.75" customHeight="1">
      <c r="A14279" s="2" t="s">
        <v>14279</v>
      </c>
      <c r="B14279" s="2" t="str">
        <f>IFERROR(__xludf.DUMMYFUNCTION("GOOGLETRANSLATE(A14279, ""en"", ""mt"")"),"X'inhi r-rata medja ta 'tkabbir tal-istat?")</f>
        <v>X'inhi r-rata medja ta 'tkabbir tal-istat?</v>
      </c>
    </row>
    <row r="14280" ht="15.75" customHeight="1">
      <c r="A14280" s="2" t="s">
        <v>14280</v>
      </c>
      <c r="B14280" s="2" t="str">
        <f>IFERROR(__xludf.DUMMYFUNCTION("GOOGLETRANSLATE(A14280, ""en"", ""mt"")"),"Meta kienet l-ewwel referenza fl-istorja għall-Prussja?")</f>
        <v>Meta kienet l-ewwel referenza fl-istorja għall-Prussja?</v>
      </c>
    </row>
    <row r="14281" ht="15.75" customHeight="1">
      <c r="A14281" s="2" t="s">
        <v>14281</v>
      </c>
      <c r="B14281" s="2" t="str">
        <f>IFERROR(__xludf.DUMMYFUNCTION("GOOGLETRANSLATE(A14281, ""en"", ""mt"")"),"X'inhu l-inqas klassifikazzjoni li wieħed mill-kontej jista 'jkollu f'termini ta' l-iktar kontej popolati fl-Istati Uniti?")</f>
        <v>X'inhu l-inqas klassifikazzjoni li wieħed mill-kontej jista 'jkollu f'termini ta' l-iktar kontej popolati fl-Istati Uniti?</v>
      </c>
    </row>
    <row r="14282" ht="15.75" customHeight="1">
      <c r="A14282" s="2" t="s">
        <v>14282</v>
      </c>
      <c r="B14282" s="2" t="str">
        <f>IFERROR(__xludf.DUMMYFUNCTION("GOOGLETRANSLATE(A14282, ""en"", ""mt"")"),"1,230 km (760 mi)")</f>
        <v>1,230 km (760 mi)</v>
      </c>
    </row>
    <row r="14283" ht="15.75" customHeight="1">
      <c r="A14283" s="2" t="s">
        <v>14283</v>
      </c>
      <c r="B14283" s="2" t="str">
        <f>IFERROR(__xludf.DUMMYFUNCTION("GOOGLETRANSLATE(A14283, ""en"", ""mt"")"),"Meta jkunu miżżewġin,")</f>
        <v>Meta jkunu miżżewġin,</v>
      </c>
    </row>
    <row r="14284" ht="15.75" customHeight="1">
      <c r="A14284" s="2" t="s">
        <v>14284</v>
      </c>
      <c r="B14284" s="2" t="str">
        <f>IFERROR(__xludf.DUMMYFUNCTION("GOOGLETRANSLATE(A14284, ""en"", ""mt"")"),"Fejn ir-Rhine tbattal?")</f>
        <v>Fejn ir-Rhine tbattal?</v>
      </c>
    </row>
    <row r="14285" ht="15.75" customHeight="1">
      <c r="A14285" s="2" t="s">
        <v>14285</v>
      </c>
      <c r="B14285" s="2" t="str">
        <f>IFERROR(__xludf.DUMMYFUNCTION("GOOGLETRANSLATE(A14285, ""en"", ""mt"")"),"X'impatt għandhom aktar ħaddiema li jaħdmu aktar fuq il-produttività ta 'negozju?")</f>
        <v>X'impatt għandhom aktar ħaddiema li jaħdmu aktar fuq il-produttività ta 'negozju?</v>
      </c>
    </row>
    <row r="14286" ht="15.75" customHeight="1">
      <c r="A14286" s="2" t="s">
        <v>14286</v>
      </c>
      <c r="B14286" s="2" t="str">
        <f>IFERROR(__xludf.DUMMYFUNCTION("GOOGLETRANSLATE(A14286, ""en"", ""mt"")"),"Min il-belt tat il-propjetà fl-1912?")</f>
        <v>Min il-belt tat il-propjetà fl-1912?</v>
      </c>
    </row>
    <row r="14287" ht="15.75" customHeight="1">
      <c r="A14287" s="2" t="s">
        <v>14287</v>
      </c>
      <c r="B14287" s="2" t="str">
        <f>IFERROR(__xludf.DUMMYFUNCTION("GOOGLETRANSLATE(A14287, ""en"", ""mt"")"),"Teorema ta ’Chen")</f>
        <v>Teorema ta ’Chen</v>
      </c>
    </row>
    <row r="14288" ht="15.75" customHeight="1">
      <c r="A14288" s="2" t="s">
        <v>14288</v>
      </c>
      <c r="B14288" s="2" t="str">
        <f>IFERROR(__xludf.DUMMYFUNCTION("GOOGLETRANSLATE(A14288, ""en"", ""mt"")"),"British Sky Broadcasting Group Plc")</f>
        <v>British Sky Broadcasting Group Plc</v>
      </c>
    </row>
    <row r="14289" ht="15.75" customHeight="1">
      <c r="A14289" s="2" t="s">
        <v>14289</v>
      </c>
      <c r="B14289" s="2" t="str">
        <f>IFERROR(__xludf.DUMMYFUNCTION("GOOGLETRANSLATE(A14289, ""en"", ""mt"")"),"whips")</f>
        <v>whips</v>
      </c>
    </row>
    <row r="14290" ht="15.75" customHeight="1">
      <c r="A14290" s="2" t="s">
        <v>14290</v>
      </c>
      <c r="B14290" s="2" t="str">
        <f>IFERROR(__xludf.DUMMYFUNCTION("GOOGLETRANSLATE(A14290, ""en"", ""mt"")"),"widien interni")</f>
        <v>widien interni</v>
      </c>
    </row>
    <row r="14291" ht="15.75" customHeight="1">
      <c r="A14291" s="2" t="s">
        <v>14291</v>
      </c>
      <c r="B14291" s="2" t="str">
        <f>IFERROR(__xludf.DUMMYFUNCTION("GOOGLETRANSLATE(A14291, ""en"", ""mt"")"),"Liema difett jista 'jipproduċi terremot ta' kobor ta '8.0?")</f>
        <v>Liema difett jista 'jipproduċi terremot ta' kobor ta '8.0?</v>
      </c>
    </row>
    <row r="14292" ht="15.75" customHeight="1">
      <c r="A14292" s="2" t="s">
        <v>14292</v>
      </c>
      <c r="B14292" s="2" t="str">
        <f>IFERROR(__xludf.DUMMYFUNCTION("GOOGLETRANSLATE(A14292, ""en"", ""mt"")"),"Id-Dipartiment tal-Edukazzjoni tar-Rabat")</f>
        <v>Id-Dipartiment tal-Edukazzjoni tar-Rabat</v>
      </c>
    </row>
    <row r="14293" ht="15.75" customHeight="1">
      <c r="A14293" s="2" t="s">
        <v>14293</v>
      </c>
      <c r="B14293" s="2" t="str">
        <f>IFERROR(__xludf.DUMMYFUNCTION("GOOGLETRANSLATE(A14293, ""en"", ""mt"")"),"tneħħi l-fondazzjoni ekonomika tagħha.")</f>
        <v>tneħħi l-fondazzjoni ekonomika tagħha.</v>
      </c>
    </row>
    <row r="14294" ht="15.75" customHeight="1">
      <c r="A14294" s="2" t="s">
        <v>14294</v>
      </c>
      <c r="B14294" s="2" t="str">
        <f>IFERROR(__xludf.DUMMYFUNCTION("GOOGLETRANSLATE(A14294, ""en"", ""mt"")"),"X'jagħmlu ħafna speċi tal-ġeneru Ocryopsis kif fl-istess ħin?")</f>
        <v>X'jagħmlu ħafna speċi tal-ġeneru Ocryopsis kif fl-istess ħin?</v>
      </c>
    </row>
    <row r="14295" ht="15.75" customHeight="1">
      <c r="A14295" s="2" t="s">
        <v>14295</v>
      </c>
      <c r="B14295" s="2" t="str">
        <f>IFERROR(__xludf.DUMMYFUNCTION("GOOGLETRANSLATE(A14295, ""en"", ""mt"")"),"X'hemm bżonn li jiġri biex jipprevjeni r-regolamenti tal-awtorità tal-bini?")</f>
        <v>X'hemm bżonn li jiġri biex jipprevjeni r-regolamenti tal-awtorità tal-bini?</v>
      </c>
    </row>
    <row r="14296" ht="15.75" customHeight="1">
      <c r="A14296" s="2" t="s">
        <v>14296</v>
      </c>
      <c r="B14296" s="2" t="str">
        <f>IFERROR(__xludf.DUMMYFUNCTION("GOOGLETRANSLATE(A14296, ""en"", ""mt"")"),"tnaqqis")</f>
        <v>tnaqqis</v>
      </c>
    </row>
    <row r="14297" ht="15.75" customHeight="1">
      <c r="A14297" s="2" t="s">
        <v>14297</v>
      </c>
      <c r="B14297" s="2" t="str">
        <f>IFERROR(__xludf.DUMMYFUNCTION("GOOGLETRANSLATE(A14297, ""en"", ""mt"")"),"F'liema parti ta 'l-Istati Uniti ħafna studenti jemigraw lejn akkademji Kristjani matul il-perjodu ta' desegregazzjoni?")</f>
        <v>F'liema parti ta 'l-Istati Uniti ħafna studenti jemigraw lejn akkademji Kristjani matul il-perjodu ta' desegregazzjoni?</v>
      </c>
    </row>
    <row r="14298" ht="15.75" customHeight="1">
      <c r="A14298" s="2" t="s">
        <v>14298</v>
      </c>
      <c r="B14298" s="2" t="str">
        <f>IFERROR(__xludf.DUMMYFUNCTION("GOOGLETRANSLATE(A14298, ""en"", ""mt"")"),"Ċentru tal-Assemblea")</f>
        <v>Ċentru tal-Assemblea</v>
      </c>
    </row>
    <row r="14299" ht="15.75" customHeight="1">
      <c r="A14299" s="2" t="s">
        <v>14299</v>
      </c>
      <c r="B14299" s="2" t="str">
        <f>IFERROR(__xludf.DUMMYFUNCTION("GOOGLETRANSLATE(A14299, ""en"", ""mt"")"),"Liema lag fi gżira Ġermaniża Mainau jirċievi frazzjoni tal-fluss tar-Renu?")</f>
        <v>Liema lag fi gżira Ġermaniża Mainau jirċievi frazzjoni tal-fluss tar-Renu?</v>
      </c>
    </row>
    <row r="14300" ht="15.75" customHeight="1">
      <c r="A14300" s="2" t="s">
        <v>14300</v>
      </c>
      <c r="B14300" s="2" t="str">
        <f>IFERROR(__xludf.DUMMYFUNCTION("GOOGLETRANSLATE(A14300, ""en"", ""mt"")"),"X'inhuma s-sodod ewlenin iżgħar minn?")</f>
        <v>X'inhuma s-sodod ewlenin iżgħar minn?</v>
      </c>
    </row>
    <row r="14301" ht="15.75" customHeight="1">
      <c r="A14301" s="2" t="s">
        <v>14301</v>
      </c>
      <c r="B14301" s="2" t="str">
        <f>IFERROR(__xludf.DUMMYFUNCTION("GOOGLETRANSLATE(A14301, ""en"", ""mt"")"),"Liema investigazzjoni tal-Kunsill ma sabet l-ebda fallimenti statistiċi?")</f>
        <v>Liema investigazzjoni tal-Kunsill ma sabet l-ebda fallimenti statistiċi?</v>
      </c>
    </row>
    <row r="14302" ht="15.75" customHeight="1">
      <c r="A14302" s="2" t="s">
        <v>14302</v>
      </c>
      <c r="B14302" s="2" t="str">
        <f>IFERROR(__xludf.DUMMYFUNCTION("GOOGLETRANSLATE(A14302, ""en"", ""mt"")"),"It-tielet l-akbar")</f>
        <v>It-tielet l-akbar</v>
      </c>
    </row>
    <row r="14303" ht="15.75" customHeight="1">
      <c r="A14303" s="2" t="s">
        <v>14303</v>
      </c>
      <c r="B14303" s="2" t="str">
        <f>IFERROR(__xludf.DUMMYFUNCTION("GOOGLETRANSLATE(A14303, ""en"", ""mt"")"),"il-bużżieqa tad-djar")</f>
        <v>il-bużżieqa tad-djar</v>
      </c>
    </row>
    <row r="14304" ht="15.75" customHeight="1">
      <c r="A14304" s="2" t="s">
        <v>14304</v>
      </c>
      <c r="B14304" s="2" t="str">
        <f>IFERROR(__xludf.DUMMYFUNCTION("GOOGLETRANSLATE(A14304, ""en"", ""mt"")"),"3")</f>
        <v>3</v>
      </c>
    </row>
    <row r="14305" ht="15.75" customHeight="1">
      <c r="A14305" s="2" t="s">
        <v>14305</v>
      </c>
      <c r="B14305" s="2" t="str">
        <f>IFERROR(__xludf.DUMMYFUNCTION("GOOGLETRANSLATE(A14305, ""en"", ""mt"")"),"1,345,596")</f>
        <v>1,345,596</v>
      </c>
    </row>
    <row r="14306" ht="15.75" customHeight="1">
      <c r="A14306" s="2" t="s">
        <v>14306</v>
      </c>
      <c r="B14306" s="2" t="str">
        <f>IFERROR(__xludf.DUMMYFUNCTION("GOOGLETRANSLATE(A14306, ""en"", ""mt"")"),"Il-Kunsill tal-Belt")</f>
        <v>Il-Kunsill tal-Belt</v>
      </c>
    </row>
    <row r="14307" ht="15.75" customHeight="1">
      <c r="A14307" s="2" t="s">
        <v>14307</v>
      </c>
      <c r="B14307" s="2" t="str">
        <f>IFERROR(__xludf.DUMMYFUNCTION("GOOGLETRANSLATE(A14307, ""en"", ""mt"")"),"inqas")</f>
        <v>inqas</v>
      </c>
    </row>
    <row r="14308" ht="15.75" customHeight="1">
      <c r="A14308" s="2" t="s">
        <v>14308</v>
      </c>
      <c r="B14308" s="2" t="str">
        <f>IFERROR(__xludf.DUMMYFUNCTION("GOOGLETRANSLATE(A14308, ""en"", ""mt"")"),"Meta bdew il-marea u l-kurrenti simili għas-sistema attwali tagħna?")</f>
        <v>Meta bdew il-marea u l-kurrenti simili għas-sistema attwali tagħna?</v>
      </c>
    </row>
    <row r="14309" ht="15.75" customHeight="1">
      <c r="A14309" s="2" t="s">
        <v>14309</v>
      </c>
      <c r="B14309" s="2" t="str">
        <f>IFERROR(__xludf.DUMMYFUNCTION("GOOGLETRANSLATE(A14309, ""en"", ""mt"")"),"Kemm mid-dħul nazzjonali tal-Polonja tipproduċi Varsavja?")</f>
        <v>Kemm mid-dħul nazzjonali tal-Polonja tipproduċi Varsavja?</v>
      </c>
    </row>
    <row r="14310" ht="15.75" customHeight="1">
      <c r="A14310" s="2" t="s">
        <v>14310</v>
      </c>
      <c r="B14310" s="2" t="str">
        <f>IFERROR(__xludf.DUMMYFUNCTION("GOOGLETRANSLATE(A14310, ""en"", ""mt"")"),"Rappreżentanti eletti għal kull Kamra tal-Parlament")</f>
        <v>Rappreżentanti eletti għal kull Kamra tal-Parlament</v>
      </c>
    </row>
    <row r="14311" ht="15.75" customHeight="1">
      <c r="A14311" s="2" t="s">
        <v>14311</v>
      </c>
      <c r="B14311" s="2" t="str">
        <f>IFERROR(__xludf.DUMMYFUNCTION("GOOGLETRANSLATE(A14311, ""en"", ""mt"")"),"Klassi II MHC")</f>
        <v>Klassi II MHC</v>
      </c>
    </row>
    <row r="14312" ht="15.75" customHeight="1">
      <c r="A14312" s="2" t="s">
        <v>14312</v>
      </c>
      <c r="B14312" s="2" t="str">
        <f>IFERROR(__xludf.DUMMYFUNCTION("GOOGLETRANSLATE(A14312, ""en"", ""mt"")"),"Fejn twaqqaf assemblea eletta, skont it-termini tal-Att tal-Iskozja tal-1978?")</f>
        <v>Fejn twaqqaf assemblea eletta, skont it-termini tal-Att tal-Iskozja tal-1978?</v>
      </c>
    </row>
    <row r="14313" ht="15.75" customHeight="1">
      <c r="A14313" s="2" t="s">
        <v>14313</v>
      </c>
      <c r="B14313" s="2" t="str">
        <f>IFERROR(__xludf.DUMMYFUNCTION("GOOGLETRANSLATE(A14313, ""en"", ""mt"")"),"Nuqqas ta 'dispjaċir")</f>
        <v>Nuqqas ta 'dispjaċir</v>
      </c>
    </row>
    <row r="14314" ht="15.75" customHeight="1">
      <c r="A14314" s="2" t="s">
        <v>14314</v>
      </c>
      <c r="B14314" s="2" t="str">
        <f>IFERROR(__xludf.DUMMYFUNCTION("GOOGLETRANSLATE(A14314, ""en"", ""mt"")"),"Karrotti, nevew, varjetajiet ġodda ta 'lumi, brunġiel, u bettieħ, zokkor granulat ta' kwalità għolja, u qoton")</f>
        <v>Karrotti, nevew, varjetajiet ġodda ta 'lumi, brunġiel, u bettieħ, zokkor granulat ta' kwalità għolja, u qoton</v>
      </c>
    </row>
    <row r="14315" ht="15.75" customHeight="1">
      <c r="A14315" s="2" t="s">
        <v>14315</v>
      </c>
      <c r="B14315" s="2" t="str">
        <f>IFERROR(__xludf.DUMMYFUNCTION("GOOGLETRANSLATE(A14315, ""en"", ""mt"")"),"Kemm seħħew etajiet kbar tas-silġ?")</f>
        <v>Kemm seħħew etajiet kbar tas-silġ?</v>
      </c>
    </row>
    <row r="14316" ht="15.75" customHeight="1">
      <c r="A14316" s="2" t="s">
        <v>14316</v>
      </c>
      <c r="B14316" s="2" t="str">
        <f>IFERROR(__xludf.DUMMYFUNCTION("GOOGLETRANSLATE(A14316, ""en"", ""mt"")"),"Liema xahar, kull erba 'snin, qed jinżammu l-elezzjonijiet ġenerali ordinarji?")</f>
        <v>Liema xahar, kull erba 'snin, qed jinżammu l-elezzjonijiet ġenerali ordinarji?</v>
      </c>
    </row>
    <row r="14317" ht="15.75" customHeight="1">
      <c r="A14317" s="2" t="s">
        <v>14317</v>
      </c>
      <c r="B14317" s="2" t="str">
        <f>IFERROR(__xludf.DUMMYFUNCTION("GOOGLETRANSLATE(A14317, ""en"", ""mt"")"),"Blaine")</f>
        <v>Blaine</v>
      </c>
    </row>
    <row r="14318" ht="15.75" customHeight="1">
      <c r="A14318" s="2" t="s">
        <v>14318</v>
      </c>
      <c r="B14318" s="2" t="str">
        <f>IFERROR(__xludf.DUMMYFUNCTION("GOOGLETRANSLATE(A14318, ""en"", ""mt"")"),"Kif kienet differenti l-edukazzjoni matul il-moviment tal-edukazzjoni tal-iskola għolja mill-edukazzjoni sussegwenti tal-iskola sekondarja?")</f>
        <v>Kif kienet differenti l-edukazzjoni matul il-moviment tal-edukazzjoni tal-iskola għolja mill-edukazzjoni sussegwenti tal-iskola sekondarja?</v>
      </c>
    </row>
    <row r="14319" ht="15.75" customHeight="1">
      <c r="A14319" s="2" t="s">
        <v>14319</v>
      </c>
      <c r="B14319" s="2" t="str">
        <f>IFERROR(__xludf.DUMMYFUNCTION("GOOGLETRANSLATE(A14319, ""en"", ""mt"")"),"X'kienu l-industriji ewlenin sakemm is-subborgi nbidlu f'art agrikola?")</f>
        <v>X'kienu l-industriji ewlenin sakemm is-subborgi nbidlu f'art agrikola?</v>
      </c>
    </row>
    <row r="14320" ht="15.75" customHeight="1">
      <c r="A14320" s="2" t="s">
        <v>14320</v>
      </c>
      <c r="B14320" s="2" t="str">
        <f>IFERROR(__xludf.DUMMYFUNCTION("GOOGLETRANSLATE(A14320, ""en"", ""mt"")"),"F’liema tmiem tal-Ġnien Sassonu jinsab it-Tom tas-Suldat Mhux magħruf?")</f>
        <v>F’liema tmiem tal-Ġnien Sassonu jinsab it-Tom tas-Suldat Mhux magħruf?</v>
      </c>
    </row>
    <row r="14321" ht="15.75" customHeight="1">
      <c r="A14321" s="2" t="s">
        <v>14321</v>
      </c>
      <c r="B14321" s="2" t="str">
        <f>IFERROR(__xludf.DUMMYFUNCTION("GOOGLETRANSLATE(A14321, ""en"", ""mt"")"),"Kemm tista 'l-SP tbiddel it-taxxa fuq id-dħul fl-Iskozja?")</f>
        <v>Kemm tista 'l-SP tbiddel it-taxxa fuq id-dħul fl-Iskozja?</v>
      </c>
    </row>
    <row r="14322" ht="15.75" customHeight="1">
      <c r="A14322" s="2" t="s">
        <v>14322</v>
      </c>
      <c r="B14322" s="2" t="str">
        <f>IFERROR(__xludf.DUMMYFUNCTION("GOOGLETRANSLATE(A14322, ""en"", ""mt"")"),"Maciot de Bethencourt")</f>
        <v>Maciot de Bethencourt</v>
      </c>
    </row>
    <row r="14323" ht="15.75" customHeight="1">
      <c r="A14323" s="2" t="s">
        <v>14323</v>
      </c>
      <c r="B14323" s="2" t="str">
        <f>IFERROR(__xludf.DUMMYFUNCTION("GOOGLETRANSLATE(A14323, ""en"", ""mt"")")," Meta l-kolonji Spanjoli u Portugiżi tilfu l-indipendenza tagħhom.")</f>
        <v> Meta l-kolonji Spanjoli u Portugiżi tilfu l-indipendenza tagħhom.</v>
      </c>
    </row>
    <row r="14324" ht="15.75" customHeight="1">
      <c r="A14324" s="2" t="s">
        <v>14324</v>
      </c>
      <c r="B14324" s="2" t="str">
        <f>IFERROR(__xludf.DUMMYFUNCTION("GOOGLETRANSLATE(A14324, ""en"", ""mt"")"),"Min ipprova jikseb stat separat fl-1805?")</f>
        <v>Min ipprova jikseb stat separat fl-1805?</v>
      </c>
    </row>
    <row r="14325" ht="15.75" customHeight="1">
      <c r="A14325" s="2" t="s">
        <v>14325</v>
      </c>
      <c r="B14325" s="2" t="str">
        <f>IFERROR(__xludf.DUMMYFUNCTION("GOOGLETRANSLATE(A14325, ""en"", ""mt"")"),"X'inhu vantaġġ ewlieni taċ-ċiklu ta 'effiċjenza?")</f>
        <v>X'inhu vantaġġ ewlieni taċ-ċiklu ta 'effiċjenza?</v>
      </c>
    </row>
    <row r="14326" ht="15.75" customHeight="1">
      <c r="A14326" s="2" t="s">
        <v>14326</v>
      </c>
      <c r="B14326" s="2" t="str">
        <f>IFERROR(__xludf.DUMMYFUNCTION("GOOGLETRANSLATE(A14326, ""en"", ""mt"")"),"Fattur ieħor fil-bidu tas-snin disgħin li ħadem biex jirradikalizza l-moviment Iżlamista kien il-Gwerra tal-Golf, li ġabet diversi mijiet ta 'eluf ta' l-Istati Uniti u alleat persunal militari mhux Musulman lejn il-ħamrija Għarab Sawdita biex itemmu l-okk"&amp;"upazzjoni ta 'Saddam Hussein fil-Kuwajt. Qabel l-1990 l-Arabja Sawdita kellha rwol importanti fit-trażżin tal-ħafna gruppi Iżlamisti li rċevew l-għajnuna tiegħu. Imma meta Saddam, sekularist u dittatur Ba'athist tal-Iraq ġirien, attakkaw l-Arabja Sawdija "&amp;"(l-għadu tiegħu fil-gwerra), it-truppi tal-Punent ġew biex jipproteġu l-monarkija Sawdita. L-Iżlamisti akkużaw lir-reġim Sawdi li kien pupazz tal-Punent.")</f>
        <v>Fattur ieħor fil-bidu tas-snin disgħin li ħadem biex jirradikalizza l-moviment Iżlamista kien il-Gwerra tal-Golf, li ġabet diversi mijiet ta 'eluf ta' l-Istati Uniti u alleat persunal militari mhux Musulman lejn il-ħamrija Għarab Sawdita biex itemmu l-okkupazzjoni ta 'Saddam Hussein fil-Kuwajt. Qabel l-1990 l-Arabja Sawdita kellha rwol importanti fit-trażżin tal-ħafna gruppi Iżlamisti li rċevew l-għajnuna tiegħu. Imma meta Saddam, sekularist u dittatur Ba'athist tal-Iraq ġirien, attakkaw l-Arabja Sawdija (l-għadu tiegħu fil-gwerra), it-truppi tal-Punent ġew biex jipproteġu l-monarkija Sawdita. L-Iżlamisti akkużaw lir-reġim Sawdi li kien pupazz tal-Punent.</v>
      </c>
    </row>
    <row r="14327" ht="15.75" customHeight="1">
      <c r="A14327" s="2" t="s">
        <v>14327</v>
      </c>
      <c r="B14327" s="2" t="str">
        <f>IFERROR(__xludf.DUMMYFUNCTION("GOOGLETRANSLATE(A14327, ""en"", ""mt"")"),"jikteb ktieb ta ’ħames volum fil-Grieg nattiv tiegħu")</f>
        <v>jikteb ktieb ta ’ħames volum fil-Grieg nattiv tiegħu</v>
      </c>
    </row>
    <row r="14328" ht="15.75" customHeight="1">
      <c r="A14328" s="2" t="s">
        <v>14328</v>
      </c>
      <c r="B14328" s="2" t="str">
        <f>IFERROR(__xludf.DUMMYFUNCTION("GOOGLETRANSLATE(A14328, ""en"", ""mt"")"),"Artikolu 17 (3)")</f>
        <v>Artikolu 17 (3)</v>
      </c>
    </row>
    <row r="14329" ht="15.75" customHeight="1">
      <c r="A14329" s="2" t="s">
        <v>14329</v>
      </c>
      <c r="B14329" s="2" t="str">
        <f>IFERROR(__xludf.DUMMYFUNCTION("GOOGLETRANSLATE(A14329, ""en"", ""mt"")"),"Wara t-tmiem tal-Gwerra tal-Messiku.")</f>
        <v>Wara t-tmiem tal-Gwerra tal-Messiku.</v>
      </c>
    </row>
    <row r="14330" ht="15.75" customHeight="1">
      <c r="A14330" s="2" t="s">
        <v>14330</v>
      </c>
      <c r="B14330" s="2" t="str">
        <f>IFERROR(__xludf.DUMMYFUNCTION("GOOGLETRANSLATE(A14330, ""en"", ""mt"")"),"tnaqqis")</f>
        <v>tnaqqis</v>
      </c>
    </row>
    <row r="14331" ht="15.75" customHeight="1">
      <c r="A14331" s="2" t="s">
        <v>14331</v>
      </c>
      <c r="B14331" s="2" t="str">
        <f>IFERROR(__xludf.DUMMYFUNCTION("GOOGLETRANSLATE(A14331, ""en"", ""mt"")"),"Sar konnessjoni interattiva għall-ospitanti bejn l-IBM Mainframe Computer Systems fl-Università ta 'Michigan f'Ann Arbor u Wayne State")</f>
        <v>Sar konnessjoni interattiva għall-ospitanti bejn l-IBM Mainframe Computer Systems fl-Università ta 'Michigan f'Ann Arbor u Wayne State</v>
      </c>
    </row>
    <row r="14332" ht="15.75" customHeight="1">
      <c r="A14332" s="2" t="s">
        <v>14332</v>
      </c>
      <c r="B14332" s="2" t="str">
        <f>IFERROR(__xludf.DUMMYFUNCTION("GOOGLETRANSLATE(A14332, ""en"", ""mt"")"),"Bento de Moura l-Portugall")</f>
        <v>Bento de Moura l-Portugall</v>
      </c>
    </row>
    <row r="14333" ht="15.75" customHeight="1">
      <c r="A14333" s="2" t="s">
        <v>14333</v>
      </c>
      <c r="B14333" s="2" t="str">
        <f>IFERROR(__xludf.DUMMYFUNCTION("GOOGLETRANSLATE(A14333, ""en"", ""mt"")"),"X'inhu l-isem Olandiż għar-Rhine?")</f>
        <v>X'inhu l-isem Olandiż għar-Rhine?</v>
      </c>
    </row>
    <row r="14334" ht="15.75" customHeight="1">
      <c r="A14334" s="2" t="s">
        <v>14334</v>
      </c>
      <c r="B14334" s="2" t="str">
        <f>IFERROR(__xludf.DUMMYFUNCTION("GOOGLETRANSLATE(A14334, ""en"", ""mt"")"),"Il-Kunsill Leġiżlattiv")</f>
        <v>Il-Kunsill Leġiżlattiv</v>
      </c>
    </row>
    <row r="14335" ht="15.75" customHeight="1">
      <c r="A14335" s="2" t="s">
        <v>14335</v>
      </c>
      <c r="B14335" s="2" t="str">
        <f>IFERROR(__xludf.DUMMYFUNCTION("GOOGLETRANSLATE(A14335, ""en"", ""mt"")"),"X’ma seħħx wara t-trattat sabiħ?")</f>
        <v>X’ma seħħx wara t-trattat sabiħ?</v>
      </c>
    </row>
    <row r="14336" ht="15.75" customHeight="1">
      <c r="A14336" s="2" t="s">
        <v>14336</v>
      </c>
      <c r="B14336" s="2" t="str">
        <f>IFERROR(__xludf.DUMMYFUNCTION("GOOGLETRANSLATE(A14336, ""en"", ""mt"")")," Meta Kublai naqas milli jċaqlaq il-kapitali Mongolja?")</f>
        <v> Meta Kublai naqas milli jċaqlaq il-kapitali Mongolja?</v>
      </c>
    </row>
    <row r="14337" ht="15.75" customHeight="1">
      <c r="A14337" s="2" t="s">
        <v>14337</v>
      </c>
      <c r="B14337" s="2" t="str">
        <f>IFERROR(__xludf.DUMMYFUNCTION("GOOGLETRANSLATE(A14337, ""en"", ""mt"")"),"Liema persentaġġ ta 'patrijiet u saċerdoti mietu mill-mewt l-Iswed?")</f>
        <v>Liema persentaġġ ta 'patrijiet u saċerdoti mietu mill-mewt l-Iswed?</v>
      </c>
    </row>
    <row r="14338" ht="15.75" customHeight="1">
      <c r="A14338" s="2" t="s">
        <v>14338</v>
      </c>
      <c r="B14338" s="2" t="str">
        <f>IFERROR(__xludf.DUMMYFUNCTION("GOOGLETRANSLATE(A14338, ""en"", ""mt"")"),"F’liema tmiem tal-ġnien tal-Kawkasi jinsab il-qabar tas-suldat mhux magħruf?")</f>
        <v>F’liema tmiem tal-ġnien tal-Kawkasi jinsab il-qabar tas-suldat mhux magħruf?</v>
      </c>
    </row>
    <row r="14339" ht="15.75" customHeight="1">
      <c r="A14339" s="2" t="s">
        <v>14339</v>
      </c>
      <c r="B14339" s="2" t="str">
        <f>IFERROR(__xludf.DUMMYFUNCTION("GOOGLETRANSLATE(A14339, ""en"", ""mt"")"),"MSP jista 'jintroduċi kont bħal dak?")</f>
        <v>MSP jista 'jintroduċi kont bħal dak?</v>
      </c>
    </row>
    <row r="14340" ht="15.75" customHeight="1">
      <c r="A14340" s="2" t="s">
        <v>14340</v>
      </c>
      <c r="B14340" s="2" t="str">
        <f>IFERROR(__xludf.DUMMYFUNCTION("GOOGLETRANSLATE(A14340, ""en"", ""mt"")"),"Minn min huma kumitati?")</f>
        <v>Minn min huma kumitati?</v>
      </c>
    </row>
    <row r="14341" ht="15.75" customHeight="1">
      <c r="A14341" s="2" t="s">
        <v>14341</v>
      </c>
      <c r="B14341" s="2" t="str">
        <f>IFERROR(__xludf.DUMMYFUNCTION("GOOGLETRANSLATE(A14341, ""en"", ""mt"")"),"Minn xiex saru Chao?")</f>
        <v>Minn xiex saru Chao?</v>
      </c>
    </row>
    <row r="14342" ht="15.75" customHeight="1">
      <c r="A14342" s="2" t="s">
        <v>14342</v>
      </c>
      <c r="B14342" s="2" t="str">
        <f>IFERROR(__xludf.DUMMYFUNCTION("GOOGLETRANSLATE(A14342, ""en"", ""mt"")"),"X'inhu isem ieħor għal Firebox?")</f>
        <v>X'inhu isem ieħor għal Firebox?</v>
      </c>
    </row>
    <row r="14343" ht="15.75" customHeight="1">
      <c r="A14343" s="2" t="s">
        <v>14343</v>
      </c>
      <c r="B14343" s="2" t="str">
        <f>IFERROR(__xludf.DUMMYFUNCTION("GOOGLETRANSLATE(A14343, ""en"", ""mt"")"),"Ħin tal-komputazzjoni")</f>
        <v>Ħin tal-komputazzjoni</v>
      </c>
    </row>
    <row r="14344" ht="15.75" customHeight="1">
      <c r="A14344" s="2" t="s">
        <v>14344</v>
      </c>
      <c r="B14344" s="2" t="str">
        <f>IFERROR(__xludf.DUMMYFUNCTION("GOOGLETRANSLATE(A14344, ""en"", ""mt"")"),"Liġijiet tal-Fiżika")</f>
        <v>Liġijiet tal-Fiżika</v>
      </c>
    </row>
    <row r="14345" ht="15.75" customHeight="1">
      <c r="A14345" s="2" t="s">
        <v>14345</v>
      </c>
      <c r="B14345" s="2" t="str">
        <f>IFERROR(__xludf.DUMMYFUNCTION("GOOGLETRANSLATE(A14345, ""en"", ""mt"")"),"sallur elettriku")</f>
        <v>sallur elettriku</v>
      </c>
    </row>
    <row r="14346" ht="15.75" customHeight="1">
      <c r="A14346" s="2" t="s">
        <v>14346</v>
      </c>
      <c r="B14346" s="2" t="str">
        <f>IFERROR(__xludf.DUMMYFUNCTION("GOOGLETRANSLATE(A14346, ""en"", ""mt"")"),"Min żviluppa n-Netwerk ta 'Riċerka Finlandiża, il-Pakkett Cyclades?")</f>
        <v>Min żviluppa n-Netwerk ta 'Riċerka Finlandiża, il-Pakkett Cyclades?</v>
      </c>
    </row>
    <row r="14347" ht="15.75" customHeight="1">
      <c r="A14347" s="2" t="s">
        <v>14347</v>
      </c>
      <c r="B14347" s="2" t="str">
        <f>IFERROR(__xludf.DUMMYFUNCTION("GOOGLETRANSLATE(A14347, ""en"", ""mt"")"),"Huwa konjetta li tnaqqis progressiv fil-livelli ta 'ormoni bl-età huwa parzjalment responsabbli għal risponsi immuni mdgħajfa f'individwi li qed jixjieħu. Bil-maqlub, xi ormoni huma rregolati mis-sistema immunitarja, l-aktar attività ta 'ormoni tat-tirojd"&amp;"e. It-tnaqqis relatat mal-età fil-funzjoni immuni huwa relatat ukoll ma 'tnaqqis fil-livelli ta' vitamina D fl-anzjani. Hekk kif in-nies jixjieħu, iseħħu żewġ affarijiet li jaffettwaw b'mod negattiv il-livelli ta 'vitamina D tagħhom. L-ewwel, huma jibqgħu"&amp;" ġewwa aktar minħabba tnaqqis fil-livelli ta 'attività. Dan ifisser li jiksbu inqas xemx u għalhekk jipproduċu inqas cholecalciferol permezz ta 'radjazzjoni UVB. It-tieni, hekk kif persuna tixjieħ il-ġilda ssir inqas adept fil-produzzjoni tal-vitamina D.")</f>
        <v>Huwa konjetta li tnaqqis progressiv fil-livelli ta 'ormoni bl-età huwa parzjalment responsabbli għal risponsi immuni mdgħajfa f'individwi li qed jixjieħu. Bil-maqlub, xi ormoni huma rregolati mis-sistema immunitarja, l-aktar attività ta 'ormoni tat-tirojde. It-tnaqqis relatat mal-età fil-funzjoni immuni huwa relatat ukoll ma 'tnaqqis fil-livelli ta' vitamina D fl-anzjani. Hekk kif in-nies jixjieħu, iseħħu żewġ affarijiet li jaffettwaw b'mod negattiv il-livelli ta 'vitamina D tagħhom. L-ewwel, huma jibqgħu ġewwa aktar minħabba tnaqqis fil-livelli ta 'attività. Dan ifisser li jiksbu inqas xemx u għalhekk jipproduċu inqas cholecalciferol permezz ta 'radjazzjoni UVB. It-tieni, hekk kif persuna tixjieħ il-ġilda ssir inqas adept fil-produzzjoni tal-vitamina D.</v>
      </c>
    </row>
    <row r="14348" ht="15.75" customHeight="1">
      <c r="A14348" s="2" t="s">
        <v>14348</v>
      </c>
      <c r="B14348" s="2" t="str">
        <f>IFERROR(__xludf.DUMMYFUNCTION("GOOGLETRANSLATE(A14348, ""en"", ""mt"")"),"Il-faċilità li biha n-nies, b'mod partikolari ż-żgħażagħ, jistgħu jiksbu sustanzi kkontrollati")</f>
        <v>Il-faċilità li biha n-nies, b'mod partikolari ż-żgħażagħ, jistgħu jiksbu sustanzi kkontrollati</v>
      </c>
    </row>
    <row r="14349" ht="15.75" customHeight="1">
      <c r="A14349" s="2" t="s">
        <v>14349</v>
      </c>
      <c r="B14349" s="2" t="str">
        <f>IFERROR(__xludf.DUMMYFUNCTION("GOOGLETRANSLATE(A14349, ""en"", ""mt"")"),"Liema kumpanija m'għadhiex tinnegozja bħala Sky?")</f>
        <v>Liema kumpanija m'għadhiex tinnegozja bħala Sky?</v>
      </c>
    </row>
    <row r="14350" ht="15.75" customHeight="1">
      <c r="A14350" s="2" t="s">
        <v>14350</v>
      </c>
      <c r="B14350" s="2" t="str">
        <f>IFERROR(__xludf.DUMMYFUNCTION("GOOGLETRANSLATE(A14350, ""en"", ""mt"")"),"Meta kien ir-rapport speċjali dwar il-ġestjoni tar-riskji ta 'avvenimenti u diżastri estremi biex javvanza l-adattament tal-bidla fil-klima (SREX)?")</f>
        <v>Meta kien ir-rapport speċjali dwar il-ġestjoni tar-riskji ta 'avvenimenti u diżastri estremi biex javvanza l-adattament tal-bidla fil-klima (SREX)?</v>
      </c>
    </row>
    <row r="14351" ht="15.75" customHeight="1">
      <c r="A14351" s="2" t="s">
        <v>14351</v>
      </c>
      <c r="B14351" s="2" t="str">
        <f>IFERROR(__xludf.DUMMYFUNCTION("GOOGLETRANSLATE(A14351, ""en"", ""mt"")"),"Liema elementi jsegwu l-ossiġnu bħala l-aktar abbundanti fl-univers?")</f>
        <v>Liema elementi jsegwu l-ossiġnu bħala l-aktar abbundanti fl-univers?</v>
      </c>
    </row>
    <row r="14352" ht="15.75" customHeight="1">
      <c r="A14352" s="2" t="s">
        <v>14352</v>
      </c>
      <c r="B14352" s="2" t="str">
        <f>IFERROR(__xludf.DUMMYFUNCTION("GOOGLETRANSLATE(A14352, ""en"", ""mt"")"),"Liema belt għandha wieħed mill-iżgħar portijiet fil-Ġermanja?")</f>
        <v>Liema belt għandha wieħed mill-iżgħar portijiet fil-Ġermanja?</v>
      </c>
    </row>
    <row r="14353" ht="15.75" customHeight="1">
      <c r="A14353" s="2" t="s">
        <v>14353</v>
      </c>
      <c r="B14353" s="2" t="str">
        <f>IFERROR(__xludf.DUMMYFUNCTION("GOOGLETRANSLATE(A14353, ""en"", ""mt"")"),"Afranji")</f>
        <v>Afranji</v>
      </c>
    </row>
    <row r="14354" ht="15.75" customHeight="1">
      <c r="A14354" s="2" t="s">
        <v>14354</v>
      </c>
      <c r="B14354" s="2" t="str">
        <f>IFERROR(__xludf.DUMMYFUNCTION("GOOGLETRANSLATE(A14354, ""en"", ""mt"")")," B'liema mezz l-imperjalizmu qatt ma amministrat?")</f>
        <v> B'liema mezz l-imperjalizmu qatt ma amministrat?</v>
      </c>
    </row>
    <row r="14355" ht="15.75" customHeight="1">
      <c r="A14355" s="2" t="s">
        <v>14355</v>
      </c>
      <c r="B14355" s="2" t="str">
        <f>IFERROR(__xludf.DUMMYFUNCTION("GOOGLETRANSLATE(A14355, ""en"", ""mt"")")," X’jaċċettaw l-organizzazzjonijiet Iżlamiċi radikali?")</f>
        <v> X’jaċċettaw l-organizzazzjonijiet Iżlamiċi radikali?</v>
      </c>
    </row>
    <row r="14356" ht="15.75" customHeight="1">
      <c r="A14356" s="2" t="s">
        <v>14356</v>
      </c>
      <c r="B14356" s="2" t="str">
        <f>IFERROR(__xludf.DUMMYFUNCTION("GOOGLETRANSLATE(A14356, ""en"", ""mt"")"),"1⁄3 pressjoni normali")</f>
        <v>1⁄3 pressjoni normali</v>
      </c>
    </row>
    <row r="14357" ht="15.75" customHeight="1">
      <c r="A14357" s="2" t="s">
        <v>14357</v>
      </c>
      <c r="B14357" s="2" t="str">
        <f>IFERROR(__xludf.DUMMYFUNCTION("GOOGLETRANSLATE(A14357, ""en"", ""mt"")"),"aktar riżorsi mhux tas-soltu")</f>
        <v>aktar riżorsi mhux tas-soltu</v>
      </c>
    </row>
    <row r="14358" ht="15.75" customHeight="1">
      <c r="A14358" s="2" t="s">
        <v>14358</v>
      </c>
      <c r="B14358" s="2" t="str">
        <f>IFERROR(__xludf.DUMMYFUNCTION("GOOGLETRANSLATE(A14358, ""en"", ""mt"")"),"pagi jew salarju")</f>
        <v>pagi jew salarju</v>
      </c>
    </row>
    <row r="14359" ht="15.75" customHeight="1">
      <c r="A14359" s="2" t="s">
        <v>14359</v>
      </c>
      <c r="B14359" s="2" t="str">
        <f>IFERROR(__xludf.DUMMYFUNCTION("GOOGLETRANSLATE(A14359, ""en"", ""mt"")"),"tfal")</f>
        <v>tfal</v>
      </c>
    </row>
    <row r="14360" ht="15.75" customHeight="1">
      <c r="A14360" s="2" t="s">
        <v>14360</v>
      </c>
      <c r="B14360" s="2" t="str">
        <f>IFERROR(__xludf.DUMMYFUNCTION("GOOGLETRANSLATE(A14360, ""en"", ""mt"")"),"l-Unjoni Sovjetika")</f>
        <v>l-Unjoni Sovjetika</v>
      </c>
    </row>
    <row r="14361" ht="15.75" customHeight="1">
      <c r="A14361" s="2" t="s">
        <v>14361</v>
      </c>
      <c r="B14361" s="2" t="str">
        <f>IFERROR(__xludf.DUMMYFUNCTION("GOOGLETRANSLATE(A14361, ""en"", ""mt"")"),"F'liema każ il-Qorti tal-Ġustizzja kienet tgħid li qorti Ġermaniża ma setgħetx tiċħad lil kumpanija tal-bini Olandiża d-dritt li tinforza kuntratt ibbażat fil-Ġermanja?")</f>
        <v>F'liema każ il-Qorti tal-Ġustizzja kienet tgħid li qorti Ġermaniża ma setgħetx tiċħad lil kumpanija tal-bini Olandiża d-dritt li tinforza kuntratt ibbażat fil-Ġermanja?</v>
      </c>
    </row>
    <row r="14362" ht="15.75" customHeight="1">
      <c r="A14362" s="2" t="s">
        <v>14362</v>
      </c>
      <c r="B14362" s="2" t="str">
        <f>IFERROR(__xludf.DUMMYFUNCTION("GOOGLETRANSLATE(A14362, ""en"", ""mt"")"),"Fejn intwera l-ewwel netwerk tal-pakketti?")</f>
        <v>Fejn intwera l-ewwel netwerk tal-pakketti?</v>
      </c>
    </row>
    <row r="14363" ht="15.75" customHeight="1">
      <c r="A14363" s="2" t="s">
        <v>14363</v>
      </c>
      <c r="B14363" s="2" t="str">
        <f>IFERROR(__xludf.DUMMYFUNCTION("GOOGLETRANSLATE(A14363, ""en"", ""mt"")"),"Beroids")</f>
        <v>Beroids</v>
      </c>
    </row>
    <row r="14364" ht="15.75" customHeight="1">
      <c r="A14364" s="2" t="s">
        <v>14364</v>
      </c>
      <c r="B14364" s="2" t="str">
        <f>IFERROR(__xludf.DUMMYFUNCTION("GOOGLETRANSLATE(A14364, ""en"", ""mt"")"),"Liema każ il-qorti ddikjarat li l-Awstrija tħalliet iżżomm postijiet fl-iskejjel Awstrijaċi għall-esklussività għall-istudenti Awstrijaċi?")</f>
        <v>Liema każ il-qorti ddikjarat li l-Awstrija tħalliet iżżomm postijiet fl-iskejjel Awstrijaċi għall-esklussività għall-istudenti Awstrijaċi?</v>
      </c>
    </row>
    <row r="14365" ht="15.75" customHeight="1">
      <c r="A14365" s="2" t="s">
        <v>14365</v>
      </c>
      <c r="B14365" s="2" t="str">
        <f>IFERROR(__xludf.DUMMYFUNCTION("GOOGLETRANSLATE(A14365, ""en"", ""mt"")"),"Abolizzjoni tal-Kalifat Ottoman")</f>
        <v>Abolizzjoni tal-Kalifat Ottoman</v>
      </c>
    </row>
    <row r="14366" ht="15.75" customHeight="1">
      <c r="A14366" s="2" t="s">
        <v>14366</v>
      </c>
      <c r="B14366" s="2" t="str">
        <f>IFERROR(__xludf.DUMMYFUNCTION("GOOGLETRANSLATE(A14366, ""en"", ""mt"")"),"X'inhi s-sistema proprjetarja li Sky + HD ma tistax tuża?")</f>
        <v>X'inhi s-sistema proprjetarja li Sky + HD ma tistax tuża?</v>
      </c>
    </row>
    <row r="14367" ht="15.75" customHeight="1">
      <c r="A14367" s="2" t="s">
        <v>14367</v>
      </c>
      <c r="B14367" s="2" t="str">
        <f>IFERROR(__xludf.DUMMYFUNCTION("GOOGLETRANSLATE(A14367, ""en"", ""mt"")"),"pjanijiet nixxew lejn Franza sew qabel it-tluq ta 'Braddock")</f>
        <v>pjanijiet nixxew lejn Franza sew qabel it-tluq ta 'Braddock</v>
      </c>
    </row>
    <row r="14368" ht="15.75" customHeight="1">
      <c r="A14368" s="2" t="s">
        <v>14368</v>
      </c>
      <c r="B14368" s="2" t="str">
        <f>IFERROR(__xludf.DUMMYFUNCTION("GOOGLETRANSLATE(A14368, ""en"", ""mt"")"),"Kemm speċi ta 'pjanti huma ta' interess għas-soċjetà u l-manifatturi jeżistu fil-foresta tropikali tal-Amazon?")</f>
        <v>Kemm speċi ta 'pjanti huma ta' interess għas-soċjetà u l-manifatturi jeżistu fil-foresta tropikali tal-Amazon?</v>
      </c>
    </row>
    <row r="14369" ht="15.75" customHeight="1">
      <c r="A14369" s="2" t="s">
        <v>14369</v>
      </c>
      <c r="B14369" s="2" t="str">
        <f>IFERROR(__xludf.DUMMYFUNCTION("GOOGLETRANSLATE(A14369, ""en"", ""mt"")"),"Liema ajruport huwa d-dar għar-runway single bieżel fid-dinja?")</f>
        <v>Liema ajruport huwa d-dar għar-runway single bieżel fid-dinja?</v>
      </c>
    </row>
    <row r="14370" ht="15.75" customHeight="1">
      <c r="A14370" s="2" t="s">
        <v>14370</v>
      </c>
      <c r="B14370" s="2" t="str">
        <f>IFERROR(__xludf.DUMMYFUNCTION("GOOGLETRANSLATE(A14370, ""en"", ""mt"")"),"Priestley x’għamel l-arja li ħoloq?")</f>
        <v>Priestley x’għamel l-arja li ħoloq?</v>
      </c>
    </row>
    <row r="14371" ht="15.75" customHeight="1">
      <c r="A14371" s="2" t="s">
        <v>14371</v>
      </c>
      <c r="B14371" s="2" t="str">
        <f>IFERROR(__xludf.DUMMYFUNCTION("GOOGLETRANSLATE(A14371, ""en"", ""mt"")"),"Fis-seklu 16")</f>
        <v>Fis-seklu 16</v>
      </c>
    </row>
    <row r="14372" ht="15.75" customHeight="1">
      <c r="A14372" s="2" t="s">
        <v>14372</v>
      </c>
      <c r="B14372" s="2" t="str">
        <f>IFERROR(__xludf.DUMMYFUNCTION("GOOGLETRANSLATE(A14372, ""en"", ""mt"")"),"ippropona li jibni netwerk nazzjonali fir-Renju Unit")</f>
        <v>ippropona li jibni netwerk nazzjonali fir-Renju Unit</v>
      </c>
    </row>
    <row r="14373" ht="15.75" customHeight="1">
      <c r="A14373" s="2" t="s">
        <v>14373</v>
      </c>
      <c r="B14373" s="2" t="str">
        <f>IFERROR(__xludf.DUMMYFUNCTION("GOOGLETRANSLATE(A14373, ""en"", ""mt"")"),"ċilindru")</f>
        <v>ċilindru</v>
      </c>
    </row>
    <row r="14374" ht="15.75" customHeight="1">
      <c r="A14374" s="2" t="s">
        <v>14374</v>
      </c>
      <c r="B14374" s="2" t="str">
        <f>IFERROR(__xludf.DUMMYFUNCTION("GOOGLETRANSLATE(A14374, ""en"", ""mt"")"),"X'inhuma l-kaxxi ta 'fuq tas-Sema Q Mini li qatt ma jistgħu jgħaqqdu?")</f>
        <v>X'inhuma l-kaxxi ta 'fuq tas-Sema Q Mini li qatt ma jistgħu jgħaqqdu?</v>
      </c>
    </row>
    <row r="14375" ht="15.75" customHeight="1">
      <c r="A14375" s="2" t="s">
        <v>14375</v>
      </c>
      <c r="B14375" s="2" t="str">
        <f>IFERROR(__xludf.DUMMYFUNCTION("GOOGLETRANSLATE(A14375, ""en"", ""mt"")"),"45 minuta")</f>
        <v>45 minuta</v>
      </c>
    </row>
    <row r="14376" ht="15.75" customHeight="1">
      <c r="A14376" s="2" t="s">
        <v>14376</v>
      </c>
      <c r="B14376" s="2" t="str">
        <f>IFERROR(__xludf.DUMMYFUNCTION("GOOGLETRANSLATE(A14376, ""en"", ""mt"")"),"X'Jirridu jirriflettu s-sħubija fil-kumitati?")</f>
        <v>X'Jirridu jirriflettu s-sħubija fil-kumitati?</v>
      </c>
    </row>
    <row r="14377" ht="15.75" customHeight="1">
      <c r="A14377" s="2" t="s">
        <v>14377</v>
      </c>
      <c r="B14377" s="2" t="str">
        <f>IFERROR(__xludf.DUMMYFUNCTION("GOOGLETRANSLATE(A14377, ""en"", ""mt"")"),"Liema grupp armat waqqaf ir-rewwixta f'Ballarat?")</f>
        <v>Liema grupp armat waqqaf ir-rewwixta f'Ballarat?</v>
      </c>
    </row>
    <row r="14378" ht="15.75" customHeight="1">
      <c r="A14378" s="2" t="s">
        <v>14378</v>
      </c>
      <c r="B14378" s="2" t="str">
        <f>IFERROR(__xludf.DUMMYFUNCTION("GOOGLETRANSLATE(A14378, ""en"", ""mt"")"),"X'inhu t-tim tal-MLS waħdu li jappartjeni għan-Nofsinhar ta 'California?")</f>
        <v>X'inhu t-tim tal-MLS waħdu li jappartjeni għan-Nofsinhar ta 'California?</v>
      </c>
    </row>
    <row r="14379" ht="15.75" customHeight="1">
      <c r="A14379" s="2" t="s">
        <v>14379</v>
      </c>
      <c r="B14379" s="2" t="str">
        <f>IFERROR(__xludf.DUMMYFUNCTION("GOOGLETRANSLATE(A14379, ""en"", ""mt"")"),"Liema kumpanija kienet iffurmata mill-għaqda ta 'Sky Television u British Satellite Broadcasting?")</f>
        <v>Liema kumpanija kienet iffurmata mill-għaqda ta 'Sky Television u British Satellite Broadcasting?</v>
      </c>
    </row>
    <row r="14380" ht="15.75" customHeight="1">
      <c r="A14380" s="2" t="s">
        <v>14380</v>
      </c>
      <c r="B14380" s="2" t="str">
        <f>IFERROR(__xludf.DUMMYFUNCTION("GOOGLETRANSLATE(A14380, ""en"", ""mt"")"),"X'kienet ir-reliġjon ta 'Shen Kuo?")</f>
        <v>X'kienet ir-reliġjon ta 'Shen Kuo?</v>
      </c>
    </row>
    <row r="14381" ht="15.75" customHeight="1">
      <c r="A14381" s="2" t="s">
        <v>14381</v>
      </c>
      <c r="B14381" s="2" t="str">
        <f>IFERROR(__xludf.DUMMYFUNCTION("GOOGLETRANSLATE(A14381, ""en"", ""mt"")"),"Il-poeżija tiegħu hija meqjusa bħala l-ewwel tip ta ’x’tip ta’ protesta?")</f>
        <v>Il-poeżija tiegħu hija meqjusa bħala l-ewwel tip ta ’x’tip ta’ protesta?</v>
      </c>
    </row>
    <row r="14382" ht="15.75" customHeight="1">
      <c r="A14382" s="2" t="s">
        <v>14382</v>
      </c>
      <c r="B14382" s="2" t="str">
        <f>IFERROR(__xludf.DUMMYFUNCTION("GOOGLETRANSLATE(A14382, ""en"", ""mt"")"),"Min ta donazzjoni ta 'nofs biljun dollaru lill-Iskola tan-Negozju tal-Kabina tal-Università?")</f>
        <v>Min ta donazzjoni ta 'nofs biljun dollaru lill-Iskola tan-Negozju tal-Kabina tal-Università?</v>
      </c>
    </row>
    <row r="14383" ht="15.75" customHeight="1">
      <c r="A14383" s="2" t="s">
        <v>14383</v>
      </c>
      <c r="B14383" s="2" t="str">
        <f>IFERROR(__xludf.DUMMYFUNCTION("GOOGLETRANSLATE(A14383, ""en"", ""mt"")"),"X'inhuma ż-żewġ tipi differenti ta 'immunità?")</f>
        <v>X'inhuma ż-żewġ tipi differenti ta 'immunità?</v>
      </c>
    </row>
    <row r="14384" ht="15.75" customHeight="1">
      <c r="A14384" s="2" t="s">
        <v>14384</v>
      </c>
      <c r="B14384" s="2" t="str">
        <f>IFERROR(__xludf.DUMMYFUNCTION("GOOGLETRANSLATE(A14384, ""en"", ""mt"")"),"Liema metodu kien użat biex jitneħħew il-foresta għall-kultivazzjoni tal-għelejjel fil-foresta tal-Amażonja?")</f>
        <v>Liema metodu kien użat biex jitneħħew il-foresta għall-kultivazzjoni tal-għelejjel fil-foresta tal-Amażonja?</v>
      </c>
    </row>
    <row r="14385" ht="15.75" customHeight="1">
      <c r="A14385" s="2" t="s">
        <v>14385</v>
      </c>
      <c r="B14385" s="2" t="str">
        <f>IFERROR(__xludf.DUMMYFUNCTION("GOOGLETRANSLATE(A14385, ""en"", ""mt"")"),"Tip I.")</f>
        <v>Tip I.</v>
      </c>
    </row>
    <row r="14386" ht="15.75" customHeight="1">
      <c r="A14386" s="2" t="s">
        <v>14386</v>
      </c>
      <c r="B14386" s="2" t="str">
        <f>IFERROR(__xludf.DUMMYFUNCTION("GOOGLETRANSLATE(A14386, ""en"", ""mt"")"),"simboliku")</f>
        <v>simboliku</v>
      </c>
    </row>
    <row r="14387" ht="15.75" customHeight="1">
      <c r="A14387" s="2" t="s">
        <v>14387</v>
      </c>
      <c r="B14387" s="2" t="str">
        <f>IFERROR(__xludf.DUMMYFUNCTION("GOOGLETRANSLATE(A14387, ""en"", ""mt"")"),"arja dephlogisticated")</f>
        <v>arja dephlogisticated</v>
      </c>
    </row>
    <row r="14388" ht="15.75" customHeight="1">
      <c r="A14388" s="2" t="s">
        <v>14388</v>
      </c>
      <c r="B14388" s="2" t="str">
        <f>IFERROR(__xludf.DUMMYFUNCTION("GOOGLETRANSLATE(A14388, ""en"", ""mt"")"),"Liema kanal qatt ma ġie mibdul mill-ġdid?")</f>
        <v>Liema kanal qatt ma ġie mibdul mill-ġdid?</v>
      </c>
    </row>
    <row r="14389" ht="15.75" customHeight="1">
      <c r="A14389" s="2" t="s">
        <v>14389</v>
      </c>
      <c r="B14389" s="2" t="str">
        <f>IFERROR(__xludf.DUMMYFUNCTION("GOOGLETRANSLATE(A14389, ""en"", ""mt"")"),"X'inhuma żewġ mudelli żgħar ta 'karozzi li ma rkuprawx fl-1974?")</f>
        <v>X'inhuma żewġ mudelli żgħar ta 'karozzi li ma rkuprawx fl-1974?</v>
      </c>
    </row>
    <row r="14390" ht="15.75" customHeight="1">
      <c r="A14390" s="2" t="s">
        <v>14390</v>
      </c>
      <c r="B14390" s="2" t="str">
        <f>IFERROR(__xludf.DUMMYFUNCTION("GOOGLETRANSLATE(A14390, ""en"", ""mt"")"),"Klima subtropikali umda")</f>
        <v>Klima subtropikali umda</v>
      </c>
    </row>
    <row r="14391" ht="15.75" customHeight="1">
      <c r="A14391" s="2" t="s">
        <v>14391</v>
      </c>
      <c r="B14391" s="2" t="str">
        <f>IFERROR(__xludf.DUMMYFUNCTION("GOOGLETRANSLATE(A14391, ""en"", ""mt"")"),"Kemm Franċiżi tilfu l-battalja ta 'Carillon?")</f>
        <v>Kemm Franċiżi tilfu l-battalja ta 'Carillon?</v>
      </c>
    </row>
    <row r="14392" ht="15.75" customHeight="1">
      <c r="A14392" s="2" t="s">
        <v>14392</v>
      </c>
      <c r="B14392" s="2" t="str">
        <f>IFERROR(__xludf.DUMMYFUNCTION("GOOGLETRANSLATE(A14392, ""en"", ""mt"")"),"Problema ta 'sodisfazzjon Boolean NP-komplut NP")</f>
        <v>Problema ta 'sodisfazzjon Boolean NP-komplut NP</v>
      </c>
    </row>
    <row r="14393" ht="15.75" customHeight="1">
      <c r="A14393" s="2" t="s">
        <v>14393</v>
      </c>
      <c r="B14393" s="2" t="str">
        <f>IFERROR(__xludf.DUMMYFUNCTION("GOOGLETRANSLATE(A14393, ""en"", ""mt"")"),"Ta 'tħassib partikolari mal-ispiżeriji tal-internet hija l-faċilità li biha n-nies, b'mod partikolari ż-żgħażagħ, jistgħu jiksbu sustanzi kkontrollati (per eżempju, vicodin, magħruf ġenerikament bħala hydrocodone) permezz tal-Internet mingħajr riċetta maħ"&amp;"ruġa minn tabib / prattikant li għandu tabib stabbilit relazzjoni. Hemm ħafna każijiet fejn prattikant joħroġ preskrizzjoni, senserija minn server tal-internet, għal sustanza kkontrollata għal ""pazjent"" li qatt ma ltaqa '. sustanza li għandha tkun valid"&amp;"a, għandha tinħareġ għal skop mediku leġittimu minn prattikant liċenzjat li jaġixxi matul ir-relazzjoni leġittima ta 'tabib-pazjent. L-ispiżerija tal-mili għandha responsabbiltà korrispondenti biex tiżgura li l-preskrizzjoni tkun valida. Ħafna drabi, il-l"&amp;"iġijiet tal-istat individwali jiddeskrivu dak li jiddefinixxi relazzjoni valida tal-pazjent-toctor.")</f>
        <v>Ta 'tħassib partikolari mal-ispiżeriji tal-internet hija l-faċilità li biha n-nies, b'mod partikolari ż-żgħażagħ, jistgħu jiksbu sustanzi kkontrollati (per eżempju, vicodin, magħruf ġenerikament bħala hydrocodone) permezz tal-Internet mingħajr riċetta maħruġa minn tabib / prattikant li għandu tabib stabbilit relazzjoni. Hemm ħafna każijiet fejn prattikant joħroġ preskrizzjoni, senserija minn server tal-internet, għal sustanza kkontrollata għal "pazjent" li qatt ma ltaqa '. sustanza li għandha tkun valida, għandha tinħareġ għal skop mediku leġittimu minn prattikant liċenzjat li jaġixxi matul ir-relazzjoni leġittima ta 'tabib-pazjent. L-ispiżerija tal-mili għandha responsabbiltà korrispondenti biex tiżgura li l-preskrizzjoni tkun valida. Ħafna drabi, il-liġijiet tal-istat individwali jiddeskrivu dak li jiddefinixxi relazzjoni valida tal-pazjent-toctor.</v>
      </c>
    </row>
    <row r="14394" ht="15.75" customHeight="1">
      <c r="A14394" s="2" t="s">
        <v>14394</v>
      </c>
      <c r="B14394" s="2" t="str">
        <f>IFERROR(__xludf.DUMMYFUNCTION("GOOGLETRANSLATE(A14394, ""en"", ""mt"")"),"Cobb Lecture Hall")</f>
        <v>Cobb Lecture Hall</v>
      </c>
    </row>
    <row r="14395" ht="15.75" customHeight="1">
      <c r="A14395" s="2" t="s">
        <v>14395</v>
      </c>
      <c r="B14395" s="2" t="str">
        <f>IFERROR(__xludf.DUMMYFUNCTION("GOOGLETRANSLATE(A14395, ""en"", ""mt"")"),"X'kienet l-insinifikanti tar-rebħa fil-Forth Niagara għall-Ingliżi?")</f>
        <v>X'kienet l-insinifikanti tar-rebħa fil-Forth Niagara għall-Ingliżi?</v>
      </c>
    </row>
    <row r="14396" ht="15.75" customHeight="1">
      <c r="A14396" s="2" t="s">
        <v>14396</v>
      </c>
      <c r="B14396" s="2" t="str">
        <f>IFERROR(__xludf.DUMMYFUNCTION("GOOGLETRANSLATE(A14396, ""en"", ""mt"")"),"Żieda fil-funzjonazzjonijiet (l-affarijiet li persuna tagħmel valuri), kapaċitajiet (il-libertà li tgawdi l-funzjonazzjonijiet) u l-aġenzija (il-kapaċità li ssegwi għanijiet stmati)")</f>
        <v>Żieda fil-funzjonazzjonijiet (l-affarijiet li persuna tagħmel valuri), kapaċitajiet (il-libertà li tgawdi l-funzjonazzjonijiet) u l-aġenzija (il-kapaċità li ssegwi għanijiet stmati)</v>
      </c>
    </row>
    <row r="14397" ht="15.75" customHeight="1">
      <c r="A14397" s="2" t="s">
        <v>14397</v>
      </c>
      <c r="B14397" s="2" t="str">
        <f>IFERROR(__xludf.DUMMYFUNCTION("GOOGLETRANSLATE(A14397, ""en"", ""mt"")"),"il-Moselle")</f>
        <v>il-Moselle</v>
      </c>
    </row>
    <row r="14398" ht="15.75" customHeight="1">
      <c r="A14398" s="2" t="s">
        <v>14398</v>
      </c>
      <c r="B14398" s="2" t="str">
        <f>IFERROR(__xludf.DUMMYFUNCTION("GOOGLETRANSLATE(A14398, ""en"", ""mt"")"),"X'inhu l-ogħla sptar ta 'referenza fil-Polonja kollha?")</f>
        <v>X'inhu l-ogħla sptar ta 'referenza fil-Polonja kollha?</v>
      </c>
    </row>
    <row r="14399" ht="15.75" customHeight="1">
      <c r="A14399" s="2" t="s">
        <v>14399</v>
      </c>
      <c r="B14399" s="2" t="str">
        <f>IFERROR(__xludf.DUMMYFUNCTION("GOOGLETRANSLATE(A14399, ""en"", ""mt"")"),"Kemm hija twila s-sezzjoni tar-Rhine qrib Chur?")</f>
        <v>Kemm hija twila s-sezzjoni tar-Rhine qrib Chur?</v>
      </c>
    </row>
    <row r="14400" ht="15.75" customHeight="1">
      <c r="A14400" s="2" t="s">
        <v>14400</v>
      </c>
      <c r="B14400" s="2" t="str">
        <f>IFERROR(__xludf.DUMMYFUNCTION("GOOGLETRANSLATE(A14400, ""en"", ""mt"")"),"X'inhu joħloq kunflitt bejn problema X u problema C fil-kuntest ta 'tnaqqis?")</f>
        <v>X'inhu joħloq kunflitt bejn problema X u problema C fil-kuntest ta 'tnaqqis?</v>
      </c>
    </row>
    <row r="14401" ht="15.75" customHeight="1">
      <c r="A14401" s="2" t="s">
        <v>14401</v>
      </c>
      <c r="B14401" s="2" t="str">
        <f>IFERROR(__xludf.DUMMYFUNCTION("GOOGLETRANSLATE(A14401, ""en"", ""mt"")"),"Inqas")</f>
        <v>Inqas</v>
      </c>
    </row>
    <row r="14402" ht="15.75" customHeight="1">
      <c r="A14402" s="2" t="s">
        <v>14402</v>
      </c>
      <c r="B14402" s="2" t="str">
        <f>IFERROR(__xludf.DUMMYFUNCTION("GOOGLETRANSLATE(A14402, ""en"", ""mt"")"),"Netwerks ta 'komunikazzjoni li jistgħu jiġu sopravvitabbli")</f>
        <v>Netwerks ta 'komunikazzjoni li jistgħu jiġu sopravvitabbli</v>
      </c>
    </row>
    <row r="14403" ht="15.75" customHeight="1">
      <c r="A14403" s="2" t="s">
        <v>14403</v>
      </c>
      <c r="B14403" s="2" t="str">
        <f>IFERROR(__xludf.DUMMYFUNCTION("GOOGLETRANSLATE(A14403, ""en"", ""mt"")"),"X'tagħmel id-disparità tal-ġid tagħmel l-ekonomija aktar suxxettibbli għal?")</f>
        <v>X'tagħmel id-disparità tal-ġid tagħmel l-ekonomija aktar suxxettibbli għal?</v>
      </c>
    </row>
    <row r="14404" ht="15.75" customHeight="1">
      <c r="A14404" s="2" t="s">
        <v>14404</v>
      </c>
      <c r="B14404" s="2" t="str">
        <f>IFERROR(__xludf.DUMMYFUNCTION("GOOGLETRANSLATE(A14404, ""en"", ""mt"")"),"X'inhu terminu għall-iskejjel li jirċievu għajnuna mill-gvern?")</f>
        <v>X'inhu terminu għall-iskejjel li jirċievu għajnuna mill-gvern?</v>
      </c>
    </row>
    <row r="14405" ht="15.75" customHeight="1">
      <c r="A14405" s="2" t="s">
        <v>14405</v>
      </c>
      <c r="B14405" s="2" t="str">
        <f>IFERROR(__xludf.DUMMYFUNCTION("GOOGLETRANSLATE(A14405, ""en"", ""mt"")"),"L-Aħjar Pjan ta ’Jacksonville")</f>
        <v>L-Aħjar Pjan ta ’Jacksonville</v>
      </c>
    </row>
    <row r="14406" ht="15.75" customHeight="1">
      <c r="A14406" s="2" t="s">
        <v>14406</v>
      </c>
      <c r="B14406" s="2" t="str">
        <f>IFERROR(__xludf.DUMMYFUNCTION("GOOGLETRANSLATE(A14406, ""en"", ""mt"")"),"Legalizza l-importazzjoni ta 'mediċini")</f>
        <v>Legalizza l-importazzjoni ta 'mediċini</v>
      </c>
    </row>
    <row r="14407" ht="15.75" customHeight="1">
      <c r="A14407" s="2" t="s">
        <v>14407</v>
      </c>
      <c r="B14407" s="2" t="str">
        <f>IFERROR(__xludf.DUMMYFUNCTION("GOOGLETRANSLATE(A14407, ""en"", ""mt"")"),"Liema kundizzjonijiet għandhom jiġu sodisfatti għal riċetta biex sustanza kkontrollata tkun valida?")</f>
        <v>Liema kundizzjonijiet għandhom jiġu sodisfatti għal riċetta biex sustanza kkontrollata tkun valida?</v>
      </c>
    </row>
    <row r="14408" ht="15.75" customHeight="1">
      <c r="A14408" s="2" t="s">
        <v>14408</v>
      </c>
      <c r="B14408" s="2" t="str">
        <f>IFERROR(__xludf.DUMMYFUNCTION("GOOGLETRANSLATE(A14408, ""en"", ""mt"")"),"Relatività speċifika toffri ekwivalenza bejn xiex?")</f>
        <v>Relatività speċifika toffri ekwivalenza bejn xiex?</v>
      </c>
    </row>
    <row r="14409" ht="15.75" customHeight="1">
      <c r="A14409" s="2" t="s">
        <v>14409</v>
      </c>
      <c r="B14409" s="2" t="str">
        <f>IFERROR(__xludf.DUMMYFUNCTION("GOOGLETRANSLATE(A14409, ""en"", ""mt"")"),"Verżjonijiet tax-xogħol tat-teknoloġija tal-bini tal-istampar 3D diġà qed jistampaw kemm materjal tal-bini fis-siegħa?")</f>
        <v>Verżjonijiet tax-xogħol tat-teknoloġija tal-bini tal-istampar 3D diġà qed jistampaw kemm materjal tal-bini fis-siegħa?</v>
      </c>
    </row>
    <row r="14410" ht="15.75" customHeight="1">
      <c r="A14410" s="2" t="s">
        <v>14410</v>
      </c>
      <c r="B14410" s="2" t="str">
        <f>IFERROR(__xludf.DUMMYFUNCTION("GOOGLETRANSLATE(A14410, ""en"", ""mt"")"),"ossiġenu molekulari u idroġenu")</f>
        <v>ossiġenu molekulari u idroġenu</v>
      </c>
    </row>
    <row r="14411" ht="15.75" customHeight="1">
      <c r="A14411" s="2" t="s">
        <v>14411</v>
      </c>
      <c r="B14411" s="2" t="str">
        <f>IFERROR(__xludf.DUMMYFUNCTION("GOOGLETRANSLATE(A14411, ""en"", ""mt"")"),"Kemm huguenots inqatlu f'Toulouse?")</f>
        <v>Kemm huguenots inqatlu f'Toulouse?</v>
      </c>
    </row>
    <row r="14412" ht="15.75" customHeight="1">
      <c r="A14412" s="2" t="s">
        <v>14412</v>
      </c>
      <c r="B14412" s="2" t="str">
        <f>IFERROR(__xludf.DUMMYFUNCTION("GOOGLETRANSLATE(A14412, ""en"", ""mt"")"),"Bankier ta 'l-Ipoteka")</f>
        <v>Bankier ta 'l-Ipoteka</v>
      </c>
    </row>
    <row r="14413" ht="15.75" customHeight="1">
      <c r="A14413" s="2" t="s">
        <v>14413</v>
      </c>
      <c r="B14413" s="2" t="str">
        <f>IFERROR(__xludf.DUMMYFUNCTION("GOOGLETRANSLATE(A14413, ""en"", ""mt"")"),"X’malimitaw it-trattati?")</f>
        <v>X’malimitaw it-trattati?</v>
      </c>
    </row>
    <row r="14414" ht="15.75" customHeight="1">
      <c r="A14414" s="2" t="s">
        <v>14414</v>
      </c>
      <c r="B14414" s="2" t="str">
        <f>IFERROR(__xludf.DUMMYFUNCTION("GOOGLETRANSLATE(A14414, ""en"", ""mt"")"),"Liema ġene huwa espress miċ-ċellula B?")</f>
        <v>Liema ġene huwa espress miċ-ċellula B?</v>
      </c>
    </row>
    <row r="14415" ht="15.75" customHeight="1">
      <c r="A14415" s="2" t="s">
        <v>14415</v>
      </c>
      <c r="B14415" s="2" t="str">
        <f>IFERROR(__xludf.DUMMYFUNCTION("GOOGLETRANSLATE(A14415, ""en"", ""mt"")"),"Minn xiex tista 'tingħalaq il-Mesoglea?")</f>
        <v>Minn xiex tista 'tingħalaq il-Mesoglea?</v>
      </c>
    </row>
    <row r="14416" ht="15.75" customHeight="1">
      <c r="A14416" s="2" t="s">
        <v>14416</v>
      </c>
      <c r="B14416" s="2" t="str">
        <f>IFERROR(__xludf.DUMMYFUNCTION("GOOGLETRANSLATE(A14416, ""en"", ""mt"")"),"Kif tista 'tipprotesta kontra l-WBAI u l-politiki tagħha bħala individwu?")</f>
        <v>Kif tista 'tipprotesta kontra l-WBAI u l-politiki tagħha bħala individwu?</v>
      </c>
    </row>
    <row r="14417" ht="15.75" customHeight="1">
      <c r="A14417" s="2" t="s">
        <v>14417</v>
      </c>
      <c r="B14417" s="2" t="str">
        <f>IFERROR(__xludf.DUMMYFUNCTION("GOOGLETRANSLATE(A14417, ""en"", ""mt"")"),"X'kienet il-kapitali tal-Imperu Ottoman?")</f>
        <v>X'kienet il-kapitali tal-Imperu Ottoman?</v>
      </c>
    </row>
    <row r="14418" ht="15.75" customHeight="1">
      <c r="A14418" s="2" t="s">
        <v>14418</v>
      </c>
      <c r="B14418" s="2" t="str">
        <f>IFERROR(__xludf.DUMMYFUNCTION("GOOGLETRANSLATE(A14418, ""en"", ""mt"")"),"Liema Californio jinsab fil-parti ta 'fuq?")</f>
        <v>Liema Californio jinsab fil-parti ta 'fuq?</v>
      </c>
    </row>
    <row r="14419" ht="15.75" customHeight="1">
      <c r="A14419" s="2" t="s">
        <v>14419</v>
      </c>
      <c r="B14419" s="2" t="str">
        <f>IFERROR(__xludf.DUMMYFUNCTION("GOOGLETRANSLATE(A14419, ""en"", ""mt"")"),"X’semmew diskorsi mogħtija min-Navy dwar it-trattament tagħhom minn dimostranti?")</f>
        <v>X’semmew diskorsi mogħtija min-Navy dwar it-trattament tagħhom minn dimostranti?</v>
      </c>
    </row>
    <row r="14420" ht="15.75" customHeight="1">
      <c r="A14420" s="2" t="s">
        <v>14420</v>
      </c>
      <c r="B14420" s="2" t="str">
        <f>IFERROR(__xludf.DUMMYFUNCTION("GOOGLETRANSLATE(A14420, ""en"", ""mt"")"),"Liema data ġie ppubblikat ir-raba 'rapport ta' stima?")</f>
        <v>Liema data ġie ppubblikat ir-raba 'rapport ta' stima?</v>
      </c>
    </row>
    <row r="14421" ht="15.75" customHeight="1">
      <c r="A14421" s="2" t="s">
        <v>14421</v>
      </c>
      <c r="B14421" s="2" t="str">
        <f>IFERROR(__xludf.DUMMYFUNCTION("GOOGLETRANSLATE(A14421, ""en"", ""mt"")"),"Min jistabbilixxi l-aġenda tax-xogħol u jalloka l-ħin fil-kamra?")</f>
        <v>Min jistabbilixxi l-aġenda tax-xogħol u jalloka l-ħin fil-kamra?</v>
      </c>
    </row>
    <row r="14422" ht="15.75" customHeight="1">
      <c r="A14422" s="2" t="s">
        <v>14422</v>
      </c>
      <c r="B14422" s="2" t="str">
        <f>IFERROR(__xludf.DUMMYFUNCTION("GOOGLETRANSLATE(A14422, ""en"", ""mt"")"),"bizzilla")</f>
        <v>bizzilla</v>
      </c>
    </row>
    <row r="14423" ht="15.75" customHeight="1">
      <c r="A14423" s="2" t="s">
        <v>14423</v>
      </c>
      <c r="B14423" s="2" t="str">
        <f>IFERROR(__xludf.DUMMYFUNCTION("GOOGLETRANSLATE(A14423, ""en"", ""mt"")"),"Cornell")</f>
        <v>Cornell</v>
      </c>
    </row>
    <row r="14424" ht="15.75" customHeight="1">
      <c r="A14424" s="2" t="s">
        <v>14424</v>
      </c>
      <c r="B14424" s="2" t="str">
        <f>IFERROR(__xludf.DUMMYFUNCTION("GOOGLETRANSLATE(A14424, ""en"", ""mt"")"),"Ġie muri minn Ladner li jekk P ≠ NP allura jeżistu problemi f'NP li la huma f'P u lanqas f'NP-komplut. Problemi bħal dawn jissejħu problemi intermedjati NP. Il-problema tal-isomorfiżmu tal-graff, il-problema diskreta tal-logaritmu u l-problema ta 'fatturi"&amp;"zzazzjoni integri huma eżempji ta' problemi maħsuba li huma intermedji NP. Huma wħud mill-ftit problemi tal-NP mhux magħrufa li huma f'P jew li huma NP-kompluta.")</f>
        <v>Ġie muri minn Ladner li jekk P ≠ NP allura jeżistu problemi f'NP li la huma f'P u lanqas f'NP-komplut. Problemi bħal dawn jissejħu problemi intermedjati NP. Il-problema tal-isomorfiżmu tal-graff, il-problema diskreta tal-logaritmu u l-problema ta 'fatturizzazzjoni integri huma eżempji ta' problemi maħsuba li huma intermedji NP. Huma wħud mill-ftit problemi tal-NP mhux magħrufa li huma f'P jew li huma NP-kompluta.</v>
      </c>
    </row>
    <row r="14425" ht="15.75" customHeight="1">
      <c r="A14425" s="2" t="s">
        <v>14425</v>
      </c>
      <c r="B14425" s="2" t="str">
        <f>IFERROR(__xludf.DUMMYFUNCTION("GOOGLETRANSLATE(A14425, ""en"", ""mt"")"),"Kif jissejħu l-iskejjel li ma jitolbux tagħlim fl-Austraila?")</f>
        <v>Kif jissejħu l-iskejjel li ma jitolbux tagħlim fl-Austraila?</v>
      </c>
    </row>
    <row r="14426" ht="15.75" customHeight="1">
      <c r="A14426" s="2" t="s">
        <v>14426</v>
      </c>
      <c r="B14426" s="2" t="str">
        <f>IFERROR(__xludf.DUMMYFUNCTION("GOOGLETRANSLATE(A14426, ""en"", ""mt"")"),"Kemm hemm ringieli ta 'pettnijiet?")</f>
        <v>Kemm hemm ringieli ta 'pettnijiet?</v>
      </c>
    </row>
    <row r="14427" ht="15.75" customHeight="1">
      <c r="A14427" s="2" t="s">
        <v>14427</v>
      </c>
      <c r="B14427" s="2" t="str">
        <f>IFERROR(__xludf.DUMMYFUNCTION("GOOGLETRANSLATE(A14427, ""en"", ""mt"")"),"X'tip ta 'arkati għandha l-arkitettura Norman?")</f>
        <v>X'tip ta 'arkati għandha l-arkitettura Norman?</v>
      </c>
    </row>
    <row r="14428" ht="15.75" customHeight="1">
      <c r="A14428" s="2" t="s">
        <v>14428</v>
      </c>
      <c r="B14428" s="2" t="str">
        <f>IFERROR(__xludf.DUMMYFUNCTION("GOOGLETRANSLATE(A14428, ""en"", ""mt"")"),"Strateġija ta 'evażjoni użata minn diversi patoġeni biex tevita s-sistema immuni innata hija li tinħeba fiċ-ċelloli tal-ospitanti tagħhom (imsejħa wkoll patoġenesi intraċellulari). Hawnhekk, patoġen iqatta 'l-biċċa l-kbira taċ-ċiklu tal-ħajja tiegħu ġewwa"&amp;" ċ-ċelloli ospitanti, fejn huwa protett minn kuntatt dirett ma' ċelloli immuni, antikorpi u kumpliment. Xi eżempji ta 'patoġeni intraċellulari jinkludu viruses, batterju ta' avvelenament mill-ikel Salmonella u l-parassiti ewkarjotiċi li jikkawżaw malarja "&amp;"(Plasmodium falciparum) u leishmaniasis (Leishmania spp.). Batterji oħra, bħal Mycobacterium tuberculosis, jgħixu ġewwa kapsula protettiva li tipprevjeni lisi bil-kumpliment. Ħafna patoġeni inixxu l-komposti li jnaqqsu jew jidderieġu ħażin ir-rispons immu"&amp;"ni tal-ospitanti. Xi batterji jiffurmaw bijofilms biex jipproteġu lilhom infushom miċ-ċelloli u l-proteini tas-sistema immunitarja. Tali bijofilmi huma preżenti f'ħafna infezzjonijiet ta 'suċċess, per eżempju, l-infezzjonijiet kroniċi ta' Pseudomonas aeru"&amp;"ginosa u Burkholderia cenocepacia karatteristiċi tal-fibrożi ċistika. Batterji oħra jiġġeneraw proteini tal-wiċċ li jorbtu ma 'antikorpi, u jagħmluhom ineffettivi; Eżempji jinkludu streptococcus (proteina G), staphylococcus aureus (proteina A), u peptostr"&amp;"eptococcus magnus (proteina L).")</f>
        <v>Strateġija ta 'evażjoni użata minn diversi patoġeni biex tevita s-sistema immuni innata hija li tinħeba fiċ-ċelloli tal-ospitanti tagħhom (imsejħa wkoll patoġenesi intraċellulari). Hawnhekk, patoġen iqatta 'l-biċċa l-kbira taċ-ċiklu tal-ħajja tiegħu ġewwa ċ-ċelloli ospitanti, fejn huwa protett minn kuntatt dirett ma' ċelloli immuni, antikorpi u kumpliment. Xi eżempji ta 'patoġeni intraċellulari jinkludu viruses, batterju ta' avvelenament mill-ikel Salmonella u l-parassiti ewkarjotiċi li jikkawżaw malarja (Plasmodium falciparum) u leishmaniasis (Leishmania spp.). Batterji oħra, bħal Mycobacterium tuberculosis, jgħixu ġewwa kapsula protettiva li tipprevjeni lisi bil-kumpliment. Ħafna patoġeni inixxu l-komposti li jnaqqsu jew jidderieġu ħażin ir-rispons immuni tal-ospitanti. Xi batterji jiffurmaw bijofilms biex jipproteġu lilhom infushom miċ-ċelloli u l-proteini tas-sistema immunitarja. Tali bijofilmi huma preżenti f'ħafna infezzjonijiet ta 'suċċess, per eżempju, l-infezzjonijiet kroniċi ta' Pseudomonas aeruginosa u Burkholderia cenocepacia karatteristiċi tal-fibrożi ċistika. Batterji oħra jiġġeneraw proteini tal-wiċċ li jorbtu ma 'antikorpi, u jagħmluhom ineffettivi; Eżempji jinkludu streptococcus (proteina G), staphylococcus aureus (proteina A), u peptostreptococcus magnus (proteina L).</v>
      </c>
    </row>
    <row r="14429" ht="15.75" customHeight="1">
      <c r="A14429" s="2" t="s">
        <v>14429</v>
      </c>
      <c r="B14429" s="2" t="str">
        <f>IFERROR(__xludf.DUMMYFUNCTION("GOOGLETRANSLATE(A14429, ""en"", ""mt"")"),"Dimostrazzjoni ta 'protesta legali, diżubbidjenza ċivili mhux vjolenti, u diżubbidjenza ċivili vjolenti")</f>
        <v>Dimostrazzjoni ta 'protesta legali, diżubbidjenza ċivili mhux vjolenti, u diżubbidjenza ċivili vjolenti</v>
      </c>
    </row>
    <row r="14430" ht="15.75" customHeight="1">
      <c r="A14430" s="2" t="s">
        <v>14430</v>
      </c>
      <c r="B14430" s="2" t="str">
        <f>IFERROR(__xludf.DUMMYFUNCTION("GOOGLETRANSLATE(A14430, ""en"", ""mt"")"),"tlieta jew erbgħa")</f>
        <v>tlieta jew erbgħa</v>
      </c>
    </row>
    <row r="14431" ht="15.75" customHeight="1">
      <c r="A14431" s="2" t="s">
        <v>14431</v>
      </c>
      <c r="B14431" s="2" t="str">
        <f>IFERROR(__xludf.DUMMYFUNCTION("GOOGLETRANSLATE(A14431, ""en"", ""mt"")"),"Min kien l-ewwel president elett demokratikament tal-Eġittu?")</f>
        <v>Min kien l-ewwel president elett demokratikament tal-Eġittu?</v>
      </c>
    </row>
    <row r="14432" ht="15.75" customHeight="1">
      <c r="A14432" s="2" t="s">
        <v>14432</v>
      </c>
      <c r="B14432" s="2" t="str">
        <f>IFERROR(__xludf.DUMMYFUNCTION("GOOGLETRANSLATE(A14432, ""en"", ""mt"")"),"bi jew mingħajr l-għoqiedi li jibgħat intermedji")</f>
        <v>bi jew mingħajr l-għoqiedi li jibgħat intermedji</v>
      </c>
    </row>
    <row r="14433" ht="15.75" customHeight="1">
      <c r="A14433" s="2" t="s">
        <v>14433</v>
      </c>
      <c r="B14433" s="2" t="str">
        <f>IFERROR(__xludf.DUMMYFUNCTION("GOOGLETRANSLATE(A14433, ""en"", ""mt"")"),"X'tip ta 'mediċina uża l-Mongolja Shamans?")</f>
        <v>X'tip ta 'mediċina uża l-Mongolja Shamans?</v>
      </c>
    </row>
    <row r="14434" ht="15.75" customHeight="1">
      <c r="A14434" s="2" t="s">
        <v>14434</v>
      </c>
      <c r="B14434" s="2" t="str">
        <f>IFERROR(__xludf.DUMMYFUNCTION("GOOGLETRANSLATE(A14434, ""en"", ""mt"")"),"testendi riċettur ta 'vitamina D")</f>
        <v>testendi riċettur ta 'vitamina D</v>
      </c>
    </row>
    <row r="14435" ht="15.75" customHeight="1">
      <c r="A14435" s="2" t="s">
        <v>14435</v>
      </c>
      <c r="B14435" s="2" t="str">
        <f>IFERROR(__xludf.DUMMYFUNCTION("GOOGLETRANSLATE(A14435, ""en"", ""mt"")"),"X'inhi l-itwal xmara fil-Ġermanja?")</f>
        <v>X'inhi l-itwal xmara fil-Ġermanja?</v>
      </c>
    </row>
    <row r="14436" ht="15.75" customHeight="1">
      <c r="A14436" s="2" t="s">
        <v>14436</v>
      </c>
      <c r="B14436" s="2" t="str">
        <f>IFERROR(__xludf.DUMMYFUNCTION("GOOGLETRANSLATE(A14436, ""en"", ""mt"")"),"Ir-Rhine Gorge huwa bejn Koblenz u liema belt oħra?")</f>
        <v>Ir-Rhine Gorge huwa bejn Koblenz u liema belt oħra?</v>
      </c>
    </row>
    <row r="14437" ht="15.75" customHeight="1">
      <c r="A14437" s="2" t="s">
        <v>14437</v>
      </c>
      <c r="B14437" s="2" t="str">
        <f>IFERROR(__xludf.DUMMYFUNCTION("GOOGLETRANSLATE(A14437, ""en"", ""mt"")"),"X'inhi raġuni oħra li Al-Hasa kien qed jixtri armi mingħand ir-Russja?")</f>
        <v>X'inhi raġuni oħra li Al-Hasa kien qed jixtri armi mingħand ir-Russja?</v>
      </c>
    </row>
    <row r="14438" ht="15.75" customHeight="1">
      <c r="A14438" s="2" t="s">
        <v>14438</v>
      </c>
      <c r="B14438" s="2" t="str">
        <f>IFERROR(__xludf.DUMMYFUNCTION("GOOGLETRANSLATE(A14438, ""en"", ""mt"")"),"Telenet ġie inkorporat fl-1973 u beda jopera fl-1975. Huwa sar pubbliku fl-1979 u mbagħad inbiegħ lil GTE")</f>
        <v>Telenet ġie inkorporat fl-1973 u beda jopera fl-1975. Huwa sar pubbliku fl-1979 u mbagħad inbiegħ lil GTE</v>
      </c>
    </row>
    <row r="14439" ht="15.75" customHeight="1">
      <c r="A14439" s="2" t="s">
        <v>14439</v>
      </c>
      <c r="B14439" s="2" t="str">
        <f>IFERROR(__xludf.DUMMYFUNCTION("GOOGLETRANSLATE(A14439, ""en"", ""mt"")"),"Matul liema perjodu rnexxielhom Fresno downtown?")</f>
        <v>Matul liema perjodu rnexxielhom Fresno downtown?</v>
      </c>
    </row>
    <row r="14440" ht="15.75" customHeight="1">
      <c r="A14440" s="2" t="s">
        <v>14440</v>
      </c>
      <c r="B14440" s="2" t="str">
        <f>IFERROR(__xludf.DUMMYFUNCTION("GOOGLETRANSLATE(A14440, ""en"", ""mt"")"),"Kumpless tax-Xjenza Allston")</f>
        <v>Kumpless tax-Xjenza Allston</v>
      </c>
    </row>
    <row r="14441" ht="15.75" customHeight="1">
      <c r="A14441" s="2" t="s">
        <v>14441</v>
      </c>
      <c r="B14441" s="2" t="str">
        <f>IFERROR(__xludf.DUMMYFUNCTION("GOOGLETRANSLATE(A14441, ""en"", ""mt"")"),"F'liema sena kkaratterizza Edmond bħala algoritmu ""tajjeb""?")</f>
        <v>F'liema sena kkaratterizza Edmond bħala algoritmu "tajjeb"?</v>
      </c>
    </row>
    <row r="14442" ht="15.75" customHeight="1">
      <c r="A14442" s="2" t="s">
        <v>14442</v>
      </c>
      <c r="B14442" s="2" t="str">
        <f>IFERROR(__xludf.DUMMYFUNCTION("GOOGLETRANSLATE(A14442, ""en"", ""mt"")"),"Matul kemm studji wrew li l-vjolenza hija inqas komuni f'soċjetajiet b'differenzi ta 'dħul?")</f>
        <v>Matul kemm studji wrew li l-vjolenza hija inqas komuni f'soċjetajiet b'differenzi ta 'dħul?</v>
      </c>
    </row>
    <row r="14443" ht="15.75" customHeight="1">
      <c r="A14443" s="2" t="s">
        <v>14443</v>
      </c>
      <c r="B14443" s="2" t="str">
        <f>IFERROR(__xludf.DUMMYFUNCTION("GOOGLETRANSLATE(A14443, ""en"", ""mt"")"),"X'kien is-sors tar-Renu fl-aħħar era tas-silġ?")</f>
        <v>X'kien is-sors tar-Renu fl-aħħar era tas-silġ?</v>
      </c>
    </row>
    <row r="14444" ht="15.75" customHeight="1">
      <c r="A14444" s="2" t="s">
        <v>14444</v>
      </c>
      <c r="B14444" s="2" t="str">
        <f>IFERROR(__xludf.DUMMYFUNCTION("GOOGLETRANSLATE(A14444, ""en"", ""mt"")"),"Kif jissejjaħ l-akbar port fl-Ewropa?")</f>
        <v>Kif jissejjaħ l-akbar port fl-Ewropa?</v>
      </c>
    </row>
    <row r="14445" ht="15.75" customHeight="1">
      <c r="A14445" s="2" t="s">
        <v>14445</v>
      </c>
      <c r="B14445" s="2" t="str">
        <f>IFERROR(__xludf.DUMMYFUNCTION("GOOGLETRANSLATE(A14445, ""en"", ""mt"")"),"respirazzjoni ċellulari")</f>
        <v>respirazzjoni ċellulari</v>
      </c>
    </row>
    <row r="14446" ht="15.75" customHeight="1">
      <c r="A14446" s="2" t="s">
        <v>14446</v>
      </c>
      <c r="B14446" s="2" t="str">
        <f>IFERROR(__xludf.DUMMYFUNCTION("GOOGLETRANSLATE(A14446, ""en"", ""mt"")"),"1421")</f>
        <v>1421</v>
      </c>
    </row>
    <row r="14447" ht="15.75" customHeight="1">
      <c r="A14447" s="2" t="s">
        <v>14447</v>
      </c>
      <c r="B14447" s="2" t="str">
        <f>IFERROR(__xludf.DUMMYFUNCTION("GOOGLETRANSLATE(A14447, ""en"", ""mt"")"),"Kemm għamlet Sky biex titlef l-4 pakketti tax-xandir?")</f>
        <v>Kemm għamlet Sky biex titlef l-4 pakketti tax-xandir?</v>
      </c>
    </row>
    <row r="14448" ht="15.75" customHeight="1">
      <c r="A14448" s="2" t="s">
        <v>14448</v>
      </c>
      <c r="B14448" s="2" t="str">
        <f>IFERROR(__xludf.DUMMYFUNCTION("GOOGLETRANSLATE(A14448, ""en"", ""mt"")"),"X'kien eżempju ta 'tip ta' bastiment tal-gwerra li kien jeħtieġ magni ta 'espansjoni?")</f>
        <v>X'kien eżempju ta 'tip ta' bastiment tal-gwerra li kien jeħtieġ magni ta 'espansjoni?</v>
      </c>
    </row>
    <row r="14449" ht="15.75" customHeight="1">
      <c r="A14449" s="2" t="s">
        <v>14449</v>
      </c>
      <c r="B14449" s="2" t="str">
        <f>IFERROR(__xludf.DUMMYFUNCTION("GOOGLETRANSLATE(A14449, ""en"", ""mt"")"),"X'inhi infezzjoni kkawżata minn żieda żejda ta 'batterji?")</f>
        <v>X'inhi infezzjoni kkawżata minn żieda żejda ta 'batterji?</v>
      </c>
    </row>
    <row r="14450" ht="15.75" customHeight="1">
      <c r="A14450" s="2" t="s">
        <v>14450</v>
      </c>
      <c r="B14450" s="2" t="str">
        <f>IFERROR(__xludf.DUMMYFUNCTION("GOOGLETRANSLATE(A14450, ""en"", ""mt"")"),"Kemm korpi ta 'ilma jiffurmaw il-Lag Constance?")</f>
        <v>Kemm korpi ta 'ilma jiffurmaw il-Lag Constance?</v>
      </c>
    </row>
    <row r="14451" ht="15.75" customHeight="1">
      <c r="A14451" s="2" t="s">
        <v>14451</v>
      </c>
      <c r="B14451" s="2" t="str">
        <f>IFERROR(__xludf.DUMMYFUNCTION("GOOGLETRANSLATE(A14451, ""en"", ""mt"")"),"It-tiswir ta 'ideat dwar is-suq ħieles")</f>
        <v>It-tiswir ta 'ideat dwar is-suq ħieles</v>
      </c>
    </row>
    <row r="14452" ht="15.75" customHeight="1">
      <c r="A14452" s="2" t="s">
        <v>14452</v>
      </c>
      <c r="B14452" s="2" t="str">
        <f>IFERROR(__xludf.DUMMYFUNCTION("GOOGLETRANSLATE(A14452, ""en"", ""mt"")"),"Meta ma kienx l-akkwist Spanjol tat-territorju ta 'Louisiana mhux komplut?")</f>
        <v>Meta ma kienx l-akkwist Spanjol tat-territorju ta 'Louisiana mhux komplut?</v>
      </c>
    </row>
    <row r="14453" ht="15.75" customHeight="1">
      <c r="A14453" s="2" t="s">
        <v>14453</v>
      </c>
      <c r="B14453" s="2" t="str">
        <f>IFERROR(__xludf.DUMMYFUNCTION("GOOGLETRANSLATE(A14453, ""en"", ""mt"")"),"Trattat dwar l-Unjoni Ewropea (TEU)")</f>
        <v>Trattat dwar l-Unjoni Ewropea (TEU)</v>
      </c>
    </row>
    <row r="14454" ht="15.75" customHeight="1">
      <c r="A14454" s="2" t="s">
        <v>14454</v>
      </c>
      <c r="B14454" s="2" t="str">
        <f>IFERROR(__xludf.DUMMYFUNCTION("GOOGLETRANSLATE(A14454, ""en"", ""mt"")"),"Magni tat-Turing tape Uniku")</f>
        <v>Magni tat-Turing tape Uniku</v>
      </c>
    </row>
    <row r="14455" ht="15.75" customHeight="1">
      <c r="A14455" s="2" t="s">
        <v>14455</v>
      </c>
      <c r="B14455" s="2" t="str">
        <f>IFERROR(__xludf.DUMMYFUNCTION("GOOGLETRANSLATE(A14455, ""en"", ""mt"")"),"werqa tal-irmied")</f>
        <v>werqa tal-irmied</v>
      </c>
    </row>
    <row r="14456" ht="15.75" customHeight="1">
      <c r="A14456" s="2" t="s">
        <v>14456</v>
      </c>
      <c r="B14456" s="2" t="str">
        <f>IFERROR(__xludf.DUMMYFUNCTION("GOOGLETRANSLATE(A14456, ""en"", ""mt"")"),"1340s 'il quddiem")</f>
        <v>1340s 'il quddiem</v>
      </c>
    </row>
    <row r="14457" ht="15.75" customHeight="1">
      <c r="A14457" s="2" t="s">
        <v>14457</v>
      </c>
      <c r="B14457" s="2" t="str">
        <f>IFERROR(__xludf.DUMMYFUNCTION("GOOGLETRANSLATE(A14457, ""en"", ""mt"")"),"Jani Beg")</f>
        <v>Jani Beg</v>
      </c>
    </row>
    <row r="14458" ht="15.75" customHeight="1">
      <c r="A14458" s="2" t="s">
        <v>14458</v>
      </c>
      <c r="B14458" s="2" t="str">
        <f>IFERROR(__xludf.DUMMYFUNCTION("GOOGLETRANSLATE(A14458, ""en"", ""mt"")"),"Fejn tinsab il-ħalq fuq il-Pleuobrachia?")</f>
        <v>Fejn tinsab il-ħalq fuq il-Pleuobrachia?</v>
      </c>
    </row>
    <row r="14459" ht="15.75" customHeight="1">
      <c r="A14459" s="2" t="s">
        <v>14459</v>
      </c>
      <c r="B14459" s="2" t="str">
        <f>IFERROR(__xludf.DUMMYFUNCTION("GOOGLETRANSLATE(A14459, ""en"", ""mt"")"),"Franċiż")</f>
        <v>Franċiż</v>
      </c>
    </row>
    <row r="14460" ht="15.75" customHeight="1">
      <c r="A14460" s="2" t="s">
        <v>14460</v>
      </c>
      <c r="B14460" s="2" t="str">
        <f>IFERROR(__xludf.DUMMYFUNCTION("GOOGLETRANSLATE(A14460, ""en"", ""mt"")"),"X'inhu aspett wieħed ta 'l-idrografija ta' l-ex delta kkaratterizzata minn?")</f>
        <v>X'inhu aspett wieħed ta 'l-idrografija ta' l-ex delta kkaratterizzata minn?</v>
      </c>
    </row>
    <row r="14461" ht="15.75" customHeight="1">
      <c r="A14461" s="2" t="s">
        <v>14461</v>
      </c>
      <c r="B14461" s="2" t="str">
        <f>IFERROR(__xludf.DUMMYFUNCTION("GOOGLETRANSLATE(A14461, ""en"", ""mt"")"),"Browlee japplika wkoll li d-diżubbidjenza ċivili hija tajba rigward?")</f>
        <v>Browlee japplika wkoll li d-diżubbidjenza ċivili hija tajba rigward?</v>
      </c>
    </row>
    <row r="14462" ht="15.75" customHeight="1">
      <c r="A14462" s="2" t="s">
        <v>14462</v>
      </c>
      <c r="B14462" s="2" t="str">
        <f>IFERROR(__xludf.DUMMYFUNCTION("GOOGLETRANSLATE(A14462, ""en"", ""mt"")"),"Kumitat")</f>
        <v>Kumitat</v>
      </c>
    </row>
    <row r="14463" ht="15.75" customHeight="1">
      <c r="A14463" s="2" t="s">
        <v>14463</v>
      </c>
      <c r="B14463" s="2" t="str">
        <f>IFERROR(__xludf.DUMMYFUNCTION("GOOGLETRANSLATE(A14463, ""en"", ""mt"")"),"Liema triq tbiddel id-direzzjoni ta 'oġġett?")</f>
        <v>Liema triq tbiddel id-direzzjoni ta 'oġġett?</v>
      </c>
    </row>
    <row r="14464" ht="15.75" customHeight="1">
      <c r="A14464" s="2" t="s">
        <v>14464</v>
      </c>
      <c r="B14464" s="2" t="str">
        <f>IFERROR(__xludf.DUMMYFUNCTION("GOOGLETRANSLATE(A14464, ""en"", ""mt"")"),"X'inhu użat biex insemmu l-istren tal-gravità relattiva?")</f>
        <v>X'inhu użat biex insemmu l-istren tal-gravità relattiva?</v>
      </c>
    </row>
    <row r="14465" ht="15.75" customHeight="1">
      <c r="A14465" s="2" t="s">
        <v>14465</v>
      </c>
      <c r="B14465" s="2" t="str">
        <f>IFERROR(__xludf.DUMMYFUNCTION("GOOGLETRANSLATE(A14465, ""en"", ""mt"")"),"Fil-fluwidi estiżi, ix-xebh fil-pressjoni jirriżulta li l-forzi jiġu diretti fejn?")</f>
        <v>Fil-fluwidi estiżi, ix-xebh fil-pressjoni jirriżulta li l-forzi jiġu diretti fejn?</v>
      </c>
    </row>
    <row r="14466" ht="15.75" customHeight="1">
      <c r="A14466" s="2" t="s">
        <v>14466</v>
      </c>
      <c r="B14466" s="2" t="str">
        <f>IFERROR(__xludf.DUMMYFUNCTION("GOOGLETRANSLATE(A14466, ""en"", ""mt"")"),"Liema fergħa militari għandha ħafna mill-popolazzjoni Għarbija ta 'Jacksonville?")</f>
        <v>Liema fergħa militari għandha ħafna mill-popolazzjoni Għarbija ta 'Jacksonville?</v>
      </c>
    </row>
    <row r="14467" ht="15.75" customHeight="1">
      <c r="A14467" s="2" t="s">
        <v>14467</v>
      </c>
      <c r="B14467" s="2" t="str">
        <f>IFERROR(__xludf.DUMMYFUNCTION("GOOGLETRANSLATE(A14467, ""en"", ""mt"")"),"University City hija eżempju ta 'distrett ta' negozju li jinsab f'liema belt?")</f>
        <v>University City hija eżempju ta 'distrett ta' negozju li jinsab f'liema belt?</v>
      </c>
    </row>
    <row r="14468" ht="15.75" customHeight="1">
      <c r="A14468" s="2" t="s">
        <v>14468</v>
      </c>
      <c r="B14468" s="2" t="str">
        <f>IFERROR(__xludf.DUMMYFUNCTION("GOOGLETRANSLATE(A14468, ""en"", ""mt"")"),"triq parabolika")</f>
        <v>triq parabolika</v>
      </c>
    </row>
    <row r="14469" ht="15.75" customHeight="1">
      <c r="A14469" s="2" t="s">
        <v>14469</v>
      </c>
      <c r="B14469" s="2" t="str">
        <f>IFERROR(__xludf.DUMMYFUNCTION("GOOGLETRANSLATE(A14469, ""en"", ""mt"")"),"X'kienet l-okkupazzjoni ta 'Joseph Priestley?")</f>
        <v>X'kienet l-okkupazzjoni ta 'Joseph Priestley?</v>
      </c>
    </row>
    <row r="14470" ht="15.75" customHeight="1">
      <c r="A14470" s="2" t="s">
        <v>14470</v>
      </c>
      <c r="B14470" s="2" t="str">
        <f>IFERROR(__xludf.DUMMYFUNCTION("GOOGLETRANSLATE(A14470, ""en"", ""mt"")"),"Liema xmara tgħaddi minn Carpathia?")</f>
        <v>Liema xmara tgħaddi minn Carpathia?</v>
      </c>
    </row>
    <row r="14471" ht="15.75" customHeight="1">
      <c r="A14471" s="2" t="s">
        <v>14471</v>
      </c>
      <c r="B14471" s="2" t="str">
        <f>IFERROR(__xludf.DUMMYFUNCTION("GOOGLETRANSLATE(A14471, ""en"", ""mt"")"),"Hu li jagħmel affarijiet kbar")</f>
        <v>Hu li jagħmel affarijiet kbar</v>
      </c>
    </row>
    <row r="14472" ht="15.75" customHeight="1">
      <c r="A14472" s="2" t="s">
        <v>14472</v>
      </c>
      <c r="B14472" s="2" t="str">
        <f>IFERROR(__xludf.DUMMYFUNCTION("GOOGLETRANSLATE(A14472, ""en"", ""mt"")"),"Fejn ħarbu l-patrijiet?")</f>
        <v>Fejn ħarbu l-patrijiet?</v>
      </c>
    </row>
    <row r="14473" ht="15.75" customHeight="1">
      <c r="A14473" s="2" t="s">
        <v>14473</v>
      </c>
      <c r="B14473" s="2" t="str">
        <f>IFERROR(__xludf.DUMMYFUNCTION("GOOGLETRANSLATE(A14473, ""en"", ""mt"")"),"X'għandu jibbilanċja l-gvern ta 'Kublai?")</f>
        <v>X'għandu jibbilanċja l-gvern ta 'Kublai?</v>
      </c>
    </row>
    <row r="14474" ht="15.75" customHeight="1">
      <c r="A14474" s="2" t="s">
        <v>14474</v>
      </c>
      <c r="B14474" s="2" t="str">
        <f>IFERROR(__xludf.DUMMYFUNCTION("GOOGLETRANSLATE(A14474, ""en"", ""mt"")"),"Iċ-ċentru f'Pariġi jinsab ħdejn liema xmara?")</f>
        <v>Iċ-ċentru f'Pariġi jinsab ħdejn liema xmara?</v>
      </c>
    </row>
    <row r="14475" ht="15.75" customHeight="1">
      <c r="A14475" s="2" t="s">
        <v>14475</v>
      </c>
      <c r="B14475" s="2" t="str">
        <f>IFERROR(__xludf.DUMMYFUNCTION("GOOGLETRANSLATE(A14475, ""en"", ""mt"")"),"X’ma jemmnux li l-membri tal-UE wasslu għat-tifqigħa tal-gwerra?")</f>
        <v>X’ma jemmnux li l-membri tal-UE wasslu għat-tifqigħa tal-gwerra?</v>
      </c>
    </row>
    <row r="14476" ht="15.75" customHeight="1">
      <c r="A14476" s="2" t="s">
        <v>14476</v>
      </c>
      <c r="B14476" s="2" t="str">
        <f>IFERROR(__xludf.DUMMYFUNCTION("GOOGLETRANSLATE(A14476, ""en"", ""mt"")"),"Emmerich Rhine Bridge")</f>
        <v>Emmerich Rhine Bridge</v>
      </c>
    </row>
    <row r="14477" ht="15.75" customHeight="1">
      <c r="A14477" s="2" t="s">
        <v>14477</v>
      </c>
      <c r="B14477" s="2" t="str">
        <f>IFERROR(__xludf.DUMMYFUNCTION("GOOGLETRANSLATE(A14477, ""en"", ""mt"")"),"Skond it-teorija umoristika tal-immunità, x'kienu l-aġenti immuni tal-korpi?")</f>
        <v>Skond it-teorija umoristika tal-immunità, x'kienu l-aġenti immuni tal-korpi?</v>
      </c>
    </row>
    <row r="14478" ht="15.75" customHeight="1">
      <c r="A14478" s="2" t="s">
        <v>14478</v>
      </c>
      <c r="B14478" s="2" t="str">
        <f>IFERROR(__xludf.DUMMYFUNCTION("GOOGLETRANSLATE(A14478, ""en"", ""mt"")"),"X'tip ta 'dieta tista' tipprovdi s-salamun lil predaturi oħra?")</f>
        <v>X'tip ta 'dieta tista' tipprovdi s-salamun lil predaturi oħra?</v>
      </c>
    </row>
    <row r="14479" ht="15.75" customHeight="1">
      <c r="A14479" s="2" t="s">
        <v>14479</v>
      </c>
      <c r="B14479" s="2" t="str">
        <f>IFERROR(__xludf.DUMMYFUNCTION("GOOGLETRANSLATE(A14479, ""en"", ""mt"")"),"Xi joħloq il-moviment kontinwu tul Dike Swarms biex is-sediment jiġi depożitat?")</f>
        <v>Xi joħloq il-moviment kontinwu tul Dike Swarms biex is-sediment jiġi depożitat?</v>
      </c>
    </row>
    <row r="14480" ht="15.75" customHeight="1">
      <c r="A14480" s="2" t="s">
        <v>14480</v>
      </c>
      <c r="B14480" s="2" t="str">
        <f>IFERROR(__xludf.DUMMYFUNCTION("GOOGLETRANSLATE(A14480, ""en"", ""mt"")"),"Fl-1846, il-lezzjonijiet tal-istorja naturali ta 'Louis Agassiz ġew milqugħin kemm fi New York kif ukoll fil-kampus fil-Kulleġġ ta' Harvard. L-approċċ ta 'Agassiz kien idealist b'mod distint u poġġa lill-Amerikani ""il-parteċipazzjoni fin-natura divina"" "&amp;"u l-possibbiltà li jifhmu ""eżistenzi intellettwali"". Il-perspettiva ta 'Agassiz dwar ix-xjenza kkombinat l-osservazzjoni mal-intwizzjoni u s-suppożizzjoni li persuna tista' tifhem il- ""pjan divin"" fil-fenomeni kollha. Meta ġie biex jispjega l-forom ta"&amp;"l-ħajja, Agassiz irrikorrew għal kwistjonijiet ta 'forma bbażati fuq arketip preżunt għall-evidenza tiegħu. Din il-fehma doppja tal-għarfien kienet f'kunċert mat-tagħlim tas-sens komun Il-popolarità ta 'l-isforzi ta' Agassiz biex ""jogħlew ma 'Plato"" x'a"&amp;"ktarx ukoll derivati ​​minn kitbiet oħra li l-istudenti ta' Harvard kienu esposti, inklużi trattati platoniċi minn Ralph Cudworth, John Norrisand, f'vina romantika, Samuel Coleridge. Ir-rekords tal-librerija f'Harvard jiżvelaw li l-kitbiet ta 'Platun u s-"&amp;"segwaċi moderni u romantiċi tiegħu kienu qraw regolarment matul is-seklu 19 bħal dawk tal- ""filosofija uffiċjali"" ta' l-iskola Skoċċiża aktar empirika u aktar deistika.")</f>
        <v>Fl-1846, il-lezzjonijiet tal-istorja naturali ta 'Louis Agassiz ġew milqugħin kemm fi New York kif ukoll fil-kampus fil-Kulleġġ ta' Harvard. L-approċċ ta 'Agassiz kien idealist b'mod distint u poġġa lill-Amerikani "il-parteċipazzjoni fin-natura divina" u l-possibbiltà li jifhmu "eżistenzi intellettwali". Il-perspettiva ta 'Agassiz dwar ix-xjenza kkombinat l-osservazzjoni mal-intwizzjoni u s-suppożizzjoni li persuna tista' tifhem il- "pjan divin" fil-fenomeni kollha. Meta ġie biex jispjega l-forom tal-ħajja, Agassiz irrikorrew għal kwistjonijiet ta 'forma bbażati fuq arketip preżunt għall-evidenza tiegħu. Din il-fehma doppja tal-għarfien kienet f'kunċert mat-tagħlim tas-sens komun Il-popolarità ta 'l-isforzi ta' Agassiz biex "jogħlew ma 'Plato" x'aktarx ukoll derivati ​​minn kitbiet oħra li l-istudenti ta' Harvard kienu esposti, inklużi trattati platoniċi minn Ralph Cudworth, John Norrisand, f'vina romantika, Samuel Coleridge. Ir-rekords tal-librerija f'Harvard jiżvelaw li l-kitbiet ta 'Platun u s-segwaċi moderni u romantiċi tiegħu kienu qraw regolarment matul is-seklu 19 bħal dawk tal- "filosofija uffiċjali" ta' l-iskola Skoċċiża aktar empirika u aktar deistika.</v>
      </c>
    </row>
    <row r="14481" ht="15.75" customHeight="1">
      <c r="A14481" s="2" t="s">
        <v>14481</v>
      </c>
      <c r="B14481" s="2" t="str">
        <f>IFERROR(__xludf.DUMMYFUNCTION("GOOGLETRANSLATE(A14481, ""en"", ""mt"")"),"75")</f>
        <v>75</v>
      </c>
    </row>
    <row r="14482" ht="15.75" customHeight="1">
      <c r="A14482" s="2" t="s">
        <v>14482</v>
      </c>
      <c r="B14482" s="2" t="str">
        <f>IFERROR(__xludf.DUMMYFUNCTION("GOOGLETRANSLATE(A14482, ""en"", ""mt"")"),"Liema enzimi fil-bżieq huma ta 'natura antibatterika?")</f>
        <v>Liema enzimi fil-bżieq huma ta 'natura antibatterika?</v>
      </c>
    </row>
    <row r="14483" ht="15.75" customHeight="1">
      <c r="A14483" s="2" t="s">
        <v>14483</v>
      </c>
      <c r="B14483" s="2" t="str">
        <f>IFERROR(__xludf.DUMMYFUNCTION("GOOGLETRANSLATE(A14483, ""en"", ""mt"")"),"Liema tribujiet kienu fil-gwerra ta 'Patri Le Loutre?")</f>
        <v>Liema tribujiet kienu fil-gwerra ta 'Patri Le Loutre?</v>
      </c>
    </row>
    <row r="14484" ht="15.75" customHeight="1">
      <c r="A14484" s="2" t="s">
        <v>14484</v>
      </c>
      <c r="B14484" s="2" t="str">
        <f>IFERROR(__xludf.DUMMYFUNCTION("GOOGLETRANSLATE(A14484, ""en"", ""mt"")"),"It-taħlit ma kienx popolari fit-tagħbija ta 'liema magni?")</f>
        <v>It-taħlit ma kienx popolari fit-tagħbija ta 'liema magni?</v>
      </c>
    </row>
    <row r="14485" ht="15.75" customHeight="1">
      <c r="A14485" s="2" t="s">
        <v>14485</v>
      </c>
      <c r="B14485" s="2" t="str">
        <f>IFERROR(__xludf.DUMMYFUNCTION("GOOGLETRANSLATE(A14485, ""en"", ""mt"")"),"Kif il-graffs huma kodifikati bħala kordi binarji")</f>
        <v>Kif il-graffs huma kodifikati bħala kordi binarji</v>
      </c>
    </row>
    <row r="14486" ht="15.75" customHeight="1">
      <c r="A14486" s="2" t="s">
        <v>14486</v>
      </c>
      <c r="B14486" s="2" t="str">
        <f>IFERROR(__xludf.DUMMYFUNCTION("GOOGLETRANSLATE(A14486, ""en"", ""mt"")"),"X'inhi waħda mir-raġunijiet li l-produzzjoni tal-Istati Uniti nżammet responsabbli għar-reċessjonijiet u tkabbir ekonomiku aktar baxx?")</f>
        <v>X'inhi waħda mir-raġunijiet li l-produzzjoni tal-Istati Uniti nżammet responsabbli għar-reċessjonijiet u tkabbir ekonomiku aktar baxx?</v>
      </c>
    </row>
    <row r="14487" ht="15.75" customHeight="1">
      <c r="A14487" s="2" t="s">
        <v>14487</v>
      </c>
      <c r="B14487" s="2" t="str">
        <f>IFERROR(__xludf.DUMMYFUNCTION("GOOGLETRANSLATE(A14487, ""en"", ""mt"")"),"L-estinzjoni tal-Kretaċeju-Paleogene")</f>
        <v>L-estinzjoni tal-Kretaċeju-Paleogene</v>
      </c>
    </row>
    <row r="14488" ht="15.75" customHeight="1">
      <c r="A14488" s="2" t="s">
        <v>14488</v>
      </c>
      <c r="B14488" s="2" t="str">
        <f>IFERROR(__xludf.DUMMYFUNCTION("GOOGLETRANSLATE(A14488, ""en"", ""mt"")"),"Mikroorganiżmi jew tossini li jidħlu b'suċċess f'organiżmu jiltaqgħu maċ-ċelloli u l-mekkaniżmi tas-sistema immuni innata. Ir-rispons intrinsiku ġeneralment jiġi kkawżat meta l-mikrobi jiġu identifikati minn riċetturi ta 'rikonoxximent tal-mudelli, li jir"&amp;"rikonoxxu komponenti li huma kkonservati fost gruppi wesgħin ta' mikro-organiżmi, jew meta ċelloli bil-ħsara, imweġġa 'jew stressati jibagħtu sinjali ta' allarm, li ħafna minnhom (iżda mhux kollha) huma rikonoxxuti Mill-istess riċetturi bħal dawk li jirri"&amp;"konoxxu l-patoġeni. Id-difiżi immuni innati mhumiex speċifiċi, u jfisser li dawn is-sistemi jirrispondu għal patoġeni b'mod ġeneriku. Din is-sistema ma tagħtix immunità dejjiema kontra patoġen. Is-sistema immuni innata hija s-sistema dominanti tad-difiża "&amp;"ospitanti fil-biċċa l-kbira tal-organiżmi.")</f>
        <v>Mikroorganiżmi jew tossini li jidħlu b'suċċess f'organiżmu jiltaqgħu maċ-ċelloli u l-mekkaniżmi tas-sistema immuni innata. Ir-rispons intrinsiku ġeneralment jiġi kkawżat meta l-mikrobi jiġu identifikati minn riċetturi ta 'rikonoxximent tal-mudelli, li jirrikonoxxu komponenti li huma kkonservati fost gruppi wesgħin ta' mikro-organiżmi, jew meta ċelloli bil-ħsara, imweġġa 'jew stressati jibagħtu sinjali ta' allarm, li ħafna minnhom (iżda mhux kollha) huma rikonoxxuti Mill-istess riċetturi bħal dawk li jirrikonoxxu l-patoġeni. Id-difiżi immuni innati mhumiex speċifiċi, u jfisser li dawn is-sistemi jirrispondu għal patoġeni b'mod ġeneriku. Din is-sistema ma tagħtix immunità dejjiema kontra patoġen. Is-sistema immuni innata hija s-sistema dominanti tad-difiża ospitanti fil-biċċa l-kbira tal-organiżmi.</v>
      </c>
    </row>
    <row r="14489" ht="15.75" customHeight="1">
      <c r="A14489" s="2" t="s">
        <v>14489</v>
      </c>
      <c r="B14489" s="2" t="str">
        <f>IFERROR(__xludf.DUMMYFUNCTION("GOOGLETRANSLATE(A14489, ""en"", ""mt"")"),"Min ħabb lil Varsavja tant li baqa ’jpoġġih fir-rumanzi tiegħu?")</f>
        <v>Min ħabb lil Varsavja tant li baqa ’jpoġġih fir-rumanzi tiegħu?</v>
      </c>
    </row>
    <row r="14490" ht="15.75" customHeight="1">
      <c r="A14490" s="2" t="s">
        <v>14490</v>
      </c>
      <c r="B14490" s="2" t="str">
        <f>IFERROR(__xludf.DUMMYFUNCTION("GOOGLETRANSLATE(A14490, ""en"", ""mt"")"),"30% telf")</f>
        <v>30% telf</v>
      </c>
    </row>
    <row r="14491" ht="15.75" customHeight="1">
      <c r="A14491" s="2" t="s">
        <v>14491</v>
      </c>
      <c r="B14491" s="2" t="str">
        <f>IFERROR(__xludf.DUMMYFUNCTION("GOOGLETRANSLATE(A14491, ""en"", ""mt"")"),"relatat mal-karbonju")</f>
        <v>relatat mal-karbonju</v>
      </c>
    </row>
    <row r="14492" ht="15.75" customHeight="1">
      <c r="A14492" s="2" t="s">
        <v>14492</v>
      </c>
      <c r="B14492" s="2" t="str">
        <f>IFERROR(__xludf.DUMMYFUNCTION("GOOGLETRANSLATE(A14492, ""en"", ""mt"")"),"1,986 m")</f>
        <v>1,986 m</v>
      </c>
    </row>
    <row r="14493" ht="15.75" customHeight="1">
      <c r="A14493" s="2" t="s">
        <v>14493</v>
      </c>
      <c r="B14493" s="2" t="str">
        <f>IFERROR(__xludf.DUMMYFUNCTION("GOOGLETRANSLATE(A14493, ""en"", ""mt"")"),"Xi drabi l-prosekuzzjoni tipproponi motiv ta 'negozjar għal diżubbidjenti ċivili, bħal fil-każ ta' Camden 28, li fih l-imputati ġew offruti opportunità biex jinvokaw ħatja għal għadd ta 'delitt u ma jirċievu l-ebda ħin ta' ħabs. F’xi sitwazzjonijiet ta ’a"&amp;"rrest tal-massa, l-attivisti jiddeċiedu li jużaw tattiċi ta’ solidarjetà biex jassiguraw l-istess motiv ta ’negozju għal kulħadd. Iżda xi attivisti għażlu li jidħlu motiv għomja, u wieġbu ħatja mingħajr ebda ftehim ta 'motiv fis-seħħ. Mohandas Gandhi wieġ"&amp;"eb ħati u qal lill-qorti, ""Jiena hawn. . """)</f>
        <v>Xi drabi l-prosekuzzjoni tipproponi motiv ta 'negozjar għal diżubbidjenti ċivili, bħal fil-każ ta' Camden 28, li fih l-imputati ġew offruti opportunità biex jinvokaw ħatja għal għadd ta 'delitt u ma jirċievu l-ebda ħin ta' ħabs. F’xi sitwazzjonijiet ta ’arrest tal-massa, l-attivisti jiddeċiedu li jużaw tattiċi ta’ solidarjetà biex jassiguraw l-istess motiv ta ’negozju għal kulħadd. Iżda xi attivisti għażlu li jidħlu motiv għomja, u wieġbu ħatja mingħajr ebda ftehim ta 'motiv fis-seħħ. Mohandas Gandhi wieġeb ħati u qal lill-qorti, "Jiena hawn. . "</v>
      </c>
    </row>
    <row r="14494" ht="15.75" customHeight="1">
      <c r="A14494" s="2" t="s">
        <v>14494</v>
      </c>
      <c r="B14494" s="2" t="str">
        <f>IFERROR(__xludf.DUMMYFUNCTION("GOOGLETRANSLATE(A14494, ""en"", ""mt"")"),"San Andreas")</f>
        <v>San Andreas</v>
      </c>
    </row>
    <row r="14495" ht="15.75" customHeight="1">
      <c r="A14495" s="2" t="s">
        <v>14495</v>
      </c>
      <c r="B14495" s="2" t="str">
        <f>IFERROR(__xludf.DUMMYFUNCTION("GOOGLETRANSLATE(A14495, ""en"", ""mt"")"),"B'kuntrast, matul il-perjodi ta 'qawmien iddifferenzja ċelloli effetturi, bħal ċelloli killer naturali ċitotossiċi u CTLs (limfoċiti T ċitotossiċi), quċċata sabiex tinkiseb rispons effettiv kontra kwalunkwe patoġeni intrużi. Kif ukoll waqt żminijiet attiv"&amp;"i imqajjmin, molekuli anti-infjammatorji, bħal kortisol u katekolamini, quċċata. Hemm żewġ teoriji dwar għaliex l-istat pro-infjammatorju huwa riservat għall-ħin tal-irqad. L-ewwel, l-infjammazzjoni tikkawża indebolimenti konjittivi u fiżiċi serji jekk da"&amp;"n iseħħ waqt il-ħinijiet ta 'qawmien. It-tieni, infjammazzjoni tista 'sseħħ waqt il-ħinijiet ta' l-irqad minħabba l-preżenza ta 'melatonin. L-infjammazzjoni tikkawża ħafna stress ossidattiv u l-preżenza ta 'melatonin waqt il-ħinijiet ta' l-irqad tista 'ti"&amp;"kkontrolla b'mod attiv il-produzzjoni radikali ħielsa matul dan iż-żmien.")</f>
        <v>B'kuntrast, matul il-perjodi ta 'qawmien iddifferenzja ċelloli effetturi, bħal ċelloli killer naturali ċitotossiċi u CTLs (limfoċiti T ċitotossiċi), quċċata sabiex tinkiseb rispons effettiv kontra kwalunkwe patoġeni intrużi. Kif ukoll waqt żminijiet attivi imqajjmin, molekuli anti-infjammatorji, bħal kortisol u katekolamini, quċċata. Hemm żewġ teoriji dwar għaliex l-istat pro-infjammatorju huwa riservat għall-ħin tal-irqad. L-ewwel, l-infjammazzjoni tikkawża indebolimenti konjittivi u fiżiċi serji jekk dan iseħħ waqt il-ħinijiet ta 'qawmien. It-tieni, infjammazzjoni tista 'sseħħ waqt il-ħinijiet ta' l-irqad minħabba l-preżenza ta 'melatonin. L-infjammazzjoni tikkawża ħafna stress ossidattiv u l-preżenza ta 'melatonin waqt il-ħinijiet ta' l-irqad tista 'tikkontrolla b'mod attiv il-produzzjoni radikali ħielsa matul dan iż-żmien.</v>
      </c>
    </row>
    <row r="14496" ht="15.75" customHeight="1">
      <c r="A14496" s="2" t="s">
        <v>14496</v>
      </c>
      <c r="B14496" s="2" t="str">
        <f>IFERROR(__xludf.DUMMYFUNCTION("GOOGLETRANSLATE(A14496, ""en"", ""mt"")"),"Ajruport ta 'Van Nuys")</f>
        <v>Ajruport ta 'Van Nuys</v>
      </c>
    </row>
    <row r="14497" ht="15.75" customHeight="1">
      <c r="A14497" s="2" t="s">
        <v>14497</v>
      </c>
      <c r="B14497" s="2" t="str">
        <f>IFERROR(__xludf.DUMMYFUNCTION("GOOGLETRANSLATE(A14497, ""en"", ""mt"")"),"F'liema sena bdew id-Dragonnades?")</f>
        <v>F'liema sena bdew id-Dragonnades?</v>
      </c>
    </row>
    <row r="14498" ht="15.75" customHeight="1">
      <c r="A14498" s="2" t="s">
        <v>14498</v>
      </c>
      <c r="B14498" s="2" t="str">
        <f>IFERROR(__xludf.DUMMYFUNCTION("GOOGLETRANSLATE(A14498, ""en"", ""mt"")"),"Meta twaqqfet il-Ferrovija tal-Paċifiku Ċentrali?")</f>
        <v>Meta twaqqfet il-Ferrovija tal-Paċifiku Ċentrali?</v>
      </c>
    </row>
    <row r="14499" ht="15.75" customHeight="1">
      <c r="A14499" s="2" t="s">
        <v>14499</v>
      </c>
      <c r="B14499" s="2" t="str">
        <f>IFERROR(__xludf.DUMMYFUNCTION("GOOGLETRANSLATE(A14499, ""en"", ""mt"")"),"L-Enċiklopedija ta 'Cristian Bay tikkonkludi li d-diżubbidjenza ċivili ma tinkludix biss liema mġieba?")</f>
        <v>L-Enċiklopedija ta 'Cristian Bay tikkonkludi li d-diżubbidjenza ċivili ma tinkludix biss liema mġieba?</v>
      </c>
    </row>
    <row r="14500" ht="15.75" customHeight="1">
      <c r="A14500" s="2" t="s">
        <v>14500</v>
      </c>
      <c r="B14500" s="2" t="str">
        <f>IFERROR(__xludf.DUMMYFUNCTION("GOOGLETRANSLATE(A14500, ""en"", ""mt"")"),"tip ta '""avvelenament mid-demm""")</f>
        <v>tip ta '"avvelenament mid-demm"</v>
      </c>
    </row>
    <row r="14501" ht="15.75" customHeight="1">
      <c r="A14501" s="2" t="s">
        <v>14501</v>
      </c>
      <c r="B14501" s="2" t="str">
        <f>IFERROR(__xludf.DUMMYFUNCTION("GOOGLETRANSLATE(A14501, ""en"", ""mt"")"),"Min kien wieħed mill-aktar Waldensjani Franċiżi prominenti?")</f>
        <v>Min kien wieħed mill-aktar Waldensjani Franċiżi prominenti?</v>
      </c>
    </row>
    <row r="14502" ht="15.75" customHeight="1">
      <c r="A14502" s="2" t="s">
        <v>14502</v>
      </c>
      <c r="B14502" s="2" t="str">
        <f>IFERROR(__xludf.DUMMYFUNCTION("GOOGLETRANSLATE(A14502, ""en"", ""mt"")"),"Newtonjan")</f>
        <v>Newtonjan</v>
      </c>
    </row>
    <row r="14503" ht="15.75" customHeight="1">
      <c r="A14503" s="2" t="s">
        <v>14503</v>
      </c>
      <c r="B14503" s="2" t="str">
        <f>IFERROR(__xludf.DUMMYFUNCTION("GOOGLETRANSLATE(A14503, ""en"", ""mt"")"),"X'inhu eżempju ta 'patoġen?")</f>
        <v>X'inhu eżempju ta 'patoġen?</v>
      </c>
    </row>
    <row r="14504" ht="15.75" customHeight="1">
      <c r="A14504" s="2" t="s">
        <v>14504</v>
      </c>
      <c r="B14504" s="2" t="str">
        <f>IFERROR(__xludf.DUMMYFUNCTION("GOOGLETRANSLATE(A14504, ""en"", ""mt"")"),"billi jitilqu l-bibien")</f>
        <v>billi jitilqu l-bibien</v>
      </c>
    </row>
    <row r="14505" ht="15.75" customHeight="1">
      <c r="A14505" s="2" t="s">
        <v>14505</v>
      </c>
      <c r="B14505" s="2" t="str">
        <f>IFERROR(__xludf.DUMMYFUNCTION("GOOGLETRANSLATE(A14505, ""en"", ""mt"")"),"kolonji")</f>
        <v>kolonji</v>
      </c>
    </row>
    <row r="14506" ht="15.75" customHeight="1">
      <c r="A14506" s="2" t="s">
        <v>14506</v>
      </c>
      <c r="B14506" s="2" t="str">
        <f>IFERROR(__xludf.DUMMYFUNCTION("GOOGLETRANSLATE(A14506, ""en"", ""mt"")"),"10")</f>
        <v>10</v>
      </c>
    </row>
    <row r="14507" ht="15.75" customHeight="1">
      <c r="A14507" s="2" t="s">
        <v>14507</v>
      </c>
      <c r="B14507" s="2" t="str">
        <f>IFERROR(__xludf.DUMMYFUNCTION("GOOGLETRANSLATE(A14507, ""en"", ""mt"")"),"Il-kriżi taż-żejt ikkawżat lill-kumpaniji taż-żejt biex iżidu l-provvisti taż-żejt f'liema żona?")</f>
        <v>Il-kriżi taż-żejt ikkawżat lill-kumpaniji taż-żejt biex iżidu l-provvisti taż-żejt f'liema żona?</v>
      </c>
    </row>
    <row r="14508" ht="15.75" customHeight="1">
      <c r="A14508" s="2" t="s">
        <v>14508</v>
      </c>
      <c r="B14508" s="2" t="str">
        <f>IFERROR(__xludf.DUMMYFUNCTION("GOOGLETRANSLATE(A14508, ""en"", ""mt"")"),"tobba mhux Mongol")</f>
        <v>tobba mhux Mongol</v>
      </c>
    </row>
    <row r="14509" ht="15.75" customHeight="1">
      <c r="A14509" s="2" t="s">
        <v>14509</v>
      </c>
      <c r="B14509" s="2" t="str">
        <f>IFERROR(__xludf.DUMMYFUNCTION("GOOGLETRANSLATE(A14509, ""en"", ""mt"")"),"Servizz tal-Vidjow Fuq Domanda")</f>
        <v>Servizz tal-Vidjow Fuq Domanda</v>
      </c>
    </row>
    <row r="14510" ht="15.75" customHeight="1">
      <c r="A14510" s="2" t="s">
        <v>14510</v>
      </c>
      <c r="B14510" s="2" t="str">
        <f>IFERROR(__xludf.DUMMYFUNCTION("GOOGLETRANSLATE(A14510, ""en"", ""mt"")"),"Liema avvanzi minbarra t-teknoloġija militari kisbet l-Ewropa?")</f>
        <v>Liema avvanzi minbarra t-teknoloġija militari kisbet l-Ewropa?</v>
      </c>
    </row>
    <row r="14511" ht="15.75" customHeight="1">
      <c r="A14511" s="2" t="s">
        <v>14511</v>
      </c>
      <c r="B14511" s="2" t="str">
        <f>IFERROR(__xludf.DUMMYFUNCTION("GOOGLETRANSLATE(A14511, ""en"", ""mt"")"),"Minn kemm naqset il-popolazzjoni bajda Ispanika ta 'Jacksonville? Ċempel")</f>
        <v>Minn kemm naqset il-popolazzjoni bajda Ispanika ta 'Jacksonville? Ċempel</v>
      </c>
    </row>
    <row r="14512" ht="15.75" customHeight="1">
      <c r="A14512" s="2" t="s">
        <v>14512</v>
      </c>
      <c r="B14512" s="2" t="str">
        <f>IFERROR(__xludf.DUMMYFUNCTION("GOOGLETRANSLATE(A14512, ""en"", ""mt"")"),"Kodiċi taihō")</f>
        <v>Kodiċi taihō</v>
      </c>
    </row>
    <row r="14513" ht="15.75" customHeight="1">
      <c r="A14513" s="2" t="s">
        <v>14513</v>
      </c>
      <c r="B14513" s="2" t="str">
        <f>IFERROR(__xludf.DUMMYFUNCTION("GOOGLETRANSLATE(A14513, ""en"", ""mt"")"),"It-tielet l-akbar preżenza militari")</f>
        <v>It-tielet l-akbar preżenza militari</v>
      </c>
    </row>
    <row r="14514" ht="15.75" customHeight="1">
      <c r="A14514" s="2" t="s">
        <v>14514</v>
      </c>
      <c r="B14514" s="2" t="str">
        <f>IFERROR(__xludf.DUMMYFUNCTION("GOOGLETRANSLATE(A14514, ""en"", ""mt"")"),"L-imperi Asante u Lunda kienu f'liema reġjun?")</f>
        <v>L-imperi Asante u Lunda kienu f'liema reġjun?</v>
      </c>
    </row>
    <row r="14515" ht="15.75" customHeight="1">
      <c r="A14515" s="2" t="s">
        <v>14515</v>
      </c>
      <c r="B14515" s="2" t="str">
        <f>IFERROR(__xludf.DUMMYFUNCTION("GOOGLETRANSLATE(A14515, ""en"", ""mt"")"),"Skola nazzjonali")</f>
        <v>Skola nazzjonali</v>
      </c>
    </row>
    <row r="14516" ht="15.75" customHeight="1">
      <c r="A14516" s="2" t="s">
        <v>14516</v>
      </c>
      <c r="B14516" s="2" t="str">
        <f>IFERROR(__xludf.DUMMYFUNCTION("GOOGLETRANSLATE(A14516, ""en"", ""mt"")"),"Jekk l-uċuħ tal-unitajiet tal-blat fil-jingħalaq jibqgħu jippuntaw 'il fuq, huma jissejħu?")</f>
        <v>Jekk l-uċuħ tal-unitajiet tal-blat fil-jingħalaq jibqgħu jippuntaw 'il fuq, huma jissejħu?</v>
      </c>
    </row>
    <row r="14517" ht="15.75" customHeight="1">
      <c r="A14517" s="2" t="s">
        <v>14517</v>
      </c>
      <c r="B14517" s="2" t="str">
        <f>IFERROR(__xludf.DUMMYFUNCTION("GOOGLETRANSLATE(A14517, ""en"", ""mt"")"),"Fejn iffirmaw in-Normanni u l-Biżantini t-Trattat ta 'Paċi?")</f>
        <v>Fejn iffirmaw in-Normanni u l-Biżantini t-Trattat ta 'Paċi?</v>
      </c>
    </row>
    <row r="14518" ht="15.75" customHeight="1">
      <c r="A14518" s="2" t="s">
        <v>14518</v>
      </c>
      <c r="B14518" s="2" t="str">
        <f>IFERROR(__xludf.DUMMYFUNCTION("GOOGLETRANSLATE(A14518, ""en"", ""mt"")"),"Liema karatteristika tidentifika l-antenati Franċiżi ta 'xi Afrika t'Isfel?")</f>
        <v>Liema karatteristika tidentifika l-antenati Franċiżi ta 'xi Afrika t'Isfel?</v>
      </c>
    </row>
    <row r="14519" ht="15.75" customHeight="1">
      <c r="A14519" s="2" t="s">
        <v>14519</v>
      </c>
      <c r="B14519" s="2" t="str">
        <f>IFERROR(__xludf.DUMMYFUNCTION("GOOGLETRANSLATE(A14519, ""en"", ""mt"")")," X’għamel Kublai biex iħaffef il-ġuħ?")</f>
        <v> X’għamel Kublai biex iħaffef il-ġuħ?</v>
      </c>
    </row>
    <row r="14520" ht="15.75" customHeight="1">
      <c r="A14520" s="2" t="s">
        <v>14520</v>
      </c>
      <c r="B14520" s="2" t="str">
        <f>IFERROR(__xludf.DUMMYFUNCTION("GOOGLETRANSLATE(A14520, ""en"", ""mt"")"),"Minbarra 7 u 13, liema intervall ieħor tas-sena jagħmlu cicadas pupate?")</f>
        <v>Minbarra 7 u 13, liema intervall ieħor tas-sena jagħmlu cicadas pupate?</v>
      </c>
    </row>
    <row r="14521" ht="15.75" customHeight="1">
      <c r="A14521" s="2" t="s">
        <v>14521</v>
      </c>
      <c r="B14521" s="2" t="str">
        <f>IFERROR(__xludf.DUMMYFUNCTION("GOOGLETRANSLATE(A14521, ""en"", ""mt"")"),"L-antikorpi jiġu trasferiti fl-imsaren tat-tarbija permezz ta 'xi tfisser?")</f>
        <v>L-antikorpi jiġu trasferiti fl-imsaren tat-tarbija permezz ta 'xi tfisser?</v>
      </c>
    </row>
    <row r="14522" ht="15.75" customHeight="1">
      <c r="A14522" s="2" t="s">
        <v>14522</v>
      </c>
      <c r="B14522" s="2" t="str">
        <f>IFERROR(__xludf.DUMMYFUNCTION("GOOGLETRANSLATE(A14522, ""en"", ""mt"")"),"X'jista 'jibqa' problemi mhux solvuti bil-protokoll ta 'Kyoto?")</f>
        <v>X'jista 'jibqa' problemi mhux solvuti bil-protokoll ta 'Kyoto?</v>
      </c>
    </row>
    <row r="14523" ht="15.75" customHeight="1">
      <c r="A14523" s="2" t="s">
        <v>14523</v>
      </c>
      <c r="B14523" s="2" t="str">
        <f>IFERROR(__xludf.DUMMYFUNCTION("GOOGLETRANSLATE(A14523, ""en"", ""mt"")"),"Purus Arch")</f>
        <v>Purus Arch</v>
      </c>
    </row>
    <row r="14524" ht="15.75" customHeight="1">
      <c r="A14524" s="2" t="s">
        <v>14524</v>
      </c>
      <c r="B14524" s="2" t="str">
        <f>IFERROR(__xludf.DUMMYFUNCTION("GOOGLETRANSLATE(A14524, ""en"", ""mt"")"),"Guyard de Moulin")</f>
        <v>Guyard de Moulin</v>
      </c>
    </row>
    <row r="14525" ht="15.75" customHeight="1">
      <c r="A14525" s="2" t="s">
        <v>14525</v>
      </c>
      <c r="B14525" s="2" t="str">
        <f>IFERROR(__xludf.DUMMYFUNCTION("GOOGLETRANSLATE(A14525, ""en"", ""mt"")"),"oxyacetylene")</f>
        <v>oxyacetylene</v>
      </c>
    </row>
    <row r="14526" ht="15.75" customHeight="1">
      <c r="A14526" s="2" t="s">
        <v>14526</v>
      </c>
      <c r="B14526" s="2" t="str">
        <f>IFERROR(__xludf.DUMMYFUNCTION("GOOGLETRANSLATE(A14526, ""en"", ""mt"")"),"X'jista 'jaħdem anki d-distribuzzjoni tal-ġid?")</f>
        <v>X'jista 'jaħdem anki d-distribuzzjoni tal-ġid?</v>
      </c>
    </row>
    <row r="14527" ht="15.75" customHeight="1">
      <c r="A14527" s="2" t="s">
        <v>14527</v>
      </c>
      <c r="B14527" s="2" t="str">
        <f>IFERROR(__xludf.DUMMYFUNCTION("GOOGLETRANSLATE(A14527, ""en"", ""mt"")"),"Il-biċċa l-kbira tal-aspetti tas-sigurtà tat-trasport huwa ttrattat suġġett minn min?")</f>
        <v>Il-biċċa l-kbira tal-aspetti tas-sigurtà tat-trasport huwa ttrattat suġġett minn min?</v>
      </c>
    </row>
    <row r="14528" ht="15.75" customHeight="1">
      <c r="A14528" s="2" t="s">
        <v>14528</v>
      </c>
      <c r="B14528" s="2" t="str">
        <f>IFERROR(__xludf.DUMMYFUNCTION("GOOGLETRANSLATE(A14528, ""en"", ""mt"")"),"L-iżvilupp ta 'Terra Preta ppermetta għal dak li jiġri fil-foresta tal-Amażonja?")</f>
        <v>L-iżvilupp ta 'Terra Preta ppermetta għal dak li jiġri fil-foresta tal-Amażonja?</v>
      </c>
    </row>
    <row r="14529" ht="15.75" customHeight="1">
      <c r="A14529" s="2" t="s">
        <v>14529</v>
      </c>
      <c r="B14529" s="2" t="str">
        <f>IFERROR(__xludf.DUMMYFUNCTION("GOOGLETRANSLATE(A14529, ""en"", ""mt"")"),"Qorti Ewropea tad-Drittijiet tal-Bniedem.")</f>
        <v>Qorti Ewropea tad-Drittijiet tal-Bniedem.</v>
      </c>
    </row>
    <row r="14530" ht="15.75" customHeight="1">
      <c r="A14530" s="2" t="s">
        <v>14530</v>
      </c>
      <c r="B14530" s="2" t="str">
        <f>IFERROR(__xludf.DUMMYFUNCTION("GOOGLETRANSLATE(A14530, ""en"", ""mt"")"),"vertebrati")</f>
        <v>vertebrati</v>
      </c>
    </row>
    <row r="14531" ht="15.75" customHeight="1">
      <c r="A14531" s="2" t="s">
        <v>14531</v>
      </c>
      <c r="B14531" s="2" t="str">
        <f>IFERROR(__xludf.DUMMYFUNCTION("GOOGLETRANSLATE(A14531, ""en"", ""mt"")"),"L-Anglo-Sassoni")</f>
        <v>L-Anglo-Sassoni</v>
      </c>
    </row>
    <row r="14532" ht="15.75" customHeight="1">
      <c r="A14532" s="2" t="s">
        <v>14532</v>
      </c>
      <c r="B14532" s="2" t="str">
        <f>IFERROR(__xludf.DUMMYFUNCTION("GOOGLETRANSLATE(A14532, ""en"", ""mt"")"),"X'kien suċċess kbir, speċjalment fil-bini mill-ġdid ta 'Varsavja?")</f>
        <v>X'kien suċċess kbir, speċjalment fil-bini mill-ġdid ta 'Varsavja?</v>
      </c>
    </row>
    <row r="14533" ht="15.75" customHeight="1">
      <c r="A14533" s="2" t="s">
        <v>14533</v>
      </c>
      <c r="B14533" s="2" t="str">
        <f>IFERROR(__xludf.DUMMYFUNCTION("GOOGLETRANSLATE(A14533, ""en"", ""mt"")"),"Hekk kif it-territorji indiġeni jibqgħu jinqerdu mid-deforestazzjoni u l-ekokokide, bħal fil-komunitajiet tal-foresti tal-foresti tal-popli indiġeni Peruvjani jibqgħu jisparixxu, filwaqt li oħrajn, bħall-Urarina jibqgħu jissieltu biex jiġġieldu għas-sopra"&amp;"vivenza kulturali tagħhom u d-destin tat-territorji forestati tagħhom. Sadanittant, ir-relazzjoni bejn il-primati mhux umani fis-sussistenza u s-simboliżmu tal-popli tal-Amerika t'Isfel Indiġeni kisbet attenzjoni akbar, bħalma għamlu l-isforzi tal-etno-bi"&amp;"joloġija u l-isforzi ta 'konservazzjoni bbażati fil-komunità.")</f>
        <v>Hekk kif it-territorji indiġeni jibqgħu jinqerdu mid-deforestazzjoni u l-ekokokide, bħal fil-komunitajiet tal-foresti tal-foresti tal-popli indiġeni Peruvjani jibqgħu jisparixxu, filwaqt li oħrajn, bħall-Urarina jibqgħu jissieltu biex jiġġieldu għas-sopravivenza kulturali tagħhom u d-destin tat-territorji forestati tagħhom. Sadanittant, ir-relazzjoni bejn il-primati mhux umani fis-sussistenza u s-simboliżmu tal-popli tal-Amerika t'Isfel Indiġeni kisbet attenzjoni akbar, bħalma għamlu l-isforzi tal-etno-bijoloġija u l-isforzi ta 'konservazzjoni bbażati fil-komunità.</v>
      </c>
    </row>
    <row r="14534" ht="15.75" customHeight="1">
      <c r="A14534" s="2" t="s">
        <v>14534</v>
      </c>
      <c r="B14534" s="2" t="str">
        <f>IFERROR(__xludf.DUMMYFUNCTION("GOOGLETRANSLATE(A14534, ""en"", ""mt"")"),"Mhux Kattoliċi")</f>
        <v>Mhux Kattoliċi</v>
      </c>
    </row>
    <row r="14535" ht="15.75" customHeight="1">
      <c r="A14535" s="2" t="s">
        <v>14535</v>
      </c>
      <c r="B14535" s="2" t="str">
        <f>IFERROR(__xludf.DUMMYFUNCTION("GOOGLETRANSLATE(A14535, ""en"", ""mt"")"),"in-numru totali ta 'transizzjonijiet tal-istat, jew passi")</f>
        <v>in-numru totali ta 'transizzjonijiet tal-istat, jew passi</v>
      </c>
    </row>
    <row r="14536" ht="15.75" customHeight="1">
      <c r="A14536" s="2" t="s">
        <v>14536</v>
      </c>
      <c r="B14536" s="2" t="str">
        <f>IFERROR(__xludf.DUMMYFUNCTION("GOOGLETRANSLATE(A14536, ""en"", ""mt"")"),"Battalja Navali tar-Restigouche")</f>
        <v>Battalja Navali tar-Restigouche</v>
      </c>
    </row>
    <row r="14537" ht="15.75" customHeight="1">
      <c r="A14537" s="2" t="s">
        <v>14537</v>
      </c>
      <c r="B14537" s="2" t="str">
        <f>IFERROR(__xludf.DUMMYFUNCTION("GOOGLETRANSLATE(A14537, ""en"", ""mt"")"),"Min jiffinanzja d-deputat segretarju tal-IPCC?")</f>
        <v>Min jiffinanzja d-deputat segretarju tal-IPCC?</v>
      </c>
    </row>
    <row r="14538" ht="15.75" customHeight="1">
      <c r="A14538" s="2" t="s">
        <v>14538</v>
      </c>
      <c r="B14538" s="2" t="str">
        <f>IFERROR(__xludf.DUMMYFUNCTION("GOOGLETRANSLATE(A14538, ""en"", ""mt"")"),"Dak li ma jolqotx l-inugwaljanza bejn is-sessi fil-pagi?")</f>
        <v>Dak li ma jolqotx l-inugwaljanza bejn is-sessi fil-pagi?</v>
      </c>
    </row>
    <row r="14539" ht="15.75" customHeight="1">
      <c r="A14539" s="2" t="s">
        <v>14539</v>
      </c>
      <c r="B14539" s="2" t="str">
        <f>IFERROR(__xludf.DUMMYFUNCTION("GOOGLETRANSLATE(A14539, ""en"", ""mt"")"),"Liema viċinat ta 'Londra ġibed refuġjati Huguenot?")</f>
        <v>Liema viċinat ta 'Londra ġibed refuġjati Huguenot?</v>
      </c>
    </row>
    <row r="14540" ht="15.75" customHeight="1">
      <c r="A14540" s="2" t="s">
        <v>14540</v>
      </c>
      <c r="B14540" s="2" t="str">
        <f>IFERROR(__xludf.DUMMYFUNCTION("GOOGLETRANSLATE(A14540, ""en"", ""mt"")"),"Għaliex is-sedimentazzjoni naturali mir-Rhine kkumpensat it-trasgressjoni bby il-baħar?")</f>
        <v>Għaliex is-sedimentazzjoni naturali mir-Rhine kkumpensat it-trasgressjoni bby il-baħar?</v>
      </c>
    </row>
    <row r="14541" ht="15.75" customHeight="1">
      <c r="A14541" s="2" t="s">
        <v>14541</v>
      </c>
      <c r="B14541" s="2" t="str">
        <f>IFERROR(__xludf.DUMMYFUNCTION("GOOGLETRANSLATE(A14541, ""en"", ""mt"")"),"X'jiġri meta n-negozju jpatti l-ħaddiema tagħhom?")</f>
        <v>X'jiġri meta n-negozju jpatti l-ħaddiema tagħhom?</v>
      </c>
    </row>
    <row r="14542" ht="15.75" customHeight="1">
      <c r="A14542" s="2" t="s">
        <v>14542</v>
      </c>
      <c r="B14542" s="2" t="str">
        <f>IFERROR(__xludf.DUMMYFUNCTION("GOOGLETRANSLATE(A14542, ""en"", ""mt"")"),"Iroquois")</f>
        <v>Iroquois</v>
      </c>
    </row>
    <row r="14543" ht="15.75" customHeight="1">
      <c r="A14543" s="2" t="s">
        <v>14543</v>
      </c>
      <c r="B14543" s="2" t="str">
        <f>IFERROR(__xludf.DUMMYFUNCTION("GOOGLETRANSLATE(A14543, ""en"", ""mt"")"),"Numru kompost")</f>
        <v>Numru kompost</v>
      </c>
    </row>
    <row r="14544" ht="15.75" customHeight="1">
      <c r="A14544" s="2" t="s">
        <v>14544</v>
      </c>
      <c r="B14544" s="2" t="str">
        <f>IFERROR(__xludf.DUMMYFUNCTION("GOOGLETRANSLATE(A14544, ""en"", ""mt"")"),"Min irregola r-reġjun ċentrali fil-wan?")</f>
        <v>Min irregola r-reġjun ċentrali fil-wan?</v>
      </c>
    </row>
    <row r="14545" ht="15.75" customHeight="1">
      <c r="A14545" s="2" t="s">
        <v>14545</v>
      </c>
      <c r="B14545" s="2" t="str">
        <f>IFERROR(__xludf.DUMMYFUNCTION("GOOGLETRANSLATE(A14545, ""en"", ""mt"")"),"L-Istati Uniti kif ippjanaw li jrażżnu tendenzi imperjalisti?")</f>
        <v>L-Istati Uniti kif ippjanaw li jrażżnu tendenzi imperjalisti?</v>
      </c>
    </row>
    <row r="14546" ht="15.75" customHeight="1">
      <c r="A14546" s="2" t="s">
        <v>14546</v>
      </c>
      <c r="B14546" s="2" t="str">
        <f>IFERROR(__xludf.DUMMYFUNCTION("GOOGLETRANSLATE(A14546, ""en"", ""mt"")"),"Xi jfisser il-Kap?")</f>
        <v>Xi jfisser il-Kap?</v>
      </c>
    </row>
    <row r="14547" ht="15.75" customHeight="1">
      <c r="A14547" s="2" t="s">
        <v>14547</v>
      </c>
      <c r="B14547" s="2" t="str">
        <f>IFERROR(__xludf.DUMMYFUNCTION("GOOGLETRANSLATE(A14547, ""en"", ""mt"")"),"X'Beda b'veloċità żero?")</f>
        <v>X'Beda b'veloċità żero?</v>
      </c>
    </row>
    <row r="14548" ht="15.75" customHeight="1">
      <c r="A14548" s="2" t="s">
        <v>14548</v>
      </c>
      <c r="B14548" s="2" t="str">
        <f>IFERROR(__xludf.DUMMYFUNCTION("GOOGLETRANSLATE(A14548, ""en"", ""mt"")"),"Griegi tal-qedem")</f>
        <v>Griegi tal-qedem</v>
      </c>
    </row>
    <row r="14549" ht="15.75" customHeight="1">
      <c r="A14549" s="2" t="s">
        <v>14549</v>
      </c>
      <c r="B14549" s="2" t="str">
        <f>IFERROR(__xludf.DUMMYFUNCTION("GOOGLETRANSLATE(A14549, ""en"", ""mt"")"),"Magni tat-Turing Probabilistiċi, Magni tat-Turing mhux Deterministiċi")</f>
        <v>Magni tat-Turing Probabilistiċi, Magni tat-Turing mhux Deterministiċi</v>
      </c>
    </row>
    <row r="14550" ht="15.75" customHeight="1">
      <c r="A14550" s="2" t="s">
        <v>14550</v>
      </c>
      <c r="B14550" s="2" t="str">
        <f>IFERROR(__xludf.DUMMYFUNCTION("GOOGLETRANSLATE(A14550, ""en"", ""mt"")"),"X'tagħmel il-farinġi l-kbir fil-beroe meta ma titmax?")</f>
        <v>X'tagħmel il-farinġi l-kbir fil-beroe meta ma titmax?</v>
      </c>
    </row>
    <row r="14551" ht="15.75" customHeight="1">
      <c r="A14551" s="2" t="s">
        <v>14551</v>
      </c>
      <c r="B14551" s="2" t="str">
        <f>IFERROR(__xludf.DUMMYFUNCTION("GOOGLETRANSLATE(A14551, ""en"", ""mt"")"),"Matul id-Dinastija tal-Kanzunetta tan-Nofsinhar id-dixxendent ta ’Confucius fi Qufu, id-Duka Yansheng Kong Duanyou ħarab lejn in-nofsinhar mal-kanzunetta Imperatur għal Quzhou, filwaqt li d-Dynasty Jin li għadu kif twaqqaf (1115-1234) fit-tramuntana ħatar"&amp;" it-tramuntana ta’ Kong Duanyou, ħu Duanyou Duancao li baqa ’fi Qufu bħala Duke Yansheng. Minn dak iż-żmien sad-dinastija Yuan, kien hemm żewġ Duka Yanshengs, darba fit-tramuntana ta ’Qufu u l-ieħor fin-nofsinhar ta’ Quzhou. Matul id-dinastija Yuan, l-Imp"&amp;"eratur Kublai Khan stieden lid-duka tan-Nofsinhar Yansheng Kong Zhu biex jirritorna lejn Qufu. Kong Zhu rrifjuta, u ċeda t-titlu, u għalhekk il-fergħa tat-tramuntana tal-familja żammet it-titlu ta ’Duke Yansheng. Il-fergħa tan-Nofsinhar xorta baqgħet fi Q"&amp;"uzhou fejn għexu sal-lum. Id-dixxendenti ta ’Confucius fi Quzhou waħdu n-numru 30,000. Matul id-dinastija Yuan, wieħed mid-dixxendenti ta ’Confucius mar miċ-Ċina għall-era ta’ Goryeo u stabbilixxa fergħa tal-familja hemmhekk wara li żżewweġ mara Koreana.")</f>
        <v>Matul id-Dinastija tal-Kanzunetta tan-Nofsinhar id-dixxendent ta ’Confucius fi Qufu, id-Duka Yansheng Kong Duanyou ħarab lejn in-nofsinhar mal-kanzunetta Imperatur għal Quzhou, filwaqt li d-Dynasty Jin li għadu kif twaqqaf (1115-1234) fit-tramuntana ħatar it-tramuntana ta’ Kong Duanyou, ħu Duanyou Duancao li baqa ’fi Qufu bħala Duke Yansheng. Minn dak iż-żmien sad-dinastija Yuan, kien hemm żewġ Duka Yanshengs, darba fit-tramuntana ta ’Qufu u l-ieħor fin-nofsinhar ta’ Quzhou. Matul id-dinastija Yuan, l-Imperatur Kublai Khan stieden lid-duka tan-Nofsinhar Yansheng Kong Zhu biex jirritorna lejn Qufu. Kong Zhu rrifjuta, u ċeda t-titlu, u għalhekk il-fergħa tat-tramuntana tal-familja żammet it-titlu ta ’Duke Yansheng. Il-fergħa tan-Nofsinhar xorta baqgħet fi Quzhou fejn għexu sal-lum. Id-dixxendenti ta ’Confucius fi Quzhou waħdu n-numru 30,000. Matul id-dinastija Yuan, wieħed mid-dixxendenti ta ’Confucius mar miċ-Ċina għall-era ta’ Goryeo u stabbilixxa fergħa tal-familja hemmhekk wara li żżewweġ mara Koreana.</v>
      </c>
    </row>
    <row r="14552" ht="15.75" customHeight="1">
      <c r="A14552" s="2" t="s">
        <v>14552</v>
      </c>
      <c r="B14552" s="2" t="str">
        <f>IFERROR(__xludf.DUMMYFUNCTION("GOOGLETRANSLATE(A14552, ""en"", ""mt"")"),"X'jiġri meta Cilia u Arbol jaqbdu l-lobi tagħhom?")</f>
        <v>X'jiġri meta Cilia u Arbol jaqbdu l-lobi tagħhom?</v>
      </c>
    </row>
    <row r="14553" ht="15.75" customHeight="1">
      <c r="A14553" s="2" t="s">
        <v>14553</v>
      </c>
      <c r="B14553" s="2" t="str">
        <f>IFERROR(__xludf.DUMMYFUNCTION("GOOGLETRANSLATE(A14553, ""en"", ""mt"")"),"Philo of Bizantium ____ issostitwixxa li l-arja kkonvertita għan-nar")</f>
        <v>Philo of Bizantium ____ issostitwixxa li l-arja kkonvertita għan-nar</v>
      </c>
    </row>
    <row r="14554" ht="15.75" customHeight="1">
      <c r="A14554" s="2" t="s">
        <v>14554</v>
      </c>
      <c r="B14554" s="2" t="str">
        <f>IFERROR(__xludf.DUMMYFUNCTION("GOOGLETRANSLATE(A14554, ""en"", ""mt"")"),"ħdejn Diepoldsau")</f>
        <v>ħdejn Diepoldsau</v>
      </c>
    </row>
    <row r="14555" ht="15.75" customHeight="1">
      <c r="A14555" s="2" t="s">
        <v>14555</v>
      </c>
      <c r="B14555" s="2" t="str">
        <f>IFERROR(__xludf.DUMMYFUNCTION("GOOGLETRANSLATE(A14555, ""en"", ""mt"")"),"Kien mitlub regolament tar-Rhine, b'kanal ta 'fuq ħdejn Diepoldsau u kanal aktar baxx f'Fußach, sabiex tiġi miġġielda l-għargħar kostanti u s-sedimentazzjoni qawwija fid-delta tar-Renu tal-Punent. Id-Dornbirner ACh kellu jiġi ddevjat ukoll, u issa joħroġ "&amp;"paralleli mar-Rhine kanalizzata fil-lag. L-ilma tiegħu għandu kulur iktar skur mir-Rhine; It-tagħbija sospiża eħfef ta 'dan tal-aħħar ġejja minn ogħla' l fuq mill-muntanji. Huwa mistenni li l-input kontinwu tas-sediment fil-lag se joħroġ il-lag. Dan diġà "&amp;"ġara lill-eks Lag Tuggenersee.")</f>
        <v>Kien mitlub regolament tar-Rhine, b'kanal ta 'fuq ħdejn Diepoldsau u kanal aktar baxx f'Fußach, sabiex tiġi miġġielda l-għargħar kostanti u s-sedimentazzjoni qawwija fid-delta tar-Renu tal-Punent. Id-Dornbirner ACh kellu jiġi ddevjat ukoll, u issa joħroġ paralleli mar-Rhine kanalizzata fil-lag. L-ilma tiegħu għandu kulur iktar skur mir-Rhine; It-tagħbija sospiża eħfef ta 'dan tal-aħħar ġejja minn ogħla' l fuq mill-muntanji. Huwa mistenni li l-input kontinwu tas-sediment fil-lag se joħroġ il-lag. Dan diġà ġara lill-eks Lag Tuggenersee.</v>
      </c>
    </row>
    <row r="14556" ht="15.75" customHeight="1">
      <c r="A14556" s="2" t="s">
        <v>14556</v>
      </c>
      <c r="B14556" s="2" t="str">
        <f>IFERROR(__xludf.DUMMYFUNCTION("GOOGLETRANSLATE(A14556, ""en"", ""mt"")"),"Fuq xiex ipproponi l-ħlasijiet ta 'benefiċċji ta' Alec Shelbrooke?")</f>
        <v>Fuq xiex ipproponi l-ħlasijiet ta 'benefiċċji ta' Alec Shelbrooke?</v>
      </c>
    </row>
    <row r="14557" ht="15.75" customHeight="1">
      <c r="A14557" s="2" t="s">
        <v>14557</v>
      </c>
      <c r="B14557" s="2" t="str">
        <f>IFERROR(__xludf.DUMMYFUNCTION("GOOGLETRANSLATE(A14557, ""en"", ""mt"")"),"Minn liema kelma tittieħed il-kelma farmaċija?")</f>
        <v>Minn liema kelma tittieħed il-kelma farmaċija?</v>
      </c>
    </row>
    <row r="14558" ht="15.75" customHeight="1">
      <c r="A14558" s="2" t="s">
        <v>14558</v>
      </c>
      <c r="B14558" s="2" t="str">
        <f>IFERROR(__xludf.DUMMYFUNCTION("GOOGLETRANSLATE(A14558, ""en"", ""mt"")"),"X'kien il-moviment imsejjaħ li ġab lill-pajjiżi Baltiċi indipendenza mill-Unjoni Sovjetika?")</f>
        <v>X'kien il-moviment imsejjaħ li ġab lill-pajjiżi Baltiċi indipendenza mill-Unjoni Sovjetika?</v>
      </c>
    </row>
    <row r="14559" ht="15.75" customHeight="1">
      <c r="A14559" s="2" t="s">
        <v>14559</v>
      </c>
      <c r="B14559" s="2" t="str">
        <f>IFERROR(__xludf.DUMMYFUNCTION("GOOGLETRANSLATE(A14559, ""en"", ""mt"")"),"Liema belt hija l-kapitali tal-Awstralja?")</f>
        <v>Liema belt hija l-kapitali tal-Awstralja?</v>
      </c>
    </row>
    <row r="14560" ht="15.75" customHeight="1">
      <c r="A14560" s="2" t="s">
        <v>14560</v>
      </c>
      <c r="B14560" s="2" t="str">
        <f>IFERROR(__xludf.DUMMYFUNCTION("GOOGLETRANSLATE(A14560, ""en"", ""mt"")"),"aktar minn 100,000")</f>
        <v>aktar minn 100,000</v>
      </c>
    </row>
    <row r="14561" ht="15.75" customHeight="1">
      <c r="A14561" s="2" t="s">
        <v>14561</v>
      </c>
      <c r="B14561" s="2" t="str">
        <f>IFERROR(__xludf.DUMMYFUNCTION("GOOGLETRANSLATE(A14561, ""en"", ""mt"")"),"ramifikazzjoni")</f>
        <v>ramifikazzjoni</v>
      </c>
    </row>
    <row r="14562" ht="15.75" customHeight="1">
      <c r="A14562" s="2" t="s">
        <v>14562</v>
      </c>
      <c r="B14562" s="2" t="str">
        <f>IFERROR(__xludf.DUMMYFUNCTION("GOOGLETRANSLATE(A14562, ""en"", ""mt"")"),"Kemm suċċessuri ta 'Kublai kienu Toghun l-aħħar ta'?")</f>
        <v>Kemm suċċessuri ta 'Kublai kienu Toghun l-aħħar ta'?</v>
      </c>
    </row>
    <row r="14563" ht="15.75" customHeight="1">
      <c r="A14563" s="2" t="s">
        <v>14563</v>
      </c>
      <c r="B14563" s="2" t="str">
        <f>IFERROR(__xludf.DUMMYFUNCTION("GOOGLETRANSLATE(A14563, ""en"", ""mt"")"),"1564")</f>
        <v>1564</v>
      </c>
    </row>
    <row r="14564" ht="15.75" customHeight="1">
      <c r="A14564" s="2" t="s">
        <v>14564</v>
      </c>
      <c r="B14564" s="2" t="str">
        <f>IFERROR(__xludf.DUMMYFUNCTION("GOOGLETRANSLATE(A14564, ""en"", ""mt"")"),"""Fir-rigward tat-taħrika li tibgħatli biex nirtira, ma naħsibx lili nnifsi obbligat li nobdiha.""")</f>
        <v>"Fir-rigward tat-taħrika li tibgħatli biex nirtira, ma naħsibx lili nnifsi obbligat li nobdiha."</v>
      </c>
    </row>
    <row r="14565" ht="15.75" customHeight="1">
      <c r="A14565" s="2" t="s">
        <v>14565</v>
      </c>
      <c r="B14565" s="2" t="str">
        <f>IFERROR(__xludf.DUMMYFUNCTION("GOOGLETRANSLATE(A14565, ""en"", ""mt"")"),"Rhine-Ruhr")</f>
        <v>Rhine-Ruhr</v>
      </c>
    </row>
    <row r="14566" ht="15.75" customHeight="1">
      <c r="A14566" s="2" t="s">
        <v>14566</v>
      </c>
      <c r="B14566" s="2" t="str">
        <f>IFERROR(__xludf.DUMMYFUNCTION("GOOGLETRANSLATE(A14566, ""en"", ""mt"")"),"F’liema seklu l-pesta bubonika moderna laqat l-Ewropa?")</f>
        <v>F’liema seklu l-pesta bubonika moderna laqat l-Ewropa?</v>
      </c>
    </row>
    <row r="14567" ht="15.75" customHeight="1">
      <c r="A14567" s="2" t="s">
        <v>14567</v>
      </c>
      <c r="B14567" s="2" t="str">
        <f>IFERROR(__xludf.DUMMYFUNCTION("GOOGLETRANSLATE(A14567, ""en"", ""mt"")"),"operaturi")</f>
        <v>operaturi</v>
      </c>
    </row>
    <row r="14568" ht="15.75" customHeight="1">
      <c r="A14568" s="2" t="s">
        <v>14568</v>
      </c>
      <c r="B14568" s="2" t="str">
        <f>IFERROR(__xludf.DUMMYFUNCTION("GOOGLETRANSLATE(A14568, ""en"", ""mt"")"),"61")</f>
        <v>61</v>
      </c>
    </row>
    <row r="14569" ht="15.75" customHeight="1">
      <c r="A14569" s="2" t="s">
        <v>14569</v>
      </c>
      <c r="B14569" s="2" t="str">
        <f>IFERROR(__xludf.DUMMYFUNCTION("GOOGLETRANSLATE(A14569, ""en"", ""mt"")"),"X'kien l-ewwel isem ta 'D'Olier?")</f>
        <v>X'kien l-ewwel isem ta 'D'Olier?</v>
      </c>
    </row>
    <row r="14570" ht="15.75" customHeight="1">
      <c r="A14570" s="2" t="s">
        <v>14570</v>
      </c>
      <c r="B14570" s="2" t="str">
        <f>IFERROR(__xludf.DUMMYFUNCTION("GOOGLETRANSLATE(A14570, ""en"", ""mt"")"),"X'inhu msemmi għax-xebh tiegħu ma 'ċelloli dendritiċi?")</f>
        <v>X'inhu msemmi għax-xebh tiegħu ma 'ċelloli dendritiċi?</v>
      </c>
    </row>
    <row r="14571" ht="15.75" customHeight="1">
      <c r="A14571" s="2" t="s">
        <v>14571</v>
      </c>
      <c r="B14571" s="2" t="str">
        <f>IFERROR(__xludf.DUMMYFUNCTION("GOOGLETRANSLATE(A14571, ""en"", ""mt"")"),"Kemm dam biex tivvjaġġa madwar l-Ewropa billi tuża sistemi ta 'trasport primittivi?")</f>
        <v>Kemm dam biex tivvjaġġa madwar l-Ewropa billi tuża sistemi ta 'trasport primittivi?</v>
      </c>
    </row>
    <row r="14572" ht="15.75" customHeight="1">
      <c r="A14572" s="2" t="s">
        <v>14572</v>
      </c>
      <c r="B14572" s="2" t="str">
        <f>IFERROR(__xludf.DUMMYFUNCTION("GOOGLETRANSLATE(A14572, ""en"", ""mt"")"),"26 sekonda barra l-kalendarju modern Gregorjan")</f>
        <v>26 sekonda barra l-kalendarju modern Gregorjan</v>
      </c>
    </row>
    <row r="14573" ht="15.75" customHeight="1">
      <c r="A14573" s="2" t="s">
        <v>14573</v>
      </c>
      <c r="B14573" s="2" t="str">
        <f>IFERROR(__xludf.DUMMYFUNCTION("GOOGLETRANSLATE(A14573, ""en"", ""mt"")"),"Liema kunċett, skopert oriġinarjament minn Black, aktar tard ġie skopert b'mod indipendenti minn Watt?")</f>
        <v>Liema kunċett, skopert oriġinarjament minn Black, aktar tard ġie skopert b'mod indipendenti minn Watt?</v>
      </c>
    </row>
    <row r="14574" ht="15.75" customHeight="1">
      <c r="A14574" s="2" t="s">
        <v>14574</v>
      </c>
      <c r="B14574" s="2" t="str">
        <f>IFERROR(__xludf.DUMMYFUNCTION("GOOGLETRANSLATE(A14574, ""en"", ""mt"")"),"X'inhi l-effiċjenza teoretika tal-carnot tal-istainless steel?")</f>
        <v>X'inhi l-effiċjenza teoretika tal-carnot tal-istainless steel?</v>
      </c>
    </row>
    <row r="14575" ht="15.75" customHeight="1">
      <c r="A14575" s="2" t="s">
        <v>14575</v>
      </c>
      <c r="B14575" s="2" t="str">
        <f>IFERROR(__xludf.DUMMYFUNCTION("GOOGLETRANSLATE(A14575, ""en"", ""mt"")"),"Netwerk deċentralizzat b'ħafna mogħdijiet bejn kwalunkwe żewġ punti")</f>
        <v>Netwerk deċentralizzat b'ħafna mogħdijiet bejn kwalunkwe żewġ punti</v>
      </c>
    </row>
    <row r="14576" ht="15.75" customHeight="1">
      <c r="A14576" s="2" t="s">
        <v>14576</v>
      </c>
      <c r="B14576" s="2" t="str">
        <f>IFERROR(__xludf.DUMMYFUNCTION("GOOGLETRANSLATE(A14576, ""en"", ""mt"")"),"Stati Uniti")</f>
        <v>Stati Uniti</v>
      </c>
    </row>
    <row r="14577" ht="15.75" customHeight="1">
      <c r="A14577" s="2" t="s">
        <v>14577</v>
      </c>
      <c r="B14577" s="2" t="str">
        <f>IFERROR(__xludf.DUMMYFUNCTION("GOOGLETRANSLATE(A14577, ""en"", ""mt"")"),"it-tentazzjoni li tidħol fis-sit tat-test")</f>
        <v>it-tentazzjoni li tidħol fis-sit tat-test</v>
      </c>
    </row>
    <row r="14578" ht="15.75" customHeight="1">
      <c r="A14578" s="2" t="s">
        <v>14578</v>
      </c>
      <c r="B14578" s="2" t="str">
        <f>IFERROR(__xludf.DUMMYFUNCTION("GOOGLETRANSLATE(A14578, ""en"", ""mt"")"),"X'għamel l-użu tal-fossili li jinbidel għax-xjenzati?")</f>
        <v>X'għamel l-użu tal-fossili li jinbidel għax-xjenzati?</v>
      </c>
    </row>
    <row r="14579" ht="15.75" customHeight="1">
      <c r="A14579" s="2" t="s">
        <v>14579</v>
      </c>
      <c r="B14579" s="2" t="str">
        <f>IFERROR(__xludf.DUMMYFUNCTION("GOOGLETRANSLATE(A14579, ""en"", ""mt"")"),"Politikament, is-sistema ta 'gvern maħluqa minn Kublai Khan kienet il-prodott ta' kompromess bejn il-feudaliżmu patrimonjali Mongoljan u s-sistema tradizzjonali Ċiniża awtokratika-burokratika. Madankollu, soċjalment l-elite Ċiniża edukata ġeneralment ma n"&amp;"għatawx il-grad ta 'stima li kienu ngħataw qabel taħt dinastiji Ċiniżi indiġeni. Għalkemm l-elite Ċiniża tradizzjonali ma ngħatawx is-sehem tagħhom tal-poter, il-Mongoli u s-Semuren (diversi gruppi alleati mill-Asja Ċentrali u t-tarf tal-punent tal-imperu"&amp;") fil-biċċa l-kbira baqgħu barranin għall-kultura Ċiniża mainstream, u din id-dikotomija tat ir-reġim tal-wan Kolorazzjoni kemmxejn qawwija ""kolonjali"". It-trattament mhux ugwali huwa possibbilment dovut għall-biża 'li tittrasferixxi l-poter liċ-Ċiniżi "&amp;"etniċi taħt ir-regola tagħhom. Il-Mongoli u Semuren ingħataw ċerti vantaġġi fid-dinastija, u dan idum anke wara r-restawr tal-eżami imperjali fil-bidu tas-seklu 14. B'mod ġenerali kien hemm ftit Ċiniżi tat-Tramuntana jew Southerners li laħqu l-ogħla post "&amp;"fil-gvern meta mqabbla mal-possibbiltà li l-Persjani għamlu dan fil-Ilkhanate. Aktar tard l-imperatur Yongle tad-dinastija Ming semma wkoll id-diskriminazzjoni li kienet teżisti matul id-dinastija Yuan. Bi tweġiba għal oġġezzjoni kontra l-użu ta '""barbar"&amp;"i"" fil-gvern tiegħu, l-Imperatur Yongle wieġeb: ""... id-diskriminazzjoni kienet użata mill-Mongoli waqt id-Dinastija Yuan, li impjegat biss"" Mongoli u Tartars ""u mormija Ċiniż tat-Tramuntana u tan-Nofsinhar U din kienet preċiżament il-kawża li ġabet d"&amp;"iżastru fuqhom "".")</f>
        <v>Politikament, is-sistema ta 'gvern maħluqa minn Kublai Khan kienet il-prodott ta' kompromess bejn il-feudaliżmu patrimonjali Mongoljan u s-sistema tradizzjonali Ċiniża awtokratika-burokratika. Madankollu, soċjalment l-elite Ċiniża edukata ġeneralment ma ngħatawx il-grad ta 'stima li kienu ngħataw qabel taħt dinastiji Ċiniżi indiġeni. Għalkemm l-elite Ċiniża tradizzjonali ma ngħatawx is-sehem tagħhom tal-poter, il-Mongoli u s-Semuren (diversi gruppi alleati mill-Asja Ċentrali u t-tarf tal-punent tal-imperu) fil-biċċa l-kbira baqgħu barranin għall-kultura Ċiniża mainstream, u din id-dikotomija tat ir-reġim tal-wan Kolorazzjoni kemmxejn qawwija "kolonjali". It-trattament mhux ugwali huwa possibbilment dovut għall-biża 'li tittrasferixxi l-poter liċ-Ċiniżi etniċi taħt ir-regola tagħhom. Il-Mongoli u Semuren ingħataw ċerti vantaġġi fid-dinastija, u dan idum anke wara r-restawr tal-eżami imperjali fil-bidu tas-seklu 14. B'mod ġenerali kien hemm ftit Ċiniżi tat-Tramuntana jew Southerners li laħqu l-ogħla post fil-gvern meta mqabbla mal-possibbiltà li l-Persjani għamlu dan fil-Ilkhanate. Aktar tard l-imperatur Yongle tad-dinastija Ming semma wkoll id-diskriminazzjoni li kienet teżisti matul id-dinastija Yuan. Bi tweġiba għal oġġezzjoni kontra l-użu ta '"barbari" fil-gvern tiegħu, l-Imperatur Yongle wieġeb: "... id-diskriminazzjoni kienet użata mill-Mongoli waqt id-Dinastija Yuan, li impjegat biss" Mongoli u Tartars "u mormija Ċiniż tat-Tramuntana u tan-Nofsinhar U din kienet preċiżament il-kawża li ġabet diżastru fuqhom ".</v>
      </c>
    </row>
    <row r="14580" ht="15.75" customHeight="1">
      <c r="A14580" s="2" t="s">
        <v>14580</v>
      </c>
      <c r="B14580" s="2" t="str">
        <f>IFERROR(__xludf.DUMMYFUNCTION("GOOGLETRANSLATE(A14580, ""en"", ""mt"")"),"Liema kienu l-istrutturi mibnija mis-Sovjetiċi tipiċi?")</f>
        <v>Liema kienu l-istrutturi mibnija mis-Sovjetiċi tipiċi?</v>
      </c>
    </row>
    <row r="14581" ht="15.75" customHeight="1">
      <c r="A14581" s="2" t="s">
        <v>14581</v>
      </c>
      <c r="B14581" s="2" t="str">
        <f>IFERROR(__xludf.DUMMYFUNCTION("GOOGLETRANSLATE(A14581, ""en"", ""mt"")"),"X'inhi deċiżjoni personali importanti għal diżubbidjenti ċivili?")</f>
        <v>X'inhi deċiżjoni personali importanti għal diżubbidjenti ċivili?</v>
      </c>
    </row>
    <row r="14582" ht="15.75" customHeight="1">
      <c r="A14582" s="2" t="s">
        <v>14582</v>
      </c>
      <c r="B14582" s="2" t="str">
        <f>IFERROR(__xludf.DUMMYFUNCTION("GOOGLETRANSLATE(A14582, ""en"", ""mt"")"),"Liema kunċett jispjega għaliex l-oġġetti jkomplu f'moviment kostanti?")</f>
        <v>Liema kunċett jispjega għaliex l-oġġetti jkomplu f'moviment kostanti?</v>
      </c>
    </row>
    <row r="14583" ht="15.75" customHeight="1">
      <c r="A14583" s="2" t="s">
        <v>14583</v>
      </c>
      <c r="B14583" s="2" t="str">
        <f>IFERROR(__xludf.DUMMYFUNCTION("GOOGLETRANSLATE(A14583, ""en"", ""mt"")"),"Fejn joriġina l-Ħamas?")</f>
        <v>Fejn joriġina l-Ħamas?</v>
      </c>
    </row>
    <row r="14584" ht="15.75" customHeight="1">
      <c r="A14584" s="2" t="s">
        <v>14584</v>
      </c>
      <c r="B14584" s="2" t="str">
        <f>IFERROR(__xludf.DUMMYFUNCTION("GOOGLETRANSLATE(A14584, ""en"", ""mt"")"),"Kif huma marbuta l-klijent u s-sottokuntrattur?")</f>
        <v>Kif huma marbuta l-klijent u s-sottokuntrattur?</v>
      </c>
    </row>
    <row r="14585" ht="15.75" customHeight="1">
      <c r="A14585" s="2" t="s">
        <v>14585</v>
      </c>
      <c r="B14585" s="2" t="str">
        <f>IFERROR(__xludf.DUMMYFUNCTION("GOOGLETRANSLATE(A14585, ""en"", ""mt"")"),"F’liema żona ta ’din il-kolonja Ingliża kienu l-għotjiet tal-art Huguenot?")</f>
        <v>F’liema żona ta ’din il-kolonja Ingliża kienu l-għotjiet tal-art Huguenot?</v>
      </c>
    </row>
    <row r="14586" ht="15.75" customHeight="1">
      <c r="A14586" s="2" t="s">
        <v>14586</v>
      </c>
      <c r="B14586" s="2" t="str">
        <f>IFERROR(__xludf.DUMMYFUNCTION("GOOGLETRANSLATE(A14586, ""en"", ""mt"")"),"X'kien il-proporzjon ta 'kolonizzatur Brittaniku għall-Franċiż?")</f>
        <v>X'kien il-proporzjon ta 'kolonizzatur Brittaniku għall-Franċiż?</v>
      </c>
    </row>
    <row r="14587" ht="15.75" customHeight="1">
      <c r="A14587" s="2" t="s">
        <v>14587</v>
      </c>
      <c r="B14587" s="2" t="str">
        <f>IFERROR(__xludf.DUMMYFUNCTION("GOOGLETRANSLATE(A14587, ""en"", ""mt"")"),"Ma 'xiex tirrelata d-diżubbidjenza ċivili?")</f>
        <v>Ma 'xiex tirrelata d-diżubbidjenza ċivili?</v>
      </c>
    </row>
    <row r="14588" ht="15.75" customHeight="1">
      <c r="A14588" s="2" t="s">
        <v>14588</v>
      </c>
      <c r="B14588" s="2" t="str">
        <f>IFERROR(__xludf.DUMMYFUNCTION("GOOGLETRANSLATE(A14588, ""en"", ""mt"")"),"privat")</f>
        <v>privat</v>
      </c>
    </row>
    <row r="14589" ht="15.75" customHeight="1">
      <c r="A14589" s="2" t="s">
        <v>14589</v>
      </c>
      <c r="B14589" s="2" t="str">
        <f>IFERROR(__xludf.DUMMYFUNCTION("GOOGLETRANSLATE(A14589, ""en"", ""mt"")"),"Ir-raġunijiet għall-MAS Two Counties li għandhom jiżdiedu huma bbażati fuq xiex?")</f>
        <v>Ir-raġunijiet għall-MAS Two Counties li għandhom jiżdiedu huma bbażati fuq xiex?</v>
      </c>
    </row>
    <row r="14590" ht="15.75" customHeight="1">
      <c r="A14590" s="2" t="s">
        <v>14590</v>
      </c>
      <c r="B14590" s="2" t="str">
        <f>IFERROR(__xludf.DUMMYFUNCTION("GOOGLETRANSLATE(A14590, ""en"", ""mt"")"),"Il-petroloġisti jidentifikaw kampjuni tal-blat fil-qasam u fejn inkella?")</f>
        <v>Il-petroloġisti jidentifikaw kampjuni tal-blat fil-qasam u fejn inkella?</v>
      </c>
    </row>
    <row r="14591" ht="15.75" customHeight="1">
      <c r="A14591" s="2" t="s">
        <v>14591</v>
      </c>
      <c r="B14591" s="2" t="str">
        <f>IFERROR(__xludf.DUMMYFUNCTION("GOOGLETRANSLATE(A14591, ""en"", ""mt"")"),"X'inhu isem ieħor għal skola pubblika?")</f>
        <v>X'inhu isem ieħor għal skola pubblika?</v>
      </c>
    </row>
    <row r="14592" ht="15.75" customHeight="1">
      <c r="A14592" s="2" t="s">
        <v>14592</v>
      </c>
      <c r="B14592" s="2" t="str">
        <f>IFERROR(__xludf.DUMMYFUNCTION("GOOGLETRANSLATE(A14592, ""en"", ""mt"")"),"X’għamel ir-re rigward l-edukazzjoni Huguenot?")</f>
        <v>X’għamel ir-re rigward l-edukazzjoni Huguenot?</v>
      </c>
    </row>
    <row r="14593" ht="15.75" customHeight="1">
      <c r="A14593" s="2" t="s">
        <v>14593</v>
      </c>
      <c r="B14593" s="2" t="str">
        <f>IFERROR(__xludf.DUMMYFUNCTION("GOOGLETRANSLATE(A14593, ""en"", ""mt"")"),"X'jista 'jiġri meta tieħu n-nifs fl-ossiġnu b'60 atm?")</f>
        <v>X'jista 'jiġri meta tieħu n-nifs fl-ossiġnu b'60 atm?</v>
      </c>
    </row>
    <row r="14594" ht="15.75" customHeight="1">
      <c r="A14594" s="2" t="s">
        <v>14594</v>
      </c>
      <c r="B14594" s="2" t="str">
        <f>IFERROR(__xludf.DUMMYFUNCTION("GOOGLETRANSLATE(A14594, ""en"", ""mt"")"),"Liema tip ta 'ribelljonijiet huma komuni fil-Parlament Skoċċiż?")</f>
        <v>Liema tip ta 'ribelljonijiet huma komuni fil-Parlament Skoċċiż?</v>
      </c>
    </row>
    <row r="14595" ht="15.75" customHeight="1">
      <c r="A14595" s="2" t="s">
        <v>14595</v>
      </c>
      <c r="B14595" s="2" t="str">
        <f>IFERROR(__xludf.DUMMYFUNCTION("GOOGLETRANSLATE(A14595, ""en"", ""mt"")"),"ċelloli bojod tad-demm")</f>
        <v>ċelloli bojod tad-demm</v>
      </c>
    </row>
    <row r="14596" ht="15.75" customHeight="1">
      <c r="A14596" s="2" t="s">
        <v>14596</v>
      </c>
      <c r="B14596" s="2" t="str">
        <f>IFERROR(__xludf.DUMMYFUNCTION("GOOGLETRANSLATE(A14596, ""en"", ""mt"")"),"X'inhu isem ieħor għar-Rotta tal-Istat 99?")</f>
        <v>X'inhu isem ieħor għar-Rotta tal-Istat 99?</v>
      </c>
    </row>
    <row r="14597" ht="15.75" customHeight="1">
      <c r="A14597" s="2" t="s">
        <v>14597</v>
      </c>
      <c r="B14597" s="2" t="str">
        <f>IFERROR(__xludf.DUMMYFUNCTION("GOOGLETRANSLATE(A14597, ""en"", ""mt"")"),"Fit-tramuntana")</f>
        <v>Fit-tramuntana</v>
      </c>
    </row>
    <row r="14598" ht="15.75" customHeight="1">
      <c r="A14598" s="2" t="s">
        <v>14598</v>
      </c>
      <c r="B14598" s="2" t="str">
        <f>IFERROR(__xludf.DUMMYFUNCTION("GOOGLETRANSLATE(A14598, ""en"", ""mt"")"),"Ħafna klassijiet ta 'kumplessità magħrufa huma suspettati li huma inugwali, iżda dan ma ġiex ippruvat. Pereżempju P ⊆ NP ⊆ PP ⊆ PSPACE, iżda huwa possibbli li P = PSPACE. Jekk P mhuwiex daqs NP, allura P lanqas huwa daqs PSPACE. Peress li hemm ħafna klass"&amp;"ijiet ta 'kumplessità magħrufa bejn P u PSPACE, bħal RP, BPP, PP, BQP, MA, PH, eċċ., Huwa possibbli li dawn il-klassijiet kollha ta' kumplessità jiġġarrfu għal klassi waħda. Li tipprova li xi waħda minn dawn il-klassijiet mhix ugwali tkun avvanz kbir fit-"&amp;"teorija tal-kumplessità.")</f>
        <v>Ħafna klassijiet ta 'kumplessità magħrufa huma suspettati li huma inugwali, iżda dan ma ġiex ippruvat. Pereżempju P ⊆ NP ⊆ PP ⊆ PSPACE, iżda huwa possibbli li P = PSPACE. Jekk P mhuwiex daqs NP, allura P lanqas huwa daqs PSPACE. Peress li hemm ħafna klassijiet ta 'kumplessità magħrufa bejn P u PSPACE, bħal RP, BPP, PP, BQP, MA, PH, eċċ., Huwa possibbli li dawn il-klassijiet kollha ta' kumplessità jiġġarrfu għal klassi waħda. Li tipprova li xi waħda minn dawn il-klassijiet mhix ugwali tkun avvanz kbir fit-teorija tal-kumplessità.</v>
      </c>
    </row>
    <row r="14599" ht="15.75" customHeight="1">
      <c r="A14599" s="2" t="s">
        <v>14599</v>
      </c>
      <c r="B14599" s="2" t="str">
        <f>IFERROR(__xludf.DUMMYFUNCTION("GOOGLETRANSLATE(A14599, ""en"", ""mt"")"),"X'jistgħu jiddubitaw lill-membri l-ewwel ministru dwar direttament waqt il-ħin tal-mistoqsija tal-ewwel ministru?")</f>
        <v>X'jistgħu jiddubitaw lill-membri l-ewwel ministru dwar direttament waqt il-ħin tal-mistoqsija tal-ewwel ministru?</v>
      </c>
    </row>
    <row r="14600" ht="15.75" customHeight="1">
      <c r="A14600" s="2" t="s">
        <v>14600</v>
      </c>
      <c r="B14600" s="2" t="str">
        <f>IFERROR(__xludf.DUMMYFUNCTION("GOOGLETRANSLATE(A14600, ""en"", ""mt"")"),"L-istudjużi tal-Università ta ’Chicago kellhom rwol ewlieni fl-iżvilupp ta’ diversi dixxiplini akkademiċi, fosthom: The Chicago School of Economics, The Chicago School of Sociology, The Law and Economic tar-reliġjon, u l-iskola tal-imġieba tax-xjenza poli"&amp;"tika. Id-Dipartiment tal-Fiżika ta 'Chicago għen biex jiżviluppa l-ewwel reazzjoni nukleari magħmula minnha nnifisha fid-dinja taħt il-qasam Stagg tal-università. L-insegwiment ta 'riċerka ta' Chicago ġie megħjun minn affiljazzjonijiet uniċi ma 'istituzzj"&amp;"onijiet ta' fama dinjija bħall-Laboratorju Nazzjonali Fermilab u Argonne, kif ukoll il-Laboratorju Bijoloġiku tal-Baħar. L-università hija wkoll id-dar tal-Università ta ’Chicago Press, l-akbar stampa tal-università fl-Istati Uniti. B'data ta 'tlestija st"&amp;"mata ta' l-2020, iċ-Ċentru Presidenzjali ta 'Barack Obama se jkun alloġġat fl-università u jinkludi kemm il-Librerija Presidenzjali ta' Obama kif ukoll l-uffiċċji tal-Fondazzjoni Obama.")</f>
        <v>L-istudjużi tal-Università ta ’Chicago kellhom rwol ewlieni fl-iżvilupp ta’ diversi dixxiplini akkademiċi, fosthom: The Chicago School of Economics, The Chicago School of Sociology, The Law and Economic tar-reliġjon, u l-iskola tal-imġieba tax-xjenza politika. Id-Dipartiment tal-Fiżika ta 'Chicago għen biex jiżviluppa l-ewwel reazzjoni nukleari magħmula minnha nnifisha fid-dinja taħt il-qasam Stagg tal-università. L-insegwiment ta 'riċerka ta' Chicago ġie megħjun minn affiljazzjonijiet uniċi ma 'istituzzjonijiet ta' fama dinjija bħall-Laboratorju Nazzjonali Fermilab u Argonne, kif ukoll il-Laboratorju Bijoloġiku tal-Baħar. L-università hija wkoll id-dar tal-Università ta ’Chicago Press, l-akbar stampa tal-università fl-Istati Uniti. B'data ta 'tlestija stmata ta' l-2020, iċ-Ċentru Presidenzjali ta 'Barack Obama se jkun alloġġat fl-università u jinkludi kemm il-Librerija Presidenzjali ta' Obama kif ukoll l-uffiċċji tal-Fondazzjoni Obama.</v>
      </c>
    </row>
    <row r="14601" ht="15.75" customHeight="1">
      <c r="A14601" s="2" t="s">
        <v>14601</v>
      </c>
      <c r="B14601" s="2" t="str">
        <f>IFERROR(__xludf.DUMMYFUNCTION("GOOGLETRANSLATE(A14601, ""en"", ""mt"")"),"Kemm għamlet borra fl-1885?")</f>
        <v>Kemm għamlet borra fl-1885?</v>
      </c>
    </row>
    <row r="14602" ht="15.75" customHeight="1">
      <c r="A14602" s="2" t="s">
        <v>14602</v>
      </c>
      <c r="B14602" s="2" t="str">
        <f>IFERROR(__xludf.DUMMYFUNCTION("GOOGLETRANSLATE(A14602, ""en"", ""mt"")"),"Los Angeles (bi 3.7 miljun persuna) u San Diego (f'1.3 miljun persuna), it-tnejn fin-Nofsinhar ta 'California, huma l-akbar żewġ bliet fil-Kalifornja kollha (u tnejn mill-ikbar bliet fl-Istati Uniti). Fin-Nofsinhar ta ’California hemm ukoll tnax-il belt b"&amp;"’aktar minn 200,000 resident u 34 belt’ il fuq minn 100,000 f’popolazzjoni. Ħafna mill-ibliet l-iktar żviluppati tan-Nofsinhar ta 'California jinsabu tul jew viċin il-kosta, bl-eċċezzjoni ta' San Bernardino u Riverside.")</f>
        <v>Los Angeles (bi 3.7 miljun persuna) u San Diego (f'1.3 miljun persuna), it-tnejn fin-Nofsinhar ta 'California, huma l-akbar żewġ bliet fil-Kalifornja kollha (u tnejn mill-ikbar bliet fl-Istati Uniti). Fin-Nofsinhar ta ’California hemm ukoll tnax-il belt b’aktar minn 200,000 resident u 34 belt’ il fuq minn 100,000 f’popolazzjoni. Ħafna mill-ibliet l-iktar żviluppati tan-Nofsinhar ta 'California jinsabu tul jew viċin il-kosta, bl-eċċezzjoni ta' San Bernardino u Riverside.</v>
      </c>
    </row>
    <row r="14603" ht="15.75" customHeight="1">
      <c r="A14603" s="2" t="s">
        <v>14603</v>
      </c>
      <c r="B14603" s="2" t="str">
        <f>IFERROR(__xludf.DUMMYFUNCTION("GOOGLETRANSLATE(A14603, ""en"", ""mt"")"),"Taħriġ speċjali biex jiżgura li s-sorsi tat-tqabbid jiġu mminimizzati")</f>
        <v>Taħriġ speċjali biex jiżgura li s-sorsi tat-tqabbid jiġu mminimizzati</v>
      </c>
    </row>
    <row r="14604" ht="15.75" customHeight="1">
      <c r="A14604" s="2" t="s">
        <v>14604</v>
      </c>
      <c r="B14604" s="2" t="str">
        <f>IFERROR(__xludf.DUMMYFUNCTION("GOOGLETRANSLATE(A14604, ""en"", ""mt"")"),"Għandhom jitħabbru pubblikament")</f>
        <v>Għandhom jitħabbru pubblikament</v>
      </c>
    </row>
    <row r="14605" ht="15.75" customHeight="1">
      <c r="A14605" s="2" t="s">
        <v>14605</v>
      </c>
      <c r="B14605" s="2" t="str">
        <f>IFERROR(__xludf.DUMMYFUNCTION("GOOGLETRANSLATE(A14605, ""en"", ""mt"")"),"Min imnaqqax stat għalih innifsu mill-artijiet Moorish?")</f>
        <v>Min imnaqqax stat għalih innifsu mill-artijiet Moorish?</v>
      </c>
    </row>
    <row r="14606" ht="15.75" customHeight="1">
      <c r="A14606" s="2" t="s">
        <v>14606</v>
      </c>
      <c r="B14606" s="2" t="str">
        <f>IFERROR(__xludf.DUMMYFUNCTION("GOOGLETRANSLATE(A14606, ""en"", ""mt"")"),"X’kienu l-Olanda li ma ħalliex l-Amerika tuża waqt l-embargo?")</f>
        <v>X’kienu l-Olanda li ma ħalliex l-Amerika tuża waqt l-embargo?</v>
      </c>
    </row>
    <row r="14607" ht="15.75" customHeight="1">
      <c r="A14607" s="2" t="s">
        <v>14607</v>
      </c>
      <c r="B14607" s="2" t="str">
        <f>IFERROR(__xludf.DUMMYFUNCTION("GOOGLETRANSLATE(A14607, ""en"", ""mt"")"),"Liema kumpanija żviluppat l-iktar magna tal-fwar ta 'suċċess?")</f>
        <v>Liema kumpanija żviluppat l-iktar magna tal-fwar ta 'suċċess?</v>
      </c>
    </row>
    <row r="14608" ht="15.75" customHeight="1">
      <c r="A14608" s="2" t="s">
        <v>14608</v>
      </c>
      <c r="B14608" s="2" t="str">
        <f>IFERROR(__xludf.DUMMYFUNCTION("GOOGLETRANSLATE(A14608, ""en"", ""mt"")"),"X'tip ta 'diploma jingħata meta jiggradwa minn Sonderungsverbot?")</f>
        <v>X'tip ta 'diploma jingħata meta jiggradwa minn Sonderungsverbot?</v>
      </c>
    </row>
    <row r="14609" ht="15.75" customHeight="1">
      <c r="A14609" s="2" t="s">
        <v>14609</v>
      </c>
      <c r="B14609" s="2" t="str">
        <f>IFERROR(__xludf.DUMMYFUNCTION("GOOGLETRANSLATE(A14609, ""en"", ""mt"")"),"Is-Sierra Freeway")</f>
        <v>Is-Sierra Freeway</v>
      </c>
    </row>
    <row r="14610" ht="15.75" customHeight="1">
      <c r="A14610" s="2" t="s">
        <v>14610</v>
      </c>
      <c r="B14610" s="2" t="str">
        <f>IFERROR(__xludf.DUMMYFUNCTION("GOOGLETRANSLATE(A14610, ""en"", ""mt"")"),"Liema klassi ta 'vapuri hija eżempju ta' inforor kbar tal-passiġġieri?")</f>
        <v>Liema klassi ta 'vapuri hija eżempju ta' inforor kbar tal-passiġġieri?</v>
      </c>
    </row>
    <row r="14611" ht="15.75" customHeight="1">
      <c r="A14611" s="2" t="s">
        <v>14611</v>
      </c>
      <c r="B14611" s="2" t="str">
        <f>IFERROR(__xludf.DUMMYFUNCTION("GOOGLETRANSLATE(A14611, ""en"", ""mt"")"),"Min kien wieħed mill-aktar nies famużi li twieldu f'Wola?")</f>
        <v>Min kien wieħed mill-aktar nies famużi li twieldu f'Wola?</v>
      </c>
    </row>
    <row r="14612" ht="15.75" customHeight="1">
      <c r="A14612" s="2" t="s">
        <v>14612</v>
      </c>
      <c r="B14612" s="2" t="str">
        <f>IFERROR(__xludf.DUMMYFUNCTION("GOOGLETRANSLATE(A14612, ""en"", ""mt"")"),"Fejn jinsabu l-aktar insedjamenti?")</f>
        <v>Fejn jinsabu l-aktar insedjamenti?</v>
      </c>
    </row>
    <row r="14613" ht="15.75" customHeight="1">
      <c r="A14613" s="2" t="s">
        <v>14613</v>
      </c>
      <c r="B14613" s="2" t="str">
        <f>IFERROR(__xludf.DUMMYFUNCTION("GOOGLETRANSLATE(A14613, ""en"", ""mt"")"),"Kontenut tal-vidjow fuq talba")</f>
        <v>Kontenut tal-vidjow fuq talba</v>
      </c>
    </row>
    <row r="14614" ht="15.75" customHeight="1">
      <c r="A14614" s="2" t="s">
        <v>14614</v>
      </c>
      <c r="B14614" s="2" t="str">
        <f>IFERROR(__xludf.DUMMYFUNCTION("GOOGLETRANSLATE(A14614, ""en"", ""mt"")"),"Liema fiżika ma ġewx kontradetti mill-osservazzjonijiet u l-loġika?")</f>
        <v>Liema fiżika ma ġewx kontradetti mill-osservazzjonijiet u l-loġika?</v>
      </c>
    </row>
    <row r="14615" ht="15.75" customHeight="1">
      <c r="A14615" s="2" t="s">
        <v>14615</v>
      </c>
      <c r="B14615" s="2" t="str">
        <f>IFERROR(__xludf.DUMMYFUNCTION("GOOGLETRANSLATE(A14615, ""en"", ""mt"")"),"Prim fard")</f>
        <v>Prim fard</v>
      </c>
    </row>
    <row r="14616" ht="15.75" customHeight="1">
      <c r="A14616" s="2" t="s">
        <v>14616</v>
      </c>
      <c r="B14616" s="2" t="str">
        <f>IFERROR(__xludf.DUMMYFUNCTION("GOOGLETRANSLATE(A14616, ""en"", ""mt"")"),"Min hu l-President attwali tal-Kunsill tal-Konsulenti Ekonomiċi tal-President Barack Obama?")</f>
        <v>Min hu l-President attwali tal-Kunsill tal-Konsulenti Ekonomiċi tal-President Barack Obama?</v>
      </c>
    </row>
    <row r="14617" ht="15.75" customHeight="1">
      <c r="A14617" s="2" t="s">
        <v>14617</v>
      </c>
      <c r="B14617" s="2" t="str">
        <f>IFERROR(__xludf.DUMMYFUNCTION("GOOGLETRANSLATE(A14617, ""en"", ""mt"")"),"ir-repulsjoni ta 'piżijiet simili taħt l-influwenza tal-forza elettromanjetika")</f>
        <v>ir-repulsjoni ta 'piżijiet simili taħt l-influwenza tal-forza elettromanjetika</v>
      </c>
    </row>
    <row r="14618" ht="15.75" customHeight="1">
      <c r="A14618" s="2" t="s">
        <v>14618</v>
      </c>
      <c r="B14618" s="2" t="str">
        <f>IFERROR(__xludf.DUMMYFUNCTION("GOOGLETRANSLATE(A14618, ""en"", ""mt"")"),"L-immigranti Huguenot ma xerrdux jew joqogħdu f'partijiet differenti tal-pajjiż, iżda pjuttost, iffurmaw tliet soċjetajiet jew kongregazzjonijiet; Waħda fil-belt ta ’New York, 21 mil ieħor fit-tramuntana ta’ New York f’belt li huma semmew New Rochelle, u "&amp;"t-tielet upstate ieħor fi New Paltz. Id- ""Distrett Storiku ta 'Triq Huguenot"" fi New Paltz ġie nominat sit ta' monument storiku nazzjonali u fih l-eqdem triq fl-Istati Uniti ta 'l-Amerika. Grupp żgħir ta 'Huguenots stabbilixxa wkoll fuq ix-Xatt tan-Nofs"&amp;"inhar ta' Staten Island tul il-Port ta 'New York, li għalih kien imsemmi l-viċinat attwali ta' Huguenot.")</f>
        <v>L-immigranti Huguenot ma xerrdux jew joqogħdu f'partijiet differenti tal-pajjiż, iżda pjuttost, iffurmaw tliet soċjetajiet jew kongregazzjonijiet; Waħda fil-belt ta ’New York, 21 mil ieħor fit-tramuntana ta’ New York f’belt li huma semmew New Rochelle, u t-tielet upstate ieħor fi New Paltz. Id- "Distrett Storiku ta 'Triq Huguenot" fi New Paltz ġie nominat sit ta' monument storiku nazzjonali u fih l-eqdem triq fl-Istati Uniti ta 'l-Amerika. Grupp żgħir ta 'Huguenots stabbilixxa wkoll fuq ix-Xatt tan-Nofsinhar ta' Staten Island tul il-Port ta 'New York, li għalih kien imsemmi l-viċinat attwali ta' Huguenot.</v>
      </c>
    </row>
    <row r="14619" ht="15.75" customHeight="1">
      <c r="A14619" s="2" t="s">
        <v>14619</v>
      </c>
      <c r="B14619" s="2" t="str">
        <f>IFERROR(__xludf.DUMMYFUNCTION("GOOGLETRANSLATE(A14619, ""en"", ""mt"")"),"Ħin mhux deterministiku")</f>
        <v>Ħin mhux deterministiku</v>
      </c>
    </row>
    <row r="14620" ht="15.75" customHeight="1">
      <c r="A14620" s="2" t="s">
        <v>14620</v>
      </c>
      <c r="B14620" s="2" t="str">
        <f>IFERROR(__xludf.DUMMYFUNCTION("GOOGLETRANSLATE(A14620, ""en"", ""mt"")"),"It-tnixxija vaġinali sservi bħala barriera protettiva kimika wara xiex?")</f>
        <v>It-tnixxija vaġinali sservi bħala barriera protettiva kimika wara xiex?</v>
      </c>
    </row>
    <row r="14621" ht="15.75" customHeight="1">
      <c r="A14621" s="2" t="s">
        <v>14621</v>
      </c>
      <c r="B14621" s="2" t="str">
        <f>IFERROR(__xludf.DUMMYFUNCTION("GOOGLETRANSLATE(A14621, ""en"", ""mt"")"),"Kemm imperi Musulmani użaw l-imperjalizmu?")</f>
        <v>Kemm imperi Musulmani użaw l-imperjalizmu?</v>
      </c>
    </row>
    <row r="14622" ht="15.75" customHeight="1">
      <c r="A14622" s="2" t="s">
        <v>14622</v>
      </c>
      <c r="B14622" s="2" t="str">
        <f>IFERROR(__xludf.DUMMYFUNCTION("GOOGLETRANSLATE(A14622, ""en"", ""mt"")"),"Meta ġiet iffurmata Michigan Network Inc. mill-universitajiet pubbliċi ta 'Michigan?")</f>
        <v>Meta ġiet iffurmata Michigan Network Inc. mill-universitajiet pubbliċi ta 'Michigan?</v>
      </c>
    </row>
    <row r="14623" ht="15.75" customHeight="1">
      <c r="A14623" s="2" t="s">
        <v>14623</v>
      </c>
      <c r="B14623" s="2" t="str">
        <f>IFERROR(__xludf.DUMMYFUNCTION("GOOGLETRANSLATE(A14623, ""en"", ""mt"")"),"Teorija tar-Relatività Ġenerali")</f>
        <v>Teorija tar-Relatività Ġenerali</v>
      </c>
    </row>
    <row r="14624" ht="15.75" customHeight="1">
      <c r="A14624" s="2" t="s">
        <v>14624</v>
      </c>
      <c r="B14624" s="2" t="str">
        <f>IFERROR(__xludf.DUMMYFUNCTION("GOOGLETRANSLATE(A14624, ""en"", ""mt"")"),"X’beda jonqos wara l-Ewwel Gwerra Dinjija?")</f>
        <v>X’beda jonqos wara l-Ewwel Gwerra Dinjija?</v>
      </c>
    </row>
    <row r="14625" ht="15.75" customHeight="1">
      <c r="A14625" s="2" t="s">
        <v>14625</v>
      </c>
      <c r="B14625" s="2" t="str">
        <f>IFERROR(__xludf.DUMMYFUNCTION("GOOGLETRANSLATE(A14625, ""en"", ""mt"")"),"Flimkien ma 'individwi u organizzazzjonijiet privati, liema gruppi kultant imexxi ErgänZungsschulen?")</f>
        <v>Flimkien ma 'individwi u organizzazzjonijiet privati, liema gruppi kultant imexxi ErgänZungsschulen?</v>
      </c>
    </row>
    <row r="14626" ht="15.75" customHeight="1">
      <c r="A14626" s="2" t="s">
        <v>14626</v>
      </c>
      <c r="B14626" s="2" t="str">
        <f>IFERROR(__xludf.DUMMYFUNCTION("GOOGLETRANSLATE(A14626, ""en"", ""mt"")"),"Iċ-Ċiniż Han")</f>
        <v>Iċ-Ċiniż Han</v>
      </c>
    </row>
    <row r="14627" ht="15.75" customHeight="1">
      <c r="A14627" s="2" t="s">
        <v>14627</v>
      </c>
      <c r="B14627" s="2" t="str">
        <f>IFERROR(__xludf.DUMMYFUNCTION("GOOGLETRANSLATE(A14627, ""en"", ""mt"")"),"Minn mill-inqas is-seklu 14")</f>
        <v>Minn mill-inqas is-seklu 14</v>
      </c>
    </row>
    <row r="14628" ht="15.75" customHeight="1">
      <c r="A14628" s="2" t="s">
        <v>14628</v>
      </c>
      <c r="B14628" s="2" t="str">
        <f>IFERROR(__xludf.DUMMYFUNCTION("GOOGLETRANSLATE(A14628, ""en"", ""mt"")"),"Isem Gaulish rēnos")</f>
        <v>Isem Gaulish rēnos</v>
      </c>
    </row>
    <row r="14629" ht="15.75" customHeight="1">
      <c r="A14629" s="2" t="s">
        <v>14629</v>
      </c>
      <c r="B14629" s="2" t="str">
        <f>IFERROR(__xludf.DUMMYFUNCTION("GOOGLETRANSLATE(A14629, ""en"", ""mt"")"),"Fejn Kublai qassar il-Grand Canal?")</f>
        <v>Fejn Kublai qassar il-Grand Canal?</v>
      </c>
    </row>
    <row r="14630" ht="15.75" customHeight="1">
      <c r="A14630" s="2" t="s">
        <v>14630</v>
      </c>
      <c r="B14630" s="2" t="str">
        <f>IFERROR(__xludf.DUMMYFUNCTION("GOOGLETRANSLATE(A14630, ""en"", ""mt"")"),"Liema distretti ta 'negozju addizzjonali huma fiċ-ċentru ta' Los Angeles innifsu?")</f>
        <v>Liema distretti ta 'negozju addizzjonali huma fiċ-ċentru ta' Los Angeles innifsu?</v>
      </c>
    </row>
    <row r="14631" ht="15.75" customHeight="1">
      <c r="A14631" s="2" t="s">
        <v>14631</v>
      </c>
      <c r="B14631" s="2" t="str">
        <f>IFERROR(__xludf.DUMMYFUNCTION("GOOGLETRANSLATE(A14631, ""en"", ""mt"")"),"Il-komunitajiet tan-Nofsinhar tal-Kalifornja huma magħrufa sew, mifruxa - barra, u liema karatteristika oħra?")</f>
        <v>Il-komunitajiet tan-Nofsinhar tal-Kalifornja huma magħrufa sew, mifruxa - barra, u liema karatteristika oħra?</v>
      </c>
    </row>
    <row r="14632" ht="15.75" customHeight="1">
      <c r="A14632" s="2" t="s">
        <v>14632</v>
      </c>
      <c r="B14632" s="2" t="str">
        <f>IFERROR(__xludf.DUMMYFUNCTION("GOOGLETRANSLATE(A14632, ""en"", ""mt"")"),"F'liema xahar u sena l-Black Death infirxet fi Franza?")</f>
        <v>F'liema xahar u sena l-Black Death infirxet fi Franza?</v>
      </c>
    </row>
    <row r="14633" ht="15.75" customHeight="1">
      <c r="A14633" s="2" t="s">
        <v>14633</v>
      </c>
      <c r="B14633" s="2" t="str">
        <f>IFERROR(__xludf.DUMMYFUNCTION("GOOGLETRANSLATE(A14633, ""en"", ""mt"")"),"Granulysin (protease)")</f>
        <v>Granulysin (protease)</v>
      </c>
    </row>
    <row r="14634" ht="15.75" customHeight="1">
      <c r="A14634" s="2" t="s">
        <v>14634</v>
      </c>
      <c r="B14634" s="2" t="str">
        <f>IFERROR(__xludf.DUMMYFUNCTION("GOOGLETRANSLATE(A14634, ""en"", ""mt"")"),"X'jista 'jintuża biex jimmudella l-forzi tat-tensjoni?")</f>
        <v>X'jista 'jintuża biex jimmudella l-forzi tat-tensjoni?</v>
      </c>
    </row>
    <row r="14635" ht="15.75" customHeight="1">
      <c r="A14635" s="2" t="s">
        <v>14635</v>
      </c>
      <c r="B14635" s="2" t="str">
        <f>IFERROR(__xludf.DUMMYFUNCTION("GOOGLETRANSLATE(A14635, ""en"", ""mt"")"),"Liema gang daħal fin-naħa tal-punent fl-2008?")</f>
        <v>Liema gang daħal fin-naħa tal-punent fl-2008?</v>
      </c>
    </row>
    <row r="14636" ht="15.75" customHeight="1">
      <c r="A14636" s="2" t="s">
        <v>14636</v>
      </c>
      <c r="B14636" s="2" t="str">
        <f>IFERROR(__xludf.DUMMYFUNCTION("GOOGLETRANSLATE(A14636, ""en"", ""mt"")"),"Għaliex il-blat igneous jużaw żrar?")</f>
        <v>Għaliex il-blat igneous jużaw żrar?</v>
      </c>
    </row>
    <row r="14637" ht="15.75" customHeight="1">
      <c r="A14637" s="2" t="s">
        <v>14637</v>
      </c>
      <c r="B14637" s="2" t="str">
        <f>IFERROR(__xludf.DUMMYFUNCTION("GOOGLETRANSLATE(A14637, ""en"", ""mt"")"),"kwantitajiet ta 'vettur")</f>
        <v>kwantitajiet ta 'vettur</v>
      </c>
    </row>
    <row r="14638" ht="15.75" customHeight="1">
      <c r="A14638" s="2" t="s">
        <v>14638</v>
      </c>
      <c r="B14638" s="2" t="str">
        <f>IFERROR(__xludf.DUMMYFUNCTION("GOOGLETRANSLATE(A14638, ""en"", ""mt"")"),"Magma Ġdida")</f>
        <v>Magma Ġdida</v>
      </c>
    </row>
    <row r="14639" ht="15.75" customHeight="1">
      <c r="A14639" s="2" t="s">
        <v>14639</v>
      </c>
      <c r="B14639" s="2" t="str">
        <f>IFERROR(__xludf.DUMMYFUNCTION("GOOGLETRANSLATE(A14639, ""en"", ""mt"")"),"It-trattati japplikaw malli jidħlu fis-seħħ")</f>
        <v>It-trattati japplikaw malli jidħlu fis-seħħ</v>
      </c>
    </row>
    <row r="14640" ht="15.75" customHeight="1">
      <c r="A14640" s="2" t="s">
        <v>14640</v>
      </c>
      <c r="B14640" s="2" t="str">
        <f>IFERROR(__xludf.DUMMYFUNCTION("GOOGLETRANSLATE(A14640, ""en"", ""mt"")"),"Il-kaċċa u l-popolazzjoni qed jiffaċċjaw it-theddid ewlieni?")</f>
        <v>Il-kaċċa u l-popolazzjoni qed jiffaċċjaw it-theddid ewlieni?</v>
      </c>
    </row>
    <row r="14641" ht="15.75" customHeight="1">
      <c r="A14641" s="2" t="s">
        <v>14641</v>
      </c>
      <c r="B14641" s="2" t="str">
        <f>IFERROR(__xludf.DUMMYFUNCTION("GOOGLETRANSLATE(A14641, ""en"", ""mt"")"),"Sa liema sena l-MPG tal-Karozzi Amerikani bdew itejbu?")</f>
        <v>Sa liema sena l-MPG tal-Karozzi Amerikani bdew itejbu?</v>
      </c>
    </row>
    <row r="14642" ht="15.75" customHeight="1">
      <c r="A14642" s="2" t="s">
        <v>14642</v>
      </c>
      <c r="B14642" s="2" t="str">
        <f>IFERROR(__xludf.DUMMYFUNCTION("GOOGLETRANSLATE(A14642, ""en"", ""mt"")"),"Fort Duquesne.")</f>
        <v>Fort Duquesne.</v>
      </c>
    </row>
    <row r="14643" ht="15.75" customHeight="1">
      <c r="A14643" s="2" t="s">
        <v>14643</v>
      </c>
      <c r="B14643" s="2" t="str">
        <f>IFERROR(__xludf.DUMMYFUNCTION("GOOGLETRANSLATE(A14643, ""en"", ""mt"")"),"Microsoft meta ddeċidiet li tappella d-deċiżjoni?")</f>
        <v>Microsoft meta ddeċidiet li tappella d-deċiżjoni?</v>
      </c>
    </row>
    <row r="14644" ht="15.75" customHeight="1">
      <c r="A14644" s="2" t="s">
        <v>14644</v>
      </c>
      <c r="B14644" s="2" t="str">
        <f>IFERROR(__xludf.DUMMYFUNCTION("GOOGLETRANSLATE(A14644, ""en"", ""mt"")"),"Re ta ’Franza")</f>
        <v>Re ta ’Franza</v>
      </c>
    </row>
    <row r="14645" ht="15.75" customHeight="1">
      <c r="A14645" s="2" t="s">
        <v>14645</v>
      </c>
      <c r="B14645" s="2" t="str">
        <f>IFERROR(__xludf.DUMMYFUNCTION("GOOGLETRANSLATE(A14645, ""en"", ""mt"")"),"X'kien imneħħi mil-lista tas-siti tal-Wirt Dinji tal-UNESCO?")</f>
        <v>X'kien imneħħi mil-lista tas-siti tal-Wirt Dinji tal-UNESCO?</v>
      </c>
    </row>
    <row r="14646" ht="15.75" customHeight="1">
      <c r="A14646" s="2" t="s">
        <v>14646</v>
      </c>
      <c r="B14646" s="2" t="str">
        <f>IFERROR(__xludf.DUMMYFUNCTION("GOOGLETRANSLATE(A14646, ""en"", ""mt"")"),"Elimina l-multipli kollha ta '1 (jiġifieri, in-numri l-oħra kollha) u tipproduċi bħala output biss in-numru wieħed 1.")</f>
        <v>Elimina l-multipli kollha ta '1 (jiġifieri, in-numri l-oħra kollha) u tipproduċi bħala output biss in-numru wieħed 1.</v>
      </c>
    </row>
    <row r="14647" ht="15.75" customHeight="1">
      <c r="A14647" s="2" t="s">
        <v>14647</v>
      </c>
      <c r="B14647" s="2" t="str">
        <f>IFERROR(__xludf.DUMMYFUNCTION("GOOGLETRANSLATE(A14647, ""en"", ""mt"")"),"tassazzjoni")</f>
        <v>tassazzjoni</v>
      </c>
    </row>
    <row r="14648" ht="15.75" customHeight="1">
      <c r="A14648" s="2" t="s">
        <v>14648</v>
      </c>
      <c r="B14648" s="2" t="str">
        <f>IFERROR(__xludf.DUMMYFUNCTION("GOOGLETRANSLATE(A14648, ""en"", ""mt"")"),"tfisser li tinvesti f'sorsi ġodda ta 'ħolqien ta' ġid")</f>
        <v>tfisser li tinvesti f'sorsi ġodda ta 'ħolqien ta' ġid</v>
      </c>
    </row>
    <row r="14649" ht="15.75" customHeight="1">
      <c r="A14649" s="2" t="s">
        <v>14649</v>
      </c>
      <c r="B14649" s="2" t="str">
        <f>IFERROR(__xludf.DUMMYFUNCTION("GOOGLETRANSLATE(A14649, ""en"", ""mt"")"),"Kosta tad-Danimarka")</f>
        <v>Kosta tad-Danimarka</v>
      </c>
    </row>
    <row r="14650" ht="15.75" customHeight="1">
      <c r="A14650" s="2" t="s">
        <v>14650</v>
      </c>
      <c r="B14650" s="2" t="str">
        <f>IFERROR(__xludf.DUMMYFUNCTION("GOOGLETRANSLATE(A14650, ""en"", ""mt"")"),"minnhom")</f>
        <v>minnhom</v>
      </c>
    </row>
    <row r="14651" ht="15.75" customHeight="1">
      <c r="A14651" s="2" t="s">
        <v>14651</v>
      </c>
      <c r="B14651" s="2" t="str">
        <f>IFERROR(__xludf.DUMMYFUNCTION("GOOGLETRANSLATE(A14651, ""en"", ""mt"")"),"400 m wiesa '")</f>
        <v>400 m wiesa '</v>
      </c>
    </row>
    <row r="14652" ht="15.75" customHeight="1">
      <c r="A14652" s="2" t="s">
        <v>14652</v>
      </c>
      <c r="B14652" s="2" t="str">
        <f>IFERROR(__xludf.DUMMYFUNCTION("GOOGLETRANSLATE(A14652, ""en"", ""mt"")"),"Magna Steam Corliss")</f>
        <v>Magna Steam Corliss</v>
      </c>
    </row>
    <row r="14653" ht="15.75" customHeight="1">
      <c r="A14653" s="2" t="s">
        <v>14653</v>
      </c>
      <c r="B14653" s="2" t="str">
        <f>IFERROR(__xludf.DUMMYFUNCTION("GOOGLETRANSLATE(A14653, ""en"", ""mt"")"),"l-1950s")</f>
        <v>l-1950s</v>
      </c>
    </row>
    <row r="14654" ht="15.75" customHeight="1">
      <c r="A14654" s="2" t="s">
        <v>14654</v>
      </c>
      <c r="B14654" s="2" t="str">
        <f>IFERROR(__xludf.DUMMYFUNCTION("GOOGLETRANSLATE(A14654, ""en"", ""mt"")"),"Tneħħi l-istat ta ’Iżrael")</f>
        <v>Tneħħi l-istat ta ’Iżrael</v>
      </c>
    </row>
    <row r="14655" ht="15.75" customHeight="1">
      <c r="A14655" s="2" t="s">
        <v>14655</v>
      </c>
      <c r="B14655" s="2" t="str">
        <f>IFERROR(__xludf.DUMMYFUNCTION("GOOGLETRANSLATE(A14655, ""en"", ""mt"")"),"1604")</f>
        <v>1604</v>
      </c>
    </row>
    <row r="14656" ht="15.75" customHeight="1">
      <c r="A14656" s="2" t="s">
        <v>14656</v>
      </c>
      <c r="B14656" s="2" t="str">
        <f>IFERROR(__xludf.DUMMYFUNCTION("GOOGLETRANSLATE(A14656, ""en"", ""mt"")"),"Wara l-massakru ta 'Peterloo tal-1819, il-poeta Percy Shelley kiteb il-poeżija politika The Mask of Anarchy aktar tard dik is-sena, li tibda bl-immaġini ta' dak li hu ħaseb li huma l-forom inġusti ta 'awtorità ta' żmienu - u mbagħad jimmaġinaw it-taħwid t"&amp;"a 'ġdid forma ta 'azzjoni soċjali. Hija forsi l-ewwel dikjarazzjoni moderna [vaga] tal-prinċipju ta 'protesta mhux vjolenti. Verżjoni ttieħdet mill-awtur Henry David Thoreau fl-esej tiegħu diżubbidjenza ċivili, u aktar tard minn Gandhi fid-duttrina tiegħu"&amp;" ta 'Satyagraha. Satyagraha ta 'Gandhi kienet parzjalment influwenzata u ispirata min-nonvjolenza ta' Shelley bħala protesta u azzjoni politika. B'mod partikolari, huwa magħruf li Gandhi spiss jikkwota l-masque ta 'l-anarkija ta' Shelley għal udjenzi vast"&amp;"i matul il-kampanja għal Indja ħielsa.")</f>
        <v>Wara l-massakru ta 'Peterloo tal-1819, il-poeta Percy Shelley kiteb il-poeżija politika The Mask of Anarchy aktar tard dik is-sena, li tibda bl-immaġini ta' dak li hu ħaseb li huma l-forom inġusti ta 'awtorità ta' żmienu - u mbagħad jimmaġinaw it-taħwid ta 'ġdid forma ta 'azzjoni soċjali. Hija forsi l-ewwel dikjarazzjoni moderna [vaga] tal-prinċipju ta 'protesta mhux vjolenti. Verżjoni ttieħdet mill-awtur Henry David Thoreau fl-esej tiegħu diżubbidjenza ċivili, u aktar tard minn Gandhi fid-duttrina tiegħu ta 'Satyagraha. Satyagraha ta 'Gandhi kienet parzjalment influwenzata u ispirata min-nonvjolenza ta' Shelley bħala protesta u azzjoni politika. B'mod partikolari, huwa magħruf li Gandhi spiss jikkwota l-masque ta 'l-anarkija ta' Shelley għal udjenzi vasti matul il-kampanja għal Indja ħielsa.</v>
      </c>
    </row>
    <row r="14657" ht="15.75" customHeight="1">
      <c r="A14657" s="2" t="s">
        <v>14657</v>
      </c>
      <c r="B14657" s="2" t="str">
        <f>IFERROR(__xludf.DUMMYFUNCTION("GOOGLETRANSLATE(A14657, ""en"", ""mt"")"),"Meta seħħet il-kolonizzazzjoni tal-Indja?")</f>
        <v>Meta seħħet il-kolonizzazzjoni tal-Indja?</v>
      </c>
    </row>
    <row r="14658" ht="15.75" customHeight="1">
      <c r="A14658" s="2" t="s">
        <v>14658</v>
      </c>
      <c r="B14658" s="2" t="str">
        <f>IFERROR(__xludf.DUMMYFUNCTION("GOOGLETRANSLATE(A14658, ""en"", ""mt"")"),"Min ħa t-tron wara r-rewwixta ta 'Kusala?")</f>
        <v>Min ħa t-tron wara r-rewwixta ta 'Kusala?</v>
      </c>
    </row>
    <row r="14659" ht="15.75" customHeight="1">
      <c r="A14659" s="2" t="s">
        <v>14659</v>
      </c>
      <c r="B14659" s="2" t="str">
        <f>IFERROR(__xludf.DUMMYFUNCTION("GOOGLETRANSLATE(A14659, ""en"", ""mt"")"),"Firenze, l-Italja")</f>
        <v>Firenze, l-Italja</v>
      </c>
    </row>
    <row r="14660" ht="15.75" customHeight="1">
      <c r="A14660" s="2" t="s">
        <v>14660</v>
      </c>
      <c r="B14660" s="2" t="str">
        <f>IFERROR(__xludf.DUMMYFUNCTION("GOOGLETRANSLATE(A14660, ""en"", ""mt"")"),"L-elezzjoni tal-Partit Laburista tar-Renju Unit għall-Gvern")</f>
        <v>L-elezzjoni tal-Partit Laburista tar-Renju Unit għall-Gvern</v>
      </c>
    </row>
    <row r="14661" ht="15.75" customHeight="1">
      <c r="A14661" s="2" t="s">
        <v>14661</v>
      </c>
      <c r="B14661" s="2" t="str">
        <f>IFERROR(__xludf.DUMMYFUNCTION("GOOGLETRANSLATE(A14661, ""en"", ""mt"")"),"Liema żewġ affarijiet l-informatika tal-ispiżerija tiġbor flimkien?")</f>
        <v>Liema żewġ affarijiet l-informatika tal-ispiżerija tiġbor flimkien?</v>
      </c>
    </row>
    <row r="14662" ht="15.75" customHeight="1">
      <c r="A14662" s="2" t="s">
        <v>14662</v>
      </c>
      <c r="B14662" s="2" t="str">
        <f>IFERROR(__xludf.DUMMYFUNCTION("GOOGLETRANSLATE(A14662, ""en"", ""mt"")"),"Bejn wieħed u ieħor, kemm ossiġnu jifforma l-qoxra tad-dinja?")</f>
        <v>Bejn wieħed u ieħor, kemm ossiġnu jifforma l-qoxra tad-dinja?</v>
      </c>
    </row>
    <row r="14663" ht="15.75" customHeight="1">
      <c r="A14663" s="2" t="s">
        <v>14663</v>
      </c>
      <c r="B14663" s="2" t="str">
        <f>IFERROR(__xludf.DUMMYFUNCTION("GOOGLETRANSLATE(A14663, ""en"", ""mt"")"),"Id-distrett ta 'Huguenot ġie msemmi f'Cork f'liema sena?")</f>
        <v>Id-distrett ta 'Huguenot ġie msemmi f'Cork f'liema sena?</v>
      </c>
    </row>
    <row r="14664" ht="15.75" customHeight="1">
      <c r="A14664" s="2" t="s">
        <v>14664</v>
      </c>
      <c r="B14664" s="2" t="str">
        <f>IFERROR(__xludf.DUMMYFUNCTION("GOOGLETRANSLATE(A14664, ""en"", ""mt"")"),"Ċentrifugali f’ħafna stadji")</f>
        <v>Ċentrifugali f’ħafna stadji</v>
      </c>
    </row>
    <row r="14665" ht="15.75" customHeight="1">
      <c r="A14665" s="2" t="s">
        <v>14665</v>
      </c>
      <c r="B14665" s="2" t="str">
        <f>IFERROR(__xludf.DUMMYFUNCTION("GOOGLETRANSLATE(A14665, ""en"", ""mt"")"),"X'inhu eżattament ""barmil li jnixxi"" f'termini ta 'din il-kwistjoni?")</f>
        <v>X'inhu eżattament "barmil li jnixxi" f'termini ta 'din il-kwistjoni?</v>
      </c>
    </row>
    <row r="14666" ht="15.75" customHeight="1">
      <c r="A14666" s="2" t="s">
        <v>14666</v>
      </c>
      <c r="B14666" s="2" t="str">
        <f>IFERROR(__xludf.DUMMYFUNCTION("GOOGLETRANSLATE(A14666, ""en"", ""mt"")"),"Fejn se jitwaqqa 'Canonball mill-bejta taċ-ċawla ta' art tal-vapur skond Aristotile?")</f>
        <v>Fejn se jitwaqqa 'Canonball mill-bejta taċ-ċawla ta' art tal-vapur skond Aristotile?</v>
      </c>
    </row>
    <row r="14667" ht="15.75" customHeight="1">
      <c r="A14667" s="2" t="s">
        <v>14667</v>
      </c>
      <c r="B14667" s="2" t="str">
        <f>IFERROR(__xludf.DUMMYFUNCTION("GOOGLETRANSLATE(A14667, ""en"", ""mt"")"),"sorpriż lill-Kanadiżi fit-28 ta 'Mejju")</f>
        <v>sorpriż lill-Kanadiżi fit-28 ta 'Mejju</v>
      </c>
    </row>
    <row r="14668" ht="15.75" customHeight="1">
      <c r="A14668" s="2" t="s">
        <v>14668</v>
      </c>
      <c r="B14668" s="2" t="str">
        <f>IFERROR(__xludf.DUMMYFUNCTION("GOOGLETRANSLATE(A14668, ""en"", ""mt"")"),"Ċelloli speċjalizzati f'forma ta 'faqqiegħ fis-saff ta' barra ta 'l-epidermide")</f>
        <v>Ċelloli speċjalizzati f'forma ta 'faqqiegħ fis-saff ta' barra ta 'l-epidermide</v>
      </c>
    </row>
    <row r="14669" ht="15.75" customHeight="1">
      <c r="A14669" s="2" t="s">
        <v>14669</v>
      </c>
      <c r="B14669" s="2" t="str">
        <f>IFERROR(__xludf.DUMMYFUNCTION("GOOGLETRANSLATE(A14669, ""en"", ""mt"")"),"X'inhu l-iktar mod elementari biex tittestja l-primalità ta 'kwalunkwe diviżjoni?")</f>
        <v>X'inhu l-iktar mod elementari biex tittestja l-primalità ta 'kwalunkwe diviżjoni?</v>
      </c>
    </row>
    <row r="14670" ht="15.75" customHeight="1">
      <c r="A14670" s="2" t="s">
        <v>14670</v>
      </c>
      <c r="B14670" s="2" t="str">
        <f>IFERROR(__xludf.DUMMYFUNCTION("GOOGLETRANSLATE(A14670, ""en"", ""mt"")"),"X'inhu l-istat ta 'l-art tal-molekula O?")</f>
        <v>X'inhu l-istat ta 'l-art tal-molekula O?</v>
      </c>
    </row>
    <row r="14671" ht="15.75" customHeight="1">
      <c r="A14671" s="2" t="s">
        <v>14671</v>
      </c>
      <c r="B14671" s="2" t="str">
        <f>IFERROR(__xludf.DUMMYFUNCTION("GOOGLETRANSLATE(A14671, ""en"", ""mt"")"),"Żied molekulari taż-żeoliti")</f>
        <v>Żied molekulari taż-żeoliti</v>
      </c>
    </row>
    <row r="14672" ht="15.75" customHeight="1">
      <c r="A14672" s="2" t="s">
        <v>14672</v>
      </c>
      <c r="B14672" s="2" t="str">
        <f>IFERROR(__xludf.DUMMYFUNCTION("GOOGLETRANSLATE(A14672, ""en"", ""mt"")"),"Kieku ġie arrestat, x'jiġri mill-fuljetti li ngħataw minn Carter Wentworth fil-qorti")</f>
        <v>Kieku ġie arrestat, x'jiġri mill-fuljetti li ngħataw minn Carter Wentworth fil-qorti</v>
      </c>
    </row>
    <row r="14673" ht="15.75" customHeight="1">
      <c r="A14673" s="2" t="s">
        <v>14673</v>
      </c>
      <c r="B14673" s="2" t="str">
        <f>IFERROR(__xludf.DUMMYFUNCTION("GOOGLETRANSLATE(A14673, ""en"", ""mt"")"),"mard ta 'dekompressjoni (il- ""liwjiet"")")</f>
        <v>mard ta 'dekompressjoni (il- "liwjiet")</v>
      </c>
    </row>
    <row r="14674" ht="15.75" customHeight="1">
      <c r="A14674" s="2" t="s">
        <v>14674</v>
      </c>
      <c r="B14674" s="2" t="str">
        <f>IFERROR(__xludf.DUMMYFUNCTION("GOOGLETRANSLATE(A14674, ""en"", ""mt"")"),"X’tolqot il-mekkanika ta ’Newton?")</f>
        <v>X’tolqot il-mekkanika ta ’Newton?</v>
      </c>
    </row>
    <row r="14675" ht="15.75" customHeight="1">
      <c r="A14675" s="2" t="s">
        <v>14675</v>
      </c>
      <c r="B14675" s="2" t="str">
        <f>IFERROR(__xludf.DUMMYFUNCTION("GOOGLETRANSLATE(A14675, ""en"", ""mt"")"),"Fejn hemm 12-il belt 'il fuq minn 100,000 fil-popolazzjoni?")</f>
        <v>Fejn hemm 12-il belt 'il fuq minn 100,000 fil-popolazzjoni?</v>
      </c>
    </row>
    <row r="14676" ht="15.75" customHeight="1">
      <c r="A14676" s="2" t="s">
        <v>14676</v>
      </c>
      <c r="B14676" s="2" t="str">
        <f>IFERROR(__xludf.DUMMYFUNCTION("GOOGLETRANSLATE(A14676, ""en"", ""mt"")"),"Bob Gallion")</f>
        <v>Bob Gallion</v>
      </c>
    </row>
    <row r="14677" ht="15.75" customHeight="1">
      <c r="A14677" s="2" t="s">
        <v>14677</v>
      </c>
      <c r="B14677" s="2" t="str">
        <f>IFERROR(__xludf.DUMMYFUNCTION("GOOGLETRANSLATE(A14677, ""en"", ""mt"")"),"X'kien ir-rwol tal-mertu eventwali?")</f>
        <v>X'kien ir-rwol tal-mertu eventwali?</v>
      </c>
    </row>
    <row r="14678" ht="15.75" customHeight="1">
      <c r="A14678" s="2" t="s">
        <v>14678</v>
      </c>
      <c r="B14678" s="2" t="str">
        <f>IFERROR(__xludf.DUMMYFUNCTION("GOOGLETRANSLATE(A14678, ""en"", ""mt"")"),"It-Teorija tas-Sistemi Dinjija")</f>
        <v>It-Teorija tas-Sistemi Dinjija</v>
      </c>
    </row>
    <row r="14679" ht="15.75" customHeight="1">
      <c r="A14679" s="2" t="s">
        <v>14679</v>
      </c>
      <c r="B14679" s="2" t="str">
        <f>IFERROR(__xludf.DUMMYFUNCTION("GOOGLETRANSLATE(A14679, ""en"", ""mt"")"),"Liema artist famuż aktar tard investiga l-esperimenti ta 'Philo?")</f>
        <v>Liema artist famuż aktar tard investiga l-esperimenti ta 'Philo?</v>
      </c>
    </row>
    <row r="14680" ht="15.75" customHeight="1">
      <c r="A14680" s="2" t="s">
        <v>14680</v>
      </c>
      <c r="B14680" s="2" t="str">
        <f>IFERROR(__xludf.DUMMYFUNCTION("GOOGLETRANSLATE(A14680, ""en"", ""mt"")"),"X'inhu t-terminu għall-arranġament ta 'żewġ elettroni mhux imqabbla f'Dioxygen?")</f>
        <v>X'inhu t-terminu għall-arranġament ta 'żewġ elettroni mhux imqabbla f'Dioxygen?</v>
      </c>
    </row>
    <row r="14681" ht="15.75" customHeight="1">
      <c r="A14681" s="2" t="s">
        <v>14681</v>
      </c>
      <c r="B14681" s="2" t="str">
        <f>IFERROR(__xludf.DUMMYFUNCTION("GOOGLETRANSLATE(A14681, ""en"", ""mt"")"),"direttament permezz tal-matriċi ta 'l-adjacency tagħhom")</f>
        <v>direttament permezz tal-matriċi ta 'l-adjacency tagħhom</v>
      </c>
    </row>
    <row r="14682" ht="15.75" customHeight="1">
      <c r="A14682" s="2" t="s">
        <v>14682</v>
      </c>
      <c r="B14682" s="2" t="str">
        <f>IFERROR(__xludf.DUMMYFUNCTION("GOOGLETRANSLATE(A14682, ""en"", ""mt"")"),"Sistema newroimmuni")</f>
        <v>Sistema newroimmuni</v>
      </c>
    </row>
    <row r="14683" ht="15.75" customHeight="1">
      <c r="A14683" s="2" t="s">
        <v>14683</v>
      </c>
      <c r="B14683" s="2" t="str">
        <f>IFERROR(__xludf.DUMMYFUNCTION("GOOGLETRANSLATE(A14683, ""en"", ""mt"")"),"Liema każ il-Qorti tal-Ġustizzja ma rrevedietx projbizzjonijiet Żvediżi fuq ir-reklamar lil tfal żgħar und er 12?")</f>
        <v>Liema każ il-Qorti tal-Ġustizzja ma rrevedietx projbizzjonijiet Żvediżi fuq ir-reklamar lil tfal żgħar und er 12?</v>
      </c>
    </row>
    <row r="14684" ht="15.75" customHeight="1">
      <c r="A14684" s="2" t="s">
        <v>14684</v>
      </c>
      <c r="B14684" s="2" t="str">
        <f>IFERROR(__xludf.DUMMYFUNCTION("GOOGLETRANSLATE(A14684, ""en"", ""mt"")"),"Kumitat Eżekuttiv")</f>
        <v>Kumitat Eżekuttiv</v>
      </c>
    </row>
    <row r="14685" ht="15.75" customHeight="1">
      <c r="A14685" s="2" t="s">
        <v>14685</v>
      </c>
      <c r="B14685" s="2" t="str">
        <f>IFERROR(__xludf.DUMMYFUNCTION("GOOGLETRANSLATE(A14685, ""en"", ""mt"")"),"In-natura fermjonika tal-elettroni")</f>
        <v>In-natura fermjonika tal-elettroni</v>
      </c>
    </row>
    <row r="14686" ht="15.75" customHeight="1">
      <c r="A14686" s="2" t="s">
        <v>14686</v>
      </c>
      <c r="B14686" s="2" t="str">
        <f>IFERROR(__xludf.DUMMYFUNCTION("GOOGLETRANSLATE(A14686, ""en"", ""mt"")"),"X'tip ta 'matematika ma kienx avvanzat matul il-wan?")</f>
        <v>X'tip ta 'matematika ma kienx avvanzat matul il-wan?</v>
      </c>
    </row>
    <row r="14687" ht="15.75" customHeight="1">
      <c r="A14687" s="2" t="s">
        <v>14687</v>
      </c>
      <c r="B14687" s="2" t="str">
        <f>IFERROR(__xludf.DUMMYFUNCTION("GOOGLETRANSLATE(A14687, ""en"", ""mt"")"),"Antropoloġiku riċenti")</f>
        <v>Antropoloġiku riċenti</v>
      </c>
    </row>
    <row r="14688" ht="15.75" customHeight="1">
      <c r="A14688" s="2" t="s">
        <v>14688</v>
      </c>
      <c r="B14688" s="2" t="str">
        <f>IFERROR(__xludf.DUMMYFUNCTION("GOOGLETRANSLATE(A14688, ""en"", ""mt"")"),"Kemm nies Amerikani Nattivi kienu joqogħdu fi Fresno fl-2010?")</f>
        <v>Kemm nies Amerikani Nattivi kienu joqogħdu fi Fresno fl-2010?</v>
      </c>
    </row>
    <row r="14689" ht="15.75" customHeight="1">
      <c r="A14689" s="2" t="s">
        <v>14689</v>
      </c>
      <c r="B14689" s="2" t="str">
        <f>IFERROR(__xludf.DUMMYFUNCTION("GOOGLETRANSLATE(A14689, ""en"", ""mt"")"),"Esponenzjazzjoni modulari")</f>
        <v>Esponenzjazzjoni modulari</v>
      </c>
    </row>
    <row r="14690" ht="15.75" customHeight="1">
      <c r="A14690" s="2" t="s">
        <v>14690</v>
      </c>
      <c r="B14690" s="2" t="str">
        <f>IFERROR(__xludf.DUMMYFUNCTION("GOOGLETRANSLATE(A14690, ""en"", ""mt"")"),"Kumpanija Brittanika tat-Telekomunikazzjoni")</f>
        <v>Kumpanija Brittanika tat-Telekomunikazzjoni</v>
      </c>
    </row>
    <row r="14691" ht="15.75" customHeight="1">
      <c r="A14691" s="2" t="s">
        <v>14691</v>
      </c>
      <c r="B14691" s="2" t="str">
        <f>IFERROR(__xludf.DUMMYFUNCTION("GOOGLETRANSLATE(A14691, ""en"", ""mt"")"),"Il-liġijiet ta 'Newton u l-mekkanika Newtonjana b'mod ġenerali ġew żviluppati l-ewwel biex jiddeskrivu kif il-forzi jaffettwaw partiċelli ta' punt idealizzati aktar milli oġġetti tridimensjonali. Madankollu, fil-ħajja reali, il-materja estendiet l-istrutt"&amp;"ura u l-forzi li jaġixxu fuq parti waħda ta 'oġġett jistgħu jaffettwaw partijiet oħra ta' oġġett. Għal sitwazzjonijiet fejn il-kannizzata li żżomm flimkien l-atomi f'oġġett tkun kapaċi tiċċirkola, tikkuntratta, jew tibdel b'xi mod ieħor il-forma, it-teori"&amp;"ji tal-mekkanika kontinwa jiddeskrivu l-mod kif il-forzi jaffettwaw il-materjal. Pereżempju, fi fluwidi estiżi, id-differenzi fil-pressjoni jirriżultaw fil-forzi li jkunu diretti tul il-gradjenti tal-pressjoni kif ġej:")</f>
        <v>Il-liġijiet ta 'Newton u l-mekkanika Newtonjana b'mod ġenerali ġew żviluppati l-ewwel biex jiddeskrivu kif il-forzi jaffettwaw partiċelli ta' punt idealizzati aktar milli oġġetti tridimensjonali. Madankollu, fil-ħajja reali, il-materja estendiet l-istruttura u l-forzi li jaġixxu fuq parti waħda ta 'oġġett jistgħu jaffettwaw partijiet oħra ta' oġġett. Għal sitwazzjonijiet fejn il-kannizzata li żżomm flimkien l-atomi f'oġġett tkun kapaċi tiċċirkola, tikkuntratta, jew tibdel b'xi mod ieħor il-forma, it-teoriji tal-mekkanika kontinwa jiddeskrivu l-mod kif il-forzi jaffettwaw il-materjal. Pereżempju, fi fluwidi estiżi, id-differenzi fil-pressjoni jirriżultaw fil-forzi li jkunu diretti tul il-gradjenti tal-pressjoni kif ġej:</v>
      </c>
    </row>
    <row r="14692" ht="15.75" customHeight="1">
      <c r="A14692" s="2" t="s">
        <v>14692</v>
      </c>
      <c r="B14692" s="2" t="str">
        <f>IFERROR(__xludf.DUMMYFUNCTION("GOOGLETRANSLATE(A14692, ""en"", ""mt"")"),"Biegħ mediċini bir-riċetta u jeħtieġu riċetta valida")</f>
        <v>Biegħ mediċini bir-riċetta u jeħtieġu riċetta valida</v>
      </c>
    </row>
    <row r="14693" ht="15.75" customHeight="1">
      <c r="A14693" s="2" t="s">
        <v>14693</v>
      </c>
      <c r="B14693" s="2" t="str">
        <f>IFERROR(__xludf.DUMMYFUNCTION("GOOGLETRANSLATE(A14693, ""en"", ""mt"")"),"It-Trattat ta ’Lisbona")</f>
        <v>It-Trattat ta ’Lisbona</v>
      </c>
    </row>
    <row r="14694" ht="15.75" customHeight="1">
      <c r="A14694" s="2" t="s">
        <v>14694</v>
      </c>
      <c r="B14694" s="2" t="str">
        <f>IFERROR(__xludf.DUMMYFUNCTION("GOOGLETRANSLATE(A14694, ""en"", ""mt"")"),"X'inhu l-isem tal-kumpanija holding għal BSKYB?")</f>
        <v>X'inhu l-isem tal-kumpanija holding għal BSKYB?</v>
      </c>
    </row>
    <row r="14695" ht="15.75" customHeight="1">
      <c r="A14695" s="2" t="s">
        <v>14695</v>
      </c>
      <c r="B14695" s="2" t="str">
        <f>IFERROR(__xludf.DUMMYFUNCTION("GOOGLETRANSLATE(A14695, ""en"", ""mt"")"),"biex taqsam reġistrazzjonijiet u midja oħra")</f>
        <v>biex taqsam reġistrazzjonijiet u midja oħra</v>
      </c>
    </row>
    <row r="14696" ht="15.75" customHeight="1">
      <c r="A14696" s="2" t="s">
        <v>14696</v>
      </c>
      <c r="B14696" s="2" t="str">
        <f>IFERROR(__xludf.DUMMYFUNCTION("GOOGLETRANSLATE(A14696, ""en"", ""mt"")"),"Pont Ludendorff")</f>
        <v>Pont Ludendorff</v>
      </c>
    </row>
    <row r="14697" ht="15.75" customHeight="1">
      <c r="A14697" s="2" t="s">
        <v>14697</v>
      </c>
      <c r="B14697" s="2" t="str">
        <f>IFERROR(__xludf.DUMMYFUNCTION("GOOGLETRANSLATE(A14697, ""en"", ""mt"")"),"X'żieda Newcomen mal-magna ta 'Wat bejn l-1763 u l-1775?")</f>
        <v>X'żieda Newcomen mal-magna ta 'Wat bejn l-1763 u l-1775?</v>
      </c>
    </row>
    <row r="14698" ht="15.75" customHeight="1">
      <c r="A14698" s="2" t="s">
        <v>14698</v>
      </c>
      <c r="B14698" s="2" t="str">
        <f>IFERROR(__xludf.DUMMYFUNCTION("GOOGLETRANSLATE(A14698, ""en"", ""mt"")"),"Nuqqas ta 'akkomodazzjoni bi prezz raġonevoli")</f>
        <v>Nuqqas ta 'akkomodazzjoni bi prezz raġonevoli</v>
      </c>
    </row>
    <row r="14699" ht="15.75" customHeight="1">
      <c r="A14699" s="2" t="s">
        <v>14699</v>
      </c>
      <c r="B14699" s="2" t="str">
        <f>IFERROR(__xludf.DUMMYFUNCTION("GOOGLETRANSLATE(A14699, ""en"", ""mt"")"),"Il-Gazzetta Daily Mail irrappurtat fl-2012 li l-aġenzija tal-benefiċċji tal-gvern tar-Renju Unit kienet qed tiċċekkja l-kontijiet tal-pretensjonijiet ""Sky TV biex tistabbilixxi jekk mara li tirċievi benefiċċji bħala omm waħedha qed tiddikjara b'mod żbalj"&amp;"at li tgħix waħedha"" - kif, sostniet, abbonament għal Kanali sportivi jittradixxu l-preżenza ta 'raġel fid-dar. F'Diċembru, il-Parlament tar-Renju Unit sema 'pretensjoni li abbonament għal BSKYB kien ""ta' spiss jagħmel ħsara"", flimkien ma 'alkoħol, tab"&amp;"akk u logħob tal-ażżard. Id-Deputat Konservattiv Alec Shelbrooke kien qed jipproponi l-ħlasijiet tal-benefiċċji u l-krediti tat-taxxa fuq ""karta ta 'flus kontanti tal-benesseri"", fl-istil tal-programm supplimentari ta' għajnuna dwar in-nutrizzjoni, li j"&amp;"ista 'jintuża biex jixtri biss ""essenzjali"".")</f>
        <v>Il-Gazzetta Daily Mail irrappurtat fl-2012 li l-aġenzija tal-benefiċċji tal-gvern tar-Renju Unit kienet qed tiċċekkja l-kontijiet tal-pretensjonijiet "Sky TV biex tistabbilixxi jekk mara li tirċievi benefiċċji bħala omm waħedha qed tiddikjara b'mod żbaljat li tgħix waħedha" - kif, sostniet, abbonament għal Kanali sportivi jittradixxu l-preżenza ta 'raġel fid-dar. F'Diċembru, il-Parlament tar-Renju Unit sema 'pretensjoni li abbonament għal BSKYB kien "ta' spiss jagħmel ħsara", flimkien ma 'alkoħol, tabakk u logħob tal-ażżard. Id-Deputat Konservattiv Alec Shelbrooke kien qed jipproponi l-ħlasijiet tal-benefiċċji u l-krediti tat-taxxa fuq "karta ta 'flus kontanti tal-benesseri", fl-istil tal-programm supplimentari ta' għajnuna dwar in-nutrizzjoni, li jista 'jintuża biex jixtri biss "essenzjali".</v>
      </c>
    </row>
    <row r="14700" ht="15.75" customHeight="1">
      <c r="A14700" s="2" t="s">
        <v>14700</v>
      </c>
      <c r="B14700" s="2" t="str">
        <f>IFERROR(__xludf.DUMMYFUNCTION("GOOGLETRANSLATE(A14700, ""en"", ""mt"")"),"Liema seklu kien hemm programm biex jiddritta r-Renu?")</f>
        <v>Liema seklu kien hemm programm biex jiddritta r-Renu?</v>
      </c>
    </row>
    <row r="14701" ht="15.75" customHeight="1">
      <c r="A14701" s="2" t="s">
        <v>14701</v>
      </c>
      <c r="B14701" s="2" t="str">
        <f>IFERROR(__xludf.DUMMYFUNCTION("GOOGLETRANSLATE(A14701, ""en"", ""mt"")"),"Netwerk ta 'Komunikazzjonijiet tad-Dejta Internazzjonali")</f>
        <v>Netwerk ta 'Komunikazzjonijiet tad-Dejta Internazzjonali</v>
      </c>
    </row>
    <row r="14702" ht="15.75" customHeight="1">
      <c r="A14702" s="2" t="s">
        <v>14702</v>
      </c>
      <c r="B14702" s="2" t="str">
        <f>IFERROR(__xludf.DUMMYFUNCTION("GOOGLETRANSLATE(A14702, ""en"", ""mt"")"),"F'liema żewġ kategoriji tista 'tiddaħħal skola tal-gvern fl-Indja?")</f>
        <v>F'liema żewġ kategoriji tista 'tiddaħħal skola tal-gvern fl-Indja?</v>
      </c>
    </row>
    <row r="14703" ht="15.75" customHeight="1">
      <c r="A14703" s="2" t="s">
        <v>14703</v>
      </c>
      <c r="B14703" s="2" t="str">
        <f>IFERROR(__xludf.DUMMYFUNCTION("GOOGLETRANSLATE(A14703, ""en"", ""mt"")"),"Erbat elef")</f>
        <v>Erbat elef</v>
      </c>
    </row>
    <row r="14704" ht="15.75" customHeight="1">
      <c r="A14704" s="2" t="s">
        <v>14704</v>
      </c>
      <c r="B14704" s="2" t="str">
        <f>IFERROR(__xludf.DUMMYFUNCTION("GOOGLETRANSLATE(A14704, ""en"", ""mt"")"),"infinitament ħafna numri ewlenin")</f>
        <v>infinitament ħafna numri ewlenin</v>
      </c>
    </row>
    <row r="14705" ht="15.75" customHeight="1">
      <c r="A14705" s="2" t="s">
        <v>14705</v>
      </c>
      <c r="B14705" s="2" t="str">
        <f>IFERROR(__xludf.DUMMYFUNCTION("GOOGLETRANSLATE(A14705, ""en"", ""mt"")"),"Kemm hemm nies l-akbar żona ta 'Los Angeles?")</f>
        <v>Kemm hemm nies l-akbar żona ta 'Los Angeles?</v>
      </c>
    </row>
    <row r="14706" ht="15.75" customHeight="1">
      <c r="A14706" s="2" t="s">
        <v>14706</v>
      </c>
      <c r="B14706" s="2" t="str">
        <f>IFERROR(__xludf.DUMMYFUNCTION("GOOGLETRANSLATE(A14706, ""en"", ""mt"")"),"ix-xewqa li tipprevjeni affarijiet li huma indiskutibbli ħżiena")</f>
        <v>ix-xewqa li tipprevjeni affarijiet li huma indiskutibbli ħżiena</v>
      </c>
    </row>
    <row r="14707" ht="15.75" customHeight="1">
      <c r="A14707" s="2" t="s">
        <v>14707</v>
      </c>
      <c r="B14707" s="2" t="str">
        <f>IFERROR(__xludf.DUMMYFUNCTION("GOOGLETRANSLATE(A14707, ""en"", ""mt"")"),"Ġerusalemm")</f>
        <v>Ġerusalemm</v>
      </c>
    </row>
    <row r="14708" ht="15.75" customHeight="1">
      <c r="A14708" s="2" t="s">
        <v>14708</v>
      </c>
      <c r="B14708" s="2" t="str">
        <f>IFERROR(__xludf.DUMMYFUNCTION("GOOGLETRANSLATE(A14708, ""en"", ""mt"")"),"Fil-biċċa l-kbira tal-pajjiżi, id-dispensarju huwa soġġett għal-leġislazzjoni tal-ispiżerija; b'rekwiżiti għal kundizzjonijiet ta 'ħażna, testi obbligatorji, tagħmir, eċċ., Speċifikati fil-leġislazzjoni. Fejn darba kien il-każ li l-ispiżjara baqgħu fil-me"&amp;"diċini tad-dispensarju tat-taħlit / tqassim, kien hemm tendenza dejjem tiżdied lejn l-użu ta 'tekniċi tal-ispiżerija mħarrġa waqt li l-ispiżjar iqatta' aktar ħin jikkomunika mal-pazjenti. It-tekniċi tal-ispiżerija issa huma aktar dipendenti fuq l-awtomazz"&amp;"joni biex jgħinuhom fir-rwol il-ġdid tagħhom li jittrattaw il-preskrizzjonijiet tal-pazjenti u l-kwistjonijiet tas-sigurtà tal-pazjent.")</f>
        <v>Fil-biċċa l-kbira tal-pajjiżi, id-dispensarju huwa soġġett għal-leġislazzjoni tal-ispiżerija; b'rekwiżiti għal kundizzjonijiet ta 'ħażna, testi obbligatorji, tagħmir, eċċ., Speċifikati fil-leġislazzjoni. Fejn darba kien il-każ li l-ispiżjara baqgħu fil-mediċini tad-dispensarju tat-taħlit / tqassim, kien hemm tendenza dejjem tiżdied lejn l-użu ta 'tekniċi tal-ispiżerija mħarrġa waqt li l-ispiżjar iqatta' aktar ħin jikkomunika mal-pazjenti. It-tekniċi tal-ispiżerija issa huma aktar dipendenti fuq l-awtomazzjoni biex jgħinuhom fir-rwol il-ġdid tagħhom li jittrattaw il-preskrizzjonijiet tal-pazjenti u l-kwistjonijiet tas-sigurtà tal-pazjent.</v>
      </c>
    </row>
    <row r="14709" ht="15.75" customHeight="1">
      <c r="A14709" s="2" t="s">
        <v>14709</v>
      </c>
      <c r="B14709" s="2" t="str">
        <f>IFERROR(__xludf.DUMMYFUNCTION("GOOGLETRANSLATE(A14709, ""en"", ""mt"")"),"Meta menich serva bħala president?")</f>
        <v>Meta menich serva bħala president?</v>
      </c>
    </row>
    <row r="14710" ht="15.75" customHeight="1">
      <c r="A14710" s="2" t="s">
        <v>14710</v>
      </c>
      <c r="B14710" s="2" t="str">
        <f>IFERROR(__xludf.DUMMYFUNCTION("GOOGLETRANSLATE(A14710, ""en"", ""mt"")"),"X’inbidel id-Delta fl-ewwel nofs tas-seklu 20?")</f>
        <v>X’inbidel id-Delta fl-ewwel nofs tas-seklu 20?</v>
      </c>
    </row>
    <row r="14711" ht="15.75" customHeight="1">
      <c r="A14711" s="2" t="s">
        <v>14711</v>
      </c>
      <c r="B14711" s="2" t="str">
        <f>IFERROR(__xludf.DUMMYFUNCTION("GOOGLETRANSLATE(A14711, ""en"", ""mt"")"),"Dak li fih kważi verbatim ta 'dibattiti parlamentari?")</f>
        <v>Dak li fih kważi verbatim ta 'dibattiti parlamentari?</v>
      </c>
    </row>
    <row r="14712" ht="15.75" customHeight="1">
      <c r="A14712" s="2" t="s">
        <v>14712</v>
      </c>
      <c r="B14712" s="2" t="str">
        <f>IFERROR(__xludf.DUMMYFUNCTION("GOOGLETRANSLATE(A14712, ""en"", ""mt"")"),"Kemm kienet twila Varsavja l-kapitali tal-Commonwealth tad-Dukat?")</f>
        <v>Kemm kienet twila Varsavja l-kapitali tal-Commonwealth tad-Dukat?</v>
      </c>
    </row>
    <row r="14713" ht="15.75" customHeight="1">
      <c r="A14713" s="2" t="s">
        <v>14713</v>
      </c>
      <c r="B14713" s="2" t="str">
        <f>IFERROR(__xludf.DUMMYFUNCTION("GOOGLETRANSLATE(A14713, ""en"", ""mt"")"),"X'għandu mingħajr suċċess fil-ftuħ tax-xita ġiegħel lil Emily tnaqqas is-soluzzjoni?")</f>
        <v>X'għandu mingħajr suċċess fil-ftuħ tax-xita ġiegħel lil Emily tnaqqas is-soluzzjoni?</v>
      </c>
    </row>
    <row r="14714" ht="15.75" customHeight="1">
      <c r="A14714" s="2" t="s">
        <v>14714</v>
      </c>
      <c r="B14714" s="2" t="str">
        <f>IFERROR(__xludf.DUMMYFUNCTION("GOOGLETRANSLATE(A14714, ""en"", ""mt"")"),"Sal-1620 il-Huguenots kienu fuq id-difiża, u l-gvern dejjem applika pressjoni. Serje ta 'tliet gwerer ċivili żgħar magħrufa bħala r-ribelljonijiet Huguenot faqqgħu, l-aktar fil-Lbiċ ta' Franza, bejn l-1621 u l-1629. Revolted kontra l-Awtorità Rjali. Ir-re"&amp;"wwixta seħħet għaxar snin wara l-mewt ta 'Henry IV, Huguenot qabel ma kkonverta għall-Kattoliċiżmu, li kien ipproteġi lill-Protestanti permezz tal-editt ta' Nantes. Is-suċċessur tiegħu Louis XIII, taħt ir-regenza tal-omm Kattolika Taljana tiegħu Marie de "&amp;"'Medici, sar aktar intolleranti għall-Protestantiżmu. Il-Huguenots jirrispondu billi jistabbilixxu strutturi politiċi u militari indipendenti, jistabbilixxu kuntatti diplomatiċi ma 'poteri barranin, u jduru b'mod miftuħ kontra l-poter ċentrali. Ir-ribellj"&amp;"onijiet ġew imrażżna mill-kuruna Franċiża. [Ċitazzjoni meħtieġa]")</f>
        <v>Sal-1620 il-Huguenots kienu fuq id-difiża, u l-gvern dejjem applika pressjoni. Serje ta 'tliet gwerer ċivili żgħar magħrufa bħala r-ribelljonijiet Huguenot faqqgħu, l-aktar fil-Lbiċ ta' Franza, bejn l-1621 u l-1629. Revolted kontra l-Awtorità Rjali. Ir-rewwixta seħħet għaxar snin wara l-mewt ta 'Henry IV, Huguenot qabel ma kkonverta għall-Kattoliċiżmu, li kien ipproteġi lill-Protestanti permezz tal-editt ta' Nantes. Is-suċċessur tiegħu Louis XIII, taħt ir-regenza tal-omm Kattolika Taljana tiegħu Marie de 'Medici, sar aktar intolleranti għall-Protestantiżmu. Il-Huguenots jirrispondu billi jistabbilixxu strutturi politiċi u militari indipendenti, jistabbilixxu kuntatti diplomatiċi ma 'poteri barranin, u jduru b'mod miftuħ kontra l-poter ċentrali. Ir-ribelljonijiet ġew imrażżna mill-kuruna Franċiża. [Ċitazzjoni meħtieġa]</v>
      </c>
    </row>
    <row r="14715" ht="15.75" customHeight="1">
      <c r="A14715" s="2" t="s">
        <v>14715</v>
      </c>
      <c r="B14715" s="2" t="str">
        <f>IFERROR(__xludf.DUMMYFUNCTION("GOOGLETRANSLATE(A14715, ""en"", ""mt"")"),"Matul il-Watersheds ta 'San Lawrenz u Mississippi")</f>
        <v>Matul il-Watersheds ta 'San Lawrenz u Mississippi</v>
      </c>
    </row>
    <row r="14716" ht="15.75" customHeight="1">
      <c r="A14716" s="2" t="s">
        <v>14716</v>
      </c>
      <c r="B14716" s="2" t="str">
        <f>IFERROR(__xludf.DUMMYFUNCTION("GOOGLETRANSLATE(A14716, ""en"", ""mt"")"),"Fejn kienu l-Persjani aktar ta ’suċċess meta mqabbla maċ-Ċiniż fil-wan?")</f>
        <v>Fejn kienu l-Persjani aktar ta ’suċċess meta mqabbla maċ-Ċiniż fil-wan?</v>
      </c>
    </row>
    <row r="14717" ht="15.75" customHeight="1">
      <c r="A14717" s="2" t="s">
        <v>14717</v>
      </c>
      <c r="B14717" s="2" t="str">
        <f>IFERROR(__xludf.DUMMYFUNCTION("GOOGLETRANSLATE(A14717, ""en"", ""mt"")"),"Liema repubblika żammet il-kontroll tagħha fl-Afganistan?")</f>
        <v>Liema repubblika żammet il-kontroll tagħha fl-Afganistan?</v>
      </c>
    </row>
    <row r="14718" ht="15.75" customHeight="1">
      <c r="A14718" s="2" t="s">
        <v>14718</v>
      </c>
      <c r="B14718" s="2" t="str">
        <f>IFERROR(__xludf.DUMMYFUNCTION("GOOGLETRANSLATE(A14718, ""en"", ""mt"")"),"riċetturi immuni speċifiċi")</f>
        <v>riċetturi immuni speċifiċi</v>
      </c>
    </row>
    <row r="14719" ht="15.75" customHeight="1">
      <c r="A14719" s="2" t="s">
        <v>14719</v>
      </c>
      <c r="B14719" s="2" t="str">
        <f>IFERROR(__xludf.DUMMYFUNCTION("GOOGLETRANSLATE(A14719, ""en"", ""mt"")")," Minn fejn ġej iċ-ċaħda mill-gruppi governattivi u reliġjużi?")</f>
        <v> Minn fejn ġej iċ-ċaħda mill-gruppi governattivi u reliġjużi?</v>
      </c>
    </row>
    <row r="14720" ht="15.75" customHeight="1">
      <c r="A14720" s="2" t="s">
        <v>14720</v>
      </c>
      <c r="B14720" s="2" t="str">
        <f>IFERROR(__xludf.DUMMYFUNCTION("GOOGLETRANSLATE(A14720, ""en"", ""mt"")"),"billi tillimita d-domanda aggregata")</f>
        <v>billi tillimita d-domanda aggregata</v>
      </c>
    </row>
    <row r="14721" ht="15.75" customHeight="1">
      <c r="A14721" s="2" t="s">
        <v>14721</v>
      </c>
      <c r="B14721" s="2" t="str">
        <f>IFERROR(__xludf.DUMMYFUNCTION("GOOGLETRANSLATE(A14721, ""en"", ""mt"")"),"Energiprojekt ab")</f>
        <v>Energiprojekt ab</v>
      </c>
    </row>
    <row r="14722" ht="15.75" customHeight="1">
      <c r="A14722" s="2" t="s">
        <v>14722</v>
      </c>
      <c r="B14722" s="2" t="str">
        <f>IFERROR(__xludf.DUMMYFUNCTION("GOOGLETRANSLATE(A14722, ""en"", ""mt"")"),"mill-inqas 90% ċerti")</f>
        <v>mill-inqas 90% ċerti</v>
      </c>
    </row>
    <row r="14723" ht="15.75" customHeight="1">
      <c r="A14723" s="2" t="s">
        <v>14723</v>
      </c>
      <c r="B14723" s="2" t="str">
        <f>IFERROR(__xludf.DUMMYFUNCTION("GOOGLETRANSLATE(A14723, ""en"", ""mt"")"),"X’għamel il-ħajja ta ’missier Jan Van Riebeeck?")</f>
        <v>X’għamel il-ħajja ta ’missier Jan Van Riebeeck?</v>
      </c>
    </row>
    <row r="14724" ht="15.75" customHeight="1">
      <c r="A14724" s="2" t="s">
        <v>14724</v>
      </c>
      <c r="B14724" s="2" t="str">
        <f>IFERROR(__xludf.DUMMYFUNCTION("GOOGLETRANSLATE(A14724, ""en"", ""mt"")"),"Min kien id-Duka fil-Battalja ta 'Hastings?")</f>
        <v>Min kien id-Duka fil-Battalja ta 'Hastings?</v>
      </c>
    </row>
    <row r="14725" ht="15.75" customHeight="1">
      <c r="A14725" s="2" t="s">
        <v>14725</v>
      </c>
      <c r="B14725" s="2" t="str">
        <f>IFERROR(__xludf.DUMMYFUNCTION("GOOGLETRANSLATE(A14725, ""en"", ""mt"")"),"X’jagħmlu l-ġeoloġi biex jistudjaw il-proċessi barra mid-dinja?")</f>
        <v>X’jagħmlu l-ġeoloġi biex jistudjaw il-proċessi barra mid-dinja?</v>
      </c>
    </row>
    <row r="14726" ht="15.75" customHeight="1">
      <c r="A14726" s="2" t="s">
        <v>14726</v>
      </c>
      <c r="B14726" s="2" t="str">
        <f>IFERROR(__xludf.DUMMYFUNCTION("GOOGLETRANSLATE(A14726, ""en"", ""mt"")"),"X'għandhom ħafna membri tal-HT iggradwaw biex jingħaqdu?")</f>
        <v>X'għandhom ħafna membri tal-HT iggradwaw biex jingħaqdu?</v>
      </c>
    </row>
    <row r="14727" ht="15.75" customHeight="1">
      <c r="A14727" s="2" t="s">
        <v>14727</v>
      </c>
      <c r="B14727" s="2" t="str">
        <f>IFERROR(__xludf.DUMMYFUNCTION("GOOGLETRANSLATE(A14727, ""en"", ""mt"")"),"Min notevolment tejjeb il-pompa tal-ilma tas-Smeaton?")</f>
        <v>Min notevolment tejjeb il-pompa tal-ilma tas-Smeaton?</v>
      </c>
    </row>
    <row r="14728" ht="15.75" customHeight="1">
      <c r="A14728" s="2" t="s">
        <v>14728</v>
      </c>
      <c r="B14728" s="2" t="str">
        <f>IFERROR(__xludf.DUMMYFUNCTION("GOOGLETRANSLATE(A14728, ""en"", ""mt"")"),"X'inhu kkunsidrat f'laqgħa ta 'parti mill-Parlament?")</f>
        <v>X'inhu kkunsidrat f'laqgħa ta 'parti mill-Parlament?</v>
      </c>
    </row>
    <row r="14729" ht="15.75" customHeight="1">
      <c r="A14729" s="2" t="s">
        <v>14729</v>
      </c>
      <c r="B14729" s="2" t="str">
        <f>IFERROR(__xludf.DUMMYFUNCTION("GOOGLETRANSLATE(A14729, ""en"", ""mt"")"),"X'inhi d-definizzjoni ta 'aġenzija peress li mhix relatata ma' inkapaċitajiet?")</f>
        <v>X'inhi d-definizzjoni ta 'aġenzija peress li mhix relatata ma' inkapaċitajiet?</v>
      </c>
    </row>
    <row r="14730" ht="15.75" customHeight="1">
      <c r="A14730" s="2" t="s">
        <v>14730</v>
      </c>
      <c r="B14730" s="2" t="str">
        <f>IFERROR(__xludf.DUMMYFUNCTION("GOOGLETRANSLATE(A14730, ""en"", ""mt"")"),"Problemi intrattabbli li m'għandhomx soluzzjonijiet ta 'ħin polinomjali neċessarjament ixxejjen l-effikaċja prattika ta' liema tip ta 'algoritmu?")</f>
        <v>Problemi intrattabbli li m'għandhomx soluzzjonijiet ta 'ħin polinomjali neċessarjament ixxejjen l-effikaċja prattika ta' liema tip ta 'algoritmu?</v>
      </c>
    </row>
    <row r="14731" ht="15.75" customHeight="1">
      <c r="A14731" s="2" t="s">
        <v>14731</v>
      </c>
      <c r="B14731" s="2" t="str">
        <f>IFERROR(__xludf.DUMMYFUNCTION("GOOGLETRANSLATE(A14731, ""en"", ""mt"")"),"skaduti jew japrovidu biss jekk ir-rimedji tal-ħxejjex kienu offruti fil-biċċa l-kbira")</f>
        <v>skaduti jew japrovidu biss jekk ir-rimedji tal-ħxejjex kienu offruti fil-biċċa l-kbira</v>
      </c>
    </row>
    <row r="14732" ht="15.75" customHeight="1">
      <c r="A14732" s="2" t="s">
        <v>14732</v>
      </c>
      <c r="B14732" s="2" t="str">
        <f>IFERROR(__xludf.DUMMYFUNCTION("GOOGLETRANSLATE(A14732, ""en"", ""mt"")"),"Il-fakultà ta ’Harvard tinkludi studjużi bħall-bijologu E. O. Wilson, ix-xjentist konjittiv Steven Pinker, il-fiżiċi Lisa Randall u Roy Glauber, kimiċi Elias Corey, Dudley R. Herschbach u George M. Whitesides, xjenzati tal-kompjuter Michael O. Rabin u Les"&amp;"lie Valiant, Shakespeare Scholar Stephblatt Stephen Greenblatt , Kittieb Louis Menand, Kritika Helen Vendler, Storiċi Henry Louis Gates, Jr u ​​Niall Ferguson, Ekonomisti Amartya Sen, N. Gregory Mankiw, Robert Barro, Stephen A. Marglin, Don M. Wilson III "&amp;"u Martin Feldstein, filosfi politiċi, Harvey Mansfield , Barunessa Shirley Williams u Michael Sandel, Midalja tal-Fields Mathematician Shing-Tung Yau, Xjentisti Politiċi Robert Putnam, Joseph Nye, u Stanley Hoffmann, studjuż / kompożituri Robert Levin u B"&amp;"ernard Rands, astrofiżiċista Alyssa A. Goodman, u l-istudjużi legali Alan Dershowiz u l-Lawrence Lessig.")</f>
        <v>Il-fakultà ta ’Harvard tinkludi studjużi bħall-bijologu E. O. Wilson, ix-xjentist konjittiv Steven Pinker, il-fiżiċi Lisa Randall u Roy Glauber, kimiċi Elias Corey, Dudley R. Herschbach u George M. Whitesides, xjenzati tal-kompjuter Michael O. Rabin u Leslie Valiant, Shakespeare Scholar Stephblatt Stephen Greenblatt , Kittieb Louis Menand, Kritika Helen Vendler, Storiċi Henry Louis Gates, Jr u ​​Niall Ferguson, Ekonomisti Amartya Sen, N. Gregory Mankiw, Robert Barro, Stephen A. Marglin, Don M. Wilson III u Martin Feldstein, filosfi politiċi, Harvey Mansfield , Barunessa Shirley Williams u Michael Sandel, Midalja tal-Fields Mathematician Shing-Tung Yau, Xjentisti Politiċi Robert Putnam, Joseph Nye, u Stanley Hoffmann, studjuż / kompożituri Robert Levin u Bernard Rands, astrofiżiċista Alyssa A. Goodman, u l-istudjużi legali Alan Dershowiz u l-Lawrence Lessig.</v>
      </c>
    </row>
    <row r="14733" ht="15.75" customHeight="1">
      <c r="A14733" s="2" t="s">
        <v>14733</v>
      </c>
      <c r="B14733" s="2" t="str">
        <f>IFERROR(__xludf.DUMMYFUNCTION("GOOGLETRANSLATE(A14733, ""en"", ""mt"")"),"Dak li ma kienx ikkunsidrat bħala element importanti fl-identità nazzjonali Skoċċiża?")</f>
        <v>Dak li ma kienx ikkunsidrat bħala element importanti fl-identità nazzjonali Skoċċiża?</v>
      </c>
    </row>
    <row r="14734" ht="15.75" customHeight="1">
      <c r="A14734" s="2" t="s">
        <v>14734</v>
      </c>
      <c r="B14734" s="2" t="str">
        <f>IFERROR(__xludf.DUMMYFUNCTION("GOOGLETRANSLATE(A14734, ""en"", ""mt"")"),"X'inhi l-Punent tar-Rotta tal-Istat 41?")</f>
        <v>X'inhi l-Punent tar-Rotta tal-Istat 41?</v>
      </c>
    </row>
    <row r="14735" ht="15.75" customHeight="1">
      <c r="A14735" s="2" t="s">
        <v>14735</v>
      </c>
      <c r="B14735" s="2" t="str">
        <f>IFERROR(__xludf.DUMMYFUNCTION("GOOGLETRANSLATE(A14735, ""en"", ""mt"")"),"In-Nofsinhar ta ’California hija wkoll id-dar tal-Port ta’ Los Angeles, il-port kummerċjali l-aktar traffikuż tal-Istati Uniti; il-port li jmissu ma 'Long Beach, it-tieni port tal-kontejners tat-tieni l-Istati Uniti; u l-port ta 'San Diego.")</f>
        <v>In-Nofsinhar ta ’California hija wkoll id-dar tal-Port ta’ Los Angeles, il-port kummerċjali l-aktar traffikuż tal-Istati Uniti; il-port li jmissu ma 'Long Beach, it-tieni port tal-kontejners tat-tieni l-Istati Uniti; u l-port ta 'San Diego.</v>
      </c>
    </row>
    <row r="14736" ht="15.75" customHeight="1">
      <c r="A14736" s="2" t="s">
        <v>14736</v>
      </c>
      <c r="B14736" s="2" t="str">
        <f>IFERROR(__xludf.DUMMYFUNCTION("GOOGLETRANSLATE(A14736, ""en"", ""mt"")"),"kolonizzazzjoni, użu ta 'forza militari, jew oħrajn")</f>
        <v>kolonizzazzjoni, użu ta 'forza militari, jew oħrajn</v>
      </c>
    </row>
    <row r="14737" ht="15.75" customHeight="1">
      <c r="A14737" s="2" t="s">
        <v>14737</v>
      </c>
      <c r="B14737" s="2" t="str">
        <f>IFERROR(__xludf.DUMMYFUNCTION("GOOGLETRANSLATE(A14737, ""en"", ""mt"")"),"Liema prodott ġie mibgħut b'mod notevoli f'bastimenti mgħammra b'magni ta 'sostituzzjoni doppja u tripla?")</f>
        <v>Liema prodott ġie mibgħut b'mod notevoli f'bastimenti mgħammra b'magni ta 'sostituzzjoni doppja u tripla?</v>
      </c>
    </row>
    <row r="14738" ht="15.75" customHeight="1">
      <c r="A14738" s="2" t="s">
        <v>14738</v>
      </c>
      <c r="B14738" s="2" t="str">
        <f>IFERROR(__xludf.DUMMYFUNCTION("GOOGLETRANSLATE(A14738, ""en"", ""mt"")"),"Batterji anerobiċi")</f>
        <v>Batterji anerobiċi</v>
      </c>
    </row>
    <row r="14739" ht="15.75" customHeight="1">
      <c r="A14739" s="2" t="s">
        <v>14739</v>
      </c>
      <c r="B14739" s="2" t="str">
        <f>IFERROR(__xludf.DUMMYFUNCTION("GOOGLETRANSLATE(A14739, ""en"", ""mt"")"),"L-Iskambju Ewlenin Diffie - Hellman")</f>
        <v>L-Iskambju Ewlenin Diffie - Hellman</v>
      </c>
    </row>
    <row r="14740" ht="15.75" customHeight="1">
      <c r="A14740" s="2" t="s">
        <v>14740</v>
      </c>
      <c r="B14740" s="2" t="str">
        <f>IFERROR(__xludf.DUMMYFUNCTION("GOOGLETRANSLATE(A14740, ""en"", ""mt"")"),"Kteis 'comb' u φέρω pherō 'iġorru'")</f>
        <v>Kteis 'comb' u φέρω pherō 'iġorru'</v>
      </c>
    </row>
    <row r="14741" ht="15.75" customHeight="1">
      <c r="A14741" s="2" t="s">
        <v>14741</v>
      </c>
      <c r="B14741" s="2" t="str">
        <f>IFERROR(__xludf.DUMMYFUNCTION("GOOGLETRANSLATE(A14741, ""en"", ""mt"")"),"Grover Cleveland")</f>
        <v>Grover Cleveland</v>
      </c>
    </row>
    <row r="14742" ht="15.75" customHeight="1">
      <c r="A14742" s="2" t="s">
        <v>14742</v>
      </c>
      <c r="B14742" s="2" t="str">
        <f>IFERROR(__xludf.DUMMYFUNCTION("GOOGLETRANSLATE(A14742, ""en"", ""mt"")"),"Tugh Temür")</f>
        <v>Tugh Temür</v>
      </c>
    </row>
    <row r="14743" ht="15.75" customHeight="1">
      <c r="A14743" s="2" t="s">
        <v>14743</v>
      </c>
      <c r="B14743" s="2" t="str">
        <f>IFERROR(__xludf.DUMMYFUNCTION("GOOGLETRANSLATE(A14743, ""en"", ""mt"")"),"Mill-1294 sal-1307")</f>
        <v>Mill-1294 sal-1307</v>
      </c>
    </row>
    <row r="14744" ht="15.75" customHeight="1">
      <c r="A14744" s="2" t="s">
        <v>14744</v>
      </c>
      <c r="B14744" s="2" t="str">
        <f>IFERROR(__xludf.DUMMYFUNCTION("GOOGLETRANSLATE(A14744, ""en"", ""mt"")")," Liema professjoni Ronald Robinson u John Gallagher ma jaqsmux?")</f>
        <v> Liema professjoni Ronald Robinson u John Gallagher ma jaqsmux?</v>
      </c>
    </row>
    <row r="14745" ht="15.75" customHeight="1">
      <c r="A14745" s="2" t="s">
        <v>14745</v>
      </c>
      <c r="B14745" s="2" t="str">
        <f>IFERROR(__xludf.DUMMYFUNCTION("GOOGLETRANSLATE(A14745, ""en"", ""mt"")"),"Liema persentaġġ tal-popolazzjoni ta 'Spanja mietet mill-pesta fis-seklu 17?")</f>
        <v>Liema persentaġġ tal-popolazzjoni ta 'Spanja mietet mill-pesta fis-seklu 17?</v>
      </c>
    </row>
    <row r="14746" ht="15.75" customHeight="1">
      <c r="A14746" s="2" t="s">
        <v>14746</v>
      </c>
      <c r="B14746" s="2" t="str">
        <f>IFERROR(__xludf.DUMMYFUNCTION("GOOGLETRANSLATE(A14746, ""en"", ""mt"")"),"Xi jfisser is-Segretarju biex imexxi fl-Assemblea Leġiżlattiva?")</f>
        <v>Xi jfisser is-Segretarju biex imexxi fl-Assemblea Leġiżlattiva?</v>
      </c>
    </row>
    <row r="14747" ht="15.75" customHeight="1">
      <c r="A14747" s="2" t="s">
        <v>14747</v>
      </c>
      <c r="B14747" s="2" t="str">
        <f>IFERROR(__xludf.DUMMYFUNCTION("GOOGLETRANSLATE(A14747, ""en"", ""mt"")"),"Kummissarju wieħed għal kull wieħed mit-28 stat membru")</f>
        <v>Kummissarju wieħed għal kull wieħed mit-28 stat membru</v>
      </c>
    </row>
    <row r="14748" ht="15.75" customHeight="1">
      <c r="A14748" s="2" t="s">
        <v>14748</v>
      </c>
      <c r="B14748" s="2" t="str">
        <f>IFERROR(__xludf.DUMMYFUNCTION("GOOGLETRANSLATE(A14748, ""en"", ""mt"")"),"X'għandu jkun ir-riċerka kollha skond il-linji gwida tal-IPCC?")</f>
        <v>X'għandu jkun ir-riċerka kollha skond il-linji gwida tal-IPCC?</v>
      </c>
    </row>
    <row r="14749" ht="15.75" customHeight="1">
      <c r="A14749" s="2" t="s">
        <v>14749</v>
      </c>
      <c r="B14749" s="2" t="str">
        <f>IFERROR(__xludf.DUMMYFUNCTION("GOOGLETRANSLATE(A14749, ""en"", ""mt"")"),"Kemm għandha l-iktar persuna li tapplika biex tkun MSP?")</f>
        <v>Kemm għandha l-iktar persuna li tapplika biex tkun MSP?</v>
      </c>
    </row>
    <row r="14750" ht="15.75" customHeight="1">
      <c r="A14750" s="2" t="s">
        <v>14750</v>
      </c>
      <c r="B14750" s="2" t="str">
        <f>IFERROR(__xludf.DUMMYFUNCTION("GOOGLETRANSLATE(A14750, ""en"", ""mt"")"),"Corona Mark II")</f>
        <v>Corona Mark II</v>
      </c>
    </row>
    <row r="14751" ht="15.75" customHeight="1">
      <c r="A14751" s="2" t="s">
        <v>14751</v>
      </c>
      <c r="B14751" s="2" t="str">
        <f>IFERROR(__xludf.DUMMYFUNCTION("GOOGLETRANSLATE(A14751, ""en"", ""mt"")"),"Għaliex il-finanzjament tal-kontenut tal-kors ikun ristrett mill-qrati?")</f>
        <v>Għaliex il-finanzjament tal-kontenut tal-kors ikun ristrett mill-qrati?</v>
      </c>
    </row>
    <row r="14752" ht="15.75" customHeight="1">
      <c r="A14752" s="2" t="s">
        <v>14752</v>
      </c>
      <c r="B14752" s="2" t="str">
        <f>IFERROR(__xludf.DUMMYFUNCTION("GOOGLETRANSLATE(A14752, ""en"", ""mt"")"),"żdied b'mod sinifikanti")</f>
        <v>żdied b'mod sinifikanti</v>
      </c>
    </row>
    <row r="14753" ht="15.75" customHeight="1">
      <c r="A14753" s="2" t="s">
        <v>14753</v>
      </c>
      <c r="B14753" s="2" t="str">
        <f>IFERROR(__xludf.DUMMYFUNCTION("GOOGLETRANSLATE(A14753, ""en"", ""mt"")"),"Meta l-OPEC bdiet tirranġa l-prezzijiet taż-żejt?")</f>
        <v>Meta l-OPEC bdiet tirranġa l-prezzijiet taż-żejt?</v>
      </c>
    </row>
    <row r="14754" ht="15.75" customHeight="1">
      <c r="A14754" s="2" t="s">
        <v>14754</v>
      </c>
      <c r="B14754" s="2" t="str">
        <f>IFERROR(__xludf.DUMMYFUNCTION("GOOGLETRANSLATE(A14754, ""en"", ""mt"")"),"Seklu Dsatax")</f>
        <v>Seklu Dsatax</v>
      </c>
    </row>
    <row r="14755" ht="15.75" customHeight="1">
      <c r="A14755" s="2" t="s">
        <v>14755</v>
      </c>
      <c r="B14755" s="2" t="str">
        <f>IFERROR(__xludf.DUMMYFUNCTION("GOOGLETRANSLATE(A14755, ""en"", ""mt"")"),"X'qed iqisu l-awtoritajiet tas-saħħa Olandiżi bħala bla bżonn fil-Geraets-Smits v Stichting Ziekenfonds?")</f>
        <v>X'qed iqisu l-awtoritajiet tas-saħħa Olandiżi bħala bla bżonn fil-Geraets-Smits v Stichting Ziekenfonds?</v>
      </c>
    </row>
    <row r="14756" ht="15.75" customHeight="1">
      <c r="A14756" s="2" t="s">
        <v>14756</v>
      </c>
      <c r="B14756" s="2" t="str">
        <f>IFERROR(__xludf.DUMMYFUNCTION("GOOGLETRANSLATE(A14756, ""en"", ""mt"")"),"Abu al-Qasim al-Zahrawi")</f>
        <v>Abu al-Qasim al-Zahrawi</v>
      </c>
    </row>
    <row r="14757" ht="15.75" customHeight="1">
      <c r="A14757" s="2" t="s">
        <v>14757</v>
      </c>
      <c r="B14757" s="2" t="str">
        <f>IFERROR(__xludf.DUMMYFUNCTION("GOOGLETRANSLATE(A14757, ""en"", ""mt"")"),"L-ispiżjara huma professjonisti tal-kura tas-saħħa b'edukazzjoni u taħriġ speċjalizzati li jwettqu diversi rwoli biex jiżguraw riżultati tas-saħħa ottimali għall-pazjenti tagħhom permezz tal-użu tal-kwalità tal-mediċini. L-ispiżjara jistgħu wkoll ikunu si"&amp;"dien ta ’negozji żgħar, li jippossjedu l-ispiżerija li fihom jipprattikaw. Peress li l-ispiżjara jafu dwar il-mod ta 'azzjoni ta' mediċina partikolari, u l-metaboliżmu u l-effetti fiżjoloġiċi tagħha fuq il-ġisem tal-bniedem fid-dettall, huma għandhom rwol"&amp;" importanti fl-ottimizzazzjoni ta 'trattament ta' mediċina għal individwu.")</f>
        <v>L-ispiżjara huma professjonisti tal-kura tas-saħħa b'edukazzjoni u taħriġ speċjalizzati li jwettqu diversi rwoli biex jiżguraw riżultati tas-saħħa ottimali għall-pazjenti tagħhom permezz tal-użu tal-kwalità tal-mediċini. L-ispiżjara jistgħu wkoll ikunu sidien ta ’negozji żgħar, li jippossjedu l-ispiżerija li fihom jipprattikaw. Peress li l-ispiżjara jafu dwar il-mod ta 'azzjoni ta' mediċina partikolari, u l-metaboliżmu u l-effetti fiżjoloġiċi tagħha fuq il-ġisem tal-bniedem fid-dettall, huma għandhom rwol importanti fl-ottimizzazzjoni ta 'trattament ta' mediċina għal individwu.</v>
      </c>
    </row>
    <row r="14758" ht="15.75" customHeight="1">
      <c r="A14758" s="2" t="s">
        <v>14758</v>
      </c>
      <c r="B14758" s="2" t="str">
        <f>IFERROR(__xludf.DUMMYFUNCTION("GOOGLETRANSLATE(A14758, ""en"", ""mt"")"),"Liema parti hija miżjuda mal-gradjent ta 'espansjoni biex issolvi l-kwistjoni fiċ-ċiklu tal-kontro-fluss?")</f>
        <v>Liema parti hija miżjuda mal-gradjent ta 'espansjoni biex issolvi l-kwistjoni fiċ-ċiklu tal-kontro-fluss?</v>
      </c>
    </row>
    <row r="14759" ht="15.75" customHeight="1">
      <c r="A14759" s="2" t="s">
        <v>14759</v>
      </c>
      <c r="B14759" s="2" t="str">
        <f>IFERROR(__xludf.DUMMYFUNCTION("GOOGLETRANSLATE(A14759, ""en"", ""mt"")"),"Watt meta spiċċa l-iżvilupp tat-titjib tiegħu fil-magna ta 'Newcomen?")</f>
        <v>Watt meta spiċċa l-iżvilupp tat-titjib tiegħu fil-magna ta 'Newcomen?</v>
      </c>
    </row>
    <row r="14760" ht="15.75" customHeight="1">
      <c r="A14760" s="2" t="s">
        <v>14760</v>
      </c>
      <c r="B14760" s="2" t="str">
        <f>IFERROR(__xludf.DUMMYFUNCTION("GOOGLETRANSLATE(A14760, ""en"", ""mt"")"),"1944")</f>
        <v>1944</v>
      </c>
    </row>
    <row r="14761" ht="15.75" customHeight="1">
      <c r="A14761" s="2" t="s">
        <v>14761</v>
      </c>
      <c r="B14761" s="2" t="str">
        <f>IFERROR(__xludf.DUMMYFUNCTION("GOOGLETRANSLATE(A14761, ""en"", ""mt"")"),"Ekonomija")</f>
        <v>Ekonomija</v>
      </c>
    </row>
    <row r="14762" ht="15.75" customHeight="1">
      <c r="A14762" s="2" t="s">
        <v>14762</v>
      </c>
      <c r="B14762" s="2" t="str">
        <f>IFERROR(__xludf.DUMMYFUNCTION("GOOGLETRANSLATE(A14762, ""en"", ""mt"")"),"Trattat li jemenda")</f>
        <v>Trattat li jemenda</v>
      </c>
    </row>
    <row r="14763" ht="15.75" customHeight="1">
      <c r="A14763" s="2" t="s">
        <v>14763</v>
      </c>
      <c r="B14763" s="2" t="str">
        <f>IFERROR(__xludf.DUMMYFUNCTION("GOOGLETRANSLATE(A14763, ""en"", ""mt"")"),"Vendobionta għex matul liema perjodu?")</f>
        <v>Vendobionta għex matul liema perjodu?</v>
      </c>
    </row>
    <row r="14764" ht="15.75" customHeight="1">
      <c r="A14764" s="2" t="s">
        <v>14764</v>
      </c>
      <c r="B14764" s="2" t="str">
        <f>IFERROR(__xludf.DUMMYFUNCTION("GOOGLETRANSLATE(A14764, ""en"", ""mt"")"),"F'liema pajjiż jinsab Sivilja?")</f>
        <v>F'liema pajjiż jinsab Sivilja?</v>
      </c>
    </row>
    <row r="14765" ht="15.75" customHeight="1">
      <c r="A14765" s="2" t="s">
        <v>14765</v>
      </c>
      <c r="B14765" s="2" t="str">
        <f>IFERROR(__xludf.DUMMYFUNCTION("GOOGLETRANSLATE(A14765, ""en"", ""mt"")"),"Min ippropona li l-ilma spostat permezz tat-triq tal-projettili jġorr il-projettili sal-mira tiegħu?")</f>
        <v>Min ippropona li l-ilma spostat permezz tat-triq tal-projettili jġorr il-projettili sal-mira tiegħu?</v>
      </c>
    </row>
    <row r="14766" ht="15.75" customHeight="1">
      <c r="A14766" s="2" t="s">
        <v>14766</v>
      </c>
      <c r="B14766" s="2" t="str">
        <f>IFERROR(__xludf.DUMMYFUNCTION("GOOGLETRANSLATE(A14766, ""en"", ""mt"")"),"Fuq liema tip ta 'esponenzjazzjoni jiddependi fuq l-iskambju ewlieni tal-logaritmu?")</f>
        <v>Fuq liema tip ta 'esponenzjazzjoni jiddependi fuq l-iskambju ewlieni tal-logaritmu?</v>
      </c>
    </row>
    <row r="14767" ht="15.75" customHeight="1">
      <c r="A14767" s="2" t="s">
        <v>14767</v>
      </c>
      <c r="B14767" s="2" t="str">
        <f>IFERROR(__xludf.DUMMYFUNCTION("GOOGLETRANSLATE(A14767, ""en"", ""mt"")"),"Kemm Vittorjani huma Kattoliċi?")</f>
        <v>Kemm Vittorjani huma Kattoliċi?</v>
      </c>
    </row>
    <row r="14768" ht="15.75" customHeight="1">
      <c r="A14768" s="2" t="s">
        <v>14768</v>
      </c>
      <c r="B14768" s="2" t="str">
        <f>IFERROR(__xludf.DUMMYFUNCTION("GOOGLETRANSLATE(A14768, ""en"", ""mt"")"),"Hutchinson Hall kien iddisinjat biex jidher bħal dak Oxford Hall?")</f>
        <v>Hutchinson Hall kien iddisinjat biex jidher bħal dak Oxford Hall?</v>
      </c>
    </row>
    <row r="14769" ht="15.75" customHeight="1">
      <c r="A14769" s="2" t="s">
        <v>14769</v>
      </c>
      <c r="B14769" s="2" t="str">
        <f>IFERROR(__xludf.DUMMYFUNCTION("GOOGLETRANSLATE(A14769, ""en"", ""mt"")"),"Xi jfittex li t-teorija tas-sempliċità tal-komputazzjoni l-iktar speċifikament tfittex li twieġeb?")</f>
        <v>Xi jfittex li t-teorija tas-sempliċità tal-komputazzjoni l-iktar speċifikament tfittex li twieġeb?</v>
      </c>
    </row>
    <row r="14770" ht="15.75" customHeight="1">
      <c r="A14770" s="2" t="s">
        <v>14770</v>
      </c>
      <c r="B14770" s="2" t="str">
        <f>IFERROR(__xludf.DUMMYFUNCTION("GOOGLETRANSLATE(A14770, ""en"", ""mt"")"),"Pneumatica kien miktub minn liema kittieb Grieg?")</f>
        <v>Pneumatica kien miktub minn liema kittieb Grieg?</v>
      </c>
    </row>
    <row r="14771" ht="15.75" customHeight="1">
      <c r="A14771" s="2" t="s">
        <v>14771</v>
      </c>
      <c r="B14771" s="2" t="str">
        <f>IFERROR(__xludf.DUMMYFUNCTION("GOOGLETRANSLATE(A14771, ""en"", ""mt"")"),"X'tip ta 'intraprenditorija jwassal għal avvanzi fit-teknoloġija?")</f>
        <v>X'tip ta 'intraprenditorija jwassal għal avvanzi fit-teknoloġija?</v>
      </c>
    </row>
    <row r="14772" ht="15.75" customHeight="1">
      <c r="A14772" s="2" t="s">
        <v>14772</v>
      </c>
      <c r="B14772" s="2" t="str">
        <f>IFERROR(__xludf.DUMMYFUNCTION("GOOGLETRANSLATE(A14772, ""en"", ""mt"")"),"X'tip ta 'organizzazzjoni jkollha bżonn kwantitajiet kbar ta' ossiġnu pur?")</f>
        <v>X'tip ta 'organizzazzjoni jkollha bżonn kwantitajiet kbar ta' ossiġnu pur?</v>
      </c>
    </row>
    <row r="14773" ht="15.75" customHeight="1">
      <c r="A14773" s="2" t="s">
        <v>14773</v>
      </c>
      <c r="B14773" s="2" t="str">
        <f>IFERROR(__xludf.DUMMYFUNCTION("GOOGLETRANSLATE(A14773, ""en"", ""mt"")"),"73")</f>
        <v>73</v>
      </c>
    </row>
    <row r="14774" ht="15.75" customHeight="1">
      <c r="A14774" s="2" t="s">
        <v>14774</v>
      </c>
      <c r="B14774" s="2" t="str">
        <f>IFERROR(__xludf.DUMMYFUNCTION("GOOGLETRANSLATE(A14774, ""en"", ""mt"")"),"membru privat")</f>
        <v>membru privat</v>
      </c>
    </row>
    <row r="14775" ht="15.75" customHeight="1">
      <c r="A14775" s="2" t="s">
        <v>14775</v>
      </c>
      <c r="B14775" s="2" t="str">
        <f>IFERROR(__xludf.DUMMYFUNCTION("GOOGLETRANSLATE(A14775, ""en"", ""mt"")"),"Dak li għen biex ixerred il-Protestantiżmu fi Franza?")</f>
        <v>Dak li għen biex ixerred il-Protestantiżmu fi Franza?</v>
      </c>
    </row>
    <row r="14776" ht="15.75" customHeight="1">
      <c r="A14776" s="2" t="s">
        <v>14776</v>
      </c>
      <c r="B14776" s="2" t="str">
        <f>IFERROR(__xludf.DUMMYFUNCTION("GOOGLETRANSLATE(A14776, ""en"", ""mt"")"),"Meta nbena t-Torri tal-Ilma tal-Landmark?")</f>
        <v>Meta nbena t-Torri tal-Ilma tal-Landmark?</v>
      </c>
    </row>
    <row r="14777" ht="15.75" customHeight="1">
      <c r="A14777" s="2" t="s">
        <v>14777</v>
      </c>
      <c r="B14777" s="2" t="str">
        <f>IFERROR(__xludf.DUMMYFUNCTION("GOOGLETRANSLATE(A14777, ""en"", ""mt"")"),"Meta bdiet il-Gwerra Franċiża u Indjana ta 'l-Amerika ta' Fuq?")</f>
        <v>Meta bdiet il-Gwerra Franċiża u Indjana ta 'l-Amerika ta' Fuq?</v>
      </c>
    </row>
    <row r="14778" ht="15.75" customHeight="1">
      <c r="A14778" s="2" t="s">
        <v>14778</v>
      </c>
      <c r="B14778" s="2" t="str">
        <f>IFERROR(__xludf.DUMMYFUNCTION("GOOGLETRANSLATE(A14778, ""en"", ""mt"")")," X'kien l-uniku reġjun fl-Ewropa maħkuma mit-tribujiet Ġermaniċi?")</f>
        <v> X'kien l-uniku reġjun fl-Ewropa maħkuma mit-tribujiet Ġermaniċi?</v>
      </c>
    </row>
    <row r="14779" ht="15.75" customHeight="1">
      <c r="A14779" s="2" t="s">
        <v>14779</v>
      </c>
      <c r="B14779" s="2" t="str">
        <f>IFERROR(__xludf.DUMMYFUNCTION("GOOGLETRANSLATE(A14779, ""en"", ""mt"")"),"ċentripetal")</f>
        <v>ċentripetal</v>
      </c>
    </row>
    <row r="14780" ht="15.75" customHeight="1">
      <c r="A14780" s="2" t="s">
        <v>14780</v>
      </c>
      <c r="B14780" s="2" t="str">
        <f>IFERROR(__xludf.DUMMYFUNCTION("GOOGLETRANSLATE(A14780, ""en"", ""mt"")"),"8.8")</f>
        <v>8.8</v>
      </c>
    </row>
    <row r="14781" ht="15.75" customHeight="1">
      <c r="A14781" s="2" t="s">
        <v>14781</v>
      </c>
      <c r="B14781" s="2" t="str">
        <f>IFERROR(__xludf.DUMMYFUNCTION("GOOGLETRANSLATE(A14781, ""en"", ""mt"")"),"Kemm leġjuni f'ħames bażijiet kienu tul ir-Renu mir-Rumani?")</f>
        <v>Kemm leġjuni f'ħames bażijiet kienu tul ir-Renu mir-Rumani?</v>
      </c>
    </row>
    <row r="14782" ht="15.75" customHeight="1">
      <c r="A14782" s="2" t="s">
        <v>14782</v>
      </c>
      <c r="B14782" s="2" t="str">
        <f>IFERROR(__xludf.DUMMYFUNCTION("GOOGLETRANSLATE(A14782, ""en"", ""mt"")"),"Konnessjoni tal-istess sekwenza diversi drabi mal-istess oġġett permezz tal-użu ta 'set-up li juża taljoli mobbli")</f>
        <v>Konnessjoni tal-istess sekwenza diversi drabi mal-istess oġġett permezz tal-użu ta 'set-up li juża taljoli mobbli</v>
      </c>
    </row>
    <row r="14783" ht="15.75" customHeight="1">
      <c r="A14783" s="2" t="s">
        <v>14783</v>
      </c>
      <c r="B14783" s="2" t="str">
        <f>IFERROR(__xludf.DUMMYFUNCTION("GOOGLETRANSLATE(A14783, ""en"", ""mt"")"),"It-tort ta 'San Andreas")</f>
        <v>It-tort ta 'San Andreas</v>
      </c>
    </row>
    <row r="14784" ht="15.75" customHeight="1">
      <c r="A14784" s="2" t="s">
        <v>14784</v>
      </c>
      <c r="B14784" s="2" t="str">
        <f>IFERROR(__xludf.DUMMYFUNCTION("GOOGLETRANSLATE(A14784, ""en"", ""mt"")"),"Min hu l-eroj li qatel dragun fuq id-Drachenfels?")</f>
        <v>Min hu l-eroj li qatel dragun fuq id-Drachenfels?</v>
      </c>
    </row>
    <row r="14785" ht="15.75" customHeight="1">
      <c r="A14785" s="2" t="s">
        <v>14785</v>
      </c>
      <c r="B14785" s="2" t="str">
        <f>IFERROR(__xludf.DUMMYFUNCTION("GOOGLETRANSLATE(A14785, ""en"", ""mt"")"),"embargo")</f>
        <v>embargo</v>
      </c>
    </row>
    <row r="14786" ht="15.75" customHeight="1">
      <c r="A14786" s="2" t="s">
        <v>14786</v>
      </c>
      <c r="B14786" s="2" t="str">
        <f>IFERROR(__xludf.DUMMYFUNCTION("GOOGLETRANSLATE(A14786, ""en"", ""mt"")"),"X'inhu l-iskambju ta 'sħana assoċjat miegħu?")</f>
        <v>X'inhu l-iskambju ta 'sħana assoċjat miegħu?</v>
      </c>
    </row>
    <row r="14787" ht="15.75" customHeight="1">
      <c r="A14787" s="2" t="s">
        <v>14787</v>
      </c>
      <c r="B14787" s="2" t="str">
        <f>IFERROR(__xludf.DUMMYFUNCTION("GOOGLETRANSLATE(A14787, ""en"", ""mt"")"),"Liema sena l-università għamlitha mal-Kulleġġ Shimer?")</f>
        <v>Liema sena l-università għamlitha mal-Kulleġġ Shimer?</v>
      </c>
    </row>
    <row r="14788" ht="15.75" customHeight="1">
      <c r="A14788" s="2" t="s">
        <v>14788</v>
      </c>
      <c r="B14788" s="2" t="str">
        <f>IFERROR(__xludf.DUMMYFUNCTION("GOOGLETRANSLATE(A14788, ""en"", ""mt"")"),"X'għandha l-lobata?")</f>
        <v>X'għandha l-lobata?</v>
      </c>
    </row>
    <row r="14789" ht="15.75" customHeight="1">
      <c r="A14789" s="2" t="s">
        <v>14789</v>
      </c>
      <c r="B14789" s="2" t="str">
        <f>IFERROR(__xludf.DUMMYFUNCTION("GOOGLETRANSLATE(A14789, ""en"", ""mt"")"),"Liema mediċini jgħinu ċ-ċelloli T jirrispondu għas-sinjali b'mod korrett?")</f>
        <v>Liema mediċini jgħinu ċ-ċelloli T jirrispondu għas-sinjali b'mod korrett?</v>
      </c>
    </row>
    <row r="14790" ht="15.75" customHeight="1">
      <c r="A14790" s="2" t="s">
        <v>14790</v>
      </c>
      <c r="B14790" s="2" t="str">
        <f>IFERROR(__xludf.DUMMYFUNCTION("GOOGLETRANSLATE(A14790, ""en"", ""mt"")"),"gravitazzjonali")</f>
        <v>gravitazzjonali</v>
      </c>
    </row>
    <row r="14791" ht="15.75" customHeight="1">
      <c r="A14791" s="2" t="s">
        <v>14791</v>
      </c>
      <c r="B14791" s="2" t="str">
        <f>IFERROR(__xludf.DUMMYFUNCTION("GOOGLETRANSLATE(A14791, ""en"", ""mt"")"),"Min kiteb il-karta li l-graff ""Millennial Northern Emisfera Reconstruction"" kien ibbażat?")</f>
        <v>Min kiteb il-karta li l-graff "Millennial Northern Emisfera Reconstruction" kien ibbażat?</v>
      </c>
    </row>
    <row r="14792" ht="15.75" customHeight="1">
      <c r="A14792" s="2" t="s">
        <v>14792</v>
      </c>
      <c r="B14792" s="2" t="str">
        <f>IFERROR(__xludf.DUMMYFUNCTION("GOOGLETRANSLATE(A14792, ""en"", ""mt"")"),"Imblokk Brittaniku")</f>
        <v>Imblokk Brittaniku</v>
      </c>
    </row>
    <row r="14793" ht="15.75" customHeight="1">
      <c r="A14793" s="2" t="s">
        <v>14793</v>
      </c>
      <c r="B14793" s="2" t="str">
        <f>IFERROR(__xludf.DUMMYFUNCTION("GOOGLETRANSLATE(A14793, ""en"", ""mt"")"),"Kemm Vittorjani huma ħajjin ħdejn Moneatery?")</f>
        <v>Kemm Vittorjani huma ħajjin ħdejn Moneatery?</v>
      </c>
    </row>
    <row r="14794" ht="15.75" customHeight="1">
      <c r="A14794" s="2" t="s">
        <v>14794</v>
      </c>
      <c r="B14794" s="2" t="str">
        <f>IFERROR(__xludf.DUMMYFUNCTION("GOOGLETRANSLATE(A14794, ""en"", ""mt"")"),"kobor")</f>
        <v>kobor</v>
      </c>
    </row>
    <row r="14795" ht="15.75" customHeight="1">
      <c r="A14795" s="2" t="s">
        <v>14795</v>
      </c>
      <c r="B14795" s="2" t="str">
        <f>IFERROR(__xludf.DUMMYFUNCTION("GOOGLETRANSLATE(A14795, ""en"", ""mt"")"),"Maġġoranza Parlamentari")</f>
        <v>Maġġoranza Parlamentari</v>
      </c>
    </row>
    <row r="14796" ht="15.75" customHeight="1">
      <c r="A14796" s="2" t="s">
        <v>14796</v>
      </c>
      <c r="B14796" s="2" t="str">
        <f>IFERROR(__xludf.DUMMYFUNCTION("GOOGLETRANSLATE(A14796, ""en"", ""mt"")"),"X'tip ta 'korrelazzjoni kienet użata qabel biex tgħin lill-formazzjonijiet tal-blat tad-data?")</f>
        <v>X'tip ta 'korrelazzjoni kienet użata qabel biex tgħin lill-formazzjonijiet tal-blat tad-data?</v>
      </c>
    </row>
    <row r="14797" ht="15.75" customHeight="1">
      <c r="A14797" s="2" t="s">
        <v>14797</v>
      </c>
      <c r="B14797" s="2" t="str">
        <f>IFERROR(__xludf.DUMMYFUNCTION("GOOGLETRANSLATE(A14797, ""en"", ""mt"")"),"X’toħorna dawk li jfasslu l-politika għall-IPCC?")</f>
        <v>X’toħorna dawk li jfasslu l-politika għall-IPCC?</v>
      </c>
    </row>
    <row r="14798" ht="15.75" customHeight="1">
      <c r="A14798" s="2" t="s">
        <v>14798</v>
      </c>
      <c r="B14798" s="2" t="str">
        <f>IFERROR(__xludf.DUMMYFUNCTION("GOOGLETRANSLATE(A14798, ""en"", ""mt"")"),"Irtirar immedjat bil-Franċiż")</f>
        <v>Irtirar immedjat bil-Franċiż</v>
      </c>
    </row>
    <row r="14799" ht="15.75" customHeight="1">
      <c r="A14799" s="2" t="s">
        <v>14799</v>
      </c>
      <c r="B14799" s="2" t="str">
        <f>IFERROR(__xludf.DUMMYFUNCTION("GOOGLETRANSLATE(A14799, ""en"", ""mt"")"),"Fejn ivvjaġġaw in-nassaba tal-pil Franċiżi?")</f>
        <v>Fejn ivvjaġġaw in-nassaba tal-pil Franċiżi?</v>
      </c>
    </row>
    <row r="14800" ht="15.75" customHeight="1">
      <c r="A14800" s="2" t="s">
        <v>14800</v>
      </c>
      <c r="B14800" s="2" t="str">
        <f>IFERROR(__xludf.DUMMYFUNCTION("GOOGLETRANSLATE(A14800, ""en"", ""mt"")"),"Kif huwa kklassifikat l-ekwipaġġ tal-qdif Yale?")</f>
        <v>Kif huwa kklassifikat l-ekwipaġġ tal-qdif Yale?</v>
      </c>
    </row>
    <row r="14801" ht="15.75" customHeight="1">
      <c r="A14801" s="2" t="s">
        <v>14801</v>
      </c>
      <c r="B14801" s="2" t="str">
        <f>IFERROR(__xludf.DUMMYFUNCTION("GOOGLETRANSLATE(A14801, ""en"", ""mt"")"),"Maria Skłodowska-Curie")</f>
        <v>Maria Skłodowska-Curie</v>
      </c>
    </row>
    <row r="14802" ht="15.75" customHeight="1">
      <c r="A14802" s="2" t="s">
        <v>14802</v>
      </c>
      <c r="B14802" s="2" t="str">
        <f>IFERROR(__xludf.DUMMYFUNCTION("GOOGLETRANSLATE(A14802, ""en"", ""mt"")"),"Teorija elettromanjetika")</f>
        <v>Teorija elettromanjetika</v>
      </c>
    </row>
    <row r="14803" ht="15.75" customHeight="1">
      <c r="A14803" s="2" t="s">
        <v>14803</v>
      </c>
      <c r="B14803" s="2" t="str">
        <f>IFERROR(__xludf.DUMMYFUNCTION("GOOGLETRANSLATE(A14803, ""en"", ""mt"")"),"Liema parti taċ-Ċina kellha nies ikklassifikati aktar baxxi fis-sistema tal-klassi?")</f>
        <v>Liema parti taċ-Ċina kellha nies ikklassifikati aktar baxxi fis-sistema tal-klassi?</v>
      </c>
    </row>
    <row r="14804" ht="15.75" customHeight="1">
      <c r="A14804" s="2" t="s">
        <v>14804</v>
      </c>
      <c r="B14804" s="2" t="str">
        <f>IFERROR(__xludf.DUMMYFUNCTION("GOOGLETRANSLATE(A14804, ""en"", ""mt"")"),"Liema proċess ta 'tniġġis jistimula t-tkabbir tan-nitrati?")</f>
        <v>Liema proċess ta 'tniġġis jistimula t-tkabbir tan-nitrati?</v>
      </c>
    </row>
    <row r="14805" ht="15.75" customHeight="1">
      <c r="A14805" s="2" t="s">
        <v>14805</v>
      </c>
      <c r="B14805" s="2" t="str">
        <f>IFERROR(__xludf.DUMMYFUNCTION("GOOGLETRANSLATE(A14805, ""en"", ""mt"")"),"X'inhu t-terminu għal marda li mhix komunement preżenti?")</f>
        <v>X'inhu t-terminu għal marda li mhix komunement preżenti?</v>
      </c>
    </row>
    <row r="14806" ht="15.75" customHeight="1">
      <c r="A14806" s="2" t="s">
        <v>14806</v>
      </c>
      <c r="B14806" s="2" t="str">
        <f>IFERROR(__xludf.DUMMYFUNCTION("GOOGLETRANSLATE(A14806, ""en"", ""mt"")"),"Liema att stabbilixxa l-poteri tal-Parlament bħala leġiżlatura devolta?")</f>
        <v>Liema att stabbilixxa l-poteri tal-Parlament bħala leġiżlatura devolta?</v>
      </c>
    </row>
    <row r="14807" ht="15.75" customHeight="1">
      <c r="A14807" s="2" t="s">
        <v>14807</v>
      </c>
      <c r="B14807" s="2" t="str">
        <f>IFERROR(__xludf.DUMMYFUNCTION("GOOGLETRANSLATE(A14807, ""en"", ""mt"")"),"Liema persentaġġ ta 'Vittorjani huma Kristjani?")</f>
        <v>Liema persentaġġ ta 'Vittorjani huma Kristjani?</v>
      </c>
    </row>
    <row r="14808" ht="15.75" customHeight="1">
      <c r="A14808" s="2" t="s">
        <v>14808</v>
      </c>
      <c r="B14808" s="2" t="str">
        <f>IFERROR(__xludf.DUMMYFUNCTION("GOOGLETRANSLATE(A14808, ""en"", ""mt"")"),"Skrivan tal-vot")</f>
        <v>Skrivan tal-vot</v>
      </c>
    </row>
    <row r="14809" ht="15.75" customHeight="1">
      <c r="A14809" s="2" t="s">
        <v>14809</v>
      </c>
      <c r="B14809" s="2" t="str">
        <f>IFERROR(__xludf.DUMMYFUNCTION("GOOGLETRANSLATE(A14809, ""en"", ""mt"")"),"Meta nbena l-Katidral ta ’San Ġwann?")</f>
        <v>Meta nbena l-Katidral ta ’San Ġwann?</v>
      </c>
    </row>
    <row r="14810" ht="15.75" customHeight="1">
      <c r="A14810" s="2" t="s">
        <v>14810</v>
      </c>
      <c r="B14810" s="2" t="str">
        <f>IFERROR(__xludf.DUMMYFUNCTION("GOOGLETRANSLATE(A14810, ""en"", ""mt"")"),"li kull naħa hija kapaċi twettaq l-obbligi stabbiliti")</f>
        <v>li kull naħa hija kapaċi twettaq l-obbligi stabbiliti</v>
      </c>
    </row>
    <row r="14811" ht="15.75" customHeight="1">
      <c r="A14811" s="2" t="s">
        <v>14811</v>
      </c>
      <c r="B14811" s="2" t="str">
        <f>IFERROR(__xludf.DUMMYFUNCTION("GOOGLETRANSLATE(A14811, ""en"", ""mt"")"),"Messiku")</f>
        <v>Messiku</v>
      </c>
    </row>
    <row r="14812" ht="15.75" customHeight="1">
      <c r="A14812" s="2" t="s">
        <v>14812</v>
      </c>
      <c r="B14812" s="2" t="str">
        <f>IFERROR(__xludf.DUMMYFUNCTION("GOOGLETRANSLATE(A14812, ""en"", ""mt"")"),"Mycobacterium tuberculosis")</f>
        <v>Mycobacterium tuberculosis</v>
      </c>
    </row>
    <row r="14813" ht="15.75" customHeight="1">
      <c r="A14813" s="2" t="s">
        <v>14813</v>
      </c>
      <c r="B14813" s="2" t="str">
        <f>IFERROR(__xludf.DUMMYFUNCTION("GOOGLETRANSLATE(A14813, ""en"", ""mt"")"),"Fejn huma ddikjarati kwistjonijiet riservati fl-Att tal-Iskozja?")</f>
        <v>Fejn huma ddikjarati kwistjonijiet riservati fl-Att tal-Iskozja?</v>
      </c>
    </row>
    <row r="14814" ht="15.75" customHeight="1">
      <c r="A14814" s="2" t="s">
        <v>14814</v>
      </c>
      <c r="B14814" s="2" t="str">
        <f>IFERROR(__xludf.DUMMYFUNCTION("GOOGLETRANSLATE(A14814, ""en"", ""mt"")"),"Kemm hemm lagi f'Varsavja?")</f>
        <v>Kemm hemm lagi f'Varsavja?</v>
      </c>
    </row>
    <row r="14815" ht="15.75" customHeight="1">
      <c r="A14815" s="2" t="s">
        <v>14815</v>
      </c>
      <c r="B14815" s="2" t="str">
        <f>IFERROR(__xludf.DUMMYFUNCTION("GOOGLETRANSLATE(A14815, ""en"", ""mt"")"),"Min qal li l-kitba ta 'deskrizzjoni tajba tad-diżubbidjenza ċivili hija diffiċli?")</f>
        <v>Min qal li l-kitba ta 'deskrizzjoni tajba tad-diżubbidjenza ċivili hija diffiċli?</v>
      </c>
    </row>
    <row r="14816" ht="15.75" customHeight="1">
      <c r="A14816" s="2" t="s">
        <v>14816</v>
      </c>
      <c r="B14816" s="2" t="str">
        <f>IFERROR(__xludf.DUMMYFUNCTION("GOOGLETRANSLATE(A14816, ""en"", ""mt"")"),"Skond Ellen Churchill Semple liema tip ta 'klima ma kienx meħtieġ għall-bnedmin li jsiru kompletament umani?")</f>
        <v>Skond Ellen Churchill Semple liema tip ta 'klima ma kienx meħtieġ għall-bnedmin li jsiru kompletament umani?</v>
      </c>
    </row>
    <row r="14817" ht="15.75" customHeight="1">
      <c r="A14817" s="2" t="s">
        <v>14817</v>
      </c>
      <c r="B14817" s="2" t="str">
        <f>IFERROR(__xludf.DUMMYFUNCTION("GOOGLETRANSLATE(A14817, ""en"", ""mt"")"),"Ċaħda fl-irqad")</f>
        <v>Ċaħda fl-irqad</v>
      </c>
    </row>
    <row r="14818" ht="15.75" customHeight="1">
      <c r="A14818" s="2" t="s">
        <v>14818</v>
      </c>
      <c r="B14818" s="2" t="str">
        <f>IFERROR(__xludf.DUMMYFUNCTION("GOOGLETRANSLATE(A14818, ""en"", ""mt"")"),"Liema porzjon tal-popolazzjoni ta 'Berlin tkellmet bil-Franċiż sal-1700?")</f>
        <v>Liema porzjon tal-popolazzjoni ta 'Berlin tkellmet bil-Franċiż sal-1700?</v>
      </c>
    </row>
    <row r="14819" ht="15.75" customHeight="1">
      <c r="A14819" s="2" t="s">
        <v>14819</v>
      </c>
      <c r="B14819" s="2" t="str">
        <f>IFERROR(__xludf.DUMMYFUNCTION("GOOGLETRANSLATE(A14819, ""en"", ""mt"")"),"Dragonnades")</f>
        <v>Dragonnades</v>
      </c>
    </row>
    <row r="14820" ht="15.75" customHeight="1">
      <c r="A14820" s="2" t="s">
        <v>14820</v>
      </c>
      <c r="B14820" s="2" t="str">
        <f>IFERROR(__xludf.DUMMYFUNCTION("GOOGLETRANSLATE(A14820, ""en"", ""mt"")"),"F'liema settur qed jibdew jonqsu l-impjiegi?")</f>
        <v>F'liema settur qed jibdew jonqsu l-impjiegi?</v>
      </c>
    </row>
    <row r="14821" ht="15.75" customHeight="1">
      <c r="A14821" s="2" t="s">
        <v>14821</v>
      </c>
      <c r="B14821" s="2" t="str">
        <f>IFERROR(__xludf.DUMMYFUNCTION("GOOGLETRANSLATE(A14821, ""en"", ""mt"")"),"Ċentru tal-passaġġ tal-kurva.")</f>
        <v>Ċentru tal-passaġġ tal-kurva.</v>
      </c>
    </row>
    <row r="14822" ht="15.75" customHeight="1">
      <c r="A14822" s="2" t="s">
        <v>14822</v>
      </c>
      <c r="B14822" s="2" t="str">
        <f>IFERROR(__xludf.DUMMYFUNCTION("GOOGLETRANSLATE(A14822, ""en"", ""mt"")"),"Fl-1500 AD kemm nies kienu maħsuba li għexu fir-reġjun tal-Amażonja?")</f>
        <v>Fl-1500 AD kemm nies kienu maħsuba li għexu fir-reġjun tal-Amażonja?</v>
      </c>
    </row>
    <row r="14823" ht="15.75" customHeight="1">
      <c r="A14823" s="2" t="s">
        <v>14823</v>
      </c>
      <c r="B14823" s="2" t="str">
        <f>IFERROR(__xludf.DUMMYFUNCTION("GOOGLETRANSLATE(A14823, ""en"", ""mt"")")," L-imperi Asante u Lunda ma kinux f'liema reġjun?")</f>
        <v> L-imperi Asante u Lunda ma kinux f'liema reġjun?</v>
      </c>
    </row>
    <row r="14824" ht="15.75" customHeight="1">
      <c r="A14824" s="2" t="s">
        <v>14824</v>
      </c>
      <c r="B14824" s="2" t="str">
        <f>IFERROR(__xludf.DUMMYFUNCTION("GOOGLETRANSLATE(A14824, ""en"", ""mt"")"),"Il-pakketti jistgħu jitwasslu skont skema ta 'aċċess multipli")</f>
        <v>Il-pakketti jistgħu jitwasslu skont skema ta 'aċċess multipli</v>
      </c>
    </row>
    <row r="14825" ht="15.75" customHeight="1">
      <c r="A14825" s="2" t="s">
        <v>14825</v>
      </c>
      <c r="B14825" s="2" t="str">
        <f>IFERROR(__xludf.DUMMYFUNCTION("GOOGLETRANSLATE(A14825, ""en"", ""mt"")"),"tejp wieħed")</f>
        <v>tejp wieħed</v>
      </c>
    </row>
    <row r="14826" ht="15.75" customHeight="1">
      <c r="A14826" s="2" t="s">
        <v>14826</v>
      </c>
      <c r="B14826" s="2" t="str">
        <f>IFERROR(__xludf.DUMMYFUNCTION("GOOGLETRANSLATE(A14826, ""en"", ""mt"")"),"Liema isem ġej mill-kliem Ingliż Normans / Normanz?")</f>
        <v>Liema isem ġej mill-kliem Ingliż Normans / Normanz?</v>
      </c>
    </row>
    <row r="14827" ht="15.75" customHeight="1">
      <c r="A14827" s="2" t="s">
        <v>14827</v>
      </c>
      <c r="B14827" s="2" t="str">
        <f>IFERROR(__xludf.DUMMYFUNCTION("GOOGLETRANSLATE(A14827, ""en"", ""mt"")"),"Bl-istess linji, il-KO-NP hija l-klassi li fiha l-problemi ta 'komplement (i.e. problemi bit-tweġibiet iva / le maqluba) ta' problemi ta 'NP. Huwa maħsub li l-NP mhuwiex daqs il-KO-NP; Madankollu, għadu ma ġiex ippruvat. Intwera li jekk dawn iż-żewġ klass"&amp;"ijiet ta 'kumplessità mhumiex ugwali allura P mhux daqs NP.")</f>
        <v>Bl-istess linji, il-KO-NP hija l-klassi li fiha l-problemi ta 'komplement (i.e. problemi bit-tweġibiet iva / le maqluba) ta' problemi ta 'NP. Huwa maħsub li l-NP mhuwiex daqs il-KO-NP; Madankollu, għadu ma ġiex ippruvat. Intwera li jekk dawn iż-żewġ klassijiet ta 'kumplessità mhumiex ugwali allura P mhux daqs NP.</v>
      </c>
    </row>
    <row r="14828" ht="15.75" customHeight="1">
      <c r="A14828" s="2" t="s">
        <v>14828</v>
      </c>
      <c r="B14828" s="2" t="str">
        <f>IFERROR(__xludf.DUMMYFUNCTION("GOOGLETRANSLATE(A14828, ""en"", ""mt"")"),"Duttrina ta 'trans-startjazzjoni matul il-massa")</f>
        <v>Duttrina ta 'trans-startjazzjoni matul il-massa</v>
      </c>
    </row>
    <row r="14829" ht="15.75" customHeight="1">
      <c r="A14829" s="2" t="s">
        <v>14829</v>
      </c>
      <c r="B14829" s="2" t="str">
        <f>IFERROR(__xludf.DUMMYFUNCTION("GOOGLETRANSLATE(A14829, ""en"", ""mt"")"),"Liema futboler Belġjan sostna li għandu jitħalla jittrasferixxi minn klabb tal-futbol għal ieħor meta l-kuntratt tiegħu twettaq?")</f>
        <v>Liema futboler Belġjan sostna li għandu jitħalla jittrasferixxi minn klabb tal-futbol għal ieħor meta l-kuntratt tiegħu twettaq?</v>
      </c>
    </row>
    <row r="14830" ht="15.75" customHeight="1">
      <c r="A14830" s="2" t="s">
        <v>14830</v>
      </c>
      <c r="B14830" s="2" t="str">
        <f>IFERROR(__xludf.DUMMYFUNCTION("GOOGLETRANSLATE(A14830, ""en"", ""mt"")"),"X'jiġri madwar l-Ewropa Nofsani fl-Aħħar Età tas-Silġ?")</f>
        <v>X'jiġri madwar l-Ewropa Nofsani fl-Aħħar Età tas-Silġ?</v>
      </c>
    </row>
    <row r="14831" ht="15.75" customHeight="1">
      <c r="A14831" s="2" t="s">
        <v>14831</v>
      </c>
      <c r="B14831" s="2" t="str">
        <f>IFERROR(__xludf.DUMMYFUNCTION("GOOGLETRANSLATE(A14831, ""en"", ""mt"")"),"Min mexxa rinforzi ġodda ta 'Franza fl-1765?")</f>
        <v>Min mexxa rinforzi ġodda ta 'Franza fl-1765?</v>
      </c>
    </row>
    <row r="14832" ht="15.75" customHeight="1">
      <c r="A14832" s="2" t="s">
        <v>14832</v>
      </c>
      <c r="B14832" s="2" t="str">
        <f>IFERROR(__xludf.DUMMYFUNCTION("GOOGLETRANSLATE(A14832, ""en"", ""mt"")"),"Fl-1939, c. 1,300,000 persuna għexu f'Varsavja, iżda fl-1945 - 420,000 biss. Matul l-ewwel snin wara l-gwerra, it-tkabbir tal-popolazzjoni kien ċ. 6%, hekk fi żmien qasir il-belt bdiet tbati min-nuqqas ta 'appartamenti u minn żoni għal djar ġodda. L-ewwel"&amp;" miżura ta 'rimedju kienet it-Tkabbir taż-Żona ta' Varsav Biex tikseb ir-reġistrazzjoni, u għalhekk tnaqqas bin-nofs it-tkabbir tal-popolazzjoni fis-snin ta 'wara. Huwa saħħaħ ukoll xi tip ta ’kundanna fost il-Pollakki li Varsovians ħasbu lilhom infushom "&amp;"bħala aħjar biss għax għexu fil-kapitali. Sfortunatament dan it-twemmin għadu jgħix fil-Polonja (għalkemm mhux daqs kemm kien qabel) - minkejja li mill-1990 m'hemmx limitazzjoni għar-reġistrazzjoni tar-residenza.")</f>
        <v>Fl-1939, c. 1,300,000 persuna għexu f'Varsavja, iżda fl-1945 - 420,000 biss. Matul l-ewwel snin wara l-gwerra, it-tkabbir tal-popolazzjoni kien ċ. 6%, hekk fi żmien qasir il-belt bdiet tbati min-nuqqas ta 'appartamenti u minn żoni għal djar ġodda. L-ewwel miżura ta 'rimedju kienet it-Tkabbir taż-Żona ta' Varsav Biex tikseb ir-reġistrazzjoni, u għalhekk tnaqqas bin-nofs it-tkabbir tal-popolazzjoni fis-snin ta 'wara. Huwa saħħaħ ukoll xi tip ta ’kundanna fost il-Pollakki li Varsovians ħasbu lilhom infushom bħala aħjar biss għax għexu fil-kapitali. Sfortunatament dan it-twemmin għadu jgħix fil-Polonja (għalkemm mhux daqs kemm kien qabel) - minkejja li mill-1990 m'hemmx limitazzjoni għar-reġistrazzjoni tar-residenza.</v>
      </c>
    </row>
    <row r="14833" ht="15.75" customHeight="1">
      <c r="A14833" s="2" t="s">
        <v>14833</v>
      </c>
      <c r="B14833" s="2" t="str">
        <f>IFERROR(__xludf.DUMMYFUNCTION("GOOGLETRANSLATE(A14833, ""en"", ""mt"")"),"Wara liema mudell ta 'tagħlim ogħla ġie ddisinjat l-iskola?")</f>
        <v>Wara liema mudell ta 'tagħlim ogħla ġie ddisinjat l-iskola?</v>
      </c>
    </row>
    <row r="14834" ht="15.75" customHeight="1">
      <c r="A14834" s="2" t="s">
        <v>14834</v>
      </c>
      <c r="B14834" s="2" t="str">
        <f>IFERROR(__xludf.DUMMYFUNCTION("GOOGLETRANSLATE(A14834, ""en"", ""mt"")"),"Dak li jikkonsisti f'żona statistika metropolitana?")</f>
        <v>Dak li jikkonsisti f'żona statistika metropolitana?</v>
      </c>
    </row>
    <row r="14835" ht="15.75" customHeight="1">
      <c r="A14835" s="2" t="s">
        <v>14835</v>
      </c>
      <c r="B14835" s="2" t="str">
        <f>IFERROR(__xludf.DUMMYFUNCTION("GOOGLETRANSLATE(A14835, ""en"", ""mt"")"),"Kemm riżorsi ma kinux ipoġġu Franċiż fl-Amerika ta 'Fuq?")</f>
        <v>Kemm riżorsi ma kinux ipoġġu Franċiż fl-Amerika ta 'Fuq?</v>
      </c>
    </row>
    <row r="14836" ht="15.75" customHeight="1">
      <c r="A14836" s="2" t="s">
        <v>14836</v>
      </c>
      <c r="B14836" s="2" t="str">
        <f>IFERROR(__xludf.DUMMYFUNCTION("GOOGLETRANSLATE(A14836, ""en"", ""mt"")"),"sa n = 4 (jew 216 + 1)")</f>
        <v>sa n = 4 (jew 216 + 1)</v>
      </c>
    </row>
    <row r="14837" ht="15.75" customHeight="1">
      <c r="A14837" s="2" t="s">
        <v>14837</v>
      </c>
      <c r="B14837" s="2" t="str">
        <f>IFERROR(__xludf.DUMMYFUNCTION("GOOGLETRANSLATE(A14837, ""en"", ""mt"")"),"Ersatzschulen")</f>
        <v>Ersatzschulen</v>
      </c>
    </row>
    <row r="14838" ht="15.75" customHeight="1">
      <c r="A14838" s="2" t="s">
        <v>14838</v>
      </c>
      <c r="B14838" s="2" t="str">
        <f>IFERROR(__xludf.DUMMYFUNCTION("GOOGLETRANSLATE(A14838, ""en"", ""mt"")"),"tiċrita żoni kbar ta 'art fil-baħar.")</f>
        <v>tiċrita żoni kbar ta 'art fil-baħar.</v>
      </c>
    </row>
    <row r="14839" ht="15.75" customHeight="1">
      <c r="A14839" s="2" t="s">
        <v>14839</v>
      </c>
      <c r="B14839" s="2" t="str">
        <f>IFERROR(__xludf.DUMMYFUNCTION("GOOGLETRANSLATE(A14839, ""en"", ""mt"")"),"Ċempel jew konnessjonijiet async iddedikati konnessi min?")</f>
        <v>Ċempel jew konnessjonijiet async iddedikati konnessi min?</v>
      </c>
    </row>
    <row r="14840" ht="15.75" customHeight="1">
      <c r="A14840" s="2" t="s">
        <v>14840</v>
      </c>
      <c r="B14840" s="2" t="str">
        <f>IFERROR(__xludf.DUMMYFUNCTION("GOOGLETRANSLATE(A14840, ""en"", ""mt"")"),"Min wera li l-blogging iżid il-preċipitazzjoni fl-Amażonja?")</f>
        <v>Min wera li l-blogging iżid il-preċipitazzjoni fl-Amażonja?</v>
      </c>
    </row>
    <row r="14841" ht="15.75" customHeight="1">
      <c r="A14841" s="2" t="s">
        <v>14841</v>
      </c>
      <c r="B14841" s="2" t="str">
        <f>IFERROR(__xludf.DUMMYFUNCTION("GOOGLETRANSLATE(A14841, ""en"", ""mt"")"),"X’għandu jkun ipproċeda skont il-linji ta ’unifikazzjoni ta’ ideat simili?")</f>
        <v>X’għandu jkun ipproċeda skont il-linji ta ’unifikazzjoni ta’ ideat simili?</v>
      </c>
    </row>
    <row r="14842" ht="15.75" customHeight="1">
      <c r="A14842" s="2" t="s">
        <v>14842</v>
      </c>
      <c r="B14842" s="2" t="str">
        <f>IFERROR(__xludf.DUMMYFUNCTION("GOOGLETRANSLATE(A14842, ""en"", ""mt"")"),"X'inhu l-proċess li fih jissejjaħ in-newtrofili lejn is-sit tal-infjammazzjoni?")</f>
        <v>X'inhu l-proċess li fih jissejjaħ in-newtrofili lejn is-sit tal-infjammazzjoni?</v>
      </c>
    </row>
    <row r="14843" ht="15.75" customHeight="1">
      <c r="A14843" s="2" t="s">
        <v>14843</v>
      </c>
      <c r="B14843" s="2" t="str">
        <f>IFERROR(__xludf.DUMMYFUNCTION("GOOGLETRANSLATE(A14843, ""en"", ""mt"")"),"X’għamlu l-istoriċi fin-nuqqas ta ’figuri taċ-ċensiment?")</f>
        <v>X’għamlu l-istoriċi fin-nuqqas ta ’figuri taċ-ċensiment?</v>
      </c>
    </row>
    <row r="14844" ht="15.75" customHeight="1">
      <c r="A14844" s="2" t="s">
        <v>14844</v>
      </c>
      <c r="B14844" s="2" t="str">
        <f>IFERROR(__xludf.DUMMYFUNCTION("GOOGLETRANSLATE(A14844, ""en"", ""mt"")"),"X'inhu jinsab wara Rüdesheim Am Rhein u Koblenz?")</f>
        <v>X'inhu jinsab wara Rüdesheim Am Rhein u Koblenz?</v>
      </c>
    </row>
    <row r="14845" ht="15.75" customHeight="1">
      <c r="A14845" s="2" t="s">
        <v>14845</v>
      </c>
      <c r="B14845" s="2" t="str">
        <f>IFERROR(__xludf.DUMMYFUNCTION("GOOGLETRANSLATE(A14845, ""en"", ""mt"")"),"X'jagħmlu l-ġeoloġi strutturali bil-kejl tad-drapp fil-kristalli?")</f>
        <v>X'jagħmlu l-ġeoloġi strutturali bil-kejl tad-drapp fil-kristalli?</v>
      </c>
    </row>
    <row r="14846" ht="15.75" customHeight="1">
      <c r="A14846" s="2" t="s">
        <v>14846</v>
      </c>
      <c r="B14846" s="2" t="str">
        <f>IFERROR(__xludf.DUMMYFUNCTION("GOOGLETRANSLATE(A14846, ""en"", ""mt"")"),"X'kienet il-popolazzjoni ta 'Stokkolma?")</f>
        <v>X'kienet il-popolazzjoni ta 'Stokkolma?</v>
      </c>
    </row>
    <row r="14847" ht="15.75" customHeight="1">
      <c r="A14847" s="2" t="s">
        <v>14847</v>
      </c>
      <c r="B14847" s="2" t="str">
        <f>IFERROR(__xludf.DUMMYFUNCTION("GOOGLETRANSLATE(A14847, ""en"", ""mt"")"),"X'inhuma xi żvantaġġi ta 'spiżeriji fl-isptar?")</f>
        <v>X'inhuma xi żvantaġġi ta 'spiżeriji fl-isptar?</v>
      </c>
    </row>
    <row r="14848" ht="15.75" customHeight="1">
      <c r="A14848" s="2" t="s">
        <v>14848</v>
      </c>
      <c r="B14848" s="2" t="str">
        <f>IFERROR(__xludf.DUMMYFUNCTION("GOOGLETRANSLATE(A14848, ""en"", ""mt"")"),"X'tip ta 'tagħlim huwa akkużat jekk tirreġistra fi Sonderungsverbot?")</f>
        <v>X'tip ta 'tagħlim huwa akkużat jekk tirreġistra fi Sonderungsverbot?</v>
      </c>
    </row>
    <row r="14849" ht="15.75" customHeight="1">
      <c r="A14849" s="2" t="s">
        <v>14849</v>
      </c>
      <c r="B14849" s="2" t="str">
        <f>IFERROR(__xludf.DUMMYFUNCTION("GOOGLETRANSLATE(A14849, ""en"", ""mt"")"),"Xi trid in-NU trid tistabbilizza?")</f>
        <v>Xi trid in-NU trid tistabbilizza?</v>
      </c>
    </row>
    <row r="14850" ht="15.75" customHeight="1">
      <c r="A14850" s="2" t="s">
        <v>14850</v>
      </c>
      <c r="B14850" s="2" t="str">
        <f>IFERROR(__xludf.DUMMYFUNCTION("GOOGLETRANSLATE(A14850, ""en"", ""mt"")"),"ukoll zkuk")</f>
        <v>ukoll zkuk</v>
      </c>
    </row>
    <row r="14851" ht="15.75" customHeight="1">
      <c r="A14851" s="2" t="s">
        <v>14851</v>
      </c>
      <c r="B14851" s="2" t="str">
        <f>IFERROR(__xludf.DUMMYFUNCTION("GOOGLETRANSLATE(A14851, ""en"", ""mt"")"),"konċentrazzjonijiet ta 'gass serra fl-atmosfera")</f>
        <v>konċentrazzjonijiet ta 'gass serra fl-atmosfera</v>
      </c>
    </row>
    <row r="14852" ht="15.75" customHeight="1">
      <c r="A14852" s="2" t="s">
        <v>14852</v>
      </c>
      <c r="B14852" s="2" t="str">
        <f>IFERROR(__xludf.DUMMYFUNCTION("GOOGLETRANSLATE(A14852, ""en"", ""mt"")"),"Organizzazzjoni Meteoroloġika Dinjija")</f>
        <v>Organizzazzjoni Meteoroloġika Dinjija</v>
      </c>
    </row>
    <row r="14853" ht="15.75" customHeight="1">
      <c r="A14853" s="2" t="s">
        <v>14853</v>
      </c>
      <c r="B14853" s="2" t="str">
        <f>IFERROR(__xludf.DUMMYFUNCTION("GOOGLETRANSLATE(A14853, ""en"", ""mt"")"),"X'inhu l-iktar port kummerċjali traffikuż tal-Istati Uniti?")</f>
        <v>X'inhu l-iktar port kummerċjali traffikuż tal-Istati Uniti?</v>
      </c>
    </row>
    <row r="14854" ht="15.75" customHeight="1">
      <c r="A14854" s="2" t="s">
        <v>14854</v>
      </c>
      <c r="B14854" s="2" t="str">
        <f>IFERROR(__xludf.DUMMYFUNCTION("GOOGLETRANSLATE(A14854, ""en"", ""mt"")"),"Tnaqqis tal-ħin polinomjali huwa eżempju ta 'xiex?")</f>
        <v>Tnaqqis tal-ħin polinomjali huwa eżempju ta 'xiex?</v>
      </c>
    </row>
    <row r="14855" ht="15.75" customHeight="1">
      <c r="A14855" s="2" t="s">
        <v>14855</v>
      </c>
      <c r="B14855" s="2" t="str">
        <f>IFERROR(__xludf.DUMMYFUNCTION("GOOGLETRANSLATE(A14855, ""en"", ""mt"")"),"X'wassal għal ħafna inqas livelli ta 'għajxien materjali għal ħafna mill-istorja tal-bniedem?")</f>
        <v>X'wassal għal ħafna inqas livelli ta 'għajxien materjali għal ħafna mill-istorja tal-bniedem?</v>
      </c>
    </row>
    <row r="14856" ht="15.75" customHeight="1">
      <c r="A14856" s="2" t="s">
        <v>14856</v>
      </c>
      <c r="B14856" s="2" t="str">
        <f>IFERROR(__xludf.DUMMYFUNCTION("GOOGLETRANSLATE(A14856, ""en"", ""mt"")"),"Il-gwerra fl-Amerika ta ’Fuq intemmet uffiċjalment bl-iffirmar tat-Trattat ta’ Pariġi fl-10 ta ’Frar 1763, u l-Gwerra fit-Teatru Ewropew tas-Seba’ Snin tal-Gwerra ġiet solvuta bit-Trattat ta ’Hubertusburg fil-15 ta’ Frar 1763. ta 'ċediment jew il-possedim"&amp;"enti kontinentali tagħha ta' l-Amerika ta 'Fuq fil-lvant tal-Mississippi jew il-gżejjer tal-Karibew ta' Guadeloupe u Martinique, li kienu okkupati mill-Ingliżi. Franza għażlet li ċediet l-ewwel, iżda kienet kapaċi tinnegozja ż-żamma ta ’San Pierre u Mique"&amp;"lon, żewġ gżejjer żgħar fil-Golf ta’ San Lawrenz, flimkien mad-drittijiet tas-sajd fiż-żona. Huma jaraw il-valur ekonomiku tal-kannamieli tal-gżejjer tal-Karibew biex ikun ikbar u aktar faċli biex jiddefendi mill-pil mill-kontinent. Il-filosfu Franċiż kon"&amp;"temporanju Voltaire irrefera għall-Kanada b’mod qawwi bħala xejn aktar minn ftit acres ta ’borra. Il-Brittaniċi, min-naħa tagħhom, kienu kuntenti li jieħdu Franza ġdida, billi d-difiża tal-kolonji tal-Amerika ta ’Fuq ma tibqax kwistjoni u wkoll minħabba l"&amp;"i diġà kellhom postijiet abbundanti minn fejn jista’ jikseb iz-zokkor. Spanja, li nnegozjat Florida lill-Gran Brittanja biex terġa 'tikseb Kuba, kisbet ukoll Louisiana, inkluż New Orleans, minn Franza bħala kumpens għat-telf tagħha. Il-Gran Brittanja u Sp"&amp;"anja qablu wkoll li n-navigazzjoni fuq ix-Xmara Mississippi kellha tkun miftuħa għal bastimenti tan-nazzjonijiet kollha.")</f>
        <v>Il-gwerra fl-Amerika ta ’Fuq intemmet uffiċjalment bl-iffirmar tat-Trattat ta’ Pariġi fl-10 ta ’Frar 1763, u l-Gwerra fit-Teatru Ewropew tas-Seba’ Snin tal-Gwerra ġiet solvuta bit-Trattat ta ’Hubertusburg fil-15 ta’ Frar 1763. ta 'ċediment jew il-possedimenti kontinentali tagħha ta' l-Amerika ta 'Fuq fil-lvant tal-Mississippi jew il-gżejjer tal-Karibew ta' Guadeloupe u Martinique, li kienu okkupati mill-Ingliżi. Franza għażlet li ċediet l-ewwel, iżda kienet kapaċi tinnegozja ż-żamma ta ’San Pierre u Miquelon, żewġ gżejjer żgħar fil-Golf ta’ San Lawrenz, flimkien mad-drittijiet tas-sajd fiż-żona. Huma jaraw il-valur ekonomiku tal-kannamieli tal-gżejjer tal-Karibew biex ikun ikbar u aktar faċli biex jiddefendi mill-pil mill-kontinent. Il-filosfu Franċiż kontemporanju Voltaire irrefera għall-Kanada b’mod qawwi bħala xejn aktar minn ftit acres ta ’borra. Il-Brittaniċi, min-naħa tagħhom, kienu kuntenti li jieħdu Franza ġdida, billi d-difiża tal-kolonji tal-Amerika ta ’Fuq ma tibqax kwistjoni u wkoll minħabba li diġà kellhom postijiet abbundanti minn fejn jista’ jikseb iz-zokkor. Spanja, li nnegozjat Florida lill-Gran Brittanja biex terġa 'tikseb Kuba, kisbet ukoll Louisiana, inkluż New Orleans, minn Franza bħala kumpens għat-telf tagħha. Il-Gran Brittanja u Spanja qablu wkoll li n-navigazzjoni fuq ix-Xmara Mississippi kellha tkun miftuħa għal bastimenti tan-nazzjonijiet kollha.</v>
      </c>
    </row>
    <row r="14857" ht="15.75" customHeight="1">
      <c r="A14857" s="2" t="s">
        <v>14857</v>
      </c>
      <c r="B14857" s="2" t="str">
        <f>IFERROR(__xludf.DUMMYFUNCTION("GOOGLETRANSLATE(A14857, ""en"", ""mt"")"),"spontanju")</f>
        <v>spontanju</v>
      </c>
    </row>
    <row r="14858" ht="15.75" customHeight="1">
      <c r="A14858" s="2" t="s">
        <v>14858</v>
      </c>
      <c r="B14858" s="2" t="str">
        <f>IFERROR(__xludf.DUMMYFUNCTION("GOOGLETRANSLATE(A14858, ""en"", ""mt"")"),"Fil-lvant hemm id-Deżert ta 'Colorado u x-Xmara Colorado fil-fruntiera ma' Arizona, u d-Deżert ta 'Mojave fil-fruntiera ma' l-istat ta 'Nevada. Fin-nofsinhar hemm il-fruntiera tal-istati tal-Messiku.")</f>
        <v>Fil-lvant hemm id-Deżert ta 'Colorado u x-Xmara Colorado fil-fruntiera ma' Arizona, u d-Deżert ta 'Mojave fil-fruntiera ma' l-istat ta 'Nevada. Fin-nofsinhar hemm il-fruntiera tal-istati tal-Messiku.</v>
      </c>
    </row>
    <row r="14859" ht="15.75" customHeight="1">
      <c r="A14859" s="2" t="s">
        <v>14859</v>
      </c>
      <c r="B14859" s="2" t="str">
        <f>IFERROR(__xludf.DUMMYFUNCTION("GOOGLETRANSLATE(A14859, ""en"", ""mt"")"),"Fejn l-ispiżjara jakkwistaw aktar preparazzjoni wara skola tal-ispiżerija?")</f>
        <v>Fejn l-ispiżjara jakkwistaw aktar preparazzjoni wara skola tal-ispiżerija?</v>
      </c>
    </row>
    <row r="14860" ht="15.75" customHeight="1">
      <c r="A14860" s="2" t="s">
        <v>14860</v>
      </c>
      <c r="B14860" s="2" t="str">
        <f>IFERROR(__xludf.DUMMYFUNCTION("GOOGLETRANSLATE(A14860, ""en"", ""mt"")"),"nofs")</f>
        <v>nofs</v>
      </c>
    </row>
    <row r="14861" ht="15.75" customHeight="1">
      <c r="A14861" s="2" t="s">
        <v>14861</v>
      </c>
      <c r="B14861" s="2" t="str">
        <f>IFERROR(__xludf.DUMMYFUNCTION("GOOGLETRANSLATE(A14861, ""en"", ""mt"")"),"Meta tmur blat, għal xiex hija applikata d-data iżotopika assoluta?")</f>
        <v>Meta tmur blat, għal xiex hija applikata d-data iżotopika assoluta?</v>
      </c>
    </row>
    <row r="14862" ht="15.75" customHeight="1">
      <c r="A14862" s="2" t="s">
        <v>14862</v>
      </c>
      <c r="B14862" s="2" t="str">
        <f>IFERROR(__xludf.DUMMYFUNCTION("GOOGLETRANSLATE(A14862, ""en"", ""mt"")"),"L-Aħjar Għalliema")</f>
        <v>L-Aħjar Għalliema</v>
      </c>
    </row>
    <row r="14863" ht="15.75" customHeight="1">
      <c r="A14863" s="2" t="s">
        <v>14863</v>
      </c>
      <c r="B14863" s="2" t="str">
        <f>IFERROR(__xludf.DUMMYFUNCTION("GOOGLETRANSLATE(A14863, ""en"", ""mt"")"),"Dak li ġie żviluppat għall-Air Force")</f>
        <v>Dak li ġie żviluppat għall-Air Force</v>
      </c>
    </row>
    <row r="14864" ht="15.75" customHeight="1">
      <c r="A14864" s="2" t="s">
        <v>14864</v>
      </c>
      <c r="B14864" s="2" t="str">
        <f>IFERROR(__xludf.DUMMYFUNCTION("GOOGLETRANSLATE(A14864, ""en"", ""mt"")"),"X’kummerċjali skoraġġut taħt il-wan?")</f>
        <v>X’kummerċjali skoraġġut taħt il-wan?</v>
      </c>
    </row>
    <row r="14865" ht="15.75" customHeight="1">
      <c r="A14865" s="2" t="s">
        <v>14865</v>
      </c>
      <c r="B14865" s="2" t="str">
        <f>IFERROR(__xludf.DUMMYFUNCTION("GOOGLETRANSLATE(A14865, ""en"", ""mt"")"),"Kemm-il proġett jinduna ċ-ċentru bħalissa fis-sena?")</f>
        <v>Kemm-il proġett jinduna ċ-ċentru bħalissa fis-sena?</v>
      </c>
    </row>
    <row r="14866" ht="15.75" customHeight="1">
      <c r="A14866" s="2" t="s">
        <v>14866</v>
      </c>
      <c r="B14866" s="2" t="str">
        <f>IFERROR(__xludf.DUMMYFUNCTION("GOOGLETRANSLATE(A14866, ""en"", ""mt"")"),"Għaliex kien maħsub li ċ-ctenophores kienu dieta ħażina għal annimali oħra?")</f>
        <v>Għaliex kien maħsub li ċ-ctenophores kienu dieta ħażina għal annimali oħra?</v>
      </c>
    </row>
    <row r="14867" ht="15.75" customHeight="1">
      <c r="A14867" s="2" t="s">
        <v>14867</v>
      </c>
      <c r="B14867" s="2" t="str">
        <f>IFERROR(__xludf.DUMMYFUNCTION("GOOGLETRANSLATE(A14867, ""en"", ""mt"")"),"X'inhuma erba 'eżempji ta' problemi maħsuba li huma NP = intermedju?")</f>
        <v>X'inhuma erba 'eżempji ta' problemi maħsuba li huma NP = intermedju?</v>
      </c>
    </row>
    <row r="14868" ht="15.75" customHeight="1">
      <c r="A14868" s="2" t="s">
        <v>14868</v>
      </c>
      <c r="B14868" s="2" t="str">
        <f>IFERROR(__xludf.DUMMYFUNCTION("GOOGLETRANSLATE(A14868, ""en"", ""mt"")"),"Liema simbolu kien impjegat sa kmieni fis-seklu 19?")</f>
        <v>Liema simbolu kien impjegat sa kmieni fis-seklu 19?</v>
      </c>
    </row>
    <row r="14869" ht="15.75" customHeight="1">
      <c r="A14869" s="2" t="s">
        <v>14869</v>
      </c>
      <c r="B14869" s="2" t="str">
        <f>IFERROR(__xludf.DUMMYFUNCTION("GOOGLETRANSLATE(A14869, ""en"", ""mt"")"),"X'inhi kelma oħra għall-forza ċentripetali?")</f>
        <v>X'inhi kelma oħra għall-forza ċentripetali?</v>
      </c>
    </row>
    <row r="14870" ht="15.75" customHeight="1">
      <c r="A14870" s="2" t="s">
        <v>14870</v>
      </c>
      <c r="B14870" s="2" t="str">
        <f>IFERROR(__xludf.DUMMYFUNCTION("GOOGLETRANSLATE(A14870, ""en"", ""mt"")"),"Robert Nozick")</f>
        <v>Robert Nozick</v>
      </c>
    </row>
    <row r="14871" ht="15.75" customHeight="1">
      <c r="A14871" s="2" t="s">
        <v>14871</v>
      </c>
      <c r="B14871" s="2" t="str">
        <f>IFERROR(__xludf.DUMMYFUNCTION("GOOGLETRANSLATE(A14871, ""en"", ""mt"")"),"X'inhu kopert mill-istat minbarra t-tagħlim?")</f>
        <v>X'inhu kopert mill-istat minbarra t-tagħlim?</v>
      </c>
    </row>
    <row r="14872" ht="15.75" customHeight="1">
      <c r="A14872" s="2" t="s">
        <v>14872</v>
      </c>
      <c r="B14872" s="2" t="str">
        <f>IFERROR(__xludf.DUMMYFUNCTION("GOOGLETRANSLATE(A14872, ""en"", ""mt"")"),"Liema terminoloġija oħra hija meqjusa ħafna iktar distruttiva?")</f>
        <v>Liema terminoloġija oħra hija meqjusa ħafna iktar distruttiva?</v>
      </c>
    </row>
    <row r="14873" ht="15.75" customHeight="1">
      <c r="A14873" s="2" t="s">
        <v>14873</v>
      </c>
      <c r="B14873" s="2" t="str">
        <f>IFERROR(__xludf.DUMMYFUNCTION("GOOGLETRANSLATE(A14873, ""en"", ""mt"")"),"Peress li l-forzi huma meqjusa bħala push jew ġibdiet, dan jista 'jipprovdi fehim intuwittiv għad-deskrizzjoni tal-forzi. Bħal fil-każ ta 'kunċetti fiżiċi oħra (e.g. temperatura), il-fehim intuwittiv tal-forzi huwa kwantifikat bl-użu ta' definizzjonijiet "&amp;"operattivi preċiżi li huma konsistenti ma 'osservazzjonijiet diretti u mqabbla ma' skala ta 'kejl standard. Permezz ta 'esperimentazzjoni, huwa ddeterminat li l-kejl tal-laboratorju tal-forzi huwa kompletament konsistenti mad-definizzjoni kunċettwali ta' "&amp;"forza offruta mill-mekkanika Newtonjana.")</f>
        <v>Peress li l-forzi huma meqjusa bħala push jew ġibdiet, dan jista 'jipprovdi fehim intuwittiv għad-deskrizzjoni tal-forzi. Bħal fil-każ ta 'kunċetti fiżiċi oħra (e.g. temperatura), il-fehim intuwittiv tal-forzi huwa kwantifikat bl-użu ta' definizzjonijiet operattivi preċiżi li huma konsistenti ma 'osservazzjonijiet diretti u mqabbla ma' skala ta 'kejl standard. Permezz ta 'esperimentazzjoni, huwa ddeterminat li l-kejl tal-laboratorju tal-forzi huwa kompletament konsistenti mad-definizzjoni kunċettwali ta' forza offruta mill-mekkanika Newtonjana.</v>
      </c>
    </row>
    <row r="14874" ht="15.75" customHeight="1">
      <c r="A14874" s="2" t="s">
        <v>14874</v>
      </c>
      <c r="B14874" s="2" t="str">
        <f>IFERROR(__xludf.DUMMYFUNCTION("GOOGLETRANSLATE(A14874, ""en"", ""mt"")"),"30%")</f>
        <v>30%</v>
      </c>
    </row>
    <row r="14875" ht="15.75" customHeight="1">
      <c r="A14875" s="2" t="s">
        <v>14875</v>
      </c>
      <c r="B14875" s="2" t="str">
        <f>IFERROR(__xludf.DUMMYFUNCTION("GOOGLETRANSLATE(A14875, ""en"", ""mt"")"),"X’kien żviluppat fis-sajf tal-1961?")</f>
        <v>X’kien żviluppat fis-sajf tal-1961?</v>
      </c>
    </row>
    <row r="14876" ht="15.75" customHeight="1">
      <c r="A14876" s="2" t="s">
        <v>14876</v>
      </c>
      <c r="B14876" s="2" t="str">
        <f>IFERROR(__xludf.DUMMYFUNCTION("GOOGLETRANSLATE(A14876, ""en"", ""mt"")"),"Kif jissejjaħ id-derivattiv tal-momentum li jinbidel ta 'oġġett?")</f>
        <v>Kif jissejjaħ id-derivattiv tal-momentum li jinbidel ta 'oġġett?</v>
      </c>
    </row>
    <row r="14877" ht="15.75" customHeight="1">
      <c r="A14877" s="2" t="s">
        <v>14877</v>
      </c>
      <c r="B14877" s="2" t="str">
        <f>IFERROR(__xludf.DUMMYFUNCTION("GOOGLETRANSLATE(A14877, ""en"", ""mt"")"),"Oude Maas")</f>
        <v>Oude Maas</v>
      </c>
    </row>
    <row r="14878" ht="15.75" customHeight="1">
      <c r="A14878" s="2" t="s">
        <v>14878</v>
      </c>
      <c r="B14878" s="2" t="str">
        <f>IFERROR(__xludf.DUMMYFUNCTION("GOOGLETRANSLATE(A14878, ""en"", ""mt"")"),"Negozjanti u Negozjanti ta ’Hamburg")</f>
        <v>Negozjanti u Negozjanti ta ’Hamburg</v>
      </c>
    </row>
    <row r="14879" ht="15.75" customHeight="1">
      <c r="A14879" s="2" t="s">
        <v>14879</v>
      </c>
      <c r="B14879" s="2" t="str">
        <f>IFERROR(__xludf.DUMMYFUNCTION("GOOGLETRANSLATE(A14879, ""en"", ""mt"")"),"Jonqos")</f>
        <v>Jonqos</v>
      </c>
    </row>
    <row r="14880" ht="15.75" customHeight="1">
      <c r="A14880" s="2" t="s">
        <v>14880</v>
      </c>
      <c r="B14880" s="2" t="str">
        <f>IFERROR(__xludf.DUMMYFUNCTION("GOOGLETRANSLATE(A14880, ""en"", ""mt"")"),"Liema t-tieni l-iktar belt popolata tinsab fit-tramuntana ta ’Los Angeles?")</f>
        <v>Liema t-tieni l-iktar belt popolata tinsab fit-tramuntana ta ’Los Angeles?</v>
      </c>
    </row>
    <row r="14881" ht="15.75" customHeight="1">
      <c r="A14881" s="2" t="s">
        <v>14881</v>
      </c>
      <c r="B14881" s="2" t="str">
        <f>IFERROR(__xludf.DUMMYFUNCTION("GOOGLETRANSLATE(A14881, ""en"", ""mt"")"),"Impriżi kummerċjali qed jużaw GPS li jinżammu fl-idejn u Google Maps biex idgħajfu t-tribujiet indiġeni xiex ??")</f>
        <v>Impriżi kummerċjali qed jużaw GPS li jinżammu fl-idejn u Google Maps biex idgħajfu t-tribujiet indiġeni xiex ??</v>
      </c>
    </row>
    <row r="14882" ht="15.75" customHeight="1">
      <c r="A14882" s="2" t="s">
        <v>14882</v>
      </c>
      <c r="B14882" s="2" t="str">
        <f>IFERROR(__xludf.DUMMYFUNCTION("GOOGLETRANSLATE(A14882, ""en"", ""mt"")"),"X'inhuma assoċjati ma 'forzi normali?")</f>
        <v>X'inhuma assoċjati ma 'forzi normali?</v>
      </c>
    </row>
    <row r="14883" ht="15.75" customHeight="1">
      <c r="A14883" s="2" t="s">
        <v>14883</v>
      </c>
      <c r="B14883" s="2" t="str">
        <f>IFERROR(__xludf.DUMMYFUNCTION("GOOGLETRANSLATE(A14883, ""en"", ""mt"")"),"Jekk il-forza tal-apparat ta 'żewġ ferzzjonijiet hija repulsiva, x'inhi l-funzjoni spin?")</f>
        <v>Jekk il-forza tal-apparat ta 'żewġ ferzzjonijiet hija repulsiva, x'inhi l-funzjoni spin?</v>
      </c>
    </row>
    <row r="14884" ht="15.75" customHeight="1">
      <c r="A14884" s="2" t="s">
        <v>14884</v>
      </c>
      <c r="B14884" s="2" t="str">
        <f>IFERROR(__xludf.DUMMYFUNCTION("GOOGLETRANSLATE(A14884, ""en"", ""mt"")"),"Amazonia jew il-ġungla tal-Amazon m'għadhomx jintużaw biex jirreferu għal xiex?")</f>
        <v>Amazonia jew il-ġungla tal-Amazon m'għadhomx jintużaw biex jirreferu għal xiex?</v>
      </c>
    </row>
    <row r="14885" ht="15.75" customHeight="1">
      <c r="A14885" s="2" t="s">
        <v>14885</v>
      </c>
      <c r="B14885" s="2" t="str">
        <f>IFERROR(__xludf.DUMMYFUNCTION("GOOGLETRANSLATE(A14885, ""en"", ""mt"")"),"1906")</f>
        <v>1906</v>
      </c>
    </row>
    <row r="14886" ht="15.75" customHeight="1">
      <c r="A14886" s="2" t="s">
        <v>14886</v>
      </c>
      <c r="B14886" s="2" t="str">
        <f>IFERROR(__xludf.DUMMYFUNCTION("GOOGLETRANSLATE(A14886, ""en"", ""mt"")"),"Amministrazzjoni tal-Iskola tas-Servizz Soċjali")</f>
        <v>Amministrazzjoni tal-Iskola tas-Servizz Soċjali</v>
      </c>
    </row>
    <row r="14887" ht="15.75" customHeight="1">
      <c r="A14887" s="2" t="s">
        <v>14887</v>
      </c>
      <c r="B14887" s="2" t="str">
        <f>IFERROR(__xludf.DUMMYFUNCTION("GOOGLETRANSLATE(A14887, ""en"", ""mt"")"),"Meta l-prodotti aġġustati mill-ġdid għall-prezzijiet taż-żejt?")</f>
        <v>Meta l-prodotti aġġustati mill-ġdid għall-prezzijiet taż-żejt?</v>
      </c>
    </row>
    <row r="14888" ht="15.75" customHeight="1">
      <c r="A14888" s="2" t="s">
        <v>14888</v>
      </c>
      <c r="B14888" s="2" t="str">
        <f>IFERROR(__xludf.DUMMYFUNCTION("GOOGLETRANSLATE(A14888, ""en"", ""mt"")"),"X'inhuma stabbiliti fi tmiem kull sessjoni parlamentari?")</f>
        <v>X'inhuma stabbiliti fi tmiem kull sessjoni parlamentari?</v>
      </c>
    </row>
    <row r="14889" ht="15.75" customHeight="1">
      <c r="A14889" s="2" t="s">
        <v>14889</v>
      </c>
      <c r="B14889" s="2" t="str">
        <f>IFERROR(__xludf.DUMMYFUNCTION("GOOGLETRANSLATE(A14889, ""en"", ""mt"")"),"Kemm speċi ta 'pjanti jiffurmaw it-total fil-foresta tropikali?")</f>
        <v>Kemm speċi ta 'pjanti jiffurmaw it-total fil-foresta tropikali?</v>
      </c>
    </row>
    <row r="14890" ht="15.75" customHeight="1">
      <c r="A14890" s="2" t="s">
        <v>14890</v>
      </c>
      <c r="B14890" s="2" t="str">
        <f>IFERROR(__xludf.DUMMYFUNCTION("GOOGLETRANSLATE(A14890, ""en"", ""mt"")"),"tagħmel it-teknoloġija arpanet pubblika")</f>
        <v>tagħmel it-teknoloġija arpanet pubblika</v>
      </c>
    </row>
    <row r="14891" ht="15.75" customHeight="1">
      <c r="A14891" s="2" t="s">
        <v>14891</v>
      </c>
      <c r="B14891" s="2" t="str">
        <f>IFERROR(__xludf.DUMMYFUNCTION("GOOGLETRANSLATE(A14891, ""en"", ""mt"")"),"X'inhu uniku dwar ermafroditi simultanji?")</f>
        <v>X'inhu uniku dwar ermafroditi simultanji?</v>
      </c>
    </row>
    <row r="14892" ht="15.75" customHeight="1">
      <c r="A14892" s="2" t="s">
        <v>14892</v>
      </c>
      <c r="B14892" s="2" t="str">
        <f>IFERROR(__xludf.DUMMYFUNCTION("GOOGLETRANSLATE(A14892, ""en"", ""mt"")"),"Liema lingwi ċaħdu l-iskrittura Phags-PA?")</f>
        <v>Liema lingwi ċaħdu l-iskrittura Phags-PA?</v>
      </c>
    </row>
    <row r="14893" ht="15.75" customHeight="1">
      <c r="A14893" s="2" t="s">
        <v>14893</v>
      </c>
      <c r="B14893" s="2" t="str">
        <f>IFERROR(__xludf.DUMMYFUNCTION("GOOGLETRANSLATE(A14893, ""en"", ""mt"")"),"yin-yang u filosofija wuxing")</f>
        <v>yin-yang u filosofija wuxing</v>
      </c>
    </row>
    <row r="14894" ht="15.75" customHeight="1">
      <c r="A14894" s="2" t="s">
        <v>14894</v>
      </c>
      <c r="B14894" s="2" t="str">
        <f>IFERROR(__xludf.DUMMYFUNCTION("GOOGLETRANSLATE(A14894, ""en"", ""mt"")"),"Vosges Mountains,")</f>
        <v>Vosges Mountains,</v>
      </c>
    </row>
    <row r="14895" ht="15.75" customHeight="1">
      <c r="A14895" s="2" t="s">
        <v>14895</v>
      </c>
      <c r="B14895" s="2" t="str">
        <f>IFERROR(__xludf.DUMMYFUNCTION("GOOGLETRANSLATE(A14895, ""en"", ""mt"")"),"inkapaċitazzjoni")</f>
        <v>inkapaċitazzjoni</v>
      </c>
    </row>
    <row r="14896" ht="15.75" customHeight="1">
      <c r="A14896" s="2" t="s">
        <v>14896</v>
      </c>
      <c r="B14896" s="2" t="str">
        <f>IFERROR(__xludf.DUMMYFUNCTION("GOOGLETRANSLATE(A14896, ""en"", ""mt"")"),"Kolonizzanti, Influwenza, u Twaħħal partijiet oħra tad-dinja sabiex tikseb poter politiku")</f>
        <v>Kolonizzanti, Influwenza, u Twaħħal partijiet oħra tad-dinja sabiex tikseb poter politiku</v>
      </c>
    </row>
    <row r="14897" ht="15.75" customHeight="1">
      <c r="A14897" s="2" t="s">
        <v>14897</v>
      </c>
      <c r="B14897" s="2" t="str">
        <f>IFERROR(__xludf.DUMMYFUNCTION("GOOGLETRANSLATE(A14897, ""en"", ""mt"")"),"Mayow")</f>
        <v>Mayow</v>
      </c>
    </row>
    <row r="14898" ht="15.75" customHeight="1">
      <c r="A14898" s="2" t="s">
        <v>14898</v>
      </c>
      <c r="B14898" s="2" t="str">
        <f>IFERROR(__xludf.DUMMYFUNCTION("GOOGLETRANSLATE(A14898, ""en"", ""mt"")"),"Min jaġixxi bħala ħaddiem, paymaster, u tim tad-disinn għal proġett ta 'rinnovament?")</f>
        <v>Min jaġixxi bħala ħaddiem, paymaster, u tim tad-disinn għal proġett ta 'rinnovament?</v>
      </c>
    </row>
    <row r="14899" ht="15.75" customHeight="1">
      <c r="A14899" s="2" t="s">
        <v>14899</v>
      </c>
      <c r="B14899" s="2" t="str">
        <f>IFERROR(__xludf.DUMMYFUNCTION("GOOGLETRANSLATE(A14899, ""en"", ""mt"")"),"Għal xiex għandha reputazzjoni tan-Nofsinhar ta 'California?")</f>
        <v>Għal xiex għandha reputazzjoni tan-Nofsinhar ta 'California?</v>
      </c>
    </row>
    <row r="14900" ht="15.75" customHeight="1">
      <c r="A14900" s="2" t="s">
        <v>14900</v>
      </c>
      <c r="B14900" s="2" t="str">
        <f>IFERROR(__xludf.DUMMYFUNCTION("GOOGLETRANSLATE(A14900, ""en"", ""mt"")"),"Għin biex tippreserva t-tolleranza tas-soċjetà")</f>
        <v>Għin biex tippreserva t-tolleranza tas-soċjetà</v>
      </c>
    </row>
    <row r="14901" ht="15.75" customHeight="1">
      <c r="A14901" s="2" t="s">
        <v>14901</v>
      </c>
      <c r="B14901" s="2" t="str">
        <f>IFERROR(__xludf.DUMMYFUNCTION("GOOGLETRANSLATE(A14901, ""en"", ""mt"")"),"Fis-sistemi miftuħa makroskopiċi, il-forzi mhux konservattivi jaġixxu biex jagħmlu xiex?")</f>
        <v>Fis-sistemi miftuħa makroskopiċi, il-forzi mhux konservattivi jaġixxu biex jagħmlu xiex?</v>
      </c>
    </row>
    <row r="14902" ht="15.75" customHeight="1">
      <c r="A14902" s="2" t="s">
        <v>14902</v>
      </c>
      <c r="B14902" s="2" t="str">
        <f>IFERROR(__xludf.DUMMYFUNCTION("GOOGLETRANSLATE(A14902, ""en"", ""mt"")"),"Liema belt fit-tramuntana ta 'New York ġiet solvuta minn Huguenots?")</f>
        <v>Liema belt fit-tramuntana ta 'New York ġiet solvuta minn Huguenots?</v>
      </c>
    </row>
    <row r="14903" ht="15.75" customHeight="1">
      <c r="A14903" s="2" t="s">
        <v>14903</v>
      </c>
      <c r="B14903" s="2" t="str">
        <f>IFERROR(__xludf.DUMMYFUNCTION("GOOGLETRANSLATE(A14903, ""en"", ""mt"")"),"Min minbarra r-Russi spiss jitħallew barra mid-dibattitu tal-kolonjaliżmu?")</f>
        <v>Min minbarra r-Russi spiss jitħallew barra mid-dibattitu tal-kolonjaliżmu?</v>
      </c>
    </row>
    <row r="14904" ht="15.75" customHeight="1">
      <c r="A14904" s="2" t="s">
        <v>14904</v>
      </c>
      <c r="B14904" s="2" t="str">
        <f>IFERROR(__xludf.DUMMYFUNCTION("GOOGLETRANSLATE(A14904, ""en"", ""mt"")"),"Meta twaqqfet il-Kolonja ta ’New South Wales?")</f>
        <v>Meta twaqqfet il-Kolonja ta ’New South Wales?</v>
      </c>
    </row>
    <row r="14905" ht="15.75" customHeight="1">
      <c r="A14905" s="2" t="s">
        <v>14905</v>
      </c>
      <c r="B14905" s="2" t="str">
        <f>IFERROR(__xludf.DUMMYFUNCTION("GOOGLETRANSLATE(A14905, ""en"", ""mt"")"),"F'liema ġurnal ġiet ippubblikata d-dikjarazzjoni konġunta?")</f>
        <v>F'liema ġurnal ġiet ippubblikata d-dikjarazzjoni konġunta?</v>
      </c>
    </row>
    <row r="14906" ht="15.75" customHeight="1">
      <c r="A14906" s="2" t="s">
        <v>14906</v>
      </c>
      <c r="B14906" s="2" t="str">
        <f>IFERROR(__xludf.DUMMYFUNCTION("GOOGLETRANSLATE(A14906, ""en"", ""mt"")"),"Ipersensittività tat-Tip I.")</f>
        <v>Ipersensittività tat-Tip I.</v>
      </c>
    </row>
    <row r="14907" ht="15.75" customHeight="1">
      <c r="A14907" s="2" t="s">
        <v>14907</v>
      </c>
      <c r="B14907" s="2" t="str">
        <f>IFERROR(__xludf.DUMMYFUNCTION("GOOGLETRANSLATE(A14907, ""en"", ""mt"")"),"X'jista 'jitqies bħala ġabra limitata ta' każijiet flimkien ma 'soluzzjoni għal kull istanza?")</f>
        <v>X'jista 'jitqies bħala ġabra limitata ta' każijiet flimkien ma 'soluzzjoni għal kull istanza?</v>
      </c>
    </row>
    <row r="14908" ht="15.75" customHeight="1">
      <c r="A14908" s="2" t="s">
        <v>14908</v>
      </c>
      <c r="B14908" s="2" t="str">
        <f>IFERROR(__xludf.DUMMYFUNCTION("GOOGLETRANSLATE(A14908, ""en"", ""mt"")"),"Il-klassifikazzjoni tat-tħassir tas-siġar hija importanti għal xiex?")</f>
        <v>Il-klassifikazzjoni tat-tħassir tas-siġar hija importanti għal xiex?</v>
      </c>
    </row>
    <row r="14909" ht="15.75" customHeight="1">
      <c r="A14909" s="2" t="s">
        <v>14909</v>
      </c>
      <c r="B14909" s="2" t="str">
        <f>IFERROR(__xludf.DUMMYFUNCTION("GOOGLETRANSLATE(A14909, ""en"", ""mt"")"),"Il-programm ta 'erba' snin full-time li għadu ma sarx jinkludi minoranza ta 'reġistrazzjonijiet fl-università u jenfasizza l-istruzzjoni ma' ""fokus tal-arti u x-xjenzi"". Bejn l-1978 u l-2008, l-istudenti jidħlu kienu meħtieġa jlestu kurrikulu ewlieni ta"&amp;" 'seba' klassijiet barra mill-konċentrazzjoni tagħhom. Mill-2008, studenti li għadhom ma ggradwawx kienu meħtieġa jlestu korsijiet fi tmien kategoriji ta 'edukazzjoni ġenerali: fehim estetiku u interpretattiv, kultura u twemmin, raġunament empiriku u mate"&amp;"matiku, raġunament etiku, xjenza tas-sistemi ħajjin, xjenza tal-univers fiżiku, soċjetajiet tad-dinja, u l-Istati Uniti fid-dinja. Harvard joffri programm komprensiv ta 'gradwati ta' dottorat u hemm livell għoli ta 'koeżistenza bejn il-gradi gradwati u da"&amp;"wk li għadhom ma ggradwawx. Il-Fondazzjoni Carnegie għall-Avvanzament tat-Tagħlim, in-New York Times, u xi studenti kkritikaw lil Harvard għad-dipendenza tagħha fuq it-tagħlim ta ’dawk li jwaqqfu għal xi aspetti tal-edukazzjoni li għadhom ma ggradwawx; Hu"&amp;"ma jqisu dan biex jaffettwa ħażin il-kwalità tal-edukazzjoni.")</f>
        <v>Il-programm ta 'erba' snin full-time li għadu ma sarx jinkludi minoranza ta 'reġistrazzjonijiet fl-università u jenfasizza l-istruzzjoni ma' "fokus tal-arti u x-xjenzi". Bejn l-1978 u l-2008, l-istudenti jidħlu kienu meħtieġa jlestu kurrikulu ewlieni ta 'seba' klassijiet barra mill-konċentrazzjoni tagħhom. Mill-2008, studenti li għadhom ma ggradwawx kienu meħtieġa jlestu korsijiet fi tmien kategoriji ta 'edukazzjoni ġenerali: fehim estetiku u interpretattiv, kultura u twemmin, raġunament empiriku u matematiku, raġunament etiku, xjenza tas-sistemi ħajjin, xjenza tal-univers fiżiku, soċjetajiet tad-dinja, u l-Istati Uniti fid-dinja. Harvard joffri programm komprensiv ta 'gradwati ta' dottorat u hemm livell għoli ta 'koeżistenza bejn il-gradi gradwati u dawk li għadhom ma ggradwawx. Il-Fondazzjoni Carnegie għall-Avvanzament tat-Tagħlim, in-New York Times, u xi studenti kkritikaw lil Harvard għad-dipendenza tagħha fuq it-tagħlim ta ’dawk li jwaqqfu għal xi aspetti tal-edukazzjoni li għadhom ma ggradwawx; Huma jqisu dan biex jaffettwa ħażin il-kwalità tal-edukazzjoni.</v>
      </c>
    </row>
    <row r="14910" ht="15.75" customHeight="1">
      <c r="A14910" s="2" t="s">
        <v>14910</v>
      </c>
      <c r="B14910" s="2" t="str">
        <f>IFERROR(__xludf.DUMMYFUNCTION("GOOGLETRANSLATE(A14910, ""en"", ""mt"")")," Maududi kien jemmen li l-Iżlam kellu bżonn dak li m'għandux jiġi stabbilit?")</f>
        <v> Maududi kien jemmen li l-Iżlam kellu bżonn dak li m'għandux jiġi stabbilit?</v>
      </c>
    </row>
    <row r="14911" ht="15.75" customHeight="1">
      <c r="A14911" s="2" t="s">
        <v>14911</v>
      </c>
      <c r="B14911" s="2" t="str">
        <f>IFERROR(__xludf.DUMMYFUNCTION("GOOGLETRANSLATE(A14911, ""en"", ""mt"")"),"Meta persuna tkun ikkunsidrata li qed tiswi l-impass kostituzzjonali?")</f>
        <v>Meta persuna tkun ikkunsidrata li qed tiswi l-impass kostituzzjonali?</v>
      </c>
    </row>
    <row r="14912" ht="15.75" customHeight="1">
      <c r="A14912" s="2" t="s">
        <v>14912</v>
      </c>
      <c r="B14912" s="2" t="str">
        <f>IFERROR(__xludf.DUMMYFUNCTION("GOOGLETRANSLATE(A14912, ""en"", ""mt"")"),"Meta l-Qorti Għolja tal-Ġustizzja Ingliża sabet li l-użu ta 'Microsoft tat-terminu ""SkyDrive"" ma kiserx id-dritt ta' Sky għat-trademark ""Sky""?")</f>
        <v>Meta l-Qorti Għolja tal-Ġustizzja Ingliża sabet li l-użu ta 'Microsoft tat-terminu "SkyDrive" ma kiserx id-dritt ta' Sky għat-trademark "Sky"?</v>
      </c>
    </row>
    <row r="14913" ht="15.75" customHeight="1">
      <c r="A14913" s="2" t="s">
        <v>14913</v>
      </c>
      <c r="B14913" s="2" t="str">
        <f>IFERROR(__xludf.DUMMYFUNCTION("GOOGLETRANSLATE(A14913, ""en"", ""mt"")"),"Ħafna klassijiet ewlenin ta 'molekuli organiċi f'organiżmi ħajjin, bħal proteini, aċidi nuklejiċi, karboidrati, u xaħmijiet, fihom ossiġnu, bħalma jagħmlu l-komposti inorganiċi ewlenin li huma kostitwenti ta' qxur ta 'annimali, snien u għadam. Il-biċċa l-"&amp;"kbira tal-massa ta 'organiżmi ħajjin hija ossiġnu peress li hija parti mill-ilma, il-kostitwent ewlieni tal-forom tal-ħajja. L-ossiġenu jintuża fir-respirazzjoni ċellulari u rilaxxat mill-fotosintesi, li juża l-enerġija tad-dawl tax-xemx biex jipproduċi o"&amp;"ssiġnu mill-ilma. Huwa reattiv kimikament wisq li jibqa 'element ħieles fl-arja mingħajr ma jerġa' jimtela mill-ġdid mill-azzjoni fotosintetika ta 'organiżmi ħajjin. Forma oħra (allotrope) ta 'ossiġnu, ożonu (o
3), tassorbi b'mod qawwi r-radjazzjoni UVB u"&amp;" konsegwentement is-saff ta 'l-ożonu ta' altitudni għolja jgħin biex jipproteġi l-bijosfera mir-radjazzjoni ultravjola, iżda huwa tniġġis viċin il-wiċċ fejn huwa prodott sekondarju ta 'smog. F'altitudnijiet ta 'orbita tad-Dinja baxxa saħansitra ogħla, huw"&amp;"a preżenti ossiġenu atomiku suffiċjenti biex jikkawża erożjoni għall-vettura spazjali.")</f>
        <v>Ħafna klassijiet ewlenin ta 'molekuli organiċi f'organiżmi ħajjin, bħal proteini, aċidi nuklejiċi, karboidrati, u xaħmijiet, fihom ossiġnu, bħalma jagħmlu l-komposti inorganiċi ewlenin li huma kostitwenti ta' qxur ta 'annimali, snien u għadam. Il-biċċa l-kbira tal-massa ta 'organiżmi ħajjin hija ossiġnu peress li hija parti mill-ilma, il-kostitwent ewlieni tal-forom tal-ħajja. L-ossiġenu jintuża fir-respirazzjoni ċellulari u rilaxxat mill-fotosintesi, li juża l-enerġija tad-dawl tax-xemx biex jipproduċi ossiġnu mill-ilma. Huwa reattiv kimikament wisq li jibqa 'element ħieles fl-arja mingħajr ma jerġa' jimtela mill-ġdid mill-azzjoni fotosintetika ta 'organiżmi ħajjin. Forma oħra (allotrope) ta 'ossiġnu, ożonu (o
3), tassorbi b'mod qawwi r-radjazzjoni UVB u konsegwentement is-saff ta 'l-ożonu ta' altitudni għolja jgħin biex jipproteġi l-bijosfera mir-radjazzjoni ultravjola, iżda huwa tniġġis viċin il-wiċċ fejn huwa prodott sekondarju ta 'smog. F'altitudnijiet ta 'orbita tad-Dinja baxxa saħansitra ogħla, huwa preżenti ossiġenu atomiku suffiċjenti biex jikkawża erożjoni għall-vettura spazjali.</v>
      </c>
    </row>
    <row r="14914" ht="15.75" customHeight="1">
      <c r="A14914" s="2" t="s">
        <v>14914</v>
      </c>
      <c r="B14914" s="2" t="str">
        <f>IFERROR(__xludf.DUMMYFUNCTION("GOOGLETRANSLATE(A14914, ""en"", ""mt"")"),"Liema formazzjoni nħolqot minħabba li l-erożjoni waqfet?")</f>
        <v>Liema formazzjoni nħolqot minħabba li l-erożjoni waqfet?</v>
      </c>
    </row>
    <row r="14915" ht="15.75" customHeight="1">
      <c r="A14915" s="2" t="s">
        <v>14915</v>
      </c>
      <c r="B14915" s="2" t="str">
        <f>IFERROR(__xludf.DUMMYFUNCTION("GOOGLETRANSLATE(A14915, ""en"", ""mt"")"),"Xi jfittex l-approċċ tal-kapaċitajiet li jħares lejn il-faqar bħala forma ta '?")</f>
        <v>Xi jfittex l-approċċ tal-kapaċitajiet li jħares lejn il-faqar bħala forma ta '?</v>
      </c>
    </row>
    <row r="14916" ht="15.75" customHeight="1">
      <c r="A14916" s="2" t="s">
        <v>14916</v>
      </c>
      <c r="B14916" s="2" t="str">
        <f>IFERROR(__xludf.DUMMYFUNCTION("GOOGLETRANSLATE(A14916, ""en"", ""mt"")"),"Fejn jinstabu n-newtrofili?")</f>
        <v>Fejn jinstabu n-newtrofili?</v>
      </c>
    </row>
    <row r="14917" ht="15.75" customHeight="1">
      <c r="A14917" s="2" t="s">
        <v>14917</v>
      </c>
      <c r="B14917" s="2" t="str">
        <f>IFERROR(__xludf.DUMMYFUNCTION("GOOGLETRANSLATE(A14917, ""en"", ""mt"")"),"Xi jipproponi Graham Twigg dwar it-tixrid tal-mard?")</f>
        <v>Xi jipproponi Graham Twigg dwar it-tixrid tal-mard?</v>
      </c>
    </row>
    <row r="14918" ht="15.75" customHeight="1">
      <c r="A14918" s="2" t="s">
        <v>14918</v>
      </c>
      <c r="B14918" s="2" t="str">
        <f>IFERROR(__xludf.DUMMYFUNCTION("GOOGLETRANSLATE(A14918, ""en"", ""mt"")")," F'liema seklu l-iktar jikkunsidraw il-bidu tal-imperjalizmu?")</f>
        <v> F'liema seklu l-iktar jikkunsidraw il-bidu tal-imperjalizmu?</v>
      </c>
    </row>
    <row r="14919" ht="15.75" customHeight="1">
      <c r="A14919" s="2" t="s">
        <v>14919</v>
      </c>
      <c r="B14919" s="2" t="str">
        <f>IFERROR(__xludf.DUMMYFUNCTION("GOOGLETRANSLATE(A14919, ""en"", ""mt"")"),"1263")</f>
        <v>1263</v>
      </c>
    </row>
    <row r="14920" ht="15.75" customHeight="1">
      <c r="A14920" s="2" t="s">
        <v>14920</v>
      </c>
      <c r="B14920" s="2" t="str">
        <f>IFERROR(__xludf.DUMMYFUNCTION("GOOGLETRANSLATE(A14920, ""en"", ""mt"")"),"1,435 mm")</f>
        <v>1,435 mm</v>
      </c>
    </row>
    <row r="14921" ht="15.75" customHeight="1">
      <c r="A14921" s="2" t="s">
        <v>14921</v>
      </c>
      <c r="B14921" s="2" t="str">
        <f>IFERROR(__xludf.DUMMYFUNCTION("GOOGLETRANSLATE(A14921, ""en"", ""mt"")"),"id-difiża tas-San Lawrenz")</f>
        <v>id-difiża tas-San Lawrenz</v>
      </c>
    </row>
    <row r="14922" ht="15.75" customHeight="1">
      <c r="A14922" s="2" t="s">
        <v>14922</v>
      </c>
      <c r="B14922" s="2" t="str">
        <f>IFERROR(__xludf.DUMMYFUNCTION("GOOGLETRANSLATE(A14922, ""en"", ""mt"")"),"Meta kien hemm żieda qawwija fin-nazzjonaliżmu fl-Iskozja?")</f>
        <v>Meta kien hemm żieda qawwija fin-nazzjonaliżmu fl-Iskozja?</v>
      </c>
    </row>
    <row r="14923" ht="15.75" customHeight="1">
      <c r="A14923" s="2" t="s">
        <v>14923</v>
      </c>
      <c r="B14923" s="2" t="str">
        <f>IFERROR(__xludf.DUMMYFUNCTION("GOOGLETRANSLATE(A14923, ""en"", ""mt"")"),"pożittiv")</f>
        <v>pożittiv</v>
      </c>
    </row>
    <row r="14924" ht="15.75" customHeight="1">
      <c r="A14924" s="2" t="s">
        <v>14924</v>
      </c>
      <c r="B14924" s="2" t="str">
        <f>IFERROR(__xludf.DUMMYFUNCTION("GOOGLETRANSLATE(A14924, ""en"", ""mt"")"),"X'inhuma t-3 sorsi tal-liġi tal-Unjoni Ewropea?")</f>
        <v>X'inhuma t-3 sorsi tal-liġi tal-Unjoni Ewropea?</v>
      </c>
    </row>
    <row r="14925" ht="15.75" customHeight="1">
      <c r="A14925" s="2" t="s">
        <v>14925</v>
      </c>
      <c r="B14925" s="2" t="str">
        <f>IFERROR(__xludf.DUMMYFUNCTION("GOOGLETRANSLATE(A14925, ""en"", ""mt"")"),"Min m'għandux id-dritt li jwaqqaf intrapriża mingħajr restrizzjonijiet mhux ġustifikati?")</f>
        <v>Min m'għandux id-dritt li jwaqqaf intrapriża mingħajr restrizzjonijiet mhux ġustifikati?</v>
      </c>
    </row>
    <row r="14926" ht="15.75" customHeight="1">
      <c r="A14926" s="2" t="s">
        <v>14926</v>
      </c>
      <c r="B14926" s="2" t="str">
        <f>IFERROR(__xludf.DUMMYFUNCTION("GOOGLETRANSLATE(A14926, ""en"", ""mt"")"),"Liema reġjun tar-Renu nbidel mill-programm ta 'rilaxx ta' Rhine?")</f>
        <v>Liema reġjun tar-Renu nbidel mill-programm ta 'rilaxx ta' Rhine?</v>
      </c>
    </row>
    <row r="14927" ht="15.75" customHeight="1">
      <c r="A14927" s="2" t="s">
        <v>14927</v>
      </c>
      <c r="B14927" s="2" t="str">
        <f>IFERROR(__xludf.DUMMYFUNCTION("GOOGLETRANSLATE(A14927, ""en"", ""mt"")"),"Minn xiex kienu l-Alpi tat-Tramuntana?")</f>
        <v>Minn xiex kienu l-Alpi tat-Tramuntana?</v>
      </c>
    </row>
    <row r="14928" ht="15.75" customHeight="1">
      <c r="A14928" s="2" t="s">
        <v>14928</v>
      </c>
      <c r="B14928" s="2" t="str">
        <f>IFERROR(__xludf.DUMMYFUNCTION("GOOGLETRANSLATE(A14928, ""en"", ""mt"")"),"1896")</f>
        <v>1896</v>
      </c>
    </row>
    <row r="14929" ht="15.75" customHeight="1">
      <c r="A14929" s="2" t="s">
        <v>14929</v>
      </c>
      <c r="B14929" s="2" t="str">
        <f>IFERROR(__xludf.DUMMYFUNCTION("GOOGLETRANSLATE(A14929, ""en"", ""mt"")"),"Madera")</f>
        <v>Madera</v>
      </c>
    </row>
    <row r="14930" ht="15.75" customHeight="1">
      <c r="A14930" s="2" t="s">
        <v>14930</v>
      </c>
      <c r="B14930" s="2" t="str">
        <f>IFERROR(__xludf.DUMMYFUNCTION("GOOGLETRANSLATE(A14930, ""en"", ""mt"")"),"Kif differenti l-iskejjel privati ​​fl-Irlanda huma differenti mill-biċċa l-kbira?")</f>
        <v>Kif differenti l-iskejjel privati ​​fl-Irlanda huma differenti mill-biċċa l-kbira?</v>
      </c>
    </row>
    <row r="14931" ht="15.75" customHeight="1">
      <c r="A14931" s="2" t="s">
        <v>14931</v>
      </c>
      <c r="B14931" s="2" t="str">
        <f>IFERROR(__xludf.DUMMYFUNCTION("GOOGLETRANSLATE(A14931, ""en"", ""mt"")"),"X'tip ta 'valur ikollu l-funzjoni ta' Basel kieku kien hemm primes finiti?")</f>
        <v>X'tip ta 'valur ikollu l-funzjoni ta' Basel kieku kien hemm primes finiti?</v>
      </c>
    </row>
    <row r="14932" ht="15.75" customHeight="1">
      <c r="A14932" s="2" t="s">
        <v>14932</v>
      </c>
      <c r="B14932" s="2" t="str">
        <f>IFERROR(__xludf.DUMMYFUNCTION("GOOGLETRANSLATE(A14932, ""en"", ""mt"")"),"Meta Franza bdiet bla heda biex tibni mill-ġdid l-imperu globali tagħha?")</f>
        <v>Meta Franza bdiet bla heda biex tibni mill-ġdid l-imperu globali tagħha?</v>
      </c>
    </row>
    <row r="14933" ht="15.75" customHeight="1">
      <c r="A14933" s="2" t="s">
        <v>14933</v>
      </c>
      <c r="B14933" s="2" t="str">
        <f>IFERROR(__xludf.DUMMYFUNCTION("GOOGLETRANSLATE(A14933, ""en"", ""mt"")"),"Privat tradizzjonali")</f>
        <v>Privat tradizzjonali</v>
      </c>
    </row>
    <row r="14934" ht="15.75" customHeight="1">
      <c r="A14934" s="2" t="s">
        <v>14934</v>
      </c>
      <c r="B14934" s="2" t="str">
        <f>IFERROR(__xludf.DUMMYFUNCTION("GOOGLETRANSLATE(A14934, ""en"", ""mt"")"),"huma ewlenin għal kwalunkwe numru naturali n. Hawnhekk jirrappreżenta l-funzjoni tal-paviment, i.e., l-akbar numru sħiħ mhux akbar min-numru in kwistjoni. Din l-aħħar formula tista 'tintwera bl-użu tal-postulat ta' Bertrand (ippruvat l-ewwel minn Chebyshe"&amp;"v), li jiddikjara li dejjem jeżisti mill-inqas numru ewlieni p b'n &lt;p &lt;2n - 2, għal kwalunkwe numru naturali n&gt; 3. Madankollu, il-komputazzjoni a jew μ teħtieġ l-għarfien ta 'ħafna primes infinitament biex tibda. Formula oħra hija bbażata fuq it-teorema t"&amp;"a 'Wilson u tiġġenera n-numru 2 ħafna drabi u l-primes l-oħra kollha eżattament darba.")</f>
        <v>huma ewlenin għal kwalunkwe numru naturali n. Hawnhekk jirrappreżenta l-funzjoni tal-paviment, i.e., l-akbar numru sħiħ mhux akbar min-numru in kwistjoni. Din l-aħħar formula tista 'tintwera bl-użu tal-postulat ta' Bertrand (ippruvat l-ewwel minn Chebyshev), li jiddikjara li dejjem jeżisti mill-inqas numru ewlieni p b'n &lt;p &lt;2n - 2, għal kwalunkwe numru naturali n&gt; 3. Madankollu, il-komputazzjoni a jew μ teħtieġ l-għarfien ta 'ħafna primes infinitament biex tibda. Formula oħra hija bbażata fuq it-teorema ta 'Wilson u tiġġenera n-numru 2 ħafna drabi u l-primes l-oħra kollha eżattament darba.</v>
      </c>
    </row>
    <row r="14935" ht="15.75" customHeight="1">
      <c r="A14935" s="2" t="s">
        <v>14935</v>
      </c>
      <c r="B14935" s="2" t="str">
        <f>IFERROR(__xludf.DUMMYFUNCTION("GOOGLETRANSLATE(A14935, ""en"", ""mt"")"),"Tliet korpi ta 'l-ilma:")</f>
        <v>Tliet korpi ta 'l-ilma:</v>
      </c>
    </row>
    <row r="14936" ht="15.75" customHeight="1">
      <c r="A14936" s="2" t="s">
        <v>14936</v>
      </c>
      <c r="B14936" s="2" t="str">
        <f>IFERROR(__xludf.DUMMYFUNCTION("GOOGLETRANSLATE(A14936, ""en"", ""mt"")"),"Minbarra li jitnaqqsu, il-forzi jistgħu wkoll x'inhuma?")</f>
        <v>Minbarra li jitnaqqsu, il-forzi jistgħu wkoll x'inhuma?</v>
      </c>
    </row>
    <row r="14937" ht="15.75" customHeight="1">
      <c r="A14937" s="2" t="s">
        <v>14937</v>
      </c>
      <c r="B14937" s="2" t="str">
        <f>IFERROR(__xludf.DUMMYFUNCTION("GOOGLETRANSLATE(A14937, ""en"", ""mt"")"),"Liema parti tas-sistema immuni innata tattakka direttament il-mikrobi?")</f>
        <v>Liema parti tas-sistema immuni innata tattakka direttament il-mikrobi?</v>
      </c>
    </row>
    <row r="14938" ht="15.75" customHeight="1">
      <c r="A14938" s="2" t="s">
        <v>14938</v>
      </c>
      <c r="B14938" s="2" t="str">
        <f>IFERROR(__xludf.DUMMYFUNCTION("GOOGLETRANSLATE(A14938, ""en"", ""mt"")"),"Fuq xiex ma kienx ibbażat l-ewwel imperu Ingliż?")</f>
        <v>Fuq xiex ma kienx ibbażat l-ewwel imperu Ingliż?</v>
      </c>
    </row>
    <row r="14939" ht="15.75" customHeight="1">
      <c r="A14939" s="2" t="s">
        <v>14939</v>
      </c>
      <c r="B14939" s="2" t="str">
        <f>IFERROR(__xludf.DUMMYFUNCTION("GOOGLETRANSLATE(A14939, ""en"", ""mt"")"),"loġistika")</f>
        <v>loġistika</v>
      </c>
    </row>
    <row r="14940" ht="15.75" customHeight="1">
      <c r="A14940" s="2" t="s">
        <v>14940</v>
      </c>
      <c r="B14940" s="2" t="str">
        <f>IFERROR(__xludf.DUMMYFUNCTION("GOOGLETRANSLATE(A14940, ""en"", ""mt"")"),"klima Mediterranja")</f>
        <v>klima Mediterranja</v>
      </c>
    </row>
    <row r="14941" ht="15.75" customHeight="1">
      <c r="A14941" s="2" t="s">
        <v>14941</v>
      </c>
      <c r="B14941" s="2" t="str">
        <f>IFERROR(__xludf.DUMMYFUNCTION("GOOGLETRANSLATE(A14941, ""en"", ""mt"")"),"metodu li bih il-mediċini huma mitluba u riċevuti")</f>
        <v>metodu li bih il-mediċini huma mitluba u riċevuti</v>
      </c>
    </row>
    <row r="14942" ht="15.75" customHeight="1">
      <c r="A14942" s="2" t="s">
        <v>14942</v>
      </c>
      <c r="B14942" s="2" t="str">
        <f>IFERROR(__xludf.DUMMYFUNCTION("GOOGLETRANSLATE(A14942, ""en"", ""mt"")"),"Liema tip ta 'blat ma jistax jerġa' jinħall?")</f>
        <v>Liema tip ta 'blat ma jistax jerġa' jinħall?</v>
      </c>
    </row>
    <row r="14943" ht="15.75" customHeight="1">
      <c r="A14943" s="2" t="s">
        <v>14943</v>
      </c>
      <c r="B14943" s="2" t="str">
        <f>IFERROR(__xludf.DUMMYFUNCTION("GOOGLETRANSLATE(A14943, ""en"", ""mt"")"),"Warszowa")</f>
        <v>Warszowa</v>
      </c>
    </row>
    <row r="14944" ht="15.75" customHeight="1">
      <c r="A14944" s="2" t="s">
        <v>14944</v>
      </c>
      <c r="B14944" s="2" t="str">
        <f>IFERROR(__xludf.DUMMYFUNCTION("GOOGLETRANSLATE(A14944, ""en"", ""mt"")"),"Min hu l-iżviluppatur tal-kunċett McKinsey?")</f>
        <v>Min hu l-iżviluppatur tal-kunċett McKinsey?</v>
      </c>
    </row>
    <row r="14945" ht="15.75" customHeight="1">
      <c r="A14945" s="2" t="s">
        <v>14945</v>
      </c>
      <c r="B14945" s="2" t="str">
        <f>IFERROR(__xludf.DUMMYFUNCTION("GOOGLETRANSLATE(A14945, ""en"", ""mt"")"),"Għal xiex tista 'titnaqqas il-problema biex taqsam numru sħiħ?")</f>
        <v>Għal xiex tista 'titnaqqas il-problema biex taqsam numru sħiħ?</v>
      </c>
    </row>
    <row r="14946" ht="15.75" customHeight="1">
      <c r="A14946" s="2" t="s">
        <v>14946</v>
      </c>
      <c r="B14946" s="2" t="str">
        <f>IFERROR(__xludf.DUMMYFUNCTION("GOOGLETRANSLATE(A14946, ""en"", ""mt"")"),"Ċiklu prattiku ta 'Carnot")</f>
        <v>Ċiklu prattiku ta 'Carnot</v>
      </c>
    </row>
    <row r="14947" ht="15.75" customHeight="1">
      <c r="A14947" s="2" t="s">
        <v>14947</v>
      </c>
      <c r="B14947" s="2" t="str">
        <f>IFERROR(__xludf.DUMMYFUNCTION("GOOGLETRANSLATE(A14947, ""en"", ""mt"")"),"X'impatt kellha din ir-rebħa fuq Abercrombie?")</f>
        <v>X'impatt kellha din ir-rebħa fuq Abercrombie?</v>
      </c>
    </row>
    <row r="14948" ht="15.75" customHeight="1">
      <c r="A14948" s="2" t="s">
        <v>14948</v>
      </c>
      <c r="B14948" s="2" t="str">
        <f>IFERROR(__xludf.DUMMYFUNCTION("GOOGLETRANSLATE(A14948, ""en"", ""mt"")"),"bagħat numru żgħir ta 'kolonizzaturi lill-kolonji tiegħu")</f>
        <v>bagħat numru żgħir ta 'kolonizzaturi lill-kolonji tiegħu</v>
      </c>
    </row>
    <row r="14949" ht="15.75" customHeight="1">
      <c r="A14949" s="2" t="s">
        <v>14949</v>
      </c>
      <c r="B14949" s="2" t="str">
        <f>IFERROR(__xludf.DUMMYFUNCTION("GOOGLETRANSLATE(A14949, ""en"", ""mt"")"),"Tropikali niedja")</f>
        <v>Tropikali niedja</v>
      </c>
    </row>
    <row r="14950" ht="15.75" customHeight="1">
      <c r="A14950" s="2" t="s">
        <v>14950</v>
      </c>
      <c r="B14950" s="2" t="str">
        <f>IFERROR(__xludf.DUMMYFUNCTION("GOOGLETRANSLATE(A14950, ""en"", ""mt"")"),"X'uża biex tħalli l-kordi tal-ideat jibdlu d-direzzjoni?")</f>
        <v>X'uża biex tħalli l-kordi tal-ideat jibdlu d-direzzjoni?</v>
      </c>
    </row>
    <row r="14951" ht="15.75" customHeight="1">
      <c r="A14951" s="2" t="s">
        <v>14951</v>
      </c>
      <c r="B14951" s="2" t="str">
        <f>IFERROR(__xludf.DUMMYFUNCTION("GOOGLETRANSLATE(A14951, ""en"", ""mt"")"),"Bankiera ta 'ipoteki, accountants, u inġiniera tal-ispejjeż")</f>
        <v>Bankiera ta 'ipoteki, accountants, u inġiniera tal-ispejjeż</v>
      </c>
    </row>
    <row r="14952" ht="15.75" customHeight="1">
      <c r="A14952" s="2" t="s">
        <v>14952</v>
      </c>
      <c r="B14952" s="2" t="str">
        <f>IFERROR(__xludf.DUMMYFUNCTION("GOOGLETRANSLATE(A14952, ""en"", ""mt"")"),"Evita u l-Wiz")</f>
        <v>Evita u l-Wiz</v>
      </c>
    </row>
    <row r="14953" ht="15.75" customHeight="1">
      <c r="A14953" s="2" t="s">
        <v>14953</v>
      </c>
      <c r="B14953" s="2" t="str">
        <f>IFERROR(__xludf.DUMMYFUNCTION("GOOGLETRANSLATE(A14953, ""en"", ""mt"")"),"V8 u sitt ċilindru")</f>
        <v>V8 u sitt ċilindru</v>
      </c>
    </row>
    <row r="14954" ht="15.75" customHeight="1">
      <c r="A14954" s="2" t="s">
        <v>14954</v>
      </c>
      <c r="B14954" s="2" t="str">
        <f>IFERROR(__xludf.DUMMYFUNCTION("GOOGLETRANSLATE(A14954, ""en"", ""mt"")"),"Il-Rams ta ’Los Angeles huma eżempju ta’ x’tip ta ’tim sportiv?")</f>
        <v>Il-Rams ta ’Los Angeles huma eżempju ta’ x’tip ta ’tim sportiv?</v>
      </c>
    </row>
    <row r="14955" ht="15.75" customHeight="1">
      <c r="A14955" s="2" t="s">
        <v>14955</v>
      </c>
      <c r="B14955" s="2" t="str">
        <f>IFERROR(__xludf.DUMMYFUNCTION("GOOGLETRANSLATE(A14955, ""en"", ""mt"")")," X'tip ta 'prattiki introduċa l-wan fil-gvern?")</f>
        <v> X'tip ta 'prattiki introduċa l-wan fil-gvern?</v>
      </c>
    </row>
    <row r="14956" ht="15.75" customHeight="1">
      <c r="A14956" s="2" t="s">
        <v>14956</v>
      </c>
      <c r="B14956" s="2" t="str">
        <f>IFERROR(__xludf.DUMMYFUNCTION("GOOGLETRANSLATE(A14956, ""en"", ""mt"")"),"lejl")</f>
        <v>lejl</v>
      </c>
    </row>
    <row r="14957" ht="15.75" customHeight="1">
      <c r="A14957" s="2" t="s">
        <v>14957</v>
      </c>
      <c r="B14957" s="2" t="str">
        <f>IFERROR(__xludf.DUMMYFUNCTION("GOOGLETRANSLATE(A14957, ""en"", ""mt"")"),"L-aħħar 7000 sena")</f>
        <v>L-aħħar 7000 sena</v>
      </c>
    </row>
    <row r="14958" ht="15.75" customHeight="1">
      <c r="A14958" s="2" t="s">
        <v>14958</v>
      </c>
      <c r="B14958" s="2" t="str">
        <f>IFERROR(__xludf.DUMMYFUNCTION("GOOGLETRANSLATE(A14958, ""en"", ""mt"")"),"Sky Q Hub")</f>
        <v>Sky Q Hub</v>
      </c>
    </row>
    <row r="14959" ht="15.75" customHeight="1">
      <c r="A14959" s="2" t="s">
        <v>14959</v>
      </c>
      <c r="B14959" s="2" t="str">
        <f>IFERROR(__xludf.DUMMYFUNCTION("GOOGLETRANSLATE(A14959, ""en"", ""mt"")"),"F’liema post Benjamin Netanyahu ta diskors reċentement?")</f>
        <v>F’liema post Benjamin Netanyahu ta diskors reċentement?</v>
      </c>
    </row>
    <row r="14960" ht="15.75" customHeight="1">
      <c r="A14960" s="2" t="s">
        <v>14960</v>
      </c>
      <c r="B14960" s="2" t="str">
        <f>IFERROR(__xludf.DUMMYFUNCTION("GOOGLETRANSLATE(A14960, ""en"", ""mt"")"),"Skond l-Uffiċċju taċ-Ċensiment ta 'l-Istati Uniti, il-belt għandha erja totali ta' 874.3 mil kwadru (2,264 km2), li tagħmel lil Jacksonville l-akbar belt fiż-żona tal-art fl-Istati Uniti kontigwi; Minn dan, 86.66% (757.7 sq mi jew 1,962 km2) huwa art u; 1"&amp;"3.34% (116.7 sq mi jew 302 km2) huwa ilma. Jacksonville jdawwar il-belt ta ’Baldwin. Il-Kontea ta 'Nassau tinsab fit-tramuntana, il-Kontea ta' Baker tinsab fil-punent, u Clay u San Ġwann County jinsabu fin-nofsinhar; L-Oċean Atlantiku jinsab lejn il-lvant"&amp;", flimkien mal-bajjiet ta 'Jacksonville. Ix-Xmara San Ġwann taqsam il-belt. Ix-Xmara Trout, tributarju ewlieni tax-Xmara San Ġwann, tinsab kompletament ġewwa Jacksonville.")</f>
        <v>Skond l-Uffiċċju taċ-Ċensiment ta 'l-Istati Uniti, il-belt għandha erja totali ta' 874.3 mil kwadru (2,264 km2), li tagħmel lil Jacksonville l-akbar belt fiż-żona tal-art fl-Istati Uniti kontigwi; Minn dan, 86.66% (757.7 sq mi jew 1,962 km2) huwa art u; 13.34% (116.7 sq mi jew 302 km2) huwa ilma. Jacksonville jdawwar il-belt ta ’Baldwin. Il-Kontea ta 'Nassau tinsab fit-tramuntana, il-Kontea ta' Baker tinsab fil-punent, u Clay u San Ġwann County jinsabu fin-nofsinhar; L-Oċean Atlantiku jinsab lejn il-lvant, flimkien mal-bajjiet ta 'Jacksonville. Ix-Xmara San Ġwann taqsam il-belt. Ix-Xmara Trout, tributarju ewlieni tax-Xmara San Ġwann, tinsab kompletament ġewwa Jacksonville.</v>
      </c>
    </row>
    <row r="14961" ht="15.75" customHeight="1">
      <c r="A14961" s="2" t="s">
        <v>14961</v>
      </c>
      <c r="B14961" s="2" t="str">
        <f>IFERROR(__xludf.DUMMYFUNCTION("GOOGLETRANSLATE(A14961, ""en"", ""mt"")"),"X’jagħtu ċ-ċilindri tal-kompressjoni l-aktar sempliċi matul iċ-ċiklu tal-magna?")</f>
        <v>X’jagħtu ċ-ċilindri tal-kompressjoni l-aktar sempliċi matul iċ-ċiklu tal-magna?</v>
      </c>
    </row>
    <row r="14962" ht="15.75" customHeight="1">
      <c r="A14962" s="2" t="s">
        <v>14962</v>
      </c>
      <c r="B14962" s="2" t="str">
        <f>IFERROR(__xludf.DUMMYFUNCTION("GOOGLETRANSLATE(A14962, ""en"", ""mt"")"),"Il-kosta tat-teknoloġija hija moniker li kiseb l-użu bħala deskrittur għat-teknoloġija diversifikata tar-reġjun u l-bażi industrijali kif ukoll għall-għadd kbir ta 'universitajiet ta' riċerka prestiġjużi u ta 'fama dinjija u istituzzjonijiet pubbliċi u pr"&amp;"ivati ​​oħra. Fost dawn jinkludu 5 kampus tal-Università ta ’Kalifornja (Irvine, Los Angeles, Riverside, Santa Barbara, u San Diego); 12 Kampus tal-Università ta 'l-Istat ta' Kalifornja (Bakersfield, Channel Islands, Dominguez Hills, Fullerton, Los Angele"&amp;"s, Long Beach, Northridge, Pomona, San Bernardino, San Diego, San Marcos, u San Luis Obispo); u istituzzjonijiet privati ​​bħall-Istitut tat-Teknoloġija ta 'California, Chapman University, The Claremont College (Claremont McKenna College, Harvey Mudd Coll"&amp;"ege, Pitzer College, Pomona College, u Scripps College), Loma Linda University, Loyola Marymount University, Occidental College, Pepperdine University , Università ta ’Redlands, Università ta’ San Diego, u l-Università tan-Nofsinhar ta ’California.")</f>
        <v>Il-kosta tat-teknoloġija hija moniker li kiseb l-użu bħala deskrittur għat-teknoloġija diversifikata tar-reġjun u l-bażi industrijali kif ukoll għall-għadd kbir ta 'universitajiet ta' riċerka prestiġjużi u ta 'fama dinjija u istituzzjonijiet pubbliċi u privati ​​oħra. Fost dawn jinkludu 5 kampus tal-Università ta ’Kalifornja (Irvine, Los Angeles, Riverside, Santa Barbara, u San Diego); 12 Kampus tal-Università ta 'l-Istat ta' Kalifornja (Bakersfield, Channel Islands, Dominguez Hills, Fullerton, Los Angeles, Long Beach, Northridge, Pomona, San Bernardino, San Diego, San Marcos, u San Luis Obispo); u istituzzjonijiet privati ​​bħall-Istitut tat-Teknoloġija ta 'California, Chapman University, The Claremont College (Claremont McKenna College, Harvey Mudd College, Pitzer College, Pomona College, u Scripps College), Loma Linda University, Loyola Marymount University, Occidental College, Pepperdine University , Università ta ’Redlands, Università ta’ San Diego, u l-Università tan-Nofsinhar ta ’California.</v>
      </c>
    </row>
    <row r="14963" ht="15.75" customHeight="1">
      <c r="A14963" s="2" t="s">
        <v>14963</v>
      </c>
      <c r="B14963" s="2" t="str">
        <f>IFERROR(__xludf.DUMMYFUNCTION("GOOGLETRANSLATE(A14963, ""en"", ""mt"")"),"Koran")</f>
        <v>Koran</v>
      </c>
    </row>
    <row r="14964" ht="15.75" customHeight="1">
      <c r="A14964" s="2" t="s">
        <v>14964</v>
      </c>
      <c r="B14964" s="2" t="str">
        <f>IFERROR(__xludf.DUMMYFUNCTION("GOOGLETRANSLATE(A14964, ""en"", ""mt"")"),"X'inhu tkopri ħafna mill-Baċin tal-Amażonja ta 'l-Amerika Ċentrali?")</f>
        <v>X'inhu tkopri ħafna mill-Baċin tal-Amażonja ta 'l-Amerika Ċentrali?</v>
      </c>
    </row>
    <row r="14965" ht="15.75" customHeight="1">
      <c r="A14965" s="2" t="s">
        <v>14965</v>
      </c>
      <c r="B14965" s="2" t="str">
        <f>IFERROR(__xludf.DUMMYFUNCTION("GOOGLETRANSLATE(A14965, ""en"", ""mt"")"),"sat-tieni kwart tas-seklu 19")</f>
        <v>sat-tieni kwart tas-seklu 19</v>
      </c>
    </row>
    <row r="14966" ht="15.75" customHeight="1">
      <c r="A14966" s="2" t="s">
        <v>14966</v>
      </c>
      <c r="B14966" s="2" t="str">
        <f>IFERROR(__xludf.DUMMYFUNCTION("GOOGLETRANSLATE(A14966, ""en"", ""mt"")"),"X'inhu l-iżgħar blat biex metamorfosize?")</f>
        <v>X'inhu l-iżgħar blat biex metamorfosize?</v>
      </c>
    </row>
    <row r="14967" ht="15.75" customHeight="1">
      <c r="A14967" s="2" t="s">
        <v>14967</v>
      </c>
      <c r="B14967" s="2" t="str">
        <f>IFERROR(__xludf.DUMMYFUNCTION("GOOGLETRANSLATE(A14967, ""en"", ""mt"")"),"X'inhu t-terminu għal xi proġett kbir ta 'kostruzzjoni?")</f>
        <v>X'inhu t-terminu għal xi proġett kbir ta 'kostruzzjoni?</v>
      </c>
    </row>
    <row r="14968" ht="15.75" customHeight="1">
      <c r="A14968" s="2" t="s">
        <v>14968</v>
      </c>
      <c r="B14968" s="2" t="str">
        <f>IFERROR(__xludf.DUMMYFUNCTION("GOOGLETRANSLATE(A14968, ""en"", ""mt"")"),"X’kienet l-università mill-1963 fejn timijiet kbar isibu oġġetti minn lista?")</f>
        <v>X’kienet l-università mill-1963 fejn timijiet kbar isibu oġġetti minn lista?</v>
      </c>
    </row>
    <row r="14969" ht="15.75" customHeight="1">
      <c r="A14969" s="2" t="s">
        <v>14969</v>
      </c>
      <c r="B14969" s="2" t="str">
        <f>IFERROR(__xludf.DUMMYFUNCTION("GOOGLETRANSLATE(A14969, ""en"", ""mt"")"),"Fejn kienu l-irvellijiet pro-Ċiniżi?")</f>
        <v>Fejn kienu l-irvellijiet pro-Ċiniżi?</v>
      </c>
    </row>
    <row r="14970" ht="15.75" customHeight="1">
      <c r="A14970" s="2" t="s">
        <v>14970</v>
      </c>
      <c r="B14970" s="2" t="str">
        <f>IFERROR(__xludf.DUMMYFUNCTION("GOOGLETRANSLATE(A14970, ""en"", ""mt"")"),"Għaliex il-Fratellanza Musulmana ffaċilitat ċerimonji rħas taż-żwieġ tal-massa?")</f>
        <v>Għaliex il-Fratellanza Musulmana ffaċilitat ċerimonji rħas taż-żwieġ tal-massa?</v>
      </c>
    </row>
    <row r="14971" ht="15.75" customHeight="1">
      <c r="A14971" s="2" t="s">
        <v>14971</v>
      </c>
      <c r="B14971" s="2" t="str">
        <f>IFERROR(__xludf.DUMMYFUNCTION("GOOGLETRANSLATE(A14971, ""en"", ""mt"")"),"X'tagħmel il-protesti simboliċi skond Julia Butterfly Hill?")</f>
        <v>X'tagħmel il-protesti simboliċi skond Julia Butterfly Hill?</v>
      </c>
    </row>
    <row r="14972" ht="15.75" customHeight="1">
      <c r="A14972" s="2" t="s">
        <v>14972</v>
      </c>
      <c r="B14972" s="2" t="str">
        <f>IFERROR(__xludf.DUMMYFUNCTION("GOOGLETRANSLATE(A14972, ""en"", ""mt"")"),"oċeani")</f>
        <v>oċeani</v>
      </c>
    </row>
    <row r="14973" ht="15.75" customHeight="1">
      <c r="A14973" s="2" t="s">
        <v>14973</v>
      </c>
      <c r="B14973" s="2" t="str">
        <f>IFERROR(__xludf.DUMMYFUNCTION("GOOGLETRANSLATE(A14973, ""en"", ""mt"")"),"Min induna li xi korpi ċelesti biss segwew l-istess liġijiet tal-moviment?")</f>
        <v>Min induna li xi korpi ċelesti biss segwew l-istess liġijiet tal-moviment?</v>
      </c>
    </row>
    <row r="14974" ht="15.75" customHeight="1">
      <c r="A14974" s="2" t="s">
        <v>14974</v>
      </c>
      <c r="B14974" s="2" t="str">
        <f>IFERROR(__xludf.DUMMYFUNCTION("GOOGLETRANSLATE(A14974, ""en"", ""mt"")"),"Kemm elementi Aristotile emmnu li l-isfera terrestri għandha tkun magħmula minnha?")</f>
        <v>Kemm elementi Aristotile emmnu li l-isfera terrestri għandha tkun magħmula minnha?</v>
      </c>
    </row>
    <row r="14975" ht="15.75" customHeight="1">
      <c r="A14975" s="2" t="s">
        <v>14975</v>
      </c>
      <c r="B14975" s="2" t="str">
        <f>IFERROR(__xludf.DUMMYFUNCTION("GOOGLETRANSLATE(A14975, ""en"", ""mt"")"),"huma mormija ħażin ħafna lejn il-Franċiżi, u huma kompletament iddedikati għall-Ingliż")</f>
        <v>huma mormija ħażin ħafna lejn il-Franċiżi, u huma kompletament iddedikati għall-Ingliż</v>
      </c>
    </row>
    <row r="14976" ht="15.75" customHeight="1">
      <c r="A14976" s="2" t="s">
        <v>14976</v>
      </c>
      <c r="B14976" s="2" t="str">
        <f>IFERROR(__xludf.DUMMYFUNCTION("GOOGLETRANSLATE(A14976, ""en"", ""mt"")"),"Zhu Yuanzhang")</f>
        <v>Zhu Yuanzhang</v>
      </c>
    </row>
    <row r="14977" ht="15.75" customHeight="1">
      <c r="A14977" s="2" t="s">
        <v>14977</v>
      </c>
      <c r="B14977" s="2" t="str">
        <f>IFERROR(__xludf.DUMMYFUNCTION("GOOGLETRANSLATE(A14977, ""en"", ""mt"")"),"X'tip ta 'distribuzzjoni ewlenija hija kkaratterizzata dwar x / log x ta' numri inqas minn x?")</f>
        <v>X'tip ta 'distribuzzjoni ewlenija hija kkaratterizzata dwar x / log x ta' numri inqas minn x?</v>
      </c>
    </row>
    <row r="14978" ht="15.75" customHeight="1">
      <c r="A14978" s="2" t="s">
        <v>14978</v>
      </c>
      <c r="B14978" s="2" t="str">
        <f>IFERROR(__xludf.DUMMYFUNCTION("GOOGLETRANSLATE(A14978, ""en"", ""mt"")"),"Min ħa gost bil-lingwa Latina?")</f>
        <v>Min ħa gost bil-lingwa Latina?</v>
      </c>
    </row>
    <row r="14979" ht="15.75" customHeight="1">
      <c r="A14979" s="2" t="s">
        <v>14979</v>
      </c>
      <c r="B14979" s="2" t="str">
        <f>IFERROR(__xludf.DUMMYFUNCTION("GOOGLETRANSLATE(A14979, ""en"", ""mt"")"),"Laqgħa tal-Assemblea Ġenerali tal-Knisja")</f>
        <v>Laqgħa tal-Assemblea Ġenerali tal-Knisja</v>
      </c>
    </row>
    <row r="14980" ht="15.75" customHeight="1">
      <c r="A14980" s="2" t="s">
        <v>14980</v>
      </c>
      <c r="B14980" s="2" t="str">
        <f>IFERROR(__xludf.DUMMYFUNCTION("GOOGLETRANSLATE(A14980, ""en"", ""mt"")"),"Kif imsejħa wkoll il-Gwerra Ċivili kontra Ragibagh?")</f>
        <v>Kif imsejħa wkoll il-Gwerra Ċivili kontra Ragibagh?</v>
      </c>
    </row>
    <row r="14981" ht="15.75" customHeight="1">
      <c r="A14981" s="2" t="s">
        <v>14981</v>
      </c>
      <c r="B14981" s="2" t="str">
        <f>IFERROR(__xludf.DUMMYFUNCTION("GOOGLETRANSLATE(A14981, ""en"", ""mt"")"),"Dipartiment tal-Edukazzjoni tar-Rabat")</f>
        <v>Dipartiment tal-Edukazzjoni tar-Rabat</v>
      </c>
    </row>
    <row r="14982" ht="15.75" customHeight="1">
      <c r="A14982" s="2" t="s">
        <v>14982</v>
      </c>
      <c r="B14982" s="2" t="str">
        <f>IFERROR(__xludf.DUMMYFUNCTION("GOOGLETRANSLATE(A14982, ""en"", ""mt"")"),"il-popolazzjoni mxerrda tagħhom u d-distanza mill-Parlament Skoċċiż f'Edinburgu")</f>
        <v>il-popolazzjoni mxerrda tagħhom u d-distanza mill-Parlament Skoċċiż f'Edinburgu</v>
      </c>
    </row>
    <row r="14983" ht="15.75" customHeight="1">
      <c r="A14983" s="2" t="s">
        <v>14983</v>
      </c>
      <c r="B14983" s="2" t="str">
        <f>IFERROR(__xludf.DUMMYFUNCTION("GOOGLETRANSLATE(A14983, ""en"", ""mt"")"),"Semmi żejjed li ġie miżjud mal-produzzjoni tal-kumpatti.")</f>
        <v>Semmi żejjed li ġie miżjud mal-produzzjoni tal-kumpatti.</v>
      </c>
    </row>
    <row r="14984" ht="15.75" customHeight="1">
      <c r="A14984" s="2" t="s">
        <v>14984</v>
      </c>
      <c r="B14984" s="2" t="str">
        <f>IFERROR(__xludf.DUMMYFUNCTION("GOOGLETRANSLATE(A14984, ""en"", ""mt"")"),"L-ispiżeriji tal-isptar ġeneralment jaħżnu firxa akbar ta 'mediċini, inklużi mediċini aktar speċjalizzati")</f>
        <v>L-ispiżeriji tal-isptar ġeneralment jaħżnu firxa akbar ta 'mediċini, inklużi mediċini aktar speċjalizzati</v>
      </c>
    </row>
    <row r="14985" ht="15.75" customHeight="1">
      <c r="A14985" s="2" t="s">
        <v>14985</v>
      </c>
      <c r="B14985" s="2" t="str">
        <f>IFERROR(__xludf.DUMMYFUNCTION("GOOGLETRANSLATE(A14985, ""en"", ""mt"")"),"X'tip ta 'sistema ta' infezzjoni tinvolvi li tiddaħħal tubu vojta f'ċellula ospitanti?")</f>
        <v>X'tip ta 'sistema ta' infezzjoni tinvolvi li tiddaħħal tubu vojta f'ċellula ospitanti?</v>
      </c>
    </row>
    <row r="14986" ht="15.75" customHeight="1">
      <c r="A14986" s="2" t="s">
        <v>14986</v>
      </c>
      <c r="B14986" s="2" t="str">
        <f>IFERROR(__xludf.DUMMYFUNCTION("GOOGLETRANSLATE(A14986, ""en"", ""mt"")"),"Liema sena nstab ir-Rijkswaterstaat Olandiż?")</f>
        <v>Liema sena nstab ir-Rijkswaterstaat Olandiż?</v>
      </c>
    </row>
    <row r="14987" ht="15.75" customHeight="1">
      <c r="A14987" s="2" t="s">
        <v>14987</v>
      </c>
      <c r="B14987" s="2" t="str">
        <f>IFERROR(__xludf.DUMMYFUNCTION("GOOGLETRANSLATE(A14987, ""en"", ""mt"")"),"Tard is-seklu 17")</f>
        <v>Tard is-seklu 17</v>
      </c>
    </row>
    <row r="14988" ht="15.75" customHeight="1">
      <c r="A14988" s="2" t="s">
        <v>14988</v>
      </c>
      <c r="B14988" s="2" t="str">
        <f>IFERROR(__xludf.DUMMYFUNCTION("GOOGLETRANSLATE(A14988, ""en"", ""mt"")"),"X'perjodu l-pjanċi reġġgħu lura d-direzzjonijiet biex jikkompressaw l-art tat-Tethys?")</f>
        <v>X'perjodu l-pjanċi reġġgħu lura d-direzzjonijiet biex jikkompressaw l-art tat-Tethys?</v>
      </c>
    </row>
    <row r="14989" ht="15.75" customHeight="1">
      <c r="A14989" s="2" t="s">
        <v>14989</v>
      </c>
      <c r="B14989" s="2" t="str">
        <f>IFERROR(__xludf.DUMMYFUNCTION("GOOGLETRANSLATE(A14989, ""en"", ""mt"")"),"Il- ""Kunsill Ewropew""")</f>
        <v>Il- "Kunsill Ewropew"</v>
      </c>
    </row>
    <row r="14990" ht="15.75" customHeight="1">
      <c r="A14990" s="2" t="s">
        <v>14990</v>
      </c>
      <c r="B14990" s="2" t="str">
        <f>IFERROR(__xludf.DUMMYFUNCTION("GOOGLETRANSLATE(A14990, ""en"", ""mt"")"),"Min kunċettalizza l-aeolipile?")</f>
        <v>Min kunċettalizza l-aeolipile?</v>
      </c>
    </row>
    <row r="14991" ht="15.75" customHeight="1">
      <c r="A14991" s="2" t="s">
        <v>14991</v>
      </c>
      <c r="B14991" s="2" t="str">
        <f>IFERROR(__xludf.DUMMYFUNCTION("GOOGLETRANSLATE(A14991, ""en"", ""mt"")"),"Ħiliet ta 'kura tal-pazjent")</f>
        <v>Ħiliet ta 'kura tal-pazjent</v>
      </c>
    </row>
    <row r="14992" ht="15.75" customHeight="1">
      <c r="A14992" s="2" t="s">
        <v>14992</v>
      </c>
      <c r="B14992" s="2" t="str">
        <f>IFERROR(__xludf.DUMMYFUNCTION("GOOGLETRANSLATE(A14992, ""en"", ""mt"")"),"raħal")</f>
        <v>raħal</v>
      </c>
    </row>
    <row r="14993" ht="15.75" customHeight="1">
      <c r="A14993" s="2" t="s">
        <v>14993</v>
      </c>
      <c r="B14993" s="2" t="str">
        <f>IFERROR(__xludf.DUMMYFUNCTION("GOOGLETRANSLATE(A14993, ""en"", ""mt"")"),"Liema sejbiet issuġġerew li r-reġjun kien popolat densament?")</f>
        <v>Liema sejbiet issuġġerew li r-reġjun kien popolat densament?</v>
      </c>
    </row>
    <row r="14994" ht="15.75" customHeight="1">
      <c r="A14994" s="2" t="s">
        <v>14994</v>
      </c>
      <c r="B14994" s="2" t="str">
        <f>IFERROR(__xludf.DUMMYFUNCTION("GOOGLETRANSLATE(A14994, ""en"", ""mt"")"),"Matul liema perjodu x'aktarx il-baċin tad-drenaġġ tal-Amazon jinqasam?")</f>
        <v>Matul liema perjodu x'aktarx il-baċin tad-drenaġġ tal-Amazon jinqasam?</v>
      </c>
    </row>
    <row r="14995" ht="15.75" customHeight="1">
      <c r="A14995" s="2" t="s">
        <v>14995</v>
      </c>
      <c r="B14995" s="2" t="str">
        <f>IFERROR(__xludf.DUMMYFUNCTION("GOOGLETRANSLATE(A14995, ""en"", ""mt"")"),"10 kontej")</f>
        <v>10 kontej</v>
      </c>
    </row>
    <row r="14996" ht="15.75" customHeight="1">
      <c r="A14996" s="2" t="s">
        <v>14996</v>
      </c>
      <c r="B14996" s="2" t="str">
        <f>IFERROR(__xludf.DUMMYFUNCTION("GOOGLETRANSLATE(A14996, ""en"", ""mt"")"),"X'kien il-gvernatur ċentrifugali li ma jistax jagħmel?")</f>
        <v>X'kien il-gvernatur ċentrifugali li ma jistax jagħmel?</v>
      </c>
    </row>
    <row r="14997" ht="15.75" customHeight="1">
      <c r="A14997" s="2" t="s">
        <v>14997</v>
      </c>
      <c r="B14997" s="2" t="str">
        <f>IFERROR(__xludf.DUMMYFUNCTION("GOOGLETRANSLATE(A14997, ""en"", ""mt"")"),"programm leġiżlattiv għas-sena li ġejja")</f>
        <v>programm leġiżlattiv għas-sena li ġejja</v>
      </c>
    </row>
    <row r="14998" ht="15.75" customHeight="1">
      <c r="A14998" s="2" t="s">
        <v>14998</v>
      </c>
      <c r="B14998" s="2" t="str">
        <f>IFERROR(__xludf.DUMMYFUNCTION("GOOGLETRANSLATE(A14998, ""en"", ""mt"")"),"X'ni negattiv fuq is-swieq tax-xogħol fin-NU?")</f>
        <v>X'ni negattiv fuq is-swieq tax-xogħol fin-NU?</v>
      </c>
    </row>
    <row r="14999" ht="15.75" customHeight="1">
      <c r="A14999" s="2" t="s">
        <v>14999</v>
      </c>
      <c r="B14999" s="2" t="str">
        <f>IFERROR(__xludf.DUMMYFUNCTION("GOOGLETRANSLATE(A14999, ""en"", ""mt"")"),"valv tal-plagg")</f>
        <v>valv tal-plagg</v>
      </c>
    </row>
    <row r="15000" ht="15.75" customHeight="1">
      <c r="A15000" s="2" t="s">
        <v>15000</v>
      </c>
      <c r="B15000" s="2" t="str">
        <f>IFERROR(__xludf.DUMMYFUNCTION("GOOGLETRANSLATE(A15000, ""en"", ""mt"")"),"Vuċi fid-deżert")</f>
        <v>Vuċi fid-deżert</v>
      </c>
    </row>
    <row r="15001" ht="15.75" customHeight="1">
      <c r="A15001" s="2" t="s">
        <v>15001</v>
      </c>
      <c r="B15001" s="2" t="str">
        <f>IFERROR(__xludf.DUMMYFUNCTION("GOOGLETRANSLATE(A15001, ""en"", ""mt"")"),"ippermetta l-agrikoltura u s-silvikultura")</f>
        <v>ippermetta l-agrikoltura u s-silvikultura</v>
      </c>
    </row>
    <row r="15002" ht="15.75" customHeight="1">
      <c r="A15002" s="2" t="s">
        <v>15002</v>
      </c>
      <c r="B15002" s="2" t="str">
        <f>IFERROR(__xludf.DUMMYFUNCTION("GOOGLETRANSLATE(A15002, ""en"", ""mt"")"),"Qabel it-tluq ta 'Braddock")</f>
        <v>Qabel it-tluq ta 'Braddock</v>
      </c>
    </row>
    <row r="15003" ht="15.75" customHeight="1">
      <c r="A15003" s="2" t="s">
        <v>15003</v>
      </c>
      <c r="B15003" s="2" t="str">
        <f>IFERROR(__xludf.DUMMYFUNCTION("GOOGLETRANSLATE(A15003, ""en"", ""mt"")"),"Tibdil fil-klima minbarra d-deforestazzjoni")</f>
        <v>Tibdil fil-klima minbarra d-deforestazzjoni</v>
      </c>
    </row>
    <row r="15004" ht="15.75" customHeight="1">
      <c r="A15004" s="2" t="s">
        <v>15004</v>
      </c>
      <c r="B15004" s="2" t="str">
        <f>IFERROR(__xludf.DUMMYFUNCTION("GOOGLETRANSLATE(A15004, ""en"", ""mt"")"),"żoni dominanti")</f>
        <v>żoni dominanti</v>
      </c>
    </row>
    <row r="15005" ht="15.75" customHeight="1">
      <c r="A15005" s="2" t="s">
        <v>15005</v>
      </c>
      <c r="B15005" s="2" t="str">
        <f>IFERROR(__xludf.DUMMYFUNCTION("GOOGLETRANSLATE(A15005, ""en"", ""mt"")"),"Liema Papa bħala nattiv tal-Polonja?")</f>
        <v>Liema Papa bħala nattiv tal-Polonja?</v>
      </c>
    </row>
    <row r="15006" ht="15.75" customHeight="1">
      <c r="A15006" s="2" t="s">
        <v>15006</v>
      </c>
      <c r="B15006" s="2" t="str">
        <f>IFERROR(__xludf.DUMMYFUNCTION("GOOGLETRANSLATE(A15006, ""en"", ""mt"")"),"Meta miet Napuljun?")</f>
        <v>Meta miet Napuljun?</v>
      </c>
    </row>
    <row r="15007" ht="15.75" customHeight="1">
      <c r="A15007" s="2" t="s">
        <v>15007</v>
      </c>
      <c r="B15007" s="2" t="str">
        <f>IFERROR(__xludf.DUMMYFUNCTION("GOOGLETRANSLATE(A15007, ""en"", ""mt"")"),"Liema klassi ta 'kumplessità hija kkaratterizzata minn kompiti komputazzjonali u algoritmi effiċjenti?")</f>
        <v>Liema klassi ta 'kumplessità hija kkaratterizzata minn kompiti komputazzjonali u algoritmi effiċjenti?</v>
      </c>
    </row>
    <row r="15008" ht="15.75" customHeight="1">
      <c r="A15008" s="2" t="s">
        <v>15008</v>
      </c>
      <c r="B15008" s="2" t="str">
        <f>IFERROR(__xludf.DUMMYFUNCTION("GOOGLETRANSLATE(A15008, ""en"", ""mt"")"),"Ir-rekord uffiċjali ta 'temperatura għolja għal Fresno huwa 115 ° F (46.1 ° C), imwaqqaf fit-8 ta' Lulju, 1905, filwaqt li r-rekord uffiċjali baxx huwa 17 ° F (−8 ° C), issettjat fis-6 ta 'Jannar, 1913. Għal 100 ° F (37.8 ° C) +, 90 ° F (32.2 ° C) +, u t-"&amp;"temperaturi tal-iffriżar huma l-1 ta 'Ġunju sat-13 ta' Settembru, 26 ta 'April sad-9 ta' Ottubru, u l-10 ta 'Diċembru sat-28 ta' Jannar, rispettivament, u l-ebda iffriżar ma seħħ Bejn fl-istaġun 1983/1984. Ix-xita annwali kienet tvarja minn 23.57 pulzier "&amp;"(598.7 mm) fis- “sena tax-xita” minn Lulju 1982 sa Ġunju 1983 sa 4.43 pulzieri (112.5 mm) minn Lulju 1933 sa Ġunju 1934. L-iktar xita f’xahar kienet 9.54 pulzieri (242.3 mm (242.3 mm ) f'Novembru 1885 u l-iktar xita f'24 siegħa 3.55 pulzier (90.2 mm) fit-"&amp;"18 ta 'Novembru, 1885. Il-preċipitazzjoni li tista' titkejjel taqa 'fuq medja ta '48 jum kull sena. Il-borra hija rarità; L-itqal borra fl-ajruport kienet ta ’2.2 pulzieri (0.06 m) fil-21 ta’ Jannar, 1962.")</f>
        <v>Ir-rekord uffiċjali ta 'temperatura għolja għal Fresno huwa 115 ° F (46.1 ° C), imwaqqaf fit-8 ta' Lulju, 1905, filwaqt li r-rekord uffiċjali baxx huwa 17 ° F (−8 ° C), issettjat fis-6 ta 'Jannar, 1913. Għal 100 ° F (37.8 ° C) +, 90 ° F (32.2 ° C) +, u t-temperaturi tal-iffriżar huma l-1 ta 'Ġunju sat-13 ta' Settembru, 26 ta 'April sad-9 ta' Ottubru, u l-10 ta 'Diċembru sat-28 ta' Jannar, rispettivament, u l-ebda iffriżar ma seħħ Bejn fl-istaġun 1983/1984. Ix-xita annwali kienet tvarja minn 23.57 pulzier (598.7 mm) fis- “sena tax-xita” minn Lulju 1982 sa Ġunju 1983 sa 4.43 pulzieri (112.5 mm) minn Lulju 1933 sa Ġunju 1934. L-iktar xita f’xahar kienet 9.54 pulzieri (242.3 mm (242.3 mm ) f'Novembru 1885 u l-iktar xita f'24 siegħa 3.55 pulzier (90.2 mm) fit-18 ta 'Novembru, 1885. Il-preċipitazzjoni li tista' titkejjel taqa 'fuq medja ta '48 jum kull sena. Il-borra hija rarità; L-itqal borra fl-ajruport kienet ta ’2.2 pulzieri (0.06 m) fil-21 ta’ Jannar, 1962.</v>
      </c>
    </row>
    <row r="15009" ht="15.75" customHeight="1">
      <c r="A15009" s="2" t="s">
        <v>15009</v>
      </c>
      <c r="B15009" s="2" t="str">
        <f>IFERROR(__xludf.DUMMYFUNCTION("GOOGLETRANSLATE(A15009, ""en"", ""mt"")"),"Huwa żgura dħul għoli u l-etika medika kienu kompatibbli mal-virtujiet Confucian")</f>
        <v>Huwa żgura dħul għoli u l-etika medika kienu kompatibbli mal-virtujiet Confucian</v>
      </c>
    </row>
    <row r="15010" ht="15.75" customHeight="1">
      <c r="A15010" s="2" t="s">
        <v>15010</v>
      </c>
      <c r="B15010" s="2" t="str">
        <f>IFERROR(__xludf.DUMMYFUNCTION("GOOGLETRANSLATE(A15010, ""en"", ""mt"")"),"X'kienet il-formula żbaljata ta 'Dalton għall-ilma?")</f>
        <v>X'kienet il-formula żbaljata ta 'Dalton għall-ilma?</v>
      </c>
    </row>
    <row r="15011" ht="15.75" customHeight="1">
      <c r="A15011" s="2" t="s">
        <v>15011</v>
      </c>
      <c r="B15011" s="2" t="str">
        <f>IFERROR(__xludf.DUMMYFUNCTION("GOOGLETRANSLATE(A15011, ""en"", ""mt"")"),"Abu al-Rayhan al-Biruni")</f>
        <v>Abu al-Rayhan al-Biruni</v>
      </c>
    </row>
    <row r="15012" ht="15.75" customHeight="1">
      <c r="A15012" s="2" t="s">
        <v>15012</v>
      </c>
      <c r="B15012" s="2" t="str">
        <f>IFERROR(__xludf.DUMMYFUNCTION("GOOGLETRANSLATE(A15012, ""en"", ""mt"")"),"Għaliex il-gvern jeżisti skond l-anarkisti?")</f>
        <v>Għaliex il-gvern jeżisti skond l-anarkisti?</v>
      </c>
    </row>
    <row r="15013" ht="15.75" customHeight="1">
      <c r="A15013" s="2" t="s">
        <v>15013</v>
      </c>
      <c r="B15013" s="2" t="str">
        <f>IFERROR(__xludf.DUMMYFUNCTION("GOOGLETRANSLATE(A15013, ""en"", ""mt"")"),"Unjoni Sovjetika")</f>
        <v>Unjoni Sovjetika</v>
      </c>
    </row>
    <row r="15014" ht="15.75" customHeight="1">
      <c r="A15014" s="2" t="s">
        <v>15014</v>
      </c>
      <c r="B15014" s="2" t="str">
        <f>IFERROR(__xludf.DUMMYFUNCTION("GOOGLETRANSLATE(A15014, ""en"", ""mt"")"),"Il-foresta tropikali mietet hemm ftit effett fuq xiex?")</f>
        <v>Il-foresta tropikali mietet hemm ftit effett fuq xiex?</v>
      </c>
    </row>
    <row r="15015" ht="15.75" customHeight="1">
      <c r="A15015" s="2" t="s">
        <v>15015</v>
      </c>
      <c r="B15015" s="2" t="str">
        <f>IFERROR(__xludf.DUMMYFUNCTION("GOOGLETRANSLATE(A15015, ""en"", ""mt"")"),"Liema proċess ma jaħdmux Iżlamisti moderati u riformisti fil-konfini ta '?")</f>
        <v>Liema proċess ma jaħdmux Iżlamisti moderati u riformisti fil-konfini ta '?</v>
      </c>
    </row>
    <row r="15016" ht="15.75" customHeight="1">
      <c r="A15016" s="2" t="s">
        <v>15016</v>
      </c>
      <c r="B15016" s="2" t="str">
        <f>IFERROR(__xludf.DUMMYFUNCTION("GOOGLETRANSLATE(A15016, ""en"", ""mt"")"),"Ted Fujita")</f>
        <v>Ted Fujita</v>
      </c>
    </row>
    <row r="15017" ht="15.75" customHeight="1">
      <c r="A15017" s="2" t="s">
        <v>15017</v>
      </c>
      <c r="B15017" s="2" t="str">
        <f>IFERROR(__xludf.DUMMYFUNCTION("GOOGLETRANSLATE(A15017, ""en"", ""mt"")"),"X'tip ta 'kombustjoni tipprevjeni r-reazzjoni bil-mod ta' ossiġnu triplet?")</f>
        <v>X'tip ta 'kombustjoni tipprevjeni r-reazzjoni bil-mod ta' ossiġnu triplet?</v>
      </c>
    </row>
    <row r="15018" ht="15.75" customHeight="1">
      <c r="A15018" s="2" t="s">
        <v>15018</v>
      </c>
      <c r="B15018" s="2" t="str">
        <f>IFERROR(__xludf.DUMMYFUNCTION("GOOGLETRANSLATE(A15018, ""en"", ""mt"")"),"Lupus eritematos")</f>
        <v>Lupus eritematos</v>
      </c>
    </row>
    <row r="15019" ht="15.75" customHeight="1">
      <c r="A15019" s="2" t="s">
        <v>15019</v>
      </c>
      <c r="B15019" s="2" t="str">
        <f>IFERROR(__xludf.DUMMYFUNCTION("GOOGLETRANSLATE(A15019, ""en"", ""mt"")"),"X'ġara fl-ilma ta 'taħt l-art fir-Renu waqt il-programm ta' l-iddrittar tar-Renu?")</f>
        <v>X'ġara fl-ilma ta 'taħt l-art fir-Renu waqt il-programm ta' l-iddrittar tar-Renu?</v>
      </c>
    </row>
    <row r="15020" ht="15.75" customHeight="1">
      <c r="A15020" s="2" t="s">
        <v>15020</v>
      </c>
      <c r="B15020" s="2" t="str">
        <f>IFERROR(__xludf.DUMMYFUNCTION("GOOGLETRANSLATE(A15020, ""en"", ""mt"")"),"Liema kontea tinkludi d-downtown ta 'Santa Ana li qed tiżviluppa malajr?")</f>
        <v>Liema kontea tinkludi d-downtown ta 'Santa Ana li qed tiżviluppa malajr?</v>
      </c>
    </row>
    <row r="15021" ht="15.75" customHeight="1">
      <c r="A15021" s="2" t="s">
        <v>15021</v>
      </c>
      <c r="B15021" s="2" t="str">
        <f>IFERROR(__xludf.DUMMYFUNCTION("GOOGLETRANSLATE(A15021, ""en"", ""mt"")"),"Liema artikoli jiddikjaraw li sakemm ma jingħatawx, il-poteri jibqgħu mal-istati membri?")</f>
        <v>Liema artikoli jiddikjaraw li sakemm ma jingħatawx, il-poteri jibqgħu mal-istati membri?</v>
      </c>
    </row>
    <row r="15022" ht="15.75" customHeight="1">
      <c r="A15022" s="2" t="s">
        <v>15022</v>
      </c>
      <c r="B15022" s="2" t="str">
        <f>IFERROR(__xludf.DUMMYFUNCTION("GOOGLETRANSLATE(A15022, ""en"", ""mt"")"),"X'inhu aħmar kemm fl-istati likwidi kif ukoll f'dak solidu?")</f>
        <v>X'inhu aħmar kemm fl-istati likwidi kif ukoll f'dak solidu?</v>
      </c>
    </row>
    <row r="15023" ht="15.75" customHeight="1">
      <c r="A15023" s="2" t="s">
        <v>15023</v>
      </c>
      <c r="B15023" s="2" t="str">
        <f>IFERROR(__xludf.DUMMYFUNCTION("GOOGLETRANSLATE(A15023, ""en"", ""mt"")"),"Pjanċi tal-għawm")</f>
        <v>Pjanċi tal-għawm</v>
      </c>
    </row>
    <row r="15024" ht="15.75" customHeight="1">
      <c r="A15024" s="2" t="s">
        <v>15024</v>
      </c>
      <c r="B15024" s="2" t="str">
        <f>IFERROR(__xludf.DUMMYFUNCTION("GOOGLETRANSLATE(A15024, ""en"", ""mt"")")," Liema reliġjon ħeġġet il-wan, biex tappoġġja l-Buddiżmu?")</f>
        <v> Liema reliġjon ħeġġet il-wan, biex tappoġġja l-Buddiżmu?</v>
      </c>
    </row>
    <row r="15025" ht="15.75" customHeight="1">
      <c r="A15025" s="2" t="s">
        <v>15025</v>
      </c>
      <c r="B15025" s="2" t="str">
        <f>IFERROR(__xludf.DUMMYFUNCTION("GOOGLETRANSLATE(A15025, ""en"", ""mt"")"),"It-Trattat dwar l-Unjoni Ewropea (TEU) u t-Trattat dwar il-Funzjonament tal-Unjoni Ewropea (TFEU)")</f>
        <v>It-Trattat dwar l-Unjoni Ewropea (TEU) u t-Trattat dwar il-Funzjonament tal-Unjoni Ewropea (TFEU)</v>
      </c>
    </row>
    <row r="15026" ht="15.75" customHeight="1">
      <c r="A15026" s="2" t="s">
        <v>15026</v>
      </c>
      <c r="B15026" s="2" t="str">
        <f>IFERROR(__xludf.DUMMYFUNCTION("GOOGLETRANSLATE(A15026, ""en"", ""mt"")"),"Liema nuqqas ta 'qbil sar għall-kummerċ ma' indiġeni u Ingliżi?")</f>
        <v>Liema nuqqas ta 'qbil sar għall-kummerċ ma' indiġeni u Ingliżi?</v>
      </c>
    </row>
    <row r="15027" ht="15.75" customHeight="1">
      <c r="A15027" s="2" t="s">
        <v>15027</v>
      </c>
      <c r="B15027" s="2" t="str">
        <f>IFERROR(__xludf.DUMMYFUNCTION("GOOGLETRANSLATE(A15027, ""en"", ""mt"")"),"Min janalizza kampjuni tal-blat minn qlub tat-tħaffir fil-laboratorju?")</f>
        <v>Min janalizza kampjuni tal-blat minn qlub tat-tħaffir fil-laboratorju?</v>
      </c>
    </row>
    <row r="15028" ht="15.75" customHeight="1">
      <c r="A15028" s="2" t="s">
        <v>15028</v>
      </c>
      <c r="B15028" s="2" t="str">
        <f>IFERROR(__xludf.DUMMYFUNCTION("GOOGLETRANSLATE(A15028, ""en"", ""mt"")"),"l-alter rhein")</f>
        <v>l-alter rhein</v>
      </c>
    </row>
    <row r="15029" ht="15.75" customHeight="1">
      <c r="A15029" s="2" t="s">
        <v>15029</v>
      </c>
      <c r="B15029" s="2" t="str">
        <f>IFERROR(__xludf.DUMMYFUNCTION("GOOGLETRANSLATE(A15029, ""en"", ""mt"")"),"Min qatel Harold II?")</f>
        <v>Min qatel Harold II?</v>
      </c>
    </row>
    <row r="15030" ht="15.75" customHeight="1">
      <c r="A15030" s="2" t="s">
        <v>15030</v>
      </c>
      <c r="B15030" s="2" t="str">
        <f>IFERROR(__xludf.DUMMYFUNCTION("GOOGLETRANSLATE(A15030, ""en"", ""mt"")"),"Liema azzjonijiet mill-istituzzjonijiet tal-UE ma kinux soġġetti għal reviżjoni ġudizzjarja?")</f>
        <v>Liema azzjonijiet mill-istituzzjonijiet tal-UE ma kinux soġġetti għal reviżjoni ġudizzjarja?</v>
      </c>
    </row>
    <row r="15031" ht="15.75" customHeight="1">
      <c r="A15031" s="2" t="s">
        <v>15031</v>
      </c>
      <c r="B15031" s="2" t="str">
        <f>IFERROR(__xludf.DUMMYFUNCTION("GOOGLETRANSLATE(A15031, ""en"", ""mt"")"),"Uħud mill-Huguenots kienu nobbli li jippruvaw jistabbilixxu ċentri ta 'poter separati fin-Nofsinhar ta' Franza")</f>
        <v>Uħud mill-Huguenots kienu nobbli li jippruvaw jistabbilixxu ċentri ta 'poter separati fin-Nofsinhar ta' Franza</v>
      </c>
    </row>
    <row r="15032" ht="15.75" customHeight="1">
      <c r="A15032" s="2" t="s">
        <v>15032</v>
      </c>
      <c r="B15032" s="2" t="str">
        <f>IFERROR(__xludf.DUMMYFUNCTION("GOOGLETRANSLATE(A15032, ""en"", ""mt"")"),"Għaliex l-ossiġnu spiss jinġarr fil-krijoġeniċi?")</f>
        <v>Għaliex l-ossiġnu spiss jinġarr fil-krijoġeniċi?</v>
      </c>
    </row>
    <row r="15033" ht="15.75" customHeight="1">
      <c r="A15033" s="2" t="s">
        <v>15033</v>
      </c>
      <c r="B15033" s="2" t="str">
        <f>IFERROR(__xludf.DUMMYFUNCTION("GOOGLETRANSLATE(A15033, ""en"", ""mt"")"),"Min kien soġġett għal vot ta 'minoranza kwalifikata tal-Kunsill għall-approvazzjoni?")</f>
        <v>Min kien soġġett għal vot ta 'minoranza kwalifikata tal-Kunsill għall-approvazzjoni?</v>
      </c>
    </row>
    <row r="15034" ht="15.75" customHeight="1">
      <c r="A15034" s="2" t="s">
        <v>15034</v>
      </c>
      <c r="B15034" s="2" t="str">
        <f>IFERROR(__xludf.DUMMYFUNCTION("GOOGLETRANSLATE(A15034, ""en"", ""mt"")"),"L-Istat Membru ma jistax jinforza liġijiet konfliġġenti, u ċittadin jista 'jiddependi fuq id-direttiva f'tali azzjoni")</f>
        <v>L-Istat Membru ma jistax jinforza liġijiet konfliġġenti, u ċittadin jista 'jiddependi fuq id-direttiva f'tali azzjoni</v>
      </c>
    </row>
    <row r="15035" ht="15.75" customHeight="1">
      <c r="A15035" s="2" t="s">
        <v>15035</v>
      </c>
      <c r="B15035" s="2" t="str">
        <f>IFERROR(__xludf.DUMMYFUNCTION("GOOGLETRANSLATE(A15035, ""en"", ""mt"")"),"Liema persentaġġ ta 'residenti ta' Venezja mietu bil-pesta fl-1361?")</f>
        <v>Liema persentaġġ ta 'residenti ta' Venezja mietu bil-pesta fl-1361?</v>
      </c>
    </row>
    <row r="15036" ht="15.75" customHeight="1">
      <c r="A15036" s="2" t="s">
        <v>15036</v>
      </c>
      <c r="B15036" s="2" t="str">
        <f>IFERROR(__xludf.DUMMYFUNCTION("GOOGLETRANSLATE(A15036, ""en"", ""mt"")"),"Meta seħħ il-moviment tal-edukazzjoni tal-iskola tan-nofs?")</f>
        <v>Meta seħħ il-moviment tal-edukazzjoni tal-iskola tan-nofs?</v>
      </c>
    </row>
    <row r="15037" ht="15.75" customHeight="1">
      <c r="A15037" s="2" t="s">
        <v>15037</v>
      </c>
      <c r="B15037" s="2" t="str">
        <f>IFERROR(__xludf.DUMMYFUNCTION("GOOGLETRANSLATE(A15037, ""en"", ""mt"")"),"Aktar ugwaljanza fid-distribuzzjoni tad-dħul")</f>
        <v>Aktar ugwaljanza fid-distribuzzjoni tad-dħul</v>
      </c>
    </row>
    <row r="15038" ht="15.75" customHeight="1">
      <c r="A15038" s="2" t="s">
        <v>15038</v>
      </c>
      <c r="B15038" s="2" t="str">
        <f>IFERROR(__xludf.DUMMYFUNCTION("GOOGLETRANSLATE(A15038, ""en"", ""mt"")"),"Min ingħata projezzjoni inkluża fis-sommarju finali?")</f>
        <v>Min ingħata projezzjoni inkluża fis-sommarju finali?</v>
      </c>
    </row>
    <row r="15039" ht="15.75" customHeight="1">
      <c r="A15039" s="2" t="s">
        <v>15039</v>
      </c>
      <c r="B15039" s="2" t="str">
        <f>IFERROR(__xludf.DUMMYFUNCTION("GOOGLETRANSLATE(A15039, ""en"", ""mt"")"),"għargħar kostanti u sedimentazzjoni qawwija")</f>
        <v>għargħar kostanti u sedimentazzjoni qawwija</v>
      </c>
    </row>
    <row r="15040" ht="15.75" customHeight="1">
      <c r="A15040" s="2" t="s">
        <v>15040</v>
      </c>
      <c r="B15040" s="2" t="str">
        <f>IFERROR(__xludf.DUMMYFUNCTION("GOOGLETRANSLATE(A15040, ""en"", ""mt"")"),"16,000")</f>
        <v>16,000</v>
      </c>
    </row>
    <row r="15041" ht="15.75" customHeight="1">
      <c r="A15041" s="2" t="s">
        <v>15041</v>
      </c>
      <c r="B15041" s="2" t="str">
        <f>IFERROR(__xludf.DUMMYFUNCTION("GOOGLETRANSLATE(A15041, ""en"", ""mt"")"),"il-bajd u l-isperma jimmaturaw fi żminijiet differenti")</f>
        <v>il-bajd u l-isperma jimmaturaw fi żminijiet differenti</v>
      </c>
    </row>
    <row r="15042" ht="15.75" customHeight="1">
      <c r="A15042" s="2" t="s">
        <v>15042</v>
      </c>
      <c r="B15042" s="2" t="str">
        <f>IFERROR(__xludf.DUMMYFUNCTION("GOOGLETRANSLATE(A15042, ""en"", ""mt"")"),"Filwaqt li l-eżistenza ta 'dawn id-dipartimenti tal-gvern ċentrali u s-sitt ministeri (li kienu ġew introdotti mill-dinastiji Sui u Tang) taw immaġni siniċizzata fl-amministrazzjoni tal-wan, il-funzjonijiet attwali ta' dawn il-ministeri rriflettew ukoll k"&amp;"if il-prijoritajiet u l-politiki Mongoljani reġgħu bdew mill-ġdid u reditjaw dawk istituzzjonijiet. Pereżempju, l-awtorità tas-sistema legali tal-wan, il-Ministeru tal-Ġustizzja, ma estendietx għal każijiet legali li jinvolvu Mongoli u Semuren, li kellhom"&amp;" qrati separati tal-ġustizzja. Każijiet li jinvolvu membri ta 'aktar minn grupp etniku wieħed ġew deċiżi minn bord imħallat li jikkonsisti minn Ċiniżi u Mongoli. Eżempju ieħor kien l-insinifikanti tal-Ministeru tal-Gwerra meta mqabbel mad-dinastiji Ċiniżi"&amp;" indiġeni, peress li l-awtorità militari reali fi żminijiet ta 'Yuan kienet toqgħod fil-Kunsill Privat.")</f>
        <v>Filwaqt li l-eżistenza ta 'dawn id-dipartimenti tal-gvern ċentrali u s-sitt ministeri (li kienu ġew introdotti mill-dinastiji Sui u Tang) taw immaġni siniċizzata fl-amministrazzjoni tal-wan, il-funzjonijiet attwali ta' dawn il-ministeri rriflettew ukoll kif il-prijoritajiet u l-politiki Mongoljani reġgħu bdew mill-ġdid u reditjaw dawk istituzzjonijiet. Pereżempju, l-awtorità tas-sistema legali tal-wan, il-Ministeru tal-Ġustizzja, ma estendietx għal każijiet legali li jinvolvu Mongoli u Semuren, li kellhom qrati separati tal-ġustizzja. Każijiet li jinvolvu membri ta 'aktar minn grupp etniku wieħed ġew deċiżi minn bord imħallat li jikkonsisti minn Ċiniżi u Mongoli. Eżempju ieħor kien l-insinifikanti tal-Ministeru tal-Gwerra meta mqabbel mad-dinastiji Ċiniżi indiġeni, peress li l-awtorità militari reali fi żminijiet ta 'Yuan kienet toqgħod fil-Kunsill Privat.</v>
      </c>
    </row>
    <row r="15043" ht="15.75" customHeight="1">
      <c r="A15043" s="2" t="s">
        <v>15043</v>
      </c>
      <c r="B15043" s="2" t="str">
        <f>IFERROR(__xludf.DUMMYFUNCTION("GOOGLETRANSLATE(A15043, ""en"", ""mt"")"),"Meta tuża algoritmu probabilistiku, kif inhi l-probabbiltà li n-numru jiġi espress matematikament kompost?")</f>
        <v>Meta tuża algoritmu probabilistiku, kif inhi l-probabbiltà li n-numru jiġi espress matematikament kompost?</v>
      </c>
    </row>
    <row r="15044" ht="15.75" customHeight="1">
      <c r="A15044" s="2" t="s">
        <v>15044</v>
      </c>
      <c r="B15044" s="2" t="str">
        <f>IFERROR(__xludf.DUMMYFUNCTION("GOOGLETRANSLATE(A15044, ""en"", ""mt"")"),"Kemm ilha l-kosta tar-Renu fl-istess post?")</f>
        <v>Kemm ilha l-kosta tar-Renu fl-istess post?</v>
      </c>
    </row>
    <row r="15045" ht="15.75" customHeight="1">
      <c r="A15045" s="2" t="s">
        <v>15045</v>
      </c>
      <c r="B15045" s="2" t="str">
        <f>IFERROR(__xludf.DUMMYFUNCTION("GOOGLETRANSLATE(A15045, ""en"", ""mt"")"),"X’ma kienx il-forti li kien qed jinbena biex jissemma?")</f>
        <v>X’ma kienx il-forti li kien qed jinbena biex jissemma?</v>
      </c>
    </row>
    <row r="15046" ht="15.75" customHeight="1">
      <c r="A15046" s="2" t="s">
        <v>15046</v>
      </c>
      <c r="B15046" s="2" t="str">
        <f>IFERROR(__xludf.DUMMYFUNCTION("GOOGLETRANSLATE(A15046, ""en"", ""mt"")"),"X'inhuma l-mudelli analoġiċi ta 'spiss ikkunsidrati meta mqabbla ma' kunjardi orogeniċi?")</f>
        <v>X'inhuma l-mudelli analoġiċi ta 'spiss ikkunsidrati meta mqabbla ma' kunjardi orogeniċi?</v>
      </c>
    </row>
    <row r="15047" ht="15.75" customHeight="1">
      <c r="A15047" s="2" t="s">
        <v>15047</v>
      </c>
      <c r="B15047" s="2" t="str">
        <f>IFERROR(__xludf.DUMMYFUNCTION("GOOGLETRANSLATE(A15047, ""en"", ""mt"")"),"Park łazienki")</f>
        <v>Park łazienki</v>
      </c>
    </row>
    <row r="15048" ht="15.75" customHeight="1">
      <c r="A15048" s="2" t="s">
        <v>15048</v>
      </c>
      <c r="B15048" s="2" t="str">
        <f>IFERROR(__xludf.DUMMYFUNCTION("GOOGLETRANSLATE(A15048, ""en"", ""mt"")"),"Kemm jeżistu numri ewlenin?")</f>
        <v>Kemm jeżistu numri ewlenin?</v>
      </c>
    </row>
    <row r="15049" ht="15.75" customHeight="1">
      <c r="A15049" s="2" t="s">
        <v>15049</v>
      </c>
      <c r="B15049" s="2" t="str">
        <f>IFERROR(__xludf.DUMMYFUNCTION("GOOGLETRANSLATE(A15049, ""en"", ""mt"")"),"Bejn l-1945 u l-1970")</f>
        <v>Bejn l-1945 u l-1970</v>
      </c>
    </row>
    <row r="15050" ht="15.75" customHeight="1">
      <c r="A15050" s="2" t="s">
        <v>15050</v>
      </c>
      <c r="B15050" s="2" t="str">
        <f>IFERROR(__xludf.DUMMYFUNCTION("GOOGLETRANSLATE(A15050, ""en"", ""mt"")"),"Reġjun ta 'Cévennes fin-Nofsinhar")</f>
        <v>Reġjun ta 'Cévennes fin-Nofsinhar</v>
      </c>
    </row>
    <row r="15051" ht="15.75" customHeight="1">
      <c r="A15051" s="2" t="s">
        <v>15051</v>
      </c>
      <c r="B15051" s="2" t="str">
        <f>IFERROR(__xludf.DUMMYFUNCTION("GOOGLETRANSLATE(A15051, ""en"", ""mt"")"),"Min huma membri tal-klabb sportiv elett biex jirrappreżentaw?")</f>
        <v>Min huma membri tal-klabb sportiv elett biex jirrappreżentaw?</v>
      </c>
    </row>
    <row r="15052" ht="15.75" customHeight="1">
      <c r="A15052" s="2" t="s">
        <v>15052</v>
      </c>
      <c r="B15052" s="2" t="str">
        <f>IFERROR(__xludf.DUMMYFUNCTION("GOOGLETRANSLATE(A15052, ""en"", ""mt"")"),"X'inhu parassita li dejjem tuża l-istess proteina tal-wiċċ?")</f>
        <v>X'inhu parassita li dejjem tuża l-istess proteina tal-wiċċ?</v>
      </c>
    </row>
    <row r="15053" ht="15.75" customHeight="1">
      <c r="A15053" s="2" t="s">
        <v>15053</v>
      </c>
      <c r="B15053" s="2" t="str">
        <f>IFERROR(__xludf.DUMMYFUNCTION("GOOGLETRANSLATE(A15053, ""en"", ""mt"")"),"Miżżewweġ barra l-komunitajiet Franċiżi immedjati tagħhom")</f>
        <v>Miżżewweġ barra l-komunitajiet Franċiżi immedjati tagħhom</v>
      </c>
    </row>
    <row r="15054" ht="15.75" customHeight="1">
      <c r="A15054" s="2" t="s">
        <v>15054</v>
      </c>
      <c r="B15054" s="2" t="str">
        <f>IFERROR(__xludf.DUMMYFUNCTION("GOOGLETRANSLATE(A15054, ""en"", ""mt"")"),"Ministri Puritani")</f>
        <v>Ministri Puritani</v>
      </c>
    </row>
    <row r="15055" ht="15.75" customHeight="1">
      <c r="A15055" s="2" t="s">
        <v>15055</v>
      </c>
      <c r="B15055" s="2" t="str">
        <f>IFERROR(__xludf.DUMMYFUNCTION("GOOGLETRANSLATE(A15055, ""en"", ""mt"")"),"Kemm hija twila Triq Fresno?")</f>
        <v>Kemm hija twila Triq Fresno?</v>
      </c>
    </row>
    <row r="15056" ht="15.75" customHeight="1">
      <c r="A15056" s="2" t="s">
        <v>15056</v>
      </c>
      <c r="B15056" s="2" t="str">
        <f>IFERROR(__xludf.DUMMYFUNCTION("GOOGLETRANSLATE(A15056, ""en"", ""mt"")"),"Liema sentenza ngħatat Francis Heisler meta nstabet ħatja?")</f>
        <v>Liema sentenza ngħatat Francis Heisler meta nstabet ħatja?</v>
      </c>
    </row>
    <row r="15057" ht="15.75" customHeight="1">
      <c r="A15057" s="2" t="s">
        <v>15057</v>
      </c>
      <c r="B15057" s="2" t="str">
        <f>IFERROR(__xludf.DUMMYFUNCTION("GOOGLETRANSLATE(A15057, ""en"", ""mt"")"),"bejn")</f>
        <v>bejn</v>
      </c>
    </row>
    <row r="15058" ht="15.75" customHeight="1">
      <c r="A15058" s="2" t="s">
        <v>15058</v>
      </c>
      <c r="B15058" s="2" t="str">
        <f>IFERROR(__xludf.DUMMYFUNCTION("GOOGLETRANSLATE(A15058, ""en"", ""mt"")"),"Hollywood")</f>
        <v>Hollywood</v>
      </c>
    </row>
    <row r="15059" ht="15.75" customHeight="1">
      <c r="A15059" s="2" t="s">
        <v>15059</v>
      </c>
      <c r="B15059" s="2" t="str">
        <f>IFERROR(__xludf.DUMMYFUNCTION("GOOGLETRANSLATE(A15059, ""en"", ""mt"")"),"L-eks kwartieri ġenerali tiegħu kienet il-WSE li tinsab sal-2009?")</f>
        <v>L-eks kwartieri ġenerali tiegħu kienet il-WSE li tinsab sal-2009?</v>
      </c>
    </row>
    <row r="15060" ht="15.75" customHeight="1">
      <c r="A15060" s="2" t="s">
        <v>15060</v>
      </c>
      <c r="B15060" s="2" t="str">
        <f>IFERROR(__xludf.DUMMYFUNCTION("GOOGLETRANSLATE(A15060, ""en"", ""mt"")"),"X’semmew il-BSKYB is-servizz interattiv tagħhom?")</f>
        <v>X’semmew il-BSKYB is-servizz interattiv tagħhom?</v>
      </c>
    </row>
    <row r="15061" ht="15.75" customHeight="1">
      <c r="A15061" s="2" t="s">
        <v>15061</v>
      </c>
      <c r="B15061" s="2" t="str">
        <f>IFERROR(__xludf.DUMMYFUNCTION("GOOGLETRANSLATE(A15061, ""en"", ""mt"")"),"Żvantaġġ ta 'Dħul Baxx u Applikanti ta' Minoranza")</f>
        <v>Żvantaġġ ta 'Dħul Baxx u Applikanti ta' Minoranza</v>
      </c>
    </row>
    <row r="15062" ht="15.75" customHeight="1">
      <c r="A15062" s="2" t="s">
        <v>15062</v>
      </c>
      <c r="B15062" s="2" t="str">
        <f>IFERROR(__xludf.DUMMYFUNCTION("GOOGLETRANSLATE(A15062, ""en"", ""mt"")"),"Dejta ta 'inklużjoni ta' fluwidi")</f>
        <v>Dejta ta 'inklużjoni ta' fluwidi</v>
      </c>
    </row>
    <row r="15063" ht="15.75" customHeight="1">
      <c r="A15063" s="2" t="s">
        <v>15063</v>
      </c>
      <c r="B15063" s="2" t="str">
        <f>IFERROR(__xludf.DUMMYFUNCTION("GOOGLETRANSLATE(A15063, ""en"", ""mt"")"),"X'inhi n-nomina xjentifika ta 'l-ossiġnu?")</f>
        <v>X'inhi n-nomina xjentifika ta 'l-ossiġnu?</v>
      </c>
    </row>
    <row r="15064" ht="15.75" customHeight="1">
      <c r="A15064" s="2" t="s">
        <v>15064</v>
      </c>
      <c r="B15064" s="2" t="str">
        <f>IFERROR(__xludf.DUMMYFUNCTION("GOOGLETRANSLATE(A15064, ""en"", ""mt"")"),"X'kien l-ewwel stat Amerikan li kellu edukazzjoni obbligatorja?")</f>
        <v>X'kien l-ewwel stat Amerikan li kellu edukazzjoni obbligatorja?</v>
      </c>
    </row>
    <row r="15065" ht="15.75" customHeight="1">
      <c r="A15065" s="2" t="s">
        <v>15065</v>
      </c>
      <c r="B15065" s="2" t="str">
        <f>IFERROR(__xludf.DUMMYFUNCTION("GOOGLETRANSLATE(A15065, ""en"", ""mt"")"),"Alġebra polinomjali")</f>
        <v>Alġebra polinomjali</v>
      </c>
    </row>
    <row r="15066" ht="15.75" customHeight="1">
      <c r="A15066" s="2" t="s">
        <v>15066</v>
      </c>
      <c r="B15066" s="2" t="str">
        <f>IFERROR(__xludf.DUMMYFUNCTION("GOOGLETRANSLATE(A15066, ""en"", ""mt"")"),"Residenti Franċiżi li għażlu li jibqgħu fil-kolonja jingħataw il-libertà")</f>
        <v>Residenti Franċiżi li għażlu li jibqgħu fil-kolonja jingħataw il-libertà</v>
      </c>
    </row>
    <row r="15067" ht="15.75" customHeight="1">
      <c r="A15067" s="2" t="s">
        <v>15067</v>
      </c>
      <c r="B15067" s="2" t="str">
        <f>IFERROR(__xludf.DUMMYFUNCTION("GOOGLETRANSLATE(A15067, ""en"", ""mt"")"),"1185")</f>
        <v>1185</v>
      </c>
    </row>
    <row r="15068" ht="15.75" customHeight="1">
      <c r="A15068" s="2" t="s">
        <v>15068</v>
      </c>
      <c r="B15068" s="2" t="str">
        <f>IFERROR(__xludf.DUMMYFUNCTION("GOOGLETRANSLATE(A15068, ""en"", ""mt"")"),"Jones et al. 1998, Pollack, Huang &amp; Shen 1998, Crowley &amp; Lowery 2000 u Briffa 2000")</f>
        <v>Jones et al. 1998, Pollack, Huang &amp; Shen 1998, Crowley &amp; Lowery 2000 u Briffa 2000</v>
      </c>
    </row>
    <row r="15069" ht="15.75" customHeight="1">
      <c r="A15069" s="2" t="s">
        <v>15069</v>
      </c>
      <c r="B15069" s="2" t="str">
        <f>IFERROR(__xludf.DUMMYFUNCTION("GOOGLETRANSLATE(A15069, ""en"", ""mt"")"),"awtostradi")</f>
        <v>awtostradi</v>
      </c>
    </row>
    <row r="15070" ht="15.75" customHeight="1">
      <c r="A15070" s="2" t="s">
        <v>15070</v>
      </c>
      <c r="B15070" s="2" t="str">
        <f>IFERROR(__xludf.DUMMYFUNCTION("GOOGLETRANSLATE(A15070, ""en"", ""mt"")"),"Ħafna mill-fehim preċedenti dwar il-moviment u l-forza ġew ikkoreġuti minn min?")</f>
        <v>Ħafna mill-fehim preċedenti dwar il-moviment u l-forza ġew ikkoreġuti minn min?</v>
      </c>
    </row>
    <row r="15071" ht="15.75" customHeight="1">
      <c r="A15071" s="2" t="s">
        <v>15071</v>
      </c>
      <c r="B15071" s="2" t="str">
        <f>IFERROR(__xludf.DUMMYFUNCTION("GOOGLETRANSLATE(A15071, ""en"", ""mt"")"),"kull patoġen speċifiku")</f>
        <v>kull patoġen speċifiku</v>
      </c>
    </row>
    <row r="15072" ht="15.75" customHeight="1">
      <c r="A15072" s="2" t="s">
        <v>15072</v>
      </c>
      <c r="B15072" s="2" t="str">
        <f>IFERROR(__xludf.DUMMYFUNCTION("GOOGLETRANSLATE(A15072, ""en"", ""mt"")"),"Żoni kkontrollati mir-Russja")</f>
        <v>Żoni kkontrollati mir-Russja</v>
      </c>
    </row>
    <row r="15073" ht="15.75" customHeight="1">
      <c r="A15073" s="2" t="s">
        <v>15073</v>
      </c>
      <c r="B15073" s="2" t="str">
        <f>IFERROR(__xludf.DUMMYFUNCTION("GOOGLETRANSLATE(A15073, ""en"", ""mt"")"),"Fejn kien hemm saħħa fil-katina tal-provvista Ingliża?")</f>
        <v>Fejn kien hemm saħħa fil-katina tal-provvista Ingliża?</v>
      </c>
    </row>
    <row r="15074" ht="15.75" customHeight="1">
      <c r="A15074" s="2" t="s">
        <v>15074</v>
      </c>
      <c r="B15074" s="2" t="str">
        <f>IFERROR(__xludf.DUMMYFUNCTION("GOOGLETRANSLATE(A15074, ""en"", ""mt"")"),"Kunsinna sekwenzjata ta 'dejta lill-host")</f>
        <v>Kunsinna sekwenzjata ta 'dejta lill-host</v>
      </c>
    </row>
    <row r="15075" ht="15.75" customHeight="1">
      <c r="A15075" s="2" t="s">
        <v>15075</v>
      </c>
      <c r="B15075" s="2" t="str">
        <f>IFERROR(__xludf.DUMMYFUNCTION("GOOGLETRANSLATE(A15075, ""en"", ""mt"")")," Fejn il-Ħamas ma jridux jistabbilixxu stat Iżlamiku?")</f>
        <v> Fejn il-Ħamas ma jridux jistabbilixxu stat Iżlamiku?</v>
      </c>
    </row>
    <row r="15076" ht="15.75" customHeight="1">
      <c r="A15076" s="2" t="s">
        <v>15076</v>
      </c>
      <c r="B15076" s="2" t="str">
        <f>IFERROR(__xludf.DUMMYFUNCTION("GOOGLETRANSLATE(A15076, ""en"", ""mt"")"),"F'liema tipi ta 'enerġija ħolqu soluzzjonijiet ta' sparatura waħda?")</f>
        <v>F'liema tipi ta 'enerġija ħolqu soluzzjonijiet ta' sparatura waħda?</v>
      </c>
    </row>
    <row r="15077" ht="15.75" customHeight="1">
      <c r="A15077" s="2" t="s">
        <v>15077</v>
      </c>
      <c r="B15077" s="2" t="str">
        <f>IFERROR(__xludf.DUMMYFUNCTION("GOOGLETRANSLATE(A15077, ""en"", ""mt"")"),"Ctenophores jiffurmaw phylum ta 'annimali li huwa aktar kumpless minn sponoż, madwar kumpless daqs cnidarians (bram, anemoni tal-baħar, eċċ.), U inqas kumplessi minn bilaterjani (li jinkludu kważi l-annimali l-oħra kollha). B'differenza mill-isponoż, kemm"&amp;" ctenophores kif ukoll cnidarians għandhom: ċelloli marbuta permezz ta 'konnessjonijiet bejn iċ-ċelloli u membrani tal-kantina simili għat-twapet; muskoli; sistemi nervużi; U xi wħud għandhom organi sensorji. Ctenophores huma distinti mill-annimali l-oħra"&amp;" kollha billi għandhom kolloblasti, li huma twaħħal u jaderixxu mal-priża, għalkemm ftit speċi ta 'ctenophore m'għandhomxhom.")</f>
        <v>Ctenophores jiffurmaw phylum ta 'annimali li huwa aktar kumpless minn sponoż, madwar kumpless daqs cnidarians (bram, anemoni tal-baħar, eċċ.), U inqas kumplessi minn bilaterjani (li jinkludu kważi l-annimali l-oħra kollha). B'differenza mill-isponoż, kemm ctenophores kif ukoll cnidarians għandhom: ċelloli marbuta permezz ta 'konnessjonijiet bejn iċ-ċelloli u membrani tal-kantina simili għat-twapet; muskoli; sistemi nervużi; U xi wħud għandhom organi sensorji. Ctenophores huma distinti mill-annimali l-oħra kollha billi għandhom kolloblasti, li huma twaħħal u jaderixxu mal-priża, għalkemm ftit speċi ta 'ctenophore m'għandhomxhom.</v>
      </c>
    </row>
    <row r="15078" ht="15.75" customHeight="1">
      <c r="A15078" s="2" t="s">
        <v>15078</v>
      </c>
      <c r="B15078" s="2" t="str">
        <f>IFERROR(__xludf.DUMMYFUNCTION("GOOGLETRANSLATE(A15078, ""en"", ""mt"")"),"Rankine Cycle")</f>
        <v>Rankine Cycle</v>
      </c>
    </row>
    <row r="15079" ht="15.75" customHeight="1">
      <c r="A15079" s="2" t="s">
        <v>15079</v>
      </c>
      <c r="B15079" s="2" t="str">
        <f>IFERROR(__xludf.DUMMYFUNCTION("GOOGLETRANSLATE(A15079, ""en"", ""mt"")"),"Islam mhux politiku")</f>
        <v>Islam mhux politiku</v>
      </c>
    </row>
    <row r="15080" ht="15.75" customHeight="1">
      <c r="A15080" s="2" t="s">
        <v>15080</v>
      </c>
      <c r="B15080" s="2" t="str">
        <f>IFERROR(__xludf.DUMMYFUNCTION("GOOGLETRANSLATE(A15080, ""en"", ""mt"")"),"Għaliex l-annimali jużaw O2 għar-respirazzjoni bijoloġika?")</f>
        <v>Għaliex l-annimali jużaw O2 għar-respirazzjoni bijoloġika?</v>
      </c>
    </row>
    <row r="15081" ht="15.75" customHeight="1">
      <c r="A15081" s="2" t="s">
        <v>15081</v>
      </c>
      <c r="B15081" s="2" t="str">
        <f>IFERROR(__xludf.DUMMYFUNCTION("GOOGLETRANSLATE(A15081, ""en"", ""mt"")"),"X'inhi l-iktar xita rreġistrata f'perjodu ta '24 siegħa fi Fresno?")</f>
        <v>X'inhi l-iktar xita rreġistrata f'perjodu ta '24 siegħa fi Fresno?</v>
      </c>
    </row>
    <row r="15082" ht="15.75" customHeight="1">
      <c r="A15082" s="2" t="s">
        <v>15082</v>
      </c>
      <c r="B15082" s="2" t="str">
        <f>IFERROR(__xludf.DUMMYFUNCTION("GOOGLETRANSLATE(A15082, ""en"", ""mt"")"),"Dak li jaqsam id-downtown ta 'Fresno?")</f>
        <v>Dak li jaqsam id-downtown ta 'Fresno?</v>
      </c>
    </row>
    <row r="15083" ht="15.75" customHeight="1">
      <c r="A15083" s="2" t="s">
        <v>15083</v>
      </c>
      <c r="B15083" s="2" t="str">
        <f>IFERROR(__xludf.DUMMYFUNCTION("GOOGLETRANSLATE(A15083, ""en"", ""mt"")"),"X'inhu l-Mesoglea li tinsab tul in-naħa ta 'taħt?")</f>
        <v>X'inhu l-Mesoglea li tinsab tul in-naħa ta 'taħt?</v>
      </c>
    </row>
    <row r="15084" ht="15.75" customHeight="1">
      <c r="A15084" s="2" t="s">
        <v>15084</v>
      </c>
      <c r="B15084" s="2" t="str">
        <f>IFERROR(__xludf.DUMMYFUNCTION("GOOGLETRANSLATE(A15084, ""en"", ""mt"")"),"Meta l-imperjalizmu jolqot in-normi soċjali ta 'stat, kif jissejjaħ?")</f>
        <v>Meta l-imperjalizmu jolqot in-normi soċjali ta 'stat, kif jissejjaħ?</v>
      </c>
    </row>
    <row r="15085" ht="15.75" customHeight="1">
      <c r="A15085" s="2" t="s">
        <v>15085</v>
      </c>
      <c r="B15085" s="2" t="str">
        <f>IFERROR(__xludf.DUMMYFUNCTION("GOOGLETRANSLATE(A15085, ""en"", ""mt"")"),"Franċiż_and_indian_war")</f>
        <v>Franċiż_and_indian_war</v>
      </c>
    </row>
    <row r="15086" ht="15.75" customHeight="1">
      <c r="A15086" s="2" t="s">
        <v>15086</v>
      </c>
      <c r="B15086" s="2" t="str">
        <f>IFERROR(__xludf.DUMMYFUNCTION("GOOGLETRANSLATE(A15086, ""en"", ""mt"")"),"sitwazzjoni finanzjarja diżastruża")</f>
        <v>sitwazzjoni finanzjarja diżastruża</v>
      </c>
    </row>
    <row r="15087" ht="15.75" customHeight="1">
      <c r="A15087" s="2" t="s">
        <v>15087</v>
      </c>
      <c r="B15087" s="2" t="str">
        <f>IFERROR(__xludf.DUMMYFUNCTION("GOOGLETRANSLATE(A15087, ""en"", ""mt"")"),"universitajiet")</f>
        <v>universitajiet</v>
      </c>
    </row>
    <row r="15088" ht="15.75" customHeight="1">
      <c r="A15088" s="2" t="s">
        <v>15088</v>
      </c>
      <c r="B15088" s="2" t="str">
        <f>IFERROR(__xludf.DUMMYFUNCTION("GOOGLETRANSLATE(A15088, ""en"", ""mt"")"),"jaqbad tliet negozjanti u joqtol 14-il persuna")</f>
        <v>jaqbad tliet negozjanti u joqtol 14-il persuna</v>
      </c>
    </row>
    <row r="15089" ht="15.75" customHeight="1">
      <c r="A15089" s="2" t="s">
        <v>15089</v>
      </c>
      <c r="B15089" s="2" t="str">
        <f>IFERROR(__xludf.DUMMYFUNCTION("GOOGLETRANSLATE(A15089, ""en"", ""mt"")"),"Kemm minaturi mietu minn vjolenza razziżmu fl-1854?")</f>
        <v>Kemm minaturi mietu minn vjolenza razziżmu fl-1854?</v>
      </c>
    </row>
    <row r="15090" ht="15.75" customHeight="1">
      <c r="A15090" s="2" t="s">
        <v>15090</v>
      </c>
      <c r="B15090" s="2" t="str">
        <f>IFERROR(__xludf.DUMMYFUNCTION("GOOGLETRANSLATE(A15090, ""en"", ""mt"")"),"Kien hemm soluzzjoni Huguenot tas-seklu 16 qrib liema ġurnata moderna ta 'Florida City?")</f>
        <v>Kien hemm soluzzjoni Huguenot tas-seklu 16 qrib liema ġurnata moderna ta 'Florida City?</v>
      </c>
    </row>
    <row r="15091" ht="15.75" customHeight="1">
      <c r="A15091" s="2" t="s">
        <v>15091</v>
      </c>
      <c r="B15091" s="2" t="str">
        <f>IFERROR(__xludf.DUMMYFUNCTION("GOOGLETRANSLATE(A15091, ""en"", ""mt"")"),"Feudaliżmu patrimonial")</f>
        <v>Feudaliżmu patrimonial</v>
      </c>
    </row>
    <row r="15092" ht="15.75" customHeight="1">
      <c r="A15092" s="2" t="s">
        <v>15092</v>
      </c>
      <c r="B15092" s="2" t="str">
        <f>IFERROR(__xludf.DUMMYFUNCTION("GOOGLETRANSLATE(A15092, ""en"", ""mt"")"),"Il-ġeoloġi strutturali kif josservaw id-drapp fil-blat?")</f>
        <v>Il-ġeoloġi strutturali kif josservaw id-drapp fil-blat?</v>
      </c>
    </row>
    <row r="15093" ht="15.75" customHeight="1">
      <c r="A15093" s="2" t="s">
        <v>15093</v>
      </c>
      <c r="B15093" s="2" t="str">
        <f>IFERROR(__xludf.DUMMYFUNCTION("GOOGLETRANSLATE(A15093, ""en"", ""mt"")"),"Staten Island")</f>
        <v>Staten Island</v>
      </c>
    </row>
    <row r="15094" ht="15.75" customHeight="1">
      <c r="A15094" s="2" t="s">
        <v>15094</v>
      </c>
      <c r="B15094" s="2" t="str">
        <f>IFERROR(__xludf.DUMMYFUNCTION("GOOGLETRANSLATE(A15094, ""en"", ""mt"")"),"mhux ugwali")</f>
        <v>mhux ugwali</v>
      </c>
    </row>
    <row r="15095" ht="15.75" customHeight="1">
      <c r="A15095" s="2" t="s">
        <v>15095</v>
      </c>
      <c r="B15095" s="2" t="str">
        <f>IFERROR(__xludf.DUMMYFUNCTION("GOOGLETRANSLATE(A15095, ""en"", ""mt"")"),"Huguenot")</f>
        <v>Huguenot</v>
      </c>
    </row>
    <row r="15096" ht="15.75" customHeight="1">
      <c r="A15096" s="2" t="s">
        <v>15096</v>
      </c>
      <c r="B15096" s="2" t="str">
        <f>IFERROR(__xludf.DUMMYFUNCTION("GOOGLETRANSLATE(A15096, ""en"", ""mt"")"),"Liema negozju ġie inkorporat fl-1975?")</f>
        <v>Liema negozju ġie inkorporat fl-1975?</v>
      </c>
    </row>
    <row r="15097" ht="15.75" customHeight="1">
      <c r="A15097" s="2" t="s">
        <v>15097</v>
      </c>
      <c r="B15097" s="2" t="str">
        <f>IFERROR(__xludf.DUMMYFUNCTION("GOOGLETRANSLATE(A15097, ""en"", ""mt"")"),"Teorija tad-Dinja")</f>
        <v>Teorija tad-Dinja</v>
      </c>
    </row>
    <row r="15098" ht="15.75" customHeight="1">
      <c r="A15098" s="2" t="s">
        <v>15098</v>
      </c>
      <c r="B15098" s="2" t="str">
        <f>IFERROR(__xludf.DUMMYFUNCTION("GOOGLETRANSLATE(A15098, ""en"", ""mt"")"),"fuq żoni kbar")</f>
        <v>fuq żoni kbar</v>
      </c>
    </row>
    <row r="15099" ht="15.75" customHeight="1">
      <c r="A15099" s="2" t="s">
        <v>15099</v>
      </c>
      <c r="B15099" s="2" t="str">
        <f>IFERROR(__xludf.DUMMYFUNCTION("GOOGLETRANSLATE(A15099, ""en"", ""mt"")"),"X'inhuma d-diviżuri speċifiċi tan-numri kollha uniformi akbar minn 1?")</f>
        <v>X'inhuma d-diviżuri speċifiċi tan-numri kollha uniformi akbar minn 1?</v>
      </c>
    </row>
    <row r="15100" ht="15.75" customHeight="1">
      <c r="A15100" s="2" t="s">
        <v>15100</v>
      </c>
      <c r="B15100" s="2" t="str">
        <f>IFERROR(__xludf.DUMMYFUNCTION("GOOGLETRANSLATE(A15100, ""en"", ""mt"")"),"Liema kantanta kienet fis-Sala tal-Eroj?")</f>
        <v>Liema kantanta kienet fis-Sala tal-Eroj?</v>
      </c>
    </row>
    <row r="15101" ht="15.75" customHeight="1">
      <c r="A15101" s="2" t="s">
        <v>15101</v>
      </c>
      <c r="B15101" s="2" t="str">
        <f>IFERROR(__xludf.DUMMYFUNCTION("GOOGLETRANSLATE(A15101, ""en"", ""mt"")"),"X'jipproduċu l-fotokiti?")</f>
        <v>X'jipproduċu l-fotokiti?</v>
      </c>
    </row>
    <row r="15102" ht="15.75" customHeight="1">
      <c r="A15102" s="2" t="s">
        <v>15102</v>
      </c>
      <c r="B15102" s="2" t="str">
        <f>IFERROR(__xludf.DUMMYFUNCTION("GOOGLETRANSLATE(A15102, ""en"", ""mt"")"),"X’ma kinux l-ordnijiet ta ’Marin?")</f>
        <v>X’ma kinux l-ordnijiet ta ’Marin?</v>
      </c>
    </row>
    <row r="15103" ht="15.75" customHeight="1">
      <c r="A15103" s="2" t="s">
        <v>15103</v>
      </c>
      <c r="B15103" s="2" t="str">
        <f>IFERROR(__xludf.DUMMYFUNCTION("GOOGLETRANSLATE(A15103, ""en"", ""mt"")"),"Valur taċ-zokkor tal-gżejjer tal-Karibew")</f>
        <v>Valur taċ-zokkor tal-gżejjer tal-Karibew</v>
      </c>
    </row>
    <row r="15104" ht="15.75" customHeight="1">
      <c r="A15104" s="2" t="s">
        <v>15104</v>
      </c>
      <c r="B15104" s="2" t="str">
        <f>IFERROR(__xludf.DUMMYFUNCTION("GOOGLETRANSLATE(A15104, ""en"", ""mt"")"),"Minbarra L.A. Liema kontea oħra jagħmlu ħafna nies jibdlu?")</f>
        <v>Minbarra L.A. Liema kontea oħra jagħmlu ħafna nies jibdlu?</v>
      </c>
    </row>
    <row r="15105" ht="15.75" customHeight="1">
      <c r="A15105" s="2" t="s">
        <v>15105</v>
      </c>
      <c r="B15105" s="2" t="str">
        <f>IFERROR(__xludf.DUMMYFUNCTION("GOOGLETRANSLATE(A15105, ""en"", ""mt"")"),"Il-prinċipji tas-suċċessjoni jiddependu fuq liema ħsieb?")</f>
        <v>Il-prinċipji tas-suċċessjoni jiddependu fuq liema ħsieb?</v>
      </c>
    </row>
    <row r="15106" ht="15.75" customHeight="1">
      <c r="A15106" s="2" t="s">
        <v>15106</v>
      </c>
      <c r="B15106" s="2" t="str">
        <f>IFERROR(__xludf.DUMMYFUNCTION("GOOGLETRANSLATE(A15106, ""en"", ""mt"")"),"X'tip ta 'skola hija Sonderungsverbot?")</f>
        <v>X'tip ta 'skola hija Sonderungsverbot?</v>
      </c>
    </row>
    <row r="15107" ht="15.75" customHeight="1">
      <c r="A15107" s="2" t="s">
        <v>15107</v>
      </c>
      <c r="B15107" s="2" t="str">
        <f>IFERROR(__xludf.DUMMYFUNCTION("GOOGLETRANSLATE(A15107, ""en"", ""mt"")"),"Cyclades")</f>
        <v>Cyclades</v>
      </c>
    </row>
    <row r="15108" ht="15.75" customHeight="1">
      <c r="A15108" s="2" t="s">
        <v>15108</v>
      </c>
      <c r="B15108" s="2" t="str">
        <f>IFERROR(__xludf.DUMMYFUNCTION("GOOGLETRANSLATE(A15108, ""en"", ""mt"")"),"Teżi ta 'Cobham")</f>
        <v>Teżi ta 'Cobham</v>
      </c>
    </row>
    <row r="15109" ht="15.75" customHeight="1">
      <c r="A15109" s="2" t="s">
        <v>15109</v>
      </c>
      <c r="B15109" s="2" t="str">
        <f>IFERROR(__xludf.DUMMYFUNCTION("GOOGLETRANSLATE(A15109, ""en"", ""mt"")"),"L-użu tal-isem ma kienx korrett Dawn is-servizzi kollha ġew ġestiti mill-istess nies fi ħdan dipartiment wieħed tal-KPN ikkontribwew għall-konfużjoni")</f>
        <v>L-użu tal-isem ma kienx korrett Dawn is-servizzi kollha ġew ġestiti mill-istess nies fi ħdan dipartiment wieħed tal-KPN ikkontribwew għall-konfużjoni</v>
      </c>
    </row>
    <row r="15110" ht="15.75" customHeight="1">
      <c r="A15110" s="2" t="s">
        <v>15110</v>
      </c>
      <c r="B15110" s="2" t="str">
        <f>IFERROR(__xludf.DUMMYFUNCTION("GOOGLETRANSLATE(A15110, ""en"", ""mt"")"),"Ġappun")</f>
        <v>Ġappun</v>
      </c>
    </row>
    <row r="15111" ht="15.75" customHeight="1">
      <c r="A15111" s="2" t="s">
        <v>15111</v>
      </c>
      <c r="B15111" s="2" t="str">
        <f>IFERROR(__xludf.DUMMYFUNCTION("GOOGLETRANSLATE(A15111, ""en"", ""mt"")"),"Dislodge lill-Franċiżi")</f>
        <v>Dislodge lill-Franċiżi</v>
      </c>
    </row>
    <row r="15112" ht="15.75" customHeight="1">
      <c r="A15112" s="2" t="s">
        <v>15112</v>
      </c>
      <c r="B15112" s="2" t="str">
        <f>IFERROR(__xludf.DUMMYFUNCTION("GOOGLETRANSLATE(A15112, ""en"", ""mt"")"),"Min kiteb karti ta 'wara jistudjaw problemi li jistgħu jinħallu billi jduru magni?")</f>
        <v>Min kiteb karti ta 'wara jistudjaw problemi li jistgħu jinħallu billi jduru magni?</v>
      </c>
    </row>
    <row r="15113" ht="15.75" customHeight="1">
      <c r="A15113" s="2" t="s">
        <v>15113</v>
      </c>
      <c r="B15113" s="2" t="str">
        <f>IFERROR(__xludf.DUMMYFUNCTION("GOOGLETRANSLATE(A15113, ""en"", ""mt"")"),"Liema storiku kien popolari fis-seklu 21?")</f>
        <v>Liema storiku kien popolari fis-seklu 21?</v>
      </c>
    </row>
    <row r="15114" ht="15.75" customHeight="1">
      <c r="A15114" s="2" t="s">
        <v>15114</v>
      </c>
      <c r="B15114" s="2" t="str">
        <f>IFERROR(__xludf.DUMMYFUNCTION("GOOGLETRANSLATE(A15114, ""en"", ""mt"")"),"Għal min kien miktub ir-rapport mediku?")</f>
        <v>Għal min kien miktub ir-rapport mediku?</v>
      </c>
    </row>
    <row r="15115" ht="15.75" customHeight="1">
      <c r="A15115" s="2" t="s">
        <v>15115</v>
      </c>
      <c r="B15115" s="2" t="str">
        <f>IFERROR(__xludf.DUMMYFUNCTION("GOOGLETRANSLATE(A15115, ""en"", ""mt"")"),"In-Nofsinhar tal-Kalifornja hija t-tieni għal liema gżira f'termini ta 'brejkijiet tas-serf famużi?")</f>
        <v>In-Nofsinhar tal-Kalifornja hija t-tieni għal liema gżira f'termini ta 'brejkijiet tas-serf famużi?</v>
      </c>
    </row>
    <row r="15116" ht="15.75" customHeight="1">
      <c r="A15116" s="2" t="s">
        <v>15116</v>
      </c>
      <c r="B15116" s="2" t="str">
        <f>IFERROR(__xludf.DUMMYFUNCTION("GOOGLETRANSLATE(A15116, ""en"", ""mt"")")," Fejn Kublai rrifjuta li jċaqlaq il-kapital Mongoljan?")</f>
        <v> Fejn Kublai rrifjuta li jċaqlaq il-kapital Mongoljan?</v>
      </c>
    </row>
    <row r="15117" ht="15.75" customHeight="1">
      <c r="A15117" s="2" t="s">
        <v>15117</v>
      </c>
      <c r="B15117" s="2" t="str">
        <f>IFERROR(__xludf.DUMMYFUNCTION("GOOGLETRANSLATE(A15117, ""en"", ""mt"")"),"Ieħor mill-gruppi Eġizzjani li impjegaw vjolenza fit-taqbida tagħhom għal ordni Iżlamika kien al-gama'a al-Islamiyya (grupp Iżlamiku). Il-vittmi tal-kampanja tagħhom kontra l-istat Eġizzjan fid-disgħinijiet kienu jinkludu l-kap tal-pulizija kontra t-terro"&amp;"riżmu (il-Ġeneral Maġġur Raouf Khayrat), kelliem parlamentari (Rifaat al-Mahgoub), għexieren ta ’turisti Ewropej u persuni li jrażżnu l-Eġizzjani, u aktar minn 100 pulizija Eġizzjana - Fl-aħħar mill-aħħar il-kampanja biex jitwaqqa 'l-gvern ma rnexxietx, u"&amp;" l-grupp jihadi ewlieni, Jamaa Islamiya (jew al-gama'a al-Islamiya), irrinunzjat vjolenza fl-2003. Gruppi oħra magħrufa inqas jinkludu l-Partit ta' Liberazzjoni Iżlamika, Salvazzjoni mill-Infern u Takfir Wal-Hijra, u dawn il-gruppi kienu involuti b'mod va"&amp;"rju f'attivitajiet bħal attentat ta 'qtil ta' figuri politiċi, inżul ta 'ħwienet tal-vidjow u attentat ta' akkwist ta 'bini tal-gvern.")</f>
        <v>Ieħor mill-gruppi Eġizzjani li impjegaw vjolenza fit-taqbida tagħhom għal ordni Iżlamika kien al-gama'a al-Islamiyya (grupp Iżlamiku). Il-vittmi tal-kampanja tagħhom kontra l-istat Eġizzjan fid-disgħinijiet kienu jinkludu l-kap tal-pulizija kontra t-terroriżmu (il-Ġeneral Maġġur Raouf Khayrat), kelliem parlamentari (Rifaat al-Mahgoub), għexieren ta ’turisti Ewropej u persuni li jrażżnu l-Eġizzjani, u aktar minn 100 pulizija Eġizzjana - Fl-aħħar mill-aħħar il-kampanja biex jitwaqqa 'l-gvern ma rnexxietx, u l-grupp jihadi ewlieni, Jamaa Islamiya (jew al-gama'a al-Islamiya), irrinunzjat vjolenza fl-2003. Gruppi oħra magħrufa inqas jinkludu l-Partit ta' Liberazzjoni Iżlamika, Salvazzjoni mill-Infern u Takfir Wal-Hijra, u dawn il-gruppi kienu involuti b'mod varju f'attivitajiet bħal attentat ta 'qtil ta' figuri politiċi, inżul ta 'ħwienet tal-vidjow u attentat ta' akkwist ta 'bini tal-gvern.</v>
      </c>
    </row>
    <row r="15118" ht="15.75" customHeight="1">
      <c r="A15118" s="2" t="s">
        <v>15118</v>
      </c>
      <c r="B15118" s="2" t="str">
        <f>IFERROR(__xludf.DUMMYFUNCTION("GOOGLETRANSLATE(A15118, ""en"", ""mt"")"),"Aqta 'kompetizzjoni fil-griżmejn")</f>
        <v>Aqta 'kompetizzjoni fil-griżmejn</v>
      </c>
    </row>
    <row r="15119" ht="15.75" customHeight="1">
      <c r="A15119" s="2" t="s">
        <v>15119</v>
      </c>
      <c r="B15119" s="2" t="str">
        <f>IFERROR(__xludf.DUMMYFUNCTION("GOOGLETRANSLATE(A15119, ""en"", ""mt"")"),"Q jew il-qasam finit b'elementi P")</f>
        <v>Q jew il-qasam finit b'elementi P</v>
      </c>
    </row>
    <row r="15120" ht="15.75" customHeight="1">
      <c r="A15120" s="2" t="s">
        <v>15120</v>
      </c>
      <c r="B15120" s="2" t="str">
        <f>IFERROR(__xludf.DUMMYFUNCTION("GOOGLETRANSLATE(A15120, ""en"", ""mt"")"),"Spazji miftuħa fil-viċin")</f>
        <v>Spazji miftuħa fil-viċin</v>
      </c>
    </row>
    <row r="15121" ht="15.75" customHeight="1">
      <c r="A15121" s="2" t="s">
        <v>15121</v>
      </c>
      <c r="B15121" s="2" t="str">
        <f>IFERROR(__xludf.DUMMYFUNCTION("GOOGLETRANSLATE(A15121, ""en"", ""mt"")"),"Liema żona ġiet imsemmija mill-ġdid Pinedale?")</f>
        <v>Liema żona ġiet imsemmija mill-ġdid Pinedale?</v>
      </c>
    </row>
    <row r="15122" ht="15.75" customHeight="1">
      <c r="A15122" s="2" t="s">
        <v>15122</v>
      </c>
      <c r="B15122" s="2" t="str">
        <f>IFERROR(__xludf.DUMMYFUNCTION("GOOGLETRANSLATE(A15122, ""en"", ""mt"")"),"X'tip ta 'magna tat-Turing huwa kapaċi għal azzjonijiet multipli u jestendi f'varjetà ta' mogħdijiet tal-komputazzjoni?")</f>
        <v>X'tip ta 'magna tat-Turing huwa kapaċi għal azzjonijiet multipli u jestendi f'varjetà ta' mogħdijiet tal-komputazzjoni?</v>
      </c>
    </row>
    <row r="15123" ht="15.75" customHeight="1">
      <c r="A15123" s="2" t="s">
        <v>15123</v>
      </c>
      <c r="B15123" s="2" t="str">
        <f>IFERROR(__xludf.DUMMYFUNCTION("GOOGLETRANSLATE(A15123, ""en"", ""mt"")"),"Liema sena Audra McDonald wettqet ir-rwoli ta 'Evita u l-Wiz?")</f>
        <v>Liema sena Audra McDonald wettqet ir-rwoli ta 'Evita u l-Wiz?</v>
      </c>
    </row>
    <row r="15124" ht="15.75" customHeight="1">
      <c r="A15124" s="2" t="s">
        <v>15124</v>
      </c>
      <c r="B15124" s="2" t="str">
        <f>IFERROR(__xludf.DUMMYFUNCTION("GOOGLETRANSLATE(A15124, ""en"", ""mt"")"),"Mediterran")</f>
        <v>Mediterran</v>
      </c>
    </row>
    <row r="15125" ht="15.75" customHeight="1">
      <c r="A15125" s="2" t="s">
        <v>15125</v>
      </c>
      <c r="B15125" s="2" t="str">
        <f>IFERROR(__xludf.DUMMYFUNCTION("GOOGLETRANSLATE(A15125, ""en"", ""mt"")"),"X’għamel l-Iran fuq Yom Kippur fis-6 ta ’Ottubru, 1973?")</f>
        <v>X’għamel l-Iran fuq Yom Kippur fis-6 ta ’Ottubru, 1973?</v>
      </c>
    </row>
    <row r="15126" ht="15.75" customHeight="1">
      <c r="A15126" s="2" t="s">
        <v>15126</v>
      </c>
      <c r="B15126" s="2" t="str">
        <f>IFERROR(__xludf.DUMMYFUNCTION("GOOGLETRANSLATE(A15126, ""en"", ""mt"")"),"Vampire")</f>
        <v>Vampire</v>
      </c>
    </row>
    <row r="15127" ht="15.75" customHeight="1">
      <c r="A15127" s="2" t="s">
        <v>15127</v>
      </c>
      <c r="B15127" s="2" t="str">
        <f>IFERROR(__xludf.DUMMYFUNCTION("GOOGLETRANSLATE(A15127, ""en"", ""mt"")"),"Riskju għoli ta 'kunflitt ta' interess u / jew l-evitar ta 'poteri assoluti")</f>
        <v>Riskju għoli ta 'kunflitt ta' interess u / jew l-evitar ta 'poteri assoluti</v>
      </c>
    </row>
    <row r="15128" ht="15.75" customHeight="1">
      <c r="A15128" s="2" t="s">
        <v>15128</v>
      </c>
      <c r="B15128" s="2" t="str">
        <f>IFERROR(__xludf.DUMMYFUNCTION("GOOGLETRANSLATE(A15128, ""en"", ""mt"")"),"Dak li jagħmel il-frizzjoni statika titla 'jew' l isfel b'rispett biex tikkuntattja l-karatteristiċi bejn oġġett u l-wiċċ li hemm?")</f>
        <v>Dak li jagħmel il-frizzjoni statika titla 'jew' l isfel b'rispett biex tikkuntattja l-karatteristiċi bejn oġġett u l-wiċċ li hemm?</v>
      </c>
    </row>
    <row r="15129" ht="15.75" customHeight="1">
      <c r="A15129" s="2" t="s">
        <v>15129</v>
      </c>
      <c r="B15129" s="2" t="str">
        <f>IFERROR(__xludf.DUMMYFUNCTION("GOOGLETRANSLATE(A15129, ""en"", ""mt"")"),"Fil-Filippini, is-settur privat kien fornitur ewlieni ta ’servizzi edukattivi, li jammonta għal madwar 7.5% tal-iskrizzjoni primarja, 32% tal-iskrizzjoni sekondarja u madwar 80% tal-iskrizzjoni terzjarja. L-iskejjel privati ​​wrew li huma effiċjenti fl-uż"&amp;"u tar-riżorsi. Għal kull unità ta 'spejjeż fi skejjel privati ​​huma ġeneralment aktar baxxi meta mqabbla ma' skejjel pubbliċi. Din is-sitwazzjoni hija iktar evidenti fil-livell terzjarju. Ir-regolamenti tal-Gvern taw lill-edukazzjoni privata aktar flessi"&amp;"bilità u awtonomija f'dawn l-aħħar snin, l-aktar billi jneħħu l-moratorju fuq applikazzjonijiet għal korsijiet ġodda, skejjel ġodda u konverżjonijiet, billi liberalizzaw il-politika ta 'miżata ta' tagħlim għal skejjel privati, billi ħadu post l-edukazzjon"&amp;"i tal-valuri għat-tielet u r-raba 'snin bl-Ingliż , il-matematika u x-xjenza naturali fl-għażla tal-iskola, u billi joħorġu l-manwal rivedut tar-regolamenti għal skejjel privati ​​f'Awwissu 1992.")</f>
        <v>Fil-Filippini, is-settur privat kien fornitur ewlieni ta ’servizzi edukattivi, li jammonta għal madwar 7.5% tal-iskrizzjoni primarja, 32% tal-iskrizzjoni sekondarja u madwar 80% tal-iskrizzjoni terzjarja. L-iskejjel privati ​​wrew li huma effiċjenti fl-użu tar-riżorsi. Għal kull unità ta 'spejjeż fi skejjel privati ​​huma ġeneralment aktar baxxi meta mqabbla ma' skejjel pubbliċi. Din is-sitwazzjoni hija iktar evidenti fil-livell terzjarju. Ir-regolamenti tal-Gvern taw lill-edukazzjoni privata aktar flessibilità u awtonomija f'dawn l-aħħar snin, l-aktar billi jneħħu l-moratorju fuq applikazzjonijiet għal korsijiet ġodda, skejjel ġodda u konverżjonijiet, billi liberalizzaw il-politika ta 'miżata ta' tagħlim għal skejjel privati, billi ħadu post l-edukazzjoni tal-valuri għat-tielet u r-raba 'snin bl-Ingliż , il-matematika u x-xjenza naturali fl-għażla tal-iskola, u billi joħorġu l-manwal rivedut tar-regolamenti għal skejjel privati ​​f'Awwissu 1992.</v>
      </c>
    </row>
    <row r="15130" ht="15.75" customHeight="1">
      <c r="A15130" s="2" t="s">
        <v>15130</v>
      </c>
      <c r="B15130" s="2" t="str">
        <f>IFERROR(__xludf.DUMMYFUNCTION("GOOGLETRANSLATE(A15130, ""en"", ""mt"")"),"Dimostranti ppruvaw jidħlu fis-sit tat-test")</f>
        <v>Dimostranti ppruvaw jidħlu fis-sit tat-test</v>
      </c>
    </row>
    <row r="15131" ht="15.75" customHeight="1">
      <c r="A15131" s="2" t="s">
        <v>15131</v>
      </c>
      <c r="B15131" s="2" t="str">
        <f>IFERROR(__xludf.DUMMYFUNCTION("GOOGLETRANSLATE(A15131, ""en"", ""mt"")"),"Tliet korpi ta 'ilma")</f>
        <v>Tliet korpi ta 'ilma</v>
      </c>
    </row>
    <row r="15132" ht="15.75" customHeight="1">
      <c r="A15132" s="2" t="s">
        <v>15132</v>
      </c>
      <c r="B15132" s="2" t="str">
        <f>IFERROR(__xludf.DUMMYFUNCTION("GOOGLETRANSLATE(A15132, ""en"", ""mt"")"),"Liema nobbli għen biex jistabbilixxi l-ftehim Huguenot f'Saarland?")</f>
        <v>Liema nobbli għen biex jistabbilixxi l-ftehim Huguenot f'Saarland?</v>
      </c>
    </row>
    <row r="15133" ht="15.75" customHeight="1">
      <c r="A15133" s="2" t="s">
        <v>15133</v>
      </c>
      <c r="B15133" s="2" t="str">
        <f>IFERROR(__xludf.DUMMYFUNCTION("GOOGLETRANSLATE(A15133, ""en"", ""mt"")"),"Liema ex-bini bħalissa huwa magħruf bħala Grand 1401?")</f>
        <v>Liema ex-bini bħalissa huwa magħruf bħala Grand 1401?</v>
      </c>
    </row>
    <row r="15134" ht="15.75" customHeight="1">
      <c r="A15134" s="2" t="s">
        <v>15134</v>
      </c>
      <c r="B15134" s="2" t="str">
        <f>IFERROR(__xludf.DUMMYFUNCTION("GOOGLETRANSLATE(A15134, ""en"", ""mt"")"),"X'inhu l-isem tal-belt tad-deżert?")</f>
        <v>X'inhu l-isem tal-belt tad-deżert?</v>
      </c>
    </row>
    <row r="15135" ht="15.75" customHeight="1">
      <c r="A15135" s="2" t="s">
        <v>15135</v>
      </c>
      <c r="B15135" s="2" t="str">
        <f>IFERROR(__xludf.DUMMYFUNCTION("GOOGLETRANSLATE(A15135, ""en"", ""mt"")"),"Il-liġijiet tal-liġijiet kuxjenzjużi għandhom jiġu kkastigati")</f>
        <v>Il-liġijiet tal-liġijiet kuxjenzjużi għandhom jiġu kkastigati</v>
      </c>
    </row>
    <row r="15136" ht="15.75" customHeight="1">
      <c r="A15136" s="2" t="s">
        <v>15136</v>
      </c>
      <c r="B15136" s="2" t="str">
        <f>IFERROR(__xludf.DUMMYFUNCTION("GOOGLETRANSLATE(A15136, ""en"", ""mt"")"),"L-ekonomiji nqabdu bejn prezzijiet ogħla taż-żejt u prezzijiet aktar baxxi għall-prodotti tal-esportazzjoni tagħhom stess")</f>
        <v>L-ekonomiji nqabdu bejn prezzijiet ogħla taż-żejt u prezzijiet aktar baxxi għall-prodotti tal-esportazzjoni tagħhom stess</v>
      </c>
    </row>
    <row r="15137" ht="15.75" customHeight="1">
      <c r="A15137" s="2" t="s">
        <v>15137</v>
      </c>
      <c r="B15137" s="2" t="str">
        <f>IFERROR(__xludf.DUMMYFUNCTION("GOOGLETRANSLATE(A15137, ""en"", ""mt"")"),"Fir-rapport dettaljat b'mod estensiv tiegħu, Céloron kiteb, ""Kull ma nista 'ngħid huwa li n-nies ta' dawn il-lokalitajiet huma mormija ħażin ħafna lejn il-Franċiżi, u huma kompletament iddedikati għall-Ingliżi. Ma nafx b'liema mod jistgħu jinġiebu lura ."&amp;" "" Anke qabel ir-ritorn tiegħu lejn Montreal, rapporti dwar is-sitwazzjoni fil-pajjiż ta 'Ohio kienu qed jagħmlu triqthom lejn Londra u Pariġi, kull naħa li tipproponi li tittieħed dik l-azzjoni. William Shirley, il-gvernatur espansjonist tal-provinċja t"&amp;"al-Bajja ta 'Massachusetts, kien partikolarment qawwi, u qal li l-kolonisti Ingliżi ma jkunux siguri sakemm il-Franċiżi kienu preżenti. Kunflitti bejn il-kolonji, imwettqa permezz ta 'partiti li kienu jinkludu alleati Indjani, seħħew għal għexieren ta' sn"&amp;"in, li wasslu għal kummerċ mgħaġġel fil-kaptivi kolonjali Ewropej minn kull naħa.")</f>
        <v>Fir-rapport dettaljat b'mod estensiv tiegħu, Céloron kiteb, "Kull ma nista 'ngħid huwa li n-nies ta' dawn il-lokalitajiet huma mormija ħażin ħafna lejn il-Franċiżi, u huma kompletament iddedikati għall-Ingliżi. Ma nafx b'liema mod jistgħu jinġiebu lura . " Anke qabel ir-ritorn tiegħu lejn Montreal, rapporti dwar is-sitwazzjoni fil-pajjiż ta 'Ohio kienu qed jagħmlu triqthom lejn Londra u Pariġi, kull naħa li tipproponi li tittieħed dik l-azzjoni. William Shirley, il-gvernatur espansjonist tal-provinċja tal-Bajja ta 'Massachusetts, kien partikolarment qawwi, u qal li l-kolonisti Ingliżi ma jkunux siguri sakemm il-Franċiżi kienu preżenti. Kunflitti bejn il-kolonji, imwettqa permezz ta 'partiti li kienu jinkludu alleati Indjani, seħħew għal għexieren ta' snin, li wasslu għal kummerċ mgħaġġel fil-kaptivi kolonjali Ewropej minn kull naħa.</v>
      </c>
    </row>
    <row r="15138" ht="15.75" customHeight="1">
      <c r="A15138" s="2" t="s">
        <v>15138</v>
      </c>
      <c r="B15138" s="2" t="str">
        <f>IFERROR(__xludf.DUMMYFUNCTION("GOOGLETRANSLATE(A15138, ""en"", ""mt"")"),"X'kien it-titlu tax-xogħol ta 'Philo?")</f>
        <v>X'kien it-titlu tax-xogħol ta 'Philo?</v>
      </c>
    </row>
    <row r="15139" ht="15.75" customHeight="1">
      <c r="A15139" s="2" t="s">
        <v>15139</v>
      </c>
      <c r="B15139" s="2" t="str">
        <f>IFERROR(__xludf.DUMMYFUNCTION("GOOGLETRANSLATE(A15139, ""en"", ""mt"")"),"X'tip ta 'kumitat ikkunsidra leġislazzjoni dwar l-iżvilupp tan-Netwerk tat-Tram ta' Edinburgu?")</f>
        <v>X'tip ta 'kumitat ikkunsidra leġislazzjoni dwar l-iżvilupp tan-Netwerk tat-Tram ta' Edinburgu?</v>
      </c>
    </row>
    <row r="15140" ht="15.75" customHeight="1">
      <c r="A15140" s="2" t="s">
        <v>15140</v>
      </c>
      <c r="B15140" s="2" t="str">
        <f>IFERROR(__xludf.DUMMYFUNCTION("GOOGLETRANSLATE(A15140, ""en"", ""mt"")"),"Xi jfisser ħafna ħaddiema lesti li jaħdmu għal ħafna ħin jikkompetu għal xogħol li jirrikjedi biss li ftit ħaddiema jirriżultaw?")</f>
        <v>Xi jfisser ħafna ħaddiema lesti li jaħdmu għal ħafna ħin jikkompetu għal xogħol li jirrikjedi biss li ftit ħaddiema jirriżultaw?</v>
      </c>
    </row>
    <row r="15141" ht="15.75" customHeight="1">
      <c r="A15141" s="2" t="s">
        <v>15141</v>
      </c>
      <c r="B15141" s="2" t="str">
        <f>IFERROR(__xludf.DUMMYFUNCTION("GOOGLETRANSLATE(A15141, ""en"", ""mt"")"),"Xi sottokuntrattur għandu relazzjoni kuntrattwali diretta ma 'min?")</f>
        <v>Xi sottokuntrattur għandu relazzjoni kuntrattwali diretta ma 'min?</v>
      </c>
    </row>
    <row r="15142" ht="15.75" customHeight="1">
      <c r="A15142" s="2" t="s">
        <v>15142</v>
      </c>
      <c r="B15142" s="2" t="str">
        <f>IFERROR(__xludf.DUMMYFUNCTION("GOOGLETRANSLATE(A15142, ""en"", ""mt"")"),"Sal-aħħar tas-seklu 19 ix-xjenzati rrealizzaw li l-arja tista 'tkun likwifikata, u l-komponenti tagħha iżolati, billi jikkompressaw u jkessħuha. Bl-użu ta 'metodu tal-kaskata, l-ispiżjar Żvizzeru u l-fiżiċista Raoul Pierre Pictet evapora dijossidu tal-kub"&amp;"rit likwidu sabiex jinxtegħel id-dijossidu tal-karbonju, li mbagħad ġie evaporat biex ikessaħ il-gass tal-ossiġnu biżżejjed biex likwifikah. Huwa bagħat telegramma fit-22 ta 'Diċembru, 1877 lill-Akkademja Franċiża tax-Xjenzi f'Pariġi li ħabbar l-iskoperta"&amp;" tiegħu ta' ossiġnu likwidu. Jumejn biss wara, il-fiżiċista Franċiż Louis Paul Cailletet ħabbar il-metodu tiegħu stess ta 'likwidazzjoni molekulari ossiġenu. Ftit qtar tal-likwidu biss ġew prodotti fl-ebda każ u għalhekk ma tista 'titwettaq analiżi sinifi"&amp;"kanti. L-ossiġnu kien likwifikat fi stat stabbli għall-ewwel darba fid-29 ta 'Marzu, 1883 minn xjenzati Pollakki mill-Università Jagiellonian, Zygmunt Wróblewski u Karol Olszewski.")</f>
        <v>Sal-aħħar tas-seklu 19 ix-xjenzati rrealizzaw li l-arja tista 'tkun likwifikata, u l-komponenti tagħha iżolati, billi jikkompressaw u jkessħuha. Bl-użu ta 'metodu tal-kaskata, l-ispiżjar Żvizzeru u l-fiżiċista Raoul Pierre Pictet evapora dijossidu tal-kubrit likwidu sabiex jinxtegħel id-dijossidu tal-karbonju, li mbagħad ġie evaporat biex ikessaħ il-gass tal-ossiġnu biżżejjed biex likwifikah. Huwa bagħat telegramma fit-22 ta 'Diċembru, 1877 lill-Akkademja Franċiża tax-Xjenzi f'Pariġi li ħabbar l-iskoperta tiegħu ta' ossiġnu likwidu. Jumejn biss wara, il-fiżiċista Franċiż Louis Paul Cailletet ħabbar il-metodu tiegħu stess ta 'likwidazzjoni molekulari ossiġenu. Ftit qtar tal-likwidu biss ġew prodotti fl-ebda każ u għalhekk ma tista 'titwettaq analiżi sinifikanti. L-ossiġnu kien likwifikat fi stat stabbli għall-ewwel darba fid-29 ta 'Marzu, 1883 minn xjenzati Pollakki mill-Università Jagiellonian, Zygmunt Wróblewski u Karol Olszewski.</v>
      </c>
    </row>
    <row r="15143" ht="15.75" customHeight="1">
      <c r="A15143" s="2" t="s">
        <v>15143</v>
      </c>
      <c r="B15143" s="2" t="str">
        <f>IFERROR(__xludf.DUMMYFUNCTION("GOOGLETRANSLATE(A15143, ""en"", ""mt"")"),"Liema mexxej famuż tad-drittijiet ċivili sejjaħ Harvard Home?")</f>
        <v>Liema mexxej famuż tad-drittijiet ċivili sejjaħ Harvard Home?</v>
      </c>
    </row>
    <row r="15144" ht="15.75" customHeight="1">
      <c r="A15144" s="2" t="s">
        <v>15144</v>
      </c>
      <c r="B15144" s="2" t="str">
        <f>IFERROR(__xludf.DUMMYFUNCTION("GOOGLETRANSLATE(A15144, ""en"", ""mt"")"),"Min jistabbilixxi l-aġenda ġudizzjarja fir-Rabat?")</f>
        <v>Min jistabbilixxi l-aġenda ġudizzjarja fir-Rabat?</v>
      </c>
    </row>
    <row r="15145" ht="15.75" customHeight="1">
      <c r="A15145" s="2" t="s">
        <v>15145</v>
      </c>
      <c r="B15145" s="2" t="str">
        <f>IFERROR(__xludf.DUMMYFUNCTION("GOOGLETRANSLATE(A15145, ""en"", ""mt"")"),"X'kienu l-ordnijiet ta 'Marin?")</f>
        <v>X'kienu l-ordnijiet ta 'Marin?</v>
      </c>
    </row>
    <row r="15146" ht="15.75" customHeight="1">
      <c r="A15146" s="2" t="s">
        <v>15146</v>
      </c>
      <c r="B15146" s="2" t="str">
        <f>IFERROR(__xludf.DUMMYFUNCTION("GOOGLETRANSLATE(A15146, ""en"", ""mt"")"),"Yo yo ma")</f>
        <v>Yo yo ma</v>
      </c>
    </row>
    <row r="15147" ht="15.75" customHeight="1">
      <c r="A15147" s="2" t="s">
        <v>15147</v>
      </c>
      <c r="B15147" s="2" t="str">
        <f>IFERROR(__xludf.DUMMYFUNCTION("GOOGLETRANSLATE(A15147, ""en"", ""mt"")"),"Fl-1 ta 'Frar 2007, lejliet il-pubblikazzjoni tar-rapport ewlieni tal-IPCC dwar il-klima, ġie ppubblikat studju li jissuġġerixxi li t-temperaturi u l-livelli tal-baħar kienu qed jiżdiedu fuq jew' il fuq mir-rati massimi proposti matul l-aħħar rapport tal-"&amp;"IPCC fl-2001. L-istudju qabbel IPCC 2001 Projezzjonijiet dwar it-temperatura u l-livell tal-baħar jinbidlu bl-osservazzjonijiet. Matul is-sitt snin studjati, iż-żieda fit-temperatura attwali kienet qrib it-tarf ta 'fuq tal-firxa mogħtija mill-projezzjoni "&amp;"tal-IPCC 2001, u ż-żieda attwali fil-livell tal-baħar kienet' il fuq mill-parti ta 'fuq tal-firxa tal-projezzjoni IPCC.")</f>
        <v>Fl-1 ta 'Frar 2007, lejliet il-pubblikazzjoni tar-rapport ewlieni tal-IPCC dwar il-klima, ġie ppubblikat studju li jissuġġerixxi li t-temperaturi u l-livelli tal-baħar kienu qed jiżdiedu fuq jew' il fuq mir-rati massimi proposti matul l-aħħar rapport tal-IPCC fl-2001. L-istudju qabbel IPCC 2001 Projezzjonijiet dwar it-temperatura u l-livell tal-baħar jinbidlu bl-osservazzjonijiet. Matul is-sitt snin studjati, iż-żieda fit-temperatura attwali kienet qrib it-tarf ta 'fuq tal-firxa mogħtija mill-projezzjoni tal-IPCC 2001, u ż-żieda attwali fil-livell tal-baħar kienet' il fuq mill-parti ta 'fuq tal-firxa tal-projezzjoni IPCC.</v>
      </c>
    </row>
    <row r="15148" ht="15.75" customHeight="1">
      <c r="A15148" s="2" t="s">
        <v>15148</v>
      </c>
      <c r="B15148" s="2" t="str">
        <f>IFERROR(__xludf.DUMMYFUNCTION("GOOGLETRANSLATE(A15148, ""en"", ""mt"")"),"Żvilupp, Skjerament u Ottimizzazzjoni tas-Sistema ta 'Ġestjoni tal-Medikazzjoni")</f>
        <v>Żvilupp, Skjerament u Ottimizzazzjoni tas-Sistema ta 'Ġestjoni tal-Medikazzjoni</v>
      </c>
    </row>
    <row r="15149" ht="15.75" customHeight="1">
      <c r="A15149" s="2" t="s">
        <v>15149</v>
      </c>
      <c r="B15149" s="2" t="str">
        <f>IFERROR(__xludf.DUMMYFUNCTION("GOOGLETRANSLATE(A15149, ""en"", ""mt"")"),"biex iżommu l-leġittimità tagħhom")</f>
        <v>biex iżommu l-leġittimità tagħhom</v>
      </c>
    </row>
    <row r="15150" ht="15.75" customHeight="1">
      <c r="A15150" s="2" t="s">
        <v>15150</v>
      </c>
      <c r="B15150" s="2" t="str">
        <f>IFERROR(__xludf.DUMMYFUNCTION("GOOGLETRANSLATE(A15150, ""en"", ""mt"")"),"Prétendus Réformés")</f>
        <v>Prétendus Réformés</v>
      </c>
    </row>
    <row r="15151" ht="15.75" customHeight="1">
      <c r="A15151" s="2" t="s">
        <v>15151</v>
      </c>
      <c r="B15151" s="2" t="str">
        <f>IFERROR(__xludf.DUMMYFUNCTION("GOOGLETRANSLATE(A15151, ""en"", ""mt"")"),"Il-kelma farmaċija hija derivata mill-kelma root tagħha pharma li kienet terminu użat mis-sekli 15-17-il sena. Madankollu, l-għeruq Griegi oriġinali minn Pharmakos jimplikaw sorċerija jew saħansitra velenu. Minbarra r-responsabbiltajiet tal-farmaċewtika, "&amp;"il-farmaċewk offra pariri mediċi ġenerali u firxa ta 'servizzi li issa huma mwettqa biss minn prattikanti speċjalizzati oħra, bħal kirurġija u qabla. Il-farmaċewtiċi (kif kien imsemmi) spiss jitħaddmu permezz ta 'ħanut bl-imnut li, minbarra ingredjenti għ"&amp;"all-mediċini, biegħ tabakk u mediċini għall-privattivi. Ħafna drabi l-post li għamel dan kien imsejjaħ apotekarju u diversi lingwi għandhom dan bħala t-terminu dominanti, għalkemm il-prattiki tagħhom huma aktar simili għal spiżerija moderna, bl-Ingliż it-"&amp;"terminu apothecary illum jitqies bħala skadut jew japrodu biss jekk ir-rimedji tal-ħxejjex kienu Offerta fil-biċċa l-kbira. Il-Pharmas użaw ukoll ħafna ħwawar oħra mhux elenkati. Il-kelma Griega Pharmakeia (Griega: φαρμακεία) toħroġ minn farmakon (φάρμακο"&amp;"ν), li tfisser ""mediċina"", ""mediċina"" (jew ""velenu""). [N 1]")</f>
        <v>Il-kelma farmaċija hija derivata mill-kelma root tagħha pharma li kienet terminu użat mis-sekli 15-17-il sena. Madankollu, l-għeruq Griegi oriġinali minn Pharmakos jimplikaw sorċerija jew saħansitra velenu. Minbarra r-responsabbiltajiet tal-farmaċewtika, il-farmaċewk offra pariri mediċi ġenerali u firxa ta 'servizzi li issa huma mwettqa biss minn prattikanti speċjalizzati oħra, bħal kirurġija u qabla. Il-farmaċewtiċi (kif kien imsemmi) spiss jitħaddmu permezz ta 'ħanut bl-imnut li, minbarra ingredjenti għall-mediċini, biegħ tabakk u mediċini għall-privattivi. Ħafna drabi l-post li għamel dan kien imsejjaħ apotekarju u diversi lingwi għandhom dan bħala t-terminu dominanti, għalkemm il-prattiki tagħhom huma aktar simili għal spiżerija moderna, bl-Ingliż it-terminu apothecary illum jitqies bħala skadut jew japrodu biss jekk ir-rimedji tal-ħxejjex kienu Offerta fil-biċċa l-kbira. Il-Pharmas użaw ukoll ħafna ħwawar oħra mhux elenkati. Il-kelma Griega Pharmakeia (Griega: φαρμακεία) toħroġ minn farmakon (φάρμακον), li tfisser "mediċina", "mediċina" (jew "velenu"). [N 1]</v>
      </c>
    </row>
    <row r="15152" ht="15.75" customHeight="1">
      <c r="A15152" s="2" t="s">
        <v>15152</v>
      </c>
      <c r="B15152" s="2" t="str">
        <f>IFERROR(__xludf.DUMMYFUNCTION("GOOGLETRANSLATE(A15152, ""en"", ""mt"")"),"bħala likwidu")</f>
        <v>bħala likwidu</v>
      </c>
    </row>
    <row r="15153" ht="15.75" customHeight="1">
      <c r="A15153" s="2" t="s">
        <v>15153</v>
      </c>
      <c r="B15153" s="2" t="str">
        <f>IFERROR(__xludf.DUMMYFUNCTION("GOOGLETRANSLATE(A15153, ""en"", ""mt"")"),"Diversi mijiet ta ’horsepower")</f>
        <v>Diversi mijiet ta ’horsepower</v>
      </c>
    </row>
    <row r="15154" ht="15.75" customHeight="1">
      <c r="A15154" s="2" t="s">
        <v>15154</v>
      </c>
      <c r="B15154" s="2" t="str">
        <f>IFERROR(__xludf.DUMMYFUNCTION("GOOGLETRANSLATE(A15154, ""en"", ""mt"")"),"Kważi ċ-ctenophores kollha huma predaturi - m'hemmx vegetarjani u ġeneru wieħed biss li huwa parzjalment parassitiku. Jekk l-ikel huwa abbundanti, huma jistgħu jieklu 10 darbiet il-piż tagħhom stess kuljum. Filwaqt li Beroe jipprepara prinċipalment fuq ct"&amp;"enophores oħra, speċi oħra ta 'ilma tal-wiċċ priża fuq zooplankton (annimali planktoniċi) li jvarjaw fid-daqs mill-mikroskopiku, inklużi l-molluski u l-larva tal-ħut, għal krustaċji żgħar għall-adulti bħal kopepodi, anfipods, u anke Krill. Il-membri tal-ġ"&amp;"eneru Haeckelia priża fuq il-bram u jinkorporaw in-nematokisti tal-priża tagħhom (ċelloli stinging) fit-tentakli tagħhom stess minflok il-kolloblasti. Ctenophores tqabblu ma 'brimb fil-firxa wiesgħa tagħhom ta' tekniki milli jaqbdu l-priża - uħud jiddendl"&amp;"u bla waqfien fl-ilma billi jużaw it-tentakli tagħhom bħala ""nsiġ"", uħud huma predaturi ta 'l-embush bħal brimb li jaqbżu l-melħ, u xi wħud mill-qtar li jwaħħal fl-aħħar ta' Ħajt fin, bħalma jagħmlu l-brimb Bolas. Din il-varjetà tispjega l-firxa wiesgħa"&amp;" ta 'forom tal-ġisem fi phylum bi ftit speċi. Il-lampea ""cydippid"" b'żewġ tentazzjonijiet titma 'esklussivament fuq salps, qraba mill-qrib ta' kwadri tal-baħar li jiffurmaw kolonji li jżommu f'katina kbira, u l-minorenni ta 'lampea jeħlu lilhom infushom"&amp;" bħal parassiti ma' Salps li huma kbar wisq biex jibilgħu. Membri tal-ġeneru Cydippid Pleurobrachia u l-lobate Bolinopsis ħafna drabi jilħqu densitajiet għoljin ta 'popolazzjoni fl-istess post u ħin minħabba li jispeċjalizzaw f'tipi differenti ta' priża: "&amp;"it-tentakli twal ta 'Pleubrachia jaqbdu prinċipalment għawwiema relattivament b'saħħithom bħal kopepodi adulti, filwaqt li l-bolinopsis ġeneralment jitfa' fuq iżgħar, Għawwiema aktar dgħajfa bħal rotifers u molluski u larva tal-krustaċji.")</f>
        <v>Kważi ċ-ctenophores kollha huma predaturi - m'hemmx vegetarjani u ġeneru wieħed biss li huwa parzjalment parassitiku. Jekk l-ikel huwa abbundanti, huma jistgħu jieklu 10 darbiet il-piż tagħhom stess kuljum. Filwaqt li Beroe jipprepara prinċipalment fuq ctenophores oħra, speċi oħra ta 'ilma tal-wiċċ priża fuq zooplankton (annimali planktoniċi) li jvarjaw fid-daqs mill-mikroskopiku, inklużi l-molluski u l-larva tal-ħut, għal krustaċji żgħar għall-adulti bħal kopepodi, anfipods, u anke Krill. Il-membri tal-ġeneru Haeckelia priża fuq il-bram u jinkorporaw in-nematokisti tal-priża tagħhom (ċelloli stinging) fit-tentakli tagħhom stess minflok il-kolloblasti. Ctenophores tqabblu ma 'brimb fil-firxa wiesgħa tagħhom ta' tekniki milli jaqbdu l-priża - uħud jiddendlu bla waqfien fl-ilma billi jużaw it-tentakli tagħhom bħala "nsiġ", uħud huma predaturi ta 'l-embush bħal brimb li jaqbżu l-melħ, u xi wħud mill-qtar li jwaħħal fl-aħħar ta' Ħajt fin, bħalma jagħmlu l-brimb Bolas. Din il-varjetà tispjega l-firxa wiesgħa ta 'forom tal-ġisem fi phylum bi ftit speċi. Il-lampea "cydippid" b'żewġ tentazzjonijiet titma 'esklussivament fuq salps, qraba mill-qrib ta' kwadri tal-baħar li jiffurmaw kolonji li jżommu f'katina kbira, u l-minorenni ta 'lampea jeħlu lilhom infushom bħal parassiti ma' Salps li huma kbar wisq biex jibilgħu. Membri tal-ġeneru Cydippid Pleurobrachia u l-lobate Bolinopsis ħafna drabi jilħqu densitajiet għoljin ta 'popolazzjoni fl-istess post u ħin minħabba li jispeċjalizzaw f'tipi differenti ta' priża: it-tentakli twal ta 'Pleubrachia jaqbdu prinċipalment għawwiema relattivament b'saħħithom bħal kopepodi adulti, filwaqt li l-bolinopsis ġeneralment jitfa' fuq iżgħar, Għawwiema aktar dgħajfa bħal rotifers u molluski u larva tal-krustaċji.</v>
      </c>
    </row>
    <row r="15155" ht="15.75" customHeight="1">
      <c r="A15155" s="2" t="s">
        <v>15155</v>
      </c>
      <c r="B15155" s="2" t="str">
        <f>IFERROR(__xludf.DUMMYFUNCTION("GOOGLETRANSLATE(A15155, ""en"", ""mt"")"),"fil-biċċa l-kbira wieħed")</f>
        <v>fil-biċċa l-kbira wieħed</v>
      </c>
    </row>
    <row r="15156" ht="15.75" customHeight="1">
      <c r="A15156" s="2" t="s">
        <v>15156</v>
      </c>
      <c r="B15156" s="2" t="str">
        <f>IFERROR(__xludf.DUMMYFUNCTION("GOOGLETRANSLATE(A15156, ""en"", ""mt"")"),"elettroni mhux imqabbda")</f>
        <v>elettroni mhux imqabbda</v>
      </c>
    </row>
    <row r="15157" ht="15.75" customHeight="1">
      <c r="A15157" s="2" t="s">
        <v>15157</v>
      </c>
      <c r="B15157" s="2" t="str">
        <f>IFERROR(__xludf.DUMMYFUNCTION("GOOGLETRANSLATE(A15157, ""en"", ""mt"")"),"F’liema sena l-istadium ta ’Harvard sar l-ewwel stadium rinforzat fil-konkrit fil-pajjiż?")</f>
        <v>F’liema sena l-istadium ta ’Harvard sar l-ewwel stadium rinforzat fil-konkrit fil-pajjiż?</v>
      </c>
    </row>
    <row r="15158" ht="15.75" customHeight="1">
      <c r="A15158" s="2" t="s">
        <v>15158</v>
      </c>
      <c r="B15158" s="2" t="str">
        <f>IFERROR(__xludf.DUMMYFUNCTION("GOOGLETRANSLATE(A15158, ""en"", ""mt"")"),"Liema mużew jippreserva l-memorja tal-kriminalità?")</f>
        <v>Liema mużew jippreserva l-memorja tal-kriminalità?</v>
      </c>
    </row>
    <row r="15159" ht="15.75" customHeight="1">
      <c r="A15159" s="2" t="s">
        <v>15159</v>
      </c>
      <c r="B15159" s="2" t="str">
        <f>IFERROR(__xludf.DUMMYFUNCTION("GOOGLETRANSLATE(A15159, ""en"", ""mt"")"),"Liema monument huwa fil-memorja tal-ikbar insurrezzjoni tal-WWII?")</f>
        <v>Liema monument huwa fil-memorja tal-ikbar insurrezzjoni tal-WWII?</v>
      </c>
    </row>
    <row r="15160" ht="15.75" customHeight="1">
      <c r="A15160" s="2" t="s">
        <v>15160</v>
      </c>
      <c r="B15160" s="2" t="str">
        <f>IFERROR(__xludf.DUMMYFUNCTION("GOOGLETRANSLATE(A15160, ""en"", ""mt"")"),"Somma ta 'diviżuri")</f>
        <v>Somma ta 'diviżuri</v>
      </c>
    </row>
    <row r="15161" ht="15.75" customHeight="1">
      <c r="A15161" s="2" t="s">
        <v>15161</v>
      </c>
      <c r="B15161" s="2" t="str">
        <f>IFERROR(__xludf.DUMMYFUNCTION("GOOGLETRANSLATE(A15161, ""en"", ""mt"")"),"Kemm linji tal-ferrovija dejqa tal-kejl kienu mibnija qabel l-1900?")</f>
        <v>Kemm linji tal-ferrovija dejqa tal-kejl kienu mibnija qabel l-1900?</v>
      </c>
    </row>
    <row r="15162" ht="15.75" customHeight="1">
      <c r="A15162" s="2" t="s">
        <v>15162</v>
      </c>
      <c r="B15162" s="2" t="str">
        <f>IFERROR(__xludf.DUMMYFUNCTION("GOOGLETRANSLATE(A15162, ""en"", ""mt"")"),"forza netta")</f>
        <v>forza netta</v>
      </c>
    </row>
    <row r="15163" ht="15.75" customHeight="1">
      <c r="A15163" s="2" t="s">
        <v>15163</v>
      </c>
      <c r="B15163" s="2" t="str">
        <f>IFERROR(__xludf.DUMMYFUNCTION("GOOGLETRANSLATE(A15163, ""en"", ""mt"")"),"L-università hija organizzata fi ħdax-il unità akkademika separati - għaxar fakultajiet u l-Istitut Radcliffe għal Studju Avvanzat - bil-kampus fiż-żona metropolitana ta 'Boston: il-kampus ewlieni ta' 209-acre (85 ettaru) tiegħu huwa ċċentrat fuq Harvard "&amp;"Yard f'Cambridge, madwar 3 mili (madwar 3 mili ( 5 km) fil-majjistral ta 'Boston; L-iskola tan-negozju u l-faċilitajiet tal-atletika, inkluż Harvard Stadium, jinsabu madwar ix-Xmara Charles fil-viċinat ta 'Allston ta' Boston u l-iskejjel mediċi, dentali u"&amp;" tas-saħħa pubblika jinsabu fiż-żona medika ta 'Longwood. Id-dotazzjoni finanzjarja ta '$ 37.6 biljun ta' Harvard hija l-akbar waħda minn kull istituzzjoni akkademika.")</f>
        <v>L-università hija organizzata fi ħdax-il unità akkademika separati - għaxar fakultajiet u l-Istitut Radcliffe għal Studju Avvanzat - bil-kampus fiż-żona metropolitana ta 'Boston: il-kampus ewlieni ta' 209-acre (85 ettaru) tiegħu huwa ċċentrat fuq Harvard Yard f'Cambridge, madwar 3 mili (madwar 3 mili ( 5 km) fil-majjistral ta 'Boston; L-iskola tan-negozju u l-faċilitajiet tal-atletika, inkluż Harvard Stadium, jinsabu madwar ix-Xmara Charles fil-viċinat ta 'Allston ta' Boston u l-iskejjel mediċi, dentali u tas-saħħa pubblika jinsabu fiż-żona medika ta 'Longwood. Id-dotazzjoni finanzjarja ta '$ 37.6 biljun ta' Harvard hija l-akbar waħda minn kull istituzzjoni akkademika.</v>
      </c>
    </row>
    <row r="15164" ht="15.75" customHeight="1">
      <c r="A15164" s="2" t="s">
        <v>15164</v>
      </c>
      <c r="B15164" s="2" t="str">
        <f>IFERROR(__xludf.DUMMYFUNCTION("GOOGLETRANSLATE(A15164, ""en"", ""mt"")"),"Eżempju ieħor ta 'riċerka xjentifika li tissuġġerixxi li stimi preċedenti mill-IPCC,' il bogħod mill-perikli u r-riskji eċċessivi, fil-fatt issottovalutawhom huwa studju dwar żidiet ipproġettati fil-livelli tal-baħar. Meta l-analiżi tar-riċerkaturi ġiet "&amp;"""applikata għax-xenarji possibbli deskritti mill-pannell intergovernattiv dwar it-tibdil fil-klima (IPCC), ir-riċerkaturi sabu li f'2100 livell tal-baħar ikun 0.5-11.4 m [50-140 cm] 'l fuq mil-livelli tal-1990. Dawn il-valuri. huma ħafna akbar mid-9-88 c"&amp;"m kif ipproġettat mill-IPCC innifsu fit-tielet rapport ta 'valutazzjoni tiegħu, ippubblikat fl-2001 "". Dan seta 'kien dovut, parzjalment, għall-fehim tal-bniedem li qed jespandi tal-klima.")</f>
        <v>Eżempju ieħor ta 'riċerka xjentifika li tissuġġerixxi li stimi preċedenti mill-IPCC,' il bogħod mill-perikli u r-riskji eċċessivi, fil-fatt issottovalutawhom huwa studju dwar żidiet ipproġettati fil-livelli tal-baħar. Meta l-analiżi tar-riċerkaturi ġiet "applikata għax-xenarji possibbli deskritti mill-pannell intergovernattiv dwar it-tibdil fil-klima (IPCC), ir-riċerkaturi sabu li f'2100 livell tal-baħar ikun 0.5-11.4 m [50-140 cm] 'l fuq mil-livelli tal-1990. Dawn il-valuri. huma ħafna akbar mid-9-88 cm kif ipproġettat mill-IPCC innifsu fit-tielet rapport ta 'valutazzjoni tiegħu, ippubblikat fl-2001 ". Dan seta 'kien dovut, parzjalment, għall-fehim tal-bniedem li qed jespandi tal-klima.</v>
      </c>
    </row>
    <row r="15165" ht="15.75" customHeight="1">
      <c r="A15165" s="2" t="s">
        <v>15165</v>
      </c>
      <c r="B15165" s="2" t="str">
        <f>IFERROR(__xludf.DUMMYFUNCTION("GOOGLETRANSLATE(A15165, ""en"", ""mt"")"),"Il-prinċipju ta 'inklużjonijiet u komponenti jiddikjara li, bi blat sedimentarji, jekk inklużjonijiet (jew clasts) jinstabu f'formazzjoni, allura l-inklużjonijiet għandhom ikunu eqdem mill-formazzjoni li fiha. Pereżempju, fil-blat sedimentarji, huwa komun"&amp;"i għal żrar minn formazzjoni anzjana li għandha tinqata 'u tkun inkluża f'saff aktar ġdid. Sitwazzjoni simili bi blat igneous isseħħ meta jinstabu xenoliti. Dawn il-korpi barranin jinġabru bħala flussi tal-magma jew tal-lava, u huma inkorporati, aktar tar"&amp;"d biex jiksħu fil-matriċi. Bħala riżultat, il-ksenoliti huma eqdem mill-blat li fih.")</f>
        <v>Il-prinċipju ta 'inklużjonijiet u komponenti jiddikjara li, bi blat sedimentarji, jekk inklużjonijiet (jew clasts) jinstabu f'formazzjoni, allura l-inklużjonijiet għandhom ikunu eqdem mill-formazzjoni li fiha. Pereżempju, fil-blat sedimentarji, huwa komuni għal żrar minn formazzjoni anzjana li għandha tinqata 'u tkun inkluża f'saff aktar ġdid. Sitwazzjoni simili bi blat igneous isseħħ meta jinstabu xenoliti. Dawn il-korpi barranin jinġabru bħala flussi tal-magma jew tal-lava, u huma inkorporati, aktar tard biex jiksħu fil-matriċi. Bħala riżultat, il-ksenoliti huma eqdem mill-blat li fih.</v>
      </c>
    </row>
    <row r="15166" ht="15.75" customHeight="1">
      <c r="A15166" s="2" t="s">
        <v>15166</v>
      </c>
      <c r="B15166" s="2" t="str">
        <f>IFERROR(__xludf.DUMMYFUNCTION("GOOGLETRANSLATE(A15166, ""en"", ""mt"")"),"Fl-internet kbir Mersenne Prime Search Hat kien il-premju biex tinstab prim b'mill-inqas 150,000 ċifra?")</f>
        <v>Fl-internet kbir Mersenne Prime Search Hat kien il-premju biex tinstab prim b'mill-inqas 150,000 ċifra?</v>
      </c>
    </row>
    <row r="15167" ht="15.75" customHeight="1">
      <c r="A15167" s="2" t="s">
        <v>15167</v>
      </c>
      <c r="B15167" s="2" t="str">
        <f>IFERROR(__xludf.DUMMYFUNCTION("GOOGLETRANSLATE(A15167, ""en"", ""mt"")"),"Dak li ma jintroduċix l-inugwaljanza f'pajjiż?")</f>
        <v>Dak li ma jintroduċix l-inugwaljanza f'pajjiż?</v>
      </c>
    </row>
    <row r="15168" ht="15.75" customHeight="1">
      <c r="A15168" s="2" t="s">
        <v>15168</v>
      </c>
      <c r="B15168" s="2" t="str">
        <f>IFERROR(__xludf.DUMMYFUNCTION("GOOGLETRANSLATE(A15168, ""en"", ""mt"")"),"Kemm il-vittmi kisbu l-Ingliżi?")</f>
        <v>Kemm il-vittmi kisbu l-Ingliżi?</v>
      </c>
    </row>
    <row r="15169" ht="15.75" customHeight="1">
      <c r="A15169" s="2" t="s">
        <v>15169</v>
      </c>
      <c r="B15169" s="2" t="str">
        <f>IFERROR(__xludf.DUMMYFUNCTION("GOOGLETRANSLATE(A15169, ""en"", ""mt"")"),"Teorija tal-Miasma")</f>
        <v>Teorija tal-Miasma</v>
      </c>
    </row>
    <row r="15170" ht="15.75" customHeight="1">
      <c r="A15170" s="2" t="s">
        <v>15170</v>
      </c>
      <c r="B15170" s="2" t="str">
        <f>IFERROR(__xludf.DUMMYFUNCTION("GOOGLETRANSLATE(A15170, ""en"", ""mt"")"),"Faqar bin-nofs")</f>
        <v>Faqar bin-nofs</v>
      </c>
    </row>
    <row r="15171" ht="15.75" customHeight="1">
      <c r="A15171" s="2" t="s">
        <v>15171</v>
      </c>
      <c r="B15171" s="2" t="str">
        <f>IFERROR(__xludf.DUMMYFUNCTION("GOOGLETRANSLATE(A15171, ""en"", ""mt"")"),"Skond Oxfam, it-58 persuna l-aktar sinjura għandhom ġid daqs kemm hemm nies medji?")</f>
        <v>Skond Oxfam, it-58 persuna l-aktar sinjura għandhom ġid daqs kemm hemm nies medji?</v>
      </c>
    </row>
    <row r="15172" ht="15.75" customHeight="1">
      <c r="A15172" s="2" t="s">
        <v>15172</v>
      </c>
      <c r="B15172" s="2" t="str">
        <f>IFERROR(__xludf.DUMMYFUNCTION("GOOGLETRANSLATE(A15172, ""en"", ""mt"")"),"Hemm ħafna forza netta meta jiġi kkunsidrat?")</f>
        <v>Hemm ħafna forza netta meta jiġi kkunsidrat?</v>
      </c>
    </row>
    <row r="15173" ht="15.75" customHeight="1">
      <c r="A15173" s="2" t="s">
        <v>15173</v>
      </c>
      <c r="B15173" s="2" t="str">
        <f>IFERROR(__xludf.DUMMYFUNCTION("GOOGLETRANSLATE(A15173, ""en"", ""mt"")"),"Kemm hemm kmamar il-Mużew Storiku Katyn?")</f>
        <v>Kemm hemm kmamar il-Mużew Storiku Katyn?</v>
      </c>
    </row>
    <row r="15174" ht="15.75" customHeight="1">
      <c r="A15174" s="2" t="s">
        <v>15174</v>
      </c>
      <c r="B15174" s="2" t="str">
        <f>IFERROR(__xludf.DUMMYFUNCTION("GOOGLETRANSLATE(A15174, ""en"", ""mt"")"),"Minbarra d-dotazzjonijiet u t-tagħlim, kif l-iskejjel tal-imbark ikopru l-ispejjeż operattivi tagħhom?")</f>
        <v>Minbarra d-dotazzjonijiet u t-tagħlim, kif l-iskejjel tal-imbark ikopru l-ispejjeż operattivi tagħhom?</v>
      </c>
    </row>
    <row r="15175" ht="15.75" customHeight="1">
      <c r="A15175" s="2" t="s">
        <v>15175</v>
      </c>
      <c r="B15175" s="2" t="str">
        <f>IFERROR(__xludf.DUMMYFUNCTION("GOOGLETRANSLATE(A15175, ""en"", ""mt"")"),"Huwa ġie megħlub")</f>
        <v>Huwa ġie megħlub</v>
      </c>
    </row>
    <row r="15176" ht="15.75" customHeight="1">
      <c r="A15176" s="2" t="s">
        <v>15176</v>
      </c>
      <c r="B15176" s="2" t="str">
        <f>IFERROR(__xludf.DUMMYFUNCTION("GOOGLETRANSLATE(A15176, ""en"", ""mt"")"),"Il-proposti finali għal assemblea Skoċċiża ġew mgħoddija mill-Parlament tal-Istati Uniti f'liema sena?")</f>
        <v>Il-proposti finali għal assemblea Skoċċiża ġew mgħoddija mill-Parlament tal-Istati Uniti f'liema sena?</v>
      </c>
    </row>
    <row r="15177" ht="15.75" customHeight="1">
      <c r="A15177" s="2" t="s">
        <v>15177</v>
      </c>
      <c r="B15177" s="2" t="str">
        <f>IFERROR(__xludf.DUMMYFUNCTION("GOOGLETRANSLATE(A15177, ""en"", ""mt"")"),"Esperjenza, ideoloġija, u armi")</f>
        <v>Esperjenza, ideoloġija, u armi</v>
      </c>
    </row>
    <row r="15178" ht="15.75" customHeight="1">
      <c r="A15178" s="2" t="s">
        <v>15178</v>
      </c>
      <c r="B15178" s="2" t="str">
        <f>IFERROR(__xludf.DUMMYFUNCTION("GOOGLETRANSLATE(A15178, ""en"", ""mt"")"),"Min qatt ma tpinġi r-relazzjonijiet bejn livelli ta 'dħul u inugwaljanza?")</f>
        <v>Min qatt ma tpinġi r-relazzjonijiet bejn livelli ta 'dħul u inugwaljanza?</v>
      </c>
    </row>
    <row r="15179" ht="15.75" customHeight="1">
      <c r="A15179" s="2" t="s">
        <v>15179</v>
      </c>
      <c r="B15179" s="2" t="str">
        <f>IFERROR(__xludf.DUMMYFUNCTION("GOOGLETRANSLATE(A15179, ""en"", ""mt"")"),"Charlesfort")</f>
        <v>Charlesfort</v>
      </c>
    </row>
    <row r="15180" ht="15.75" customHeight="1">
      <c r="A15180" s="2" t="s">
        <v>15180</v>
      </c>
      <c r="B15180" s="2" t="str">
        <f>IFERROR(__xludf.DUMMYFUNCTION("GOOGLETRANSLATE(A15180, ""en"", ""mt"")"),"aktar diffiċli")</f>
        <v>aktar diffiċli</v>
      </c>
    </row>
    <row r="15181" ht="15.75" customHeight="1">
      <c r="A15181" s="2" t="s">
        <v>15181</v>
      </c>
      <c r="B15181" s="2" t="str">
        <f>IFERROR(__xludf.DUMMYFUNCTION("GOOGLETRANSLATE(A15181, ""en"", ""mt"")"),"Relazzjoni tan-numru mal-valur korrispondenti tiegħu tal-funzjoni totjenti ta 'Euler")</f>
        <v>Relazzjoni tan-numru mal-valur korrispondenti tiegħu tal-funzjoni totjenti ta 'Euler</v>
      </c>
    </row>
    <row r="15182" ht="15.75" customHeight="1">
      <c r="A15182" s="2" t="s">
        <v>15182</v>
      </c>
      <c r="B15182" s="2" t="str">
        <f>IFERROR(__xludf.DUMMYFUNCTION("GOOGLETRANSLATE(A15182, ""en"", ""mt"")"),"Input kontinwu tas-sediment fil-lag")</f>
        <v>Input kontinwu tas-sediment fil-lag</v>
      </c>
    </row>
    <row r="15183" ht="15.75" customHeight="1">
      <c r="A15183" s="2" t="s">
        <v>15183</v>
      </c>
      <c r="B15183" s="2" t="str">
        <f>IFERROR(__xludf.DUMMYFUNCTION("GOOGLETRANSLATE(A15183, ""en"", ""mt"")"),"Min żviluppa l-batterija tal-jone tal-litju?")</f>
        <v>Min żviluppa l-batterija tal-jone tal-litju?</v>
      </c>
    </row>
    <row r="15184" ht="15.75" customHeight="1">
      <c r="A15184" s="2" t="s">
        <v>15184</v>
      </c>
      <c r="B15184" s="2" t="str">
        <f>IFERROR(__xludf.DUMMYFUNCTION("GOOGLETRANSLATE(A15184, ""en"", ""mt"")"),"Il-kejl tal-laboratorju tal-forzi huwa kompletament inkonsistenti ma 'xiex?")</f>
        <v>Il-kejl tal-laboratorju tal-forzi huwa kompletament inkonsistenti ma 'xiex?</v>
      </c>
    </row>
    <row r="15185" ht="15.75" customHeight="1">
      <c r="A15185" s="2" t="s">
        <v>15185</v>
      </c>
      <c r="B15185" s="2" t="str">
        <f>IFERROR(__xludf.DUMMYFUNCTION("GOOGLETRANSLATE(A15185, ""en"", ""mt"")"),"X’ma jaħbix fatturi kostanti jew termini iżgħar?")</f>
        <v>X’ma jaħbix fatturi kostanti jew termini iżgħar?</v>
      </c>
    </row>
    <row r="15186" ht="15.75" customHeight="1">
      <c r="A15186" s="2" t="s">
        <v>15186</v>
      </c>
      <c r="B15186" s="2" t="str">
        <f>IFERROR(__xludf.DUMMYFUNCTION("GOOGLETRANSLATE(A15186, ""en"", ""mt"")"),"1700")</f>
        <v>1700</v>
      </c>
    </row>
    <row r="15187" ht="15.75" customHeight="1">
      <c r="A15187" s="2" t="s">
        <v>15187</v>
      </c>
      <c r="B15187" s="2" t="str">
        <f>IFERROR(__xludf.DUMMYFUNCTION("GOOGLETRANSLATE(A15187, ""en"", ""mt"")"),"Kemm hemm tipi ta 'netwerks X.25 oriġinarjament kien hemm")</f>
        <v>Kemm hemm tipi ta 'netwerks X.25 oriġinarjament kien hemm</v>
      </c>
    </row>
    <row r="15188" ht="15.75" customHeight="1">
      <c r="A15188" s="2" t="s">
        <v>15188</v>
      </c>
      <c r="B15188" s="2" t="str">
        <f>IFERROR(__xludf.DUMMYFUNCTION("GOOGLETRANSLATE(A15188, ""en"", ""mt"")"),"1313")</f>
        <v>1313</v>
      </c>
    </row>
    <row r="15189" ht="15.75" customHeight="1">
      <c r="A15189" s="2" t="s">
        <v>15189</v>
      </c>
      <c r="B15189" s="2" t="str">
        <f>IFERROR(__xludf.DUMMYFUNCTION("GOOGLETRANSLATE(A15189, ""en"", ""mt"")"),"Dallas")</f>
        <v>Dallas</v>
      </c>
    </row>
    <row r="15190" ht="15.75" customHeight="1">
      <c r="A15190" s="2" t="s">
        <v>15190</v>
      </c>
      <c r="B15190" s="2" t="str">
        <f>IFERROR(__xludf.DUMMYFUNCTION("GOOGLETRANSLATE(A15190, ""en"", ""mt"")"),"Min ipproduċa biżżejjed ossiġnu biex jistudja fl-1819?")</f>
        <v>Min ipproduċa biżżejjed ossiġnu biex jistudja fl-1819?</v>
      </c>
    </row>
    <row r="15191" ht="15.75" customHeight="1">
      <c r="A15191" s="2" t="s">
        <v>15191</v>
      </c>
      <c r="B15191" s="2" t="str">
        <f>IFERROR(__xludf.DUMMYFUNCTION("GOOGLETRANSLATE(A15191, ""en"", ""mt"")"),"Min speċifikament HT jimmira biex iżomm l-opinjoni?")</f>
        <v>Min speċifikament HT jimmira biex iżomm l-opinjoni?</v>
      </c>
    </row>
    <row r="15192" ht="15.75" customHeight="1">
      <c r="A15192" s="2" t="s">
        <v>15192</v>
      </c>
      <c r="B15192" s="2" t="str">
        <f>IFERROR(__xludf.DUMMYFUNCTION("GOOGLETRANSLATE(A15192, ""en"", ""mt"")"),"il-ġenna eterna")</f>
        <v>il-ġenna eterna</v>
      </c>
    </row>
    <row r="15193" ht="15.75" customHeight="1">
      <c r="A15193" s="2" t="s">
        <v>15193</v>
      </c>
      <c r="B15193" s="2" t="str">
        <f>IFERROR(__xludf.DUMMYFUNCTION("GOOGLETRANSLATE(A15193, ""en"", ""mt"")"),"X'kien it-tul aċċettat tar-Renu qabel l-1932?")</f>
        <v>X'kien it-tul aċċettat tar-Renu qabel l-1932?</v>
      </c>
    </row>
    <row r="15194" ht="15.75" customHeight="1">
      <c r="A15194" s="2" t="s">
        <v>15194</v>
      </c>
      <c r="B15194" s="2" t="str">
        <f>IFERROR(__xludf.DUMMYFUNCTION("GOOGLETRANSLATE(A15194, ""en"", ""mt"")"),"Il-kontej tagħha ta 'Los Angeles, Orange, San Diego, San Bernardino, u Riverside huma l-ħames l-aktar popolati fl-istat u kollha jinsabu fl-aqwa 15-il kontej l-iktar popolati fl-Istati Uniti.")</f>
        <v>Il-kontej tagħha ta 'Los Angeles, Orange, San Diego, San Bernardino, u Riverside huma l-ħames l-aktar popolati fl-istat u kollha jinsabu fl-aqwa 15-il kontej l-iktar popolati fl-Istati Uniti.</v>
      </c>
    </row>
    <row r="15195" ht="15.75" customHeight="1">
      <c r="A15195" s="2" t="s">
        <v>15195</v>
      </c>
      <c r="B15195" s="2" t="str">
        <f>IFERROR(__xludf.DUMMYFUNCTION("GOOGLETRANSLATE(A15195, ""en"", ""mt"")"),"Annabel Goldie")</f>
        <v>Annabel Goldie</v>
      </c>
    </row>
    <row r="15196" ht="15.75" customHeight="1">
      <c r="A15196" s="2" t="s">
        <v>15196</v>
      </c>
      <c r="B15196" s="2" t="str">
        <f>IFERROR(__xludf.DUMMYFUNCTION("GOOGLETRANSLATE(A15196, ""en"", ""mt"")"),"X'kienet l-insinifikanti tar-rebħa Ingliża?")</f>
        <v>X'kienet l-insinifikanti tar-rebħa Ingliża?</v>
      </c>
    </row>
    <row r="15197" ht="15.75" customHeight="1">
      <c r="A15197" s="2" t="s">
        <v>15197</v>
      </c>
      <c r="B15197" s="2" t="str">
        <f>IFERROR(__xludf.DUMMYFUNCTION("GOOGLETRANSLATE(A15197, ""en"", ""mt"")"),"Kemm hemm tumens Khitan?")</f>
        <v>Kemm hemm tumens Khitan?</v>
      </c>
    </row>
    <row r="15198" ht="15.75" customHeight="1">
      <c r="A15198" s="2" t="s">
        <v>15198</v>
      </c>
      <c r="B15198" s="2" t="str">
        <f>IFERROR(__xludf.DUMMYFUNCTION("GOOGLETRANSLATE(A15198, ""en"", ""mt"")"),"Protesti lejn il-politika pubblika")</f>
        <v>Protesti lejn il-politika pubblika</v>
      </c>
    </row>
    <row r="15199" ht="15.75" customHeight="1">
      <c r="A15199" s="2" t="s">
        <v>15199</v>
      </c>
      <c r="B15199" s="2" t="str">
        <f>IFERROR(__xludf.DUMMYFUNCTION("GOOGLETRANSLATE(A15199, ""en"", ""mt"")"),"Taħt liema politika huma skoraġġuti l-għaqdiet tax-xogħol?")</f>
        <v>Taħt liema politika huma skoraġġuti l-għaqdiet tax-xogħol?</v>
      </c>
    </row>
    <row r="15200" ht="15.75" customHeight="1">
      <c r="A15200" s="2" t="s">
        <v>15200</v>
      </c>
      <c r="B15200" s="2" t="str">
        <f>IFERROR(__xludf.DUMMYFUNCTION("GOOGLETRANSLATE(A15200, ""en"", ""mt"")"),"Għaliex Varsavja kisbet it-titlu tal- ""Phoenix City""?")</f>
        <v>Għaliex Varsavja kisbet it-titlu tal- "Phoenix City"?</v>
      </c>
    </row>
    <row r="15201" ht="15.75" customHeight="1">
      <c r="A15201" s="2" t="s">
        <v>15201</v>
      </c>
      <c r="B15201" s="2" t="str">
        <f>IFERROR(__xludf.DUMMYFUNCTION("GOOGLETRANSLATE(A15201, ""en"", ""mt"")"),"Anticlines u synclines")</f>
        <v>Anticlines u synclines</v>
      </c>
    </row>
    <row r="15202" ht="15.75" customHeight="1">
      <c r="A15202" s="2" t="s">
        <v>15202</v>
      </c>
      <c r="B15202" s="2" t="str">
        <f>IFERROR(__xludf.DUMMYFUNCTION("GOOGLETRANSLATE(A15202, ""en"", ""mt"")"),"Eżempju ta 'problema ta' deċiżjoni huwa dan li ġej. L-input huwa graff arbitrarju. Il-problema tikkonsisti fid-deċiżjoni jekk il-graff mogħti huwiex konness, jew le. Il-lingwa formali assoċjata ma 'din il-problema ta' deċiżjoni hija s-sett tal-graffs koll"&amp;"ha konnessi - naturalment, biex tinkiseb definizzjoni preċiża ta 'din il-lingwa, wieħed irid jiddeċiedi kif il-graffs huma kkodifikati bħala kordi binarji.")</f>
        <v>Eżempju ta 'problema ta' deċiżjoni huwa dan li ġej. L-input huwa graff arbitrarju. Il-problema tikkonsisti fid-deċiżjoni jekk il-graff mogħti huwiex konness, jew le. Il-lingwa formali assoċjata ma 'din il-problema ta' deċiżjoni hija s-sett tal-graffs kollha konnessi - naturalment, biex tinkiseb definizzjoni preċiża ta 'din il-lingwa, wieħed irid jiddeċiedi kif il-graffs huma kkodifikati bħala kordi binarji.</v>
      </c>
    </row>
    <row r="15203" ht="15.75" customHeight="1">
      <c r="A15203" s="2" t="s">
        <v>15203</v>
      </c>
      <c r="B15203" s="2" t="str">
        <f>IFERROR(__xludf.DUMMYFUNCTION("GOOGLETRANSLATE(A15203, ""en"", ""mt"")")," X'tip ta 'letteratura kienu d-darwiniżmu soċjali u t-teoriji tar-razza?")</f>
        <v> X'tip ta 'letteratura kienu d-darwiniżmu soċjali u t-teoriji tar-razza?</v>
      </c>
    </row>
    <row r="15204" ht="15.75" customHeight="1">
      <c r="A15204" s="2" t="s">
        <v>15204</v>
      </c>
      <c r="B15204" s="2" t="str">
        <f>IFERROR(__xludf.DUMMYFUNCTION("GOOGLETRANSLATE(A15204, ""en"", ""mt"")"),"Minn liema università kienu Zygumunt Olszewski u Karol Wroblewski?")</f>
        <v>Minn liema università kienu Zygumunt Olszewski u Karol Wroblewski?</v>
      </c>
    </row>
    <row r="15205" ht="15.75" customHeight="1">
      <c r="A15205" s="2" t="s">
        <v>15205</v>
      </c>
      <c r="B15205" s="2" t="str">
        <f>IFERROR(__xludf.DUMMYFUNCTION("GOOGLETRANSLATE(A15205, ""en"", ""mt"")"),"Liema xogħol minn madwar 300 QK għandu teoremi sinifikanti dwar in-numri ewlenin?")</f>
        <v>Liema xogħol minn madwar 300 QK għandu teoremi sinifikanti dwar in-numri ewlenin?</v>
      </c>
    </row>
    <row r="15206" ht="15.75" customHeight="1">
      <c r="A15206" s="2" t="s">
        <v>15206</v>
      </c>
      <c r="B15206" s="2" t="str">
        <f>IFERROR(__xludf.DUMMYFUNCTION("GOOGLETRANSLATE(A15206, ""en"", ""mt"")"),"1,600 mm")</f>
        <v>1,600 mm</v>
      </c>
    </row>
    <row r="15207" ht="15.75" customHeight="1">
      <c r="A15207" s="2" t="s">
        <v>15207</v>
      </c>
      <c r="B15207" s="2" t="str">
        <f>IFERROR(__xludf.DUMMYFUNCTION("GOOGLETRANSLATE(A15207, ""en"", ""mt"")"),"F'liema sena nediet l-Ewwel Gwerra Dinjija?")</f>
        <v>F'liema sena nediet l-Ewwel Gwerra Dinjija?</v>
      </c>
    </row>
    <row r="15208" ht="15.75" customHeight="1">
      <c r="A15208" s="2" t="s">
        <v>15208</v>
      </c>
      <c r="B15208" s="2" t="str">
        <f>IFERROR(__xludf.DUMMYFUNCTION("GOOGLETRANSLATE(A15208, ""en"", ""mt"")"),"Lewkoċiti (ċelloli bojod tad-demm) jaġixxu bħal organiżmi indipendenti b'ċelluli singoli u huma t-tieni fergħa tas-sistema immuni innata. Il-lewkoċiti innati jinkludu l-fagoċiti (makrofaġi, newtrofili, u ċelloli dendritiċi), ċelloli mast, eosinophils, bas"&amp;"ophils, u ċelloli qattiela naturali. Dawn iċ-ċelloli jidentifikaw u jeliminaw il-patoġeni, jew billi jattakkaw patoġeni akbar permezz ta 'kuntatt jew billi jinħadmu u mbagħad joqtlu mikro-organiżmi. Iċ-ċelloli innati huma wkoll medjaturi importanti fl-att"&amp;"ivazzjoni tas-sistema immunitarja adattiva.")</f>
        <v>Lewkoċiti (ċelloli bojod tad-demm) jaġixxu bħal organiżmi indipendenti b'ċelluli singoli u huma t-tieni fergħa tas-sistema immuni innata. Il-lewkoċiti innati jinkludu l-fagoċiti (makrofaġi, newtrofili, u ċelloli dendritiċi), ċelloli mast, eosinophils, basophils, u ċelloli qattiela naturali. Dawn iċ-ċelloli jidentifikaw u jeliminaw il-patoġeni, jew billi jattakkaw patoġeni akbar permezz ta 'kuntatt jew billi jinħadmu u mbagħad joqtlu mikro-organiżmi. Iċ-ċelloli innati huma wkoll medjaturi importanti fl-attivazzjoni tas-sistema immunitarja adattiva.</v>
      </c>
    </row>
    <row r="15209" ht="15.75" customHeight="1">
      <c r="A15209" s="2" t="s">
        <v>15209</v>
      </c>
      <c r="B15209" s="2" t="str">
        <f>IFERROR(__xludf.DUMMYFUNCTION("GOOGLETRANSLATE(A15209, ""en"", ""mt"")"),"bħala irrazzjonali u lura")</f>
        <v>bħala irrazzjonali u lura</v>
      </c>
    </row>
    <row r="15210" ht="15.75" customHeight="1">
      <c r="A15210" s="2" t="s">
        <v>15210</v>
      </c>
      <c r="B15210" s="2" t="str">
        <f>IFERROR(__xludf.DUMMYFUNCTION("GOOGLETRANSLATE(A15210, ""en"", ""mt"")"),"Qabel l-Ewwel Gwerra Dinjija")</f>
        <v>Qabel l-Ewwel Gwerra Dinjija</v>
      </c>
    </row>
    <row r="15211" ht="15.75" customHeight="1">
      <c r="A15211" s="2" t="s">
        <v>15211</v>
      </c>
      <c r="B15211" s="2" t="str">
        <f>IFERROR(__xludf.DUMMYFUNCTION("GOOGLETRANSLATE(A15211, ""en"", ""mt"")"),"kontra l-Prussja u l-alleati tagħha")</f>
        <v>kontra l-Prussja u l-alleati tagħha</v>
      </c>
    </row>
    <row r="15212" ht="15.75" customHeight="1">
      <c r="A15212" s="2" t="s">
        <v>15212</v>
      </c>
      <c r="B15212" s="2" t="str">
        <f>IFERROR(__xludf.DUMMYFUNCTION("GOOGLETRANSLATE(A15212, ""en"", ""mt"")"),"Kemm tista 'tikber il-larva tal-ħut malajr?")</f>
        <v>Kemm tista 'tikber il-larva tal-ħut malajr?</v>
      </c>
    </row>
    <row r="15213" ht="15.75" customHeight="1">
      <c r="A15213" s="2" t="s">
        <v>15213</v>
      </c>
      <c r="B15213" s="2" t="str">
        <f>IFERROR(__xludf.DUMMYFUNCTION("GOOGLETRANSLATE(A15213, ""en"", ""mt"")"),"Bojkotts illegali")</f>
        <v>Bojkotts illegali</v>
      </c>
    </row>
    <row r="15214" ht="15.75" customHeight="1">
      <c r="A15214" s="2" t="s">
        <v>15214</v>
      </c>
      <c r="B15214" s="2" t="str">
        <f>IFERROR(__xludf.DUMMYFUNCTION("GOOGLETRANSLATE(A15214, ""en"", ""mt"")"),"Liema ġeneru ta 'ctenophores m'għandux larva simili għal cydipped?")</f>
        <v>Liema ġeneru ta 'ctenophores m'għandux larva simili għal cydipped?</v>
      </c>
    </row>
    <row r="15215" ht="15.75" customHeight="1">
      <c r="A15215" s="2" t="s">
        <v>15215</v>
      </c>
      <c r="B15215" s="2" t="str">
        <f>IFERROR(__xludf.DUMMYFUNCTION("GOOGLETRANSLATE(A15215, ""en"", ""mt"")"),"Min qabad lil Fort Beausejour?")</f>
        <v>Min qabad lil Fort Beausejour?</v>
      </c>
    </row>
    <row r="15216" ht="15.75" customHeight="1">
      <c r="A15216" s="2" t="s">
        <v>15216</v>
      </c>
      <c r="B15216" s="2" t="str">
        <f>IFERROR(__xludf.DUMMYFUNCTION("GOOGLETRANSLATE(A15216, ""en"", ""mt"")"),"Kulleġġ")</f>
        <v>Kulleġġ</v>
      </c>
    </row>
    <row r="15217" ht="15.75" customHeight="1">
      <c r="A15217" s="2" t="s">
        <v>15217</v>
      </c>
      <c r="B15217" s="2" t="str">
        <f>IFERROR(__xludf.DUMMYFUNCTION("GOOGLETRANSLATE(A15217, ""en"", ""mt"")"),"diskors sfidanti")</f>
        <v>diskors sfidanti</v>
      </c>
    </row>
    <row r="15218" ht="15.75" customHeight="1">
      <c r="A15218" s="2" t="s">
        <v>15218</v>
      </c>
      <c r="B15218" s="2" t="str">
        <f>IFERROR(__xludf.DUMMYFUNCTION("GOOGLETRANSLATE(A15218, ""en"", ""mt"")"),"Fuq xiex m'għadx hemm limitazzjonijiet mill-1990?")</f>
        <v>Fuq xiex m'għadx hemm limitazzjonijiet mill-1990?</v>
      </c>
    </row>
    <row r="15219" ht="15.75" customHeight="1">
      <c r="A15219" s="2" t="s">
        <v>15219</v>
      </c>
      <c r="B15219" s="2" t="str">
        <f>IFERROR(__xludf.DUMMYFUNCTION("GOOGLETRANSLATE(A15219, ""en"", ""mt"")"),"Piłsudski")</f>
        <v>Piłsudski</v>
      </c>
    </row>
    <row r="15220" ht="15.75" customHeight="1">
      <c r="A15220" s="2" t="s">
        <v>15220</v>
      </c>
      <c r="B15220" s="2" t="str">
        <f>IFERROR(__xludf.DUMMYFUNCTION("GOOGLETRANSLATE(A15220, ""en"", ""mt"")"),"Id-Distrett ta ’Charleston Orange")</f>
        <v>Id-Distrett ta ’Charleston Orange</v>
      </c>
    </row>
    <row r="15221" ht="15.75" customHeight="1">
      <c r="A15221" s="2" t="s">
        <v>15221</v>
      </c>
      <c r="B15221" s="2" t="str">
        <f>IFERROR(__xludf.DUMMYFUNCTION("GOOGLETRANSLATE(A15221, ""en"", ""mt"")"),"Ibdel it-tradizzjonijiet kulturali, drawwiet soċjali, twemmin reliġjuż, eċċ")</f>
        <v>Ibdel it-tradizzjonijiet kulturali, drawwiet soċjali, twemmin reliġjuż, eċċ</v>
      </c>
    </row>
    <row r="15222" ht="15.75" customHeight="1">
      <c r="A15222" s="2" t="s">
        <v>15222</v>
      </c>
      <c r="B15222" s="2" t="str">
        <f>IFERROR(__xludf.DUMMYFUNCTION("GOOGLETRANSLATE(A15222, ""en"", ""mt"")"),"X'inhu l-proċess ta 'tilqim magħruf ukoll bħala?")</f>
        <v>X'inhu l-proċess ta 'tilqim magħruf ukoll bħala?</v>
      </c>
    </row>
    <row r="15223" ht="15.75" customHeight="1">
      <c r="A15223" s="2" t="s">
        <v>15223</v>
      </c>
      <c r="B15223" s="2" t="str">
        <f>IFERROR(__xludf.DUMMYFUNCTION("GOOGLETRANSLATE(A15223, ""en"", ""mt"")"),"F'liema rivista Oppenheimer iddefendiet l-approċċ tal-kunsens?")</f>
        <v>F'liema rivista Oppenheimer iddefendiet l-approċċ tal-kunsens?</v>
      </c>
    </row>
    <row r="15224" ht="15.75" customHeight="1">
      <c r="A15224" s="2" t="s">
        <v>15224</v>
      </c>
      <c r="B15224" s="2" t="str">
        <f>IFERROR(__xludf.DUMMYFUNCTION("GOOGLETRANSLATE(A15224, ""en"", ""mt"")"),"1927")</f>
        <v>1927</v>
      </c>
    </row>
    <row r="15225" ht="15.75" customHeight="1">
      <c r="A15225" s="2" t="s">
        <v>15225</v>
      </c>
      <c r="B15225" s="2" t="str">
        <f>IFERROR(__xludf.DUMMYFUNCTION("GOOGLETRANSLATE(A15225, ""en"", ""mt"")"),"Prattika tal-Ispiżerija tax-Xjenza u x-Xjenza tal-Informazzjoni Applikata")</f>
        <v>Prattika tal-Ispiżerija tax-Xjenza u x-Xjenza tal-Informazzjoni Applikata</v>
      </c>
    </row>
    <row r="15226" ht="15.75" customHeight="1">
      <c r="A15226" s="2" t="s">
        <v>15226</v>
      </c>
      <c r="B15226" s="2" t="str">
        <f>IFERROR(__xludf.DUMMYFUNCTION("GOOGLETRANSLATE(A15226, ""en"", ""mt"")"),"Hilux")</f>
        <v>Hilux</v>
      </c>
    </row>
    <row r="15227" ht="15.75" customHeight="1">
      <c r="A15227" s="2" t="s">
        <v>15227</v>
      </c>
      <c r="B15227" s="2" t="str">
        <f>IFERROR(__xludf.DUMMYFUNCTION("GOOGLETRANSLATE(A15227, ""en"", ""mt"")"),"Liema persentaġġ tal-korp tal-istudenti ġie affettwat mill-inflazzjoni tal-grad fl-2004?")</f>
        <v>Liema persentaġġ tal-korp tal-istudenti ġie affettwat mill-inflazzjoni tal-grad fl-2004?</v>
      </c>
    </row>
    <row r="15228" ht="15.75" customHeight="1">
      <c r="A15228" s="2" t="s">
        <v>15228</v>
      </c>
      <c r="B15228" s="2" t="str">
        <f>IFERROR(__xludf.DUMMYFUNCTION("GOOGLETRANSLATE(A15228, ""en"", ""mt"")"),"UNEP")</f>
        <v>UNEP</v>
      </c>
    </row>
    <row r="15229" ht="15.75" customHeight="1">
      <c r="A15229" s="2" t="s">
        <v>15229</v>
      </c>
      <c r="B15229" s="2" t="str">
        <f>IFERROR(__xludf.DUMMYFUNCTION("GOOGLETRANSLATE(A15229, ""en"", ""mt"")"),"Il-mexxejja ta 'Bolshevik kienu stabbilixxew b'mod effettiv il-politika bejn wieħed u ieħor bl-istess punt bħal dak l-imperu sal-1921, madankollu b'ideoloġija internazzjonalista: Lenin b'mod partikolari afferma d-dritt għal awtodeterminazzjoni limitata għ"&amp;"al minoranzi nazzjonali fit-territorju l-ġdid. Mill-1923, il-politika ta '""indiġenizzazzjoni"" [Korenizatsiia] kienet maħsuba biex tappoġġja dawk li mhumiex Russi jiżviluppaw il-kulturi nazzjonali tagħhom fi ħdan qafas soċjalista. Qatt ma ġie revokat for"&amp;"malment, huwa waqaf jiġi implimentat wara l-1932. Wara t-Tieni Gwerra Dinjija, l-Unjoni Sovjetika installat reġimi soċjalisti mfassla fuq dawk li kienet installat fl-1919-20 fl-imperu tsarist il-qadim f'żoni l-forzi tagħha okkupati fl-Ewropa tal-Lvant. L-"&amp;"Unjoni Sovjetika u r-Repubblika tal-Poplu taċ-Ċina appoġġjaw il-movimenti komunisti ta 'wara t-Tieni Gwerra Dinjija f'pajjiżi barranin u kolonji biex javvanzaw l-interessi tagħhom stess, iżda mhux dejjem kellhom suċċess.")</f>
        <v>Il-mexxejja ta 'Bolshevik kienu stabbilixxew b'mod effettiv il-politika bejn wieħed u ieħor bl-istess punt bħal dak l-imperu sal-1921, madankollu b'ideoloġija internazzjonalista: Lenin b'mod partikolari afferma d-dritt għal awtodeterminazzjoni limitata għal minoranzi nazzjonali fit-territorju l-ġdid. Mill-1923, il-politika ta '"indiġenizzazzjoni" [Korenizatsiia] kienet maħsuba biex tappoġġja dawk li mhumiex Russi jiżviluppaw il-kulturi nazzjonali tagħhom fi ħdan qafas soċjalista. Qatt ma ġie revokat formalment, huwa waqaf jiġi implimentat wara l-1932. Wara t-Tieni Gwerra Dinjija, l-Unjoni Sovjetika installat reġimi soċjalisti mfassla fuq dawk li kienet installat fl-1919-20 fl-imperu tsarist il-qadim f'żoni l-forzi tagħha okkupati fl-Ewropa tal-Lvant. L-Unjoni Sovjetika u r-Repubblika tal-Poplu taċ-Ċina appoġġjaw il-movimenti komunisti ta 'wara t-Tieni Gwerra Dinjija f'pajjiżi barranin u kolonji biex javvanzaw l-interessi tagħhom stess, iżda mhux dejjem kellhom suċċess.</v>
      </c>
    </row>
    <row r="15230" ht="15.75" customHeight="1">
      <c r="A15230" s="2" t="s">
        <v>15230</v>
      </c>
      <c r="B15230" s="2" t="str">
        <f>IFERROR(__xludf.DUMMYFUNCTION("GOOGLETRANSLATE(A15230, ""en"", ""mt"")"),"Matul is-snin 1980")</f>
        <v>Matul is-snin 1980</v>
      </c>
    </row>
    <row r="15231" ht="15.75" customHeight="1">
      <c r="A15231" s="2" t="s">
        <v>15231</v>
      </c>
      <c r="B15231" s="2" t="str">
        <f>IFERROR(__xludf.DUMMYFUNCTION("GOOGLETRANSLATE(A15231, ""en"", ""mt"")"),"Fi tmiem l-Ewwel Gwerra Dinjija, ir-Rhineland kien soġġett għat-Trattat ta ’Versailles. Dan iddikjara li se jkun okkupat mill-Alleati, sal-1935 u wara dan, kienet tkun żona demilitarizzata, bl-armata Ġermaniża tiġi pprojbita li tidħol. It-Trattat ta 'Vers"&amp;"ailles u din id-dispożizzjoni partikolari, b'mod ġenerali, ikkawżaw ħafna riżentiment fil-Ġermanja u ħafna drabi huma kkwotati bħala li jgħinu l-lok għall-poter ta' Adolf Hitler. L-Alleati ħallew ir-Rhineland, fl-1930 u l-Armata Ġermaniża reġgħet okkupath"&amp;"a fl-1936, li kienet popolari ħafna fil-Ġermanja. Għalkemm l-Alleati probabbilment setgħu żammew l-okkupazzjoni mill-ġdid, il-Gran Brittanja u Franza ma kinux inklinati li jagħmlu dan, karatteristika tal-politika tagħhom ta 'attestazzjoni għal Hitler.")</f>
        <v>Fi tmiem l-Ewwel Gwerra Dinjija, ir-Rhineland kien soġġett għat-Trattat ta ’Versailles. Dan iddikjara li se jkun okkupat mill-Alleati, sal-1935 u wara dan, kienet tkun żona demilitarizzata, bl-armata Ġermaniża tiġi pprojbita li tidħol. It-Trattat ta 'Versailles u din id-dispożizzjoni partikolari, b'mod ġenerali, ikkawżaw ħafna riżentiment fil-Ġermanja u ħafna drabi huma kkwotati bħala li jgħinu l-lok għall-poter ta' Adolf Hitler. L-Alleati ħallew ir-Rhineland, fl-1930 u l-Armata Ġermaniża reġgħet okkupatha fl-1936, li kienet popolari ħafna fil-Ġermanja. Għalkemm l-Alleati probabbilment setgħu żammew l-okkupazzjoni mill-ġdid, il-Gran Brittanja u Franza ma kinux inklinati li jagħmlu dan, karatteristika tal-politika tagħhom ta 'attestazzjoni għal Hitler.</v>
      </c>
    </row>
    <row r="15232" ht="15.75" customHeight="1">
      <c r="A15232" s="2" t="s">
        <v>15232</v>
      </c>
      <c r="B15232" s="2" t="str">
        <f>IFERROR(__xludf.DUMMYFUNCTION("GOOGLETRANSLATE(A15232, ""en"", ""mt"")"),"Kull waħda miż-żoni metropolitani estiżi għandha popolazzjoni li taqbeż liema numru?")</f>
        <v>Kull waħda miż-żoni metropolitani estiżi għandha popolazzjoni li taqbeż liema numru?</v>
      </c>
    </row>
    <row r="15233" ht="15.75" customHeight="1">
      <c r="A15233" s="2" t="s">
        <v>15233</v>
      </c>
      <c r="B15233" s="2" t="str">
        <f>IFERROR(__xludf.DUMMYFUNCTION("GOOGLETRANSLATE(A15233, ""en"", ""mt"")"),"Meta ġie ffurmat l-Imperu Holland?")</f>
        <v>Meta ġie ffurmat l-Imperu Holland?</v>
      </c>
    </row>
    <row r="15234" ht="15.75" customHeight="1">
      <c r="A15234" s="2" t="s">
        <v>15234</v>
      </c>
      <c r="B15234" s="2" t="str">
        <f>IFERROR(__xludf.DUMMYFUNCTION("GOOGLETRANSLATE(A15234, ""en"", ""mt"")"),"Meta beda l-programm ta 'ritratt tar-Rhine?")</f>
        <v>Meta beda l-programm ta 'ritratt tar-Rhine?</v>
      </c>
    </row>
    <row r="15235" ht="15.75" customHeight="1">
      <c r="A15235" s="2" t="s">
        <v>15235</v>
      </c>
      <c r="B15235" s="2" t="str">
        <f>IFERROR(__xludf.DUMMYFUNCTION("GOOGLETRANSLATE(A15235, ""en"", ""mt"")"),"Kemm mużewijiet jinkludu mużewijiet tal-arti ta 'Harvard?")</f>
        <v>Kemm mużewijiet jinkludu mużewijiet tal-arti ta 'Harvard?</v>
      </c>
    </row>
    <row r="15236" ht="15.75" customHeight="1">
      <c r="A15236" s="2" t="s">
        <v>15236</v>
      </c>
      <c r="B15236" s="2" t="str">
        <f>IFERROR(__xludf.DUMMYFUNCTION("GOOGLETRANSLATE(A15236, ""en"", ""mt"")"),"X'kien qed jikkawża Franza l-ġdida li ma jkollhiex problemi dwar il-provvista mill-ġdid?")</f>
        <v>X'kien qed jikkawża Franza l-ġdida li ma jkollhiex problemi dwar il-provvista mill-ġdid?</v>
      </c>
    </row>
    <row r="15237" ht="15.75" customHeight="1">
      <c r="A15237" s="2" t="s">
        <v>15237</v>
      </c>
      <c r="B15237" s="2" t="str">
        <f>IFERROR(__xludf.DUMMYFUNCTION("GOOGLETRANSLATE(A15237, ""en"", ""mt"")"),"−2, −4")</f>
        <v>−2, −4</v>
      </c>
    </row>
    <row r="15238" ht="15.75" customHeight="1">
      <c r="A15238" s="2" t="s">
        <v>15238</v>
      </c>
      <c r="B15238" s="2" t="str">
        <f>IFERROR(__xludf.DUMMYFUNCTION("GOOGLETRANSLATE(A15238, ""en"", ""mt"")"),"prestazzjoni")</f>
        <v>prestazzjoni</v>
      </c>
    </row>
    <row r="15239" ht="15.75" customHeight="1">
      <c r="A15239" s="2" t="s">
        <v>15239</v>
      </c>
      <c r="B15239" s="2" t="str">
        <f>IFERROR(__xludf.DUMMYFUNCTION("GOOGLETRANSLATE(A15239, ""en"", ""mt"")"),"1996")</f>
        <v>1996</v>
      </c>
    </row>
    <row r="15240" ht="15.75" customHeight="1">
      <c r="A15240" s="2" t="s">
        <v>15240</v>
      </c>
      <c r="B15240" s="2" t="str">
        <f>IFERROR(__xludf.DUMMYFUNCTION("GOOGLETRANSLATE(A15240, ""en"", ""mt"")"),"Meta ġie stabbilit is-saldu li kien se jsir Boleslaw?")</f>
        <v>Meta ġie stabbilit is-saldu li kien se jsir Boleslaw?</v>
      </c>
    </row>
    <row r="15241" ht="15.75" customHeight="1">
      <c r="A15241" s="2" t="s">
        <v>15241</v>
      </c>
      <c r="B15241" s="2" t="str">
        <f>IFERROR(__xludf.DUMMYFUNCTION("GOOGLETRANSLATE(A15241, ""en"", ""mt"")"),"Louisiana Franċiża fil-punent tax-Xmara Mississippi (inkluża New Orleans) għall-alleat tagħha Spanja")</f>
        <v>Louisiana Franċiża fil-punent tax-Xmara Mississippi (inkluża New Orleans) għall-alleat tagħha Spanja</v>
      </c>
    </row>
    <row r="15242" ht="15.75" customHeight="1">
      <c r="A15242" s="2" t="s">
        <v>15242</v>
      </c>
      <c r="B15242" s="2" t="str">
        <f>IFERROR(__xludf.DUMMYFUNCTION("GOOGLETRANSLATE(A15242, ""en"", ""mt"")"),"Minn fejn hu BIRABEN?")</f>
        <v>Minn fejn hu BIRABEN?</v>
      </c>
    </row>
    <row r="15243" ht="15.75" customHeight="1">
      <c r="A15243" s="2" t="s">
        <v>15243</v>
      </c>
      <c r="B15243" s="2" t="str">
        <f>IFERROR(__xludf.DUMMYFUNCTION("GOOGLETRANSLATE(A15243, ""en"", ""mt"")"),"X'jagħmlu t-turbini tal-fwar tal-power station bħala sink kiesaħ fin-nuqqas ta 'CHP?")</f>
        <v>X'jagħmlu t-turbini tal-fwar tal-power station bħala sink kiesaħ fin-nuqqas ta 'CHP?</v>
      </c>
    </row>
    <row r="15244" ht="15.75" customHeight="1">
      <c r="A15244" s="2" t="s">
        <v>15244</v>
      </c>
      <c r="B15244" s="2" t="str">
        <f>IFERROR(__xludf.DUMMYFUNCTION("GOOGLETRANSLATE(A15244, ""en"", ""mt"")"),"larva tal-ħut u organiżmi li altrimenti kienu mitmugħa l-ħut")</f>
        <v>larva tal-ħut u organiżmi li altrimenti kienu mitmugħa l-ħut</v>
      </c>
    </row>
    <row r="15245" ht="15.75" customHeight="1">
      <c r="A15245" s="2" t="s">
        <v>15245</v>
      </c>
      <c r="B15245" s="2" t="str">
        <f>IFERROR(__xludf.DUMMYFUNCTION("GOOGLETRANSLATE(A15245, ""en"", ""mt"")"),"X'jifhem il-Kunsill tal-Belt?")</f>
        <v>X'jifhem il-Kunsill tal-Belt?</v>
      </c>
    </row>
    <row r="15246" ht="15.75" customHeight="1">
      <c r="A15246" s="2" t="s">
        <v>15246</v>
      </c>
      <c r="B15246" s="2" t="str">
        <f>IFERROR(__xludf.DUMMYFUNCTION("GOOGLETRANSLATE(A15246, ""en"", ""mt"")"),"Żewġ terzi")</f>
        <v>Żewġ terzi</v>
      </c>
    </row>
    <row r="15247" ht="15.75" customHeight="1">
      <c r="A15247" s="2" t="s">
        <v>15247</v>
      </c>
      <c r="B15247" s="2" t="str">
        <f>IFERROR(__xludf.DUMMYFUNCTION("GOOGLETRANSLATE(A15247, ""en"", ""mt"")"),"1013")</f>
        <v>1013</v>
      </c>
    </row>
    <row r="15248" ht="15.75" customHeight="1">
      <c r="A15248" s="2" t="s">
        <v>15248</v>
      </c>
      <c r="B15248" s="2" t="str">
        <f>IFERROR(__xludf.DUMMYFUNCTION("GOOGLETRANSLATE(A15248, ""en"", ""mt"")"),"Fejn kienu solvuti l-Amerikani Franċiżi t'Isfel?")</f>
        <v>Fejn kienu solvuti l-Amerikani Franċiżi t'Isfel?</v>
      </c>
    </row>
    <row r="15249" ht="15.75" customHeight="1">
      <c r="A15249" s="2" t="s">
        <v>15249</v>
      </c>
      <c r="B15249" s="2" t="str">
        <f>IFERROR(__xludf.DUMMYFUNCTION("GOOGLETRANSLATE(A15249, ""en"", ""mt"")"),"565")</f>
        <v>565</v>
      </c>
    </row>
    <row r="15250" ht="15.75" customHeight="1">
      <c r="A15250" s="2" t="s">
        <v>15250</v>
      </c>
      <c r="B15250" s="2" t="str">
        <f>IFERROR(__xludf.DUMMYFUNCTION("GOOGLETRANSLATE(A15250, ""en"", ""mt"")"),"Kemm hemm baqar tal-ħalib fl-Awstralja?")</f>
        <v>Kemm hemm baqar tal-ħalib fl-Awstralja?</v>
      </c>
    </row>
    <row r="15251" ht="15.75" customHeight="1">
      <c r="A15251" s="2" t="s">
        <v>15251</v>
      </c>
      <c r="B15251" s="2" t="str">
        <f>IFERROR(__xludf.DUMMYFUNCTION("GOOGLETRANSLATE(A15251, ""en"", ""mt"")")," Minn liema pożizzjoni fil-gvern ġie sparat Robert Gates?")</f>
        <v> Minn liema pożizzjoni fil-gvern ġie sparat Robert Gates?</v>
      </c>
    </row>
    <row r="15252" ht="15.75" customHeight="1">
      <c r="A15252" s="2" t="s">
        <v>15252</v>
      </c>
      <c r="B15252" s="2" t="str">
        <f>IFERROR(__xludf.DUMMYFUNCTION("GOOGLETRANSLATE(A15252, ""en"", ""mt"")"),"X'tip ta 'disturbi jseħħu meta parti mis-sistema immunitarja ma tkunx attiva?")</f>
        <v>X'tip ta 'disturbi jseħħu meta parti mis-sistema immunitarja ma tkunx attiva?</v>
      </c>
    </row>
    <row r="15253" ht="15.75" customHeight="1">
      <c r="A15253" s="2" t="s">
        <v>15253</v>
      </c>
      <c r="B15253" s="2" t="str">
        <f>IFERROR(__xludf.DUMMYFUNCTION("GOOGLETRANSLATE(A15253, ""en"", ""mt"")"),"X'għamel il-fiżika parzjali biex tiddeskrivi l-forzi sub-atomiċi?")</f>
        <v>X'għamel il-fiżika parzjali biex tiddeskrivi l-forzi sub-atomiċi?</v>
      </c>
    </row>
    <row r="15254" ht="15.75" customHeight="1">
      <c r="A15254" s="2" t="s">
        <v>15254</v>
      </c>
      <c r="B15254" s="2" t="str">
        <f>IFERROR(__xludf.DUMMYFUNCTION("GOOGLETRANSLATE(A15254, ""en"", ""mt"")"),"X'inhi l-inqas qorti fl-Unjoni Ewropea?")</f>
        <v>X'inhi l-inqas qorti fl-Unjoni Ewropea?</v>
      </c>
    </row>
    <row r="15255" ht="15.75" customHeight="1">
      <c r="A15255" s="2" t="s">
        <v>15255</v>
      </c>
      <c r="B15255" s="2" t="str">
        <f>IFERROR(__xludf.DUMMYFUNCTION("GOOGLETRANSLATE(A15255, ""en"", ""mt"")"),"Min hu plejer fuq il-Buccaneers ta 'Tampa Bay?")</f>
        <v>Min hu plejer fuq il-Buccaneers ta 'Tampa Bay?</v>
      </c>
    </row>
    <row r="15256" ht="15.75" customHeight="1">
      <c r="A15256" s="2" t="s">
        <v>15256</v>
      </c>
      <c r="B15256" s="2" t="str">
        <f>IFERROR(__xludf.DUMMYFUNCTION("GOOGLETRANSLATE(A15256, ""en"", ""mt"")"),"$ 50,000")</f>
        <v>$ 50,000</v>
      </c>
    </row>
    <row r="15257" ht="15.75" customHeight="1">
      <c r="A15257" s="2" t="s">
        <v>15257</v>
      </c>
      <c r="B15257" s="2" t="str">
        <f>IFERROR(__xludf.DUMMYFUNCTION("GOOGLETRANSLATE(A15257, ""en"", ""mt"")"),"Residenza ta 'Prattika ta' l-Ispiżerija")</f>
        <v>Residenza ta 'Prattika ta' l-Ispiżerija</v>
      </c>
    </row>
    <row r="15258" ht="15.75" customHeight="1">
      <c r="A15258" s="2" t="s">
        <v>15258</v>
      </c>
      <c r="B15258" s="2" t="str">
        <f>IFERROR(__xludf.DUMMYFUNCTION("GOOGLETRANSLATE(A15258, ""en"", ""mt"")"),"Liema annimal li jgħix fix-xmara Amazon jista 'jipproduċi xokk fatali?")</f>
        <v>Liema annimal li jgħix fix-xmara Amazon jista 'jipproduċi xokk fatali?</v>
      </c>
    </row>
    <row r="15259" ht="15.75" customHeight="1">
      <c r="A15259" s="2" t="s">
        <v>15259</v>
      </c>
      <c r="B15259" s="2" t="str">
        <f>IFERROR(__xludf.DUMMYFUNCTION("GOOGLETRANSLATE(A15259, ""en"", ""mt"")"),"iżgħar mit-tort")</f>
        <v>iżgħar mit-tort</v>
      </c>
    </row>
    <row r="15260" ht="15.75" customHeight="1">
      <c r="A15260" s="2" t="s">
        <v>15260</v>
      </c>
      <c r="B15260" s="2" t="str">
        <f>IFERROR(__xludf.DUMMYFUNCTION("GOOGLETRANSLATE(A15260, ""en"", ""mt"")"),"Liema oqsma ta 'studju kienu avvanzati matul il-wan?")</f>
        <v>Liema oqsma ta 'studju kienu avvanzati matul il-wan?</v>
      </c>
    </row>
    <row r="15261" ht="15.75" customHeight="1">
      <c r="A15261" s="2" t="s">
        <v>15261</v>
      </c>
      <c r="B15261" s="2" t="str">
        <f>IFERROR(__xludf.DUMMYFUNCTION("GOOGLETRANSLATE(A15261, ""en"", ""mt"")"),"Montcalm jaljena")</f>
        <v>Montcalm jaljena</v>
      </c>
    </row>
    <row r="15262" ht="15.75" customHeight="1">
      <c r="A15262" s="2" t="s">
        <v>15262</v>
      </c>
      <c r="B15262" s="2" t="str">
        <f>IFERROR(__xludf.DUMMYFUNCTION("GOOGLETRANSLATE(A15262, ""en"", ""mt"")"),"Gateways ippermettew kumpaniji privati ​​jagħmlu dak")</f>
        <v>Gateways ippermettew kumpaniji privati ​​jagħmlu dak</v>
      </c>
    </row>
    <row r="15263" ht="15.75" customHeight="1">
      <c r="A15263" s="2" t="s">
        <v>15263</v>
      </c>
      <c r="B15263" s="2" t="str">
        <f>IFERROR(__xludf.DUMMYFUNCTION("GOOGLETRANSLATE(A15263, ""en"", ""mt"")"),"Koordinatur tal-Proġett")</f>
        <v>Koordinatur tal-Proġett</v>
      </c>
    </row>
    <row r="15264" ht="15.75" customHeight="1">
      <c r="A15264" s="2" t="s">
        <v>15264</v>
      </c>
      <c r="B15264" s="2" t="str">
        <f>IFERROR(__xludf.DUMMYFUNCTION("GOOGLETRANSLATE(A15264, ""en"", ""mt"")"),"dawk li jinvolvu kunjardi orogeniċi")</f>
        <v>dawk li jinvolvu kunjardi orogeniċi</v>
      </c>
    </row>
    <row r="15265" ht="15.75" customHeight="1">
      <c r="A15265" s="2" t="s">
        <v>15265</v>
      </c>
      <c r="B15265" s="2" t="str">
        <f>IFERROR(__xludf.DUMMYFUNCTION("GOOGLETRANSLATE(A15265, ""en"", ""mt"")"),"X'inhu meħtieġ għal risponsi immuni adattivi?")</f>
        <v>X'inhu meħtieġ għal risponsi immuni adattivi?</v>
      </c>
    </row>
    <row r="15266" ht="15.75" customHeight="1">
      <c r="A15266" s="2" t="s">
        <v>15266</v>
      </c>
      <c r="B15266" s="2" t="str">
        <f>IFERROR(__xludf.DUMMYFUNCTION("GOOGLETRANSLATE(A15266, ""en"", ""mt"")"),"Perforin")</f>
        <v>Perforin</v>
      </c>
    </row>
    <row r="15267" ht="15.75" customHeight="1">
      <c r="A15267" s="2" t="s">
        <v>15267</v>
      </c>
      <c r="B15267" s="2" t="str">
        <f>IFERROR(__xludf.DUMMYFUNCTION("GOOGLETRANSLATE(A15267, ""en"", ""mt"")"),"Kif jissejħu wkoll l-ispiżeriji tal-internet?")</f>
        <v>Kif jissejħu wkoll l-ispiżeriji tal-internet?</v>
      </c>
    </row>
    <row r="15268" ht="15.75" customHeight="1">
      <c r="A15268" s="2" t="s">
        <v>15268</v>
      </c>
      <c r="B15268" s="2" t="str">
        <f>IFERROR(__xludf.DUMMYFUNCTION("GOOGLETRANSLATE(A15268, ""en"", ""mt"")"),"Min għandu sistema ta ’klassifikazzjoni għall-kumpaniji kollha tal-Amerika ta’ Fuq?")</f>
        <v>Min għandu sistema ta ’klassifikazzjoni għall-kumpaniji kollha tal-Amerika ta’ Fuq?</v>
      </c>
    </row>
    <row r="15269" ht="15.75" customHeight="1">
      <c r="A15269" s="2" t="s">
        <v>15269</v>
      </c>
      <c r="B15269" s="2" t="str">
        <f>IFERROR(__xludf.DUMMYFUNCTION("GOOGLETRANSLATE(A15269, ""en"", ""mt"")"),"Kemm biċċiet ta 'leġiżlazzjoni ma sarux il-bażi għal?")</f>
        <v>Kemm biċċiet ta 'leġiżlazzjoni ma sarux il-bażi għal?</v>
      </c>
    </row>
    <row r="15270" ht="15.75" customHeight="1">
      <c r="A15270" s="2" t="s">
        <v>15270</v>
      </c>
      <c r="B15270" s="2" t="str">
        <f>IFERROR(__xludf.DUMMYFUNCTION("GOOGLETRANSLATE(A15270, ""en"", ""mt"")"),"X'inhu l-isem ta 'Dam Natural li jgħaqqad il-Wied tar-Renu?")</f>
        <v>X'inhu l-isem ta 'Dam Natural li jgħaqqad il-Wied tar-Renu?</v>
      </c>
    </row>
    <row r="15271" ht="15.75" customHeight="1">
      <c r="A15271" s="2" t="s">
        <v>15271</v>
      </c>
      <c r="B15271" s="2" t="str">
        <f>IFERROR(__xludf.DUMMYFUNCTION("GOOGLETRANSLATE(A15271, ""en"", ""mt"")"),"Għal liema responsabbiltajiet huma limitati t-tekniċi tal-ispiżerija?")</f>
        <v>Għal liema responsabbiltajiet huma limitati t-tekniċi tal-ispiżerija?</v>
      </c>
    </row>
    <row r="15272" ht="15.75" customHeight="1">
      <c r="A15272" s="2" t="s">
        <v>15272</v>
      </c>
      <c r="B15272" s="2" t="str">
        <f>IFERROR(__xludf.DUMMYFUNCTION("GOOGLETRANSLATE(A15272, ""en"", ""mt"")"),"Sabiex tifhem aħjar l-orjentazzjonijiet tal-ħsarat u l-jingħalaq, il-ġeoloġi strutturali jagħmlu xiex bil-kejl ta 'strutturi ġeoloġiċi?")</f>
        <v>Sabiex tifhem aħjar l-orjentazzjonijiet tal-ħsarat u l-jingħalaq, il-ġeoloġi strutturali jagħmlu xiex bil-kejl ta 'strutturi ġeoloġiċi?</v>
      </c>
    </row>
    <row r="15273" ht="15.75" customHeight="1">
      <c r="A15273" s="2" t="s">
        <v>15273</v>
      </c>
      <c r="B15273" s="2" t="str">
        <f>IFERROR(__xludf.DUMMYFUNCTION("GOOGLETRANSLATE(A15273, ""en"", ""mt"")"),"Protesti bħal dawn ġeneralment huma meqjusa bħala liema tip?")</f>
        <v>Protesti bħal dawn ġeneralment huma meqjusa bħala liema tip?</v>
      </c>
    </row>
    <row r="15274" ht="15.75" customHeight="1">
      <c r="A15274" s="2" t="s">
        <v>15274</v>
      </c>
      <c r="B15274" s="2" t="str">
        <f>IFERROR(__xludf.DUMMYFUNCTION("GOOGLETRANSLATE(A15274, ""en"", ""mt"")")," Meta kien Geegen is-Senatur?")</f>
        <v> Meta kien Geegen is-Senatur?</v>
      </c>
    </row>
    <row r="15275" ht="15.75" customHeight="1">
      <c r="A15275" s="2" t="s">
        <v>15275</v>
      </c>
      <c r="B15275" s="2" t="str">
        <f>IFERROR(__xludf.DUMMYFUNCTION("GOOGLETRANSLATE(A15275, ""en"", ""mt"")"),"Battalja ta 'Sainte-Foy")</f>
        <v>Battalja ta 'Sainte-Foy</v>
      </c>
    </row>
    <row r="15276" ht="15.75" customHeight="1">
      <c r="A15276" s="2" t="s">
        <v>15276</v>
      </c>
      <c r="B15276" s="2" t="str">
        <f>IFERROR(__xludf.DUMMYFUNCTION("GOOGLETRANSLATE(A15276, ""en"", ""mt"")"),"Widener")</f>
        <v>Widener</v>
      </c>
    </row>
    <row r="15277" ht="15.75" customHeight="1">
      <c r="A15277" s="2" t="s">
        <v>15277</v>
      </c>
      <c r="B15277" s="2" t="str">
        <f>IFERROR(__xludf.DUMMYFUNCTION("GOOGLETRANSLATE(A15277, ""en"", ""mt"")"),"Min kien l-inqas riċerkatur influwenti li jaħdem fuq il-kumplessità maħluqa minn problemi algoritmiċi?")</f>
        <v>Min kien l-inqas riċerkatur influwenti li jaħdem fuq il-kumplessità maħluqa minn problemi algoritmiċi?</v>
      </c>
    </row>
    <row r="15278" ht="15.75" customHeight="1">
      <c r="A15278" s="2" t="s">
        <v>15278</v>
      </c>
      <c r="B15278" s="2" t="str">
        <f>IFERROR(__xludf.DUMMYFUNCTION("GOOGLETRANSLATE(A15278, ""en"", ""mt"")"),"Meta bdiet l-aħħar glaċjali?")</f>
        <v>Meta bdiet l-aħħar glaċjali?</v>
      </c>
    </row>
    <row r="15279" ht="15.75" customHeight="1">
      <c r="A15279" s="2" t="s">
        <v>15279</v>
      </c>
      <c r="B15279" s="2" t="str">
        <f>IFERROR(__xludf.DUMMYFUNCTION("GOOGLETRANSLATE(A15279, ""en"", ""mt"")"),"Matul liema kelma kienet Jacksonville punt ewlieni tal-provvista għat-Tramuntana?")</f>
        <v>Matul liema kelma kienet Jacksonville punt ewlieni tal-provvista għat-Tramuntana?</v>
      </c>
    </row>
    <row r="15280" ht="15.75" customHeight="1">
      <c r="A15280" s="2" t="s">
        <v>15280</v>
      </c>
      <c r="B15280" s="2" t="str">
        <f>IFERROR(__xludf.DUMMYFUNCTION("GOOGLETRANSLATE(A15280, ""en"", ""mt"")"),"X'sar issa possibbli li tagħmel meta tmur l-iżotopi waqt li tuża l-fossili?")</f>
        <v>X'sar issa possibbli li tagħmel meta tmur l-iżotopi waqt li tuża l-fossili?</v>
      </c>
    </row>
    <row r="15281" ht="15.75" customHeight="1">
      <c r="A15281" s="2" t="s">
        <v>15281</v>
      </c>
      <c r="B15281" s="2" t="str">
        <f>IFERROR(__xludf.DUMMYFUNCTION("GOOGLETRANSLATE(A15281, ""en"", ""mt"")"),"Liema mit-tributarji fil-Ġermanja jikkontribwixxu l-iktar?")</f>
        <v>Liema mit-tributarji fil-Ġermanja jikkontribwixxu l-iktar?</v>
      </c>
    </row>
    <row r="15282" ht="15.75" customHeight="1">
      <c r="A15282" s="2" t="s">
        <v>15282</v>
      </c>
      <c r="B15282" s="2" t="str">
        <f>IFERROR(__xludf.DUMMYFUNCTION("GOOGLETRANSLATE(A15282, ""en"", ""mt"")"),"DNIC ippermetta lil ospitanti jagħmel xiex?")</f>
        <v>DNIC ippermetta lil ospitanti jagħmel xiex?</v>
      </c>
    </row>
    <row r="15283" ht="15.75" customHeight="1">
      <c r="A15283" s="2" t="s">
        <v>15283</v>
      </c>
      <c r="B15283" s="2" t="str">
        <f>IFERROR(__xludf.DUMMYFUNCTION("GOOGLETRANSLATE(A15283, ""en"", ""mt"")"),"it-tielet Étude")</f>
        <v>it-tielet Étude</v>
      </c>
    </row>
    <row r="15284" ht="15.75" customHeight="1">
      <c r="A15284" s="2" t="s">
        <v>15284</v>
      </c>
      <c r="B15284" s="2" t="str">
        <f>IFERROR(__xludf.DUMMYFUNCTION("GOOGLETRANSLATE(A15284, ""en"", ""mt"")"),"Il-forzi kollha f'liema huma bbażati fuq tliet interazzjonijiet fundamentali?")</f>
        <v>Il-forzi kollha f'liema huma bbażati fuq tliet interazzjonijiet fundamentali?</v>
      </c>
    </row>
    <row r="15285" ht="15.75" customHeight="1">
      <c r="A15285" s="2" t="s">
        <v>15285</v>
      </c>
      <c r="B15285" s="2" t="str">
        <f>IFERROR(__xludf.DUMMYFUNCTION("GOOGLETRANSLATE(A15285, ""en"", ""mt"")"),"Flimkien ma 'l-ilbies, liema żvilupp jagħmilha diffiċli li tissiġilla r-rotors f'magna li hija nieqsa mill-pistuni?")</f>
        <v>Flimkien ma 'l-ilbies, liema żvilupp jagħmilha diffiċli li tissiġilla r-rotors f'magna li hija nieqsa mill-pistuni?</v>
      </c>
    </row>
    <row r="15286" ht="15.75" customHeight="1">
      <c r="A15286" s="2" t="s">
        <v>15286</v>
      </c>
      <c r="B15286" s="2" t="str">
        <f>IFERROR(__xludf.DUMMYFUNCTION("GOOGLETRANSLATE(A15286, ""en"", ""mt"")"),"Il-Punent raw lilhom infushom bħala dak meta mqabbel mal-Lvant?")</f>
        <v>Il-Punent raw lilhom infushom bħala dak meta mqabbel mal-Lvant?</v>
      </c>
    </row>
    <row r="15287" ht="15.75" customHeight="1">
      <c r="A15287" s="2" t="s">
        <v>15287</v>
      </c>
      <c r="B15287" s="2" t="str">
        <f>IFERROR(__xludf.DUMMYFUNCTION("GOOGLETRANSLATE(A15287, ""en"", ""mt"")"),"Meta l-Qorti tal-Ġustizzja ċaħdet li l-Kummissjoni setgħet tipproponi biss li jkun hemm xi sanzjonijiet kriminali?")</f>
        <v>Meta l-Qorti tal-Ġustizzja ċaħdet li l-Kummissjoni setgħet tipproponi biss li jkun hemm xi sanzjonijiet kriminali?</v>
      </c>
    </row>
    <row r="15288" ht="15.75" customHeight="1">
      <c r="A15288" s="2" t="s">
        <v>15288</v>
      </c>
      <c r="B15288" s="2" t="str">
        <f>IFERROR(__xludf.DUMMYFUNCTION("GOOGLETRANSLATE(A15288, ""en"", ""mt"")")," Liema kitba skuraġġiet l-isem kbir Yuan?")</f>
        <v> Liema kitba skuraġġiet l-isem kbir Yuan?</v>
      </c>
    </row>
    <row r="15289" ht="15.75" customHeight="1">
      <c r="A15289" s="2" t="s">
        <v>15289</v>
      </c>
      <c r="B15289" s="2" t="str">
        <f>IFERROR(__xludf.DUMMYFUNCTION("GOOGLETRANSLATE(A15289, ""en"", ""mt"")"),"Manchuria")</f>
        <v>Manchuria</v>
      </c>
    </row>
    <row r="15290" ht="15.75" customHeight="1">
      <c r="A15290" s="2" t="s">
        <v>15290</v>
      </c>
      <c r="B15290" s="2" t="str">
        <f>IFERROR(__xludf.DUMMYFUNCTION("GOOGLETRANSLATE(A15290, ""en"", ""mt"")"),"blat metamorfiku")</f>
        <v>blat metamorfiku</v>
      </c>
    </row>
    <row r="15291" ht="15.75" customHeight="1">
      <c r="A15291" s="2" t="s">
        <v>15291</v>
      </c>
      <c r="B15291" s="2" t="str">
        <f>IFERROR(__xludf.DUMMYFUNCTION("GOOGLETRANSLATE(A15291, ""en"", ""mt"")"),"Kummissjoni v Awstrija")</f>
        <v>Kummissjoni v Awstrija</v>
      </c>
    </row>
    <row r="15292" ht="15.75" customHeight="1">
      <c r="A15292" s="2" t="s">
        <v>15292</v>
      </c>
      <c r="B15292" s="2" t="str">
        <f>IFERROR(__xludf.DUMMYFUNCTION("GOOGLETRANSLATE(A15292, ""en"", ""mt"")"),"Fejn l-ossiġnu jikklassifika bil-massa fil-bijosfera tal-pjaneta?")</f>
        <v>Fejn l-ossiġnu jikklassifika bil-massa fil-bijosfera tal-pjaneta?</v>
      </c>
    </row>
    <row r="15293" ht="15.75" customHeight="1">
      <c r="A15293" s="2" t="s">
        <v>15293</v>
      </c>
      <c r="B15293" s="2" t="str">
        <f>IFERROR(__xludf.DUMMYFUNCTION("GOOGLETRANSLATE(A15293, ""en"", ""mt"")"),"Att tal-Iskozja 1998")</f>
        <v>Att tal-Iskozja 1998</v>
      </c>
    </row>
    <row r="15294" ht="15.75" customHeight="1">
      <c r="A15294" s="2" t="s">
        <v>15294</v>
      </c>
      <c r="B15294" s="2" t="str">
        <f>IFERROR(__xludf.DUMMYFUNCTION("GOOGLETRANSLATE(A15294, ""en"", ""mt"")"),"It-teorija tal-kumplessità tikklassifika problemi bbażati fuq liema attribut primarju?")</f>
        <v>It-teorija tal-kumplessità tikklassifika problemi bbażati fuq liema attribut primarju?</v>
      </c>
    </row>
    <row r="15295" ht="15.75" customHeight="1">
      <c r="A15295" s="2" t="s">
        <v>15295</v>
      </c>
      <c r="B15295" s="2" t="str">
        <f>IFERROR(__xludf.DUMMYFUNCTION("GOOGLETRANSLATE(A15295, ""en"", ""mt"")"),"Dak li jwieġeb f'numri żgħar għal molekuli komuni prodotti mill-mikrobi?")</f>
        <v>Dak li jwieġeb f'numri żgħar għal molekuli komuni prodotti mill-mikrobi?</v>
      </c>
    </row>
    <row r="15296" ht="15.75" customHeight="1">
      <c r="A15296" s="2" t="s">
        <v>15296</v>
      </c>
      <c r="B15296" s="2" t="str">
        <f>IFERROR(__xludf.DUMMYFUNCTION("GOOGLETRANSLATE(A15296, ""en"", ""mt"")"),"Fil-biċċa l-kbira tal-ġurisdizzjonijiet (bħall-Istati Uniti), l-ispiżjara huma rregolati separatament minn tobba. Dawn il-ġurisdizzjonijiet ġeneralment jispeċifikaw li l-ispiżjara biss jistgħu jfornu farmaċewtiċi skedati lill-pubbliku, u li l-ispiżjara ma"&amp;" jistgħux jiffurmaw sħubijiet kummerċjali ma 'tobba jew jagħtuhom ħlasijiet ta' ""kickback"". Madankollu, il-Kodiċi ta 'Etika tal-Assoċjazzjoni Medika Amerikana (AMA) jipprovdi li t-tobba jistgħu jwarrbu d-drogi fil-prattiki tal-uffiċċju tagħhom sakemm ma"&amp;" jkun hemm l-ebda sfruttament tal-pazjenti u l-pazjenti jkollhom id-dritt għal preskrizzjoni bil-miktub li tista' timtela x'imkien ieħor. 7 sa 10 fil-mija tal-prattiki tat-tobba Amerikani rrappurtaw li jwarrbu d-droga waħedhom.")</f>
        <v>Fil-biċċa l-kbira tal-ġurisdizzjonijiet (bħall-Istati Uniti), l-ispiżjara huma rregolati separatament minn tobba. Dawn il-ġurisdizzjonijiet ġeneralment jispeċifikaw li l-ispiżjara biss jistgħu jfornu farmaċewtiċi skedati lill-pubbliku, u li l-ispiżjara ma jistgħux jiffurmaw sħubijiet kummerċjali ma 'tobba jew jagħtuhom ħlasijiet ta' "kickback". Madankollu, il-Kodiċi ta 'Etika tal-Assoċjazzjoni Medika Amerikana (AMA) jipprovdi li t-tobba jistgħu jwarrbu d-drogi fil-prattiki tal-uffiċċju tagħhom sakemm ma jkun hemm l-ebda sfruttament tal-pazjenti u l-pazjenti jkollhom id-dritt għal preskrizzjoni bil-miktub li tista' timtela x'imkien ieħor. 7 sa 10 fil-mija tal-prattiki tat-tobba Amerikani rrappurtaw li jwarrbu d-droga waħedhom.</v>
      </c>
    </row>
    <row r="15297" ht="15.75" customHeight="1">
      <c r="A15297" s="2" t="s">
        <v>15297</v>
      </c>
      <c r="B15297" s="2" t="str">
        <f>IFERROR(__xludf.DUMMYFUNCTION("GOOGLETRANSLATE(A15297, ""en"", ""mt"")"),"Fit-triq inbena l-korsa tal-golf?")</f>
        <v>Fit-triq inbena l-korsa tal-golf?</v>
      </c>
    </row>
    <row r="15298" ht="15.75" customHeight="1">
      <c r="A15298" s="2" t="s">
        <v>15298</v>
      </c>
      <c r="B15298" s="2" t="str">
        <f>IFERROR(__xludf.DUMMYFUNCTION("GOOGLETRANSLATE(A15298, ""en"", ""mt"")"),"Effett dirett jew effett indirett fuq il-liġijiet tal-Istati Membri tal-Unjoni Ewropea")</f>
        <v>Effett dirett jew effett indirett fuq il-liġijiet tal-Istati Membri tal-Unjoni Ewropea</v>
      </c>
    </row>
    <row r="15299" ht="15.75" customHeight="1">
      <c r="A15299" s="2" t="s">
        <v>15299</v>
      </c>
      <c r="B15299" s="2" t="str">
        <f>IFERROR(__xludf.DUMMYFUNCTION("GOOGLETRANSLATE(A15299, ""en"", ""mt"")"),"Kanadiżi, inkluż l-uffiċjal kmandant tagħhom")</f>
        <v>Kanadiżi, inkluż l-uffiċjal kmandant tagħhom</v>
      </c>
    </row>
    <row r="15300" ht="15.75" customHeight="1">
      <c r="A15300" s="2" t="s">
        <v>15300</v>
      </c>
      <c r="B15300" s="2" t="str">
        <f>IFERROR(__xludf.DUMMYFUNCTION("GOOGLETRANSLATE(A15300, ""en"", ""mt"")"),"Oġġetti ta 'densità kostanti huma proporzjonali għall-volum b'liema forza għandhom jiddefinixxu piżijiet standard?.")</f>
        <v>Oġġetti ta 'densità kostanti huma proporzjonali għall-volum b'liema forza għandhom jiddefinixxu piżijiet standard?.</v>
      </c>
    </row>
    <row r="15301" ht="15.75" customHeight="1">
      <c r="A15301" s="2" t="s">
        <v>15301</v>
      </c>
      <c r="B15301" s="2" t="str">
        <f>IFERROR(__xludf.DUMMYFUNCTION("GOOGLETRANSLATE(A15301, ""en"", ""mt"")"),"Liema lingwa l-Qorti tal-Ġustizzja aċċettat li kienet meħtieġa tgħallem f'kulleġġ ta 'Dublin fil-Ministru għall-Edukazzjoni Groner vs?")</f>
        <v>Liema lingwa l-Qorti tal-Ġustizzja aċċettat li kienet meħtieġa tgħallem f'kulleġġ ta 'Dublin fil-Ministru għall-Edukazzjoni Groner vs?</v>
      </c>
    </row>
    <row r="15302" ht="15.75" customHeight="1">
      <c r="A15302" s="2" t="s">
        <v>15302</v>
      </c>
      <c r="B15302" s="2" t="str">
        <f>IFERROR(__xludf.DUMMYFUNCTION("GOOGLETRANSLATE(A15302, ""en"", ""mt"")"),"Għal xiex ma jorbtux il-proteini tal-wiċċ tal-batterja?")</f>
        <v>Għal xiex ma jorbtux il-proteini tal-wiċċ tal-batterja?</v>
      </c>
    </row>
    <row r="15303" ht="15.75" customHeight="1">
      <c r="A15303" s="2" t="s">
        <v>15303</v>
      </c>
      <c r="B15303" s="2" t="str">
        <f>IFERROR(__xludf.DUMMYFUNCTION("GOOGLETRANSLATE(A15303, ""en"", ""mt"")"),"Filwaqt li l-biċċa l-kbira tal-ispiżeriji tal-internet ibigħu mediċini bir-riċetta u jeħtieġu preskrizzjoni valida, xi spiżeriji tal-internet ibigħu mediċini bir-riċetta mingħajr ma jeħtieġu riċetta. Bosta klijenti jordnaw mediċini minn spiżeriji bħal daw"&amp;"n biex jevitaw l- ""inkonvenjent"" li jżuru tabib jew biex jiksbu mediċini li t-tobba tagħhom ma riedux jippreskrivu. Madankollu, din il-prattika ġiet ikkritikata bħala potenzjalment perikoluża, speċjalment minn dawk li jħossu li t-tobba biss jistgħu jivv"&amp;"alutaw b'mod affidabbli kontra-indikazzjonijiet, proporzjonijiet ta 'riskju / benefiċċju, u l-adegwatezza ġenerali ta' individwu għall-użu ta 'medikazzjoni. Kien hemm ukoll rapporti ta 'spiżeriji bħal dawn li jqassmu prodotti mhux standard.")</f>
        <v>Filwaqt li l-biċċa l-kbira tal-ispiżeriji tal-internet ibigħu mediċini bir-riċetta u jeħtieġu preskrizzjoni valida, xi spiżeriji tal-internet ibigħu mediċini bir-riċetta mingħajr ma jeħtieġu riċetta. Bosta klijenti jordnaw mediċini minn spiżeriji bħal dawn biex jevitaw l- "inkonvenjent" li jżuru tabib jew biex jiksbu mediċini li t-tobba tagħhom ma riedux jippreskrivu. Madankollu, din il-prattika ġiet ikkritikata bħala potenzjalment perikoluża, speċjalment minn dawk li jħossu li t-tobba biss jistgħu jivvalutaw b'mod affidabbli kontra-indikazzjonijiet, proporzjonijiet ta 'riskju / benefiċċju, u l-adegwatezza ġenerali ta' individwu għall-użu ta 'medikazzjoni. Kien hemm ukoll rapporti ta 'spiżeriji bħal dawn li jqassmu prodotti mhux standard.</v>
      </c>
    </row>
    <row r="15304" ht="15.75" customHeight="1">
      <c r="A15304" s="2" t="s">
        <v>15304</v>
      </c>
      <c r="B15304" s="2" t="str">
        <f>IFERROR(__xludf.DUMMYFUNCTION("GOOGLETRANSLATE(A15304, ""en"", ""mt"")"),"Issottometti l-kastig preskritt mil-liġi")</f>
        <v>Issottometti l-kastig preskritt mil-liġi</v>
      </c>
    </row>
    <row r="15305" ht="15.75" customHeight="1">
      <c r="A15305" s="2" t="s">
        <v>15305</v>
      </c>
      <c r="B15305" s="2" t="str">
        <f>IFERROR(__xludf.DUMMYFUNCTION("GOOGLETRANSLATE(A15305, ""en"", ""mt"")")," Fejn Franza tilfet gwerra fl-1940's?")</f>
        <v> Fejn Franza tilfet gwerra fl-1940's?</v>
      </c>
    </row>
    <row r="15306" ht="15.75" customHeight="1">
      <c r="A15306" s="2" t="s">
        <v>15306</v>
      </c>
      <c r="B15306" s="2" t="str">
        <f>IFERROR(__xludf.DUMMYFUNCTION("GOOGLETRANSLATE(A15306, ""en"", ""mt"")"),"X’kien inbena fl-Afrika t'Isfel minn Duke Kent-Brown biex jipprotesta lil Harvard?")</f>
        <v>X’kien inbena fl-Afrika t'Isfel minn Duke Kent-Brown biex jipprotesta lil Harvard?</v>
      </c>
    </row>
    <row r="15307" ht="15.75" customHeight="1">
      <c r="A15307" s="2" t="s">
        <v>15307</v>
      </c>
      <c r="B15307" s="2" t="str">
        <f>IFERROR(__xludf.DUMMYFUNCTION("GOOGLETRANSLATE(A15307, ""en"", ""mt"")"),"X'inhu l-Protokoll UserDatagram Gaurentee")</f>
        <v>X'inhu l-Protokoll UserDatagram Gaurentee</v>
      </c>
    </row>
    <row r="15308" ht="15.75" customHeight="1">
      <c r="A15308" s="2" t="s">
        <v>15308</v>
      </c>
      <c r="B15308" s="2" t="str">
        <f>IFERROR(__xludf.DUMMYFUNCTION("GOOGLETRANSLATE(A15308, ""en"", ""mt"")"),"Ossiġnu diatomiku")</f>
        <v>Ossiġnu diatomiku</v>
      </c>
    </row>
    <row r="15309" ht="15.75" customHeight="1">
      <c r="A15309" s="2" t="s">
        <v>15309</v>
      </c>
      <c r="B15309" s="2" t="str">
        <f>IFERROR(__xludf.DUMMYFUNCTION("GOOGLETRANSLATE(A15309, ""en"", ""mt"")"),"Min sar sultan fl-1643?")</f>
        <v>Min sar sultan fl-1643?</v>
      </c>
    </row>
    <row r="15310" ht="15.75" customHeight="1">
      <c r="A15310" s="2" t="s">
        <v>15310</v>
      </c>
      <c r="B15310" s="2" t="str">
        <f>IFERROR(__xludf.DUMMYFUNCTION("GOOGLETRANSLATE(A15310, ""en"", ""mt"")"),"Ix-xita mnaqqsa severament u żieda fit-temperaturi")</f>
        <v>Ix-xita mnaqqsa severament u żieda fit-temperaturi</v>
      </c>
    </row>
    <row r="15311" ht="15.75" customHeight="1">
      <c r="A15311" s="2" t="s">
        <v>15311</v>
      </c>
      <c r="B15311" s="2" t="str">
        <f>IFERROR(__xludf.DUMMYFUNCTION("GOOGLETRANSLATE(A15311, ""en"", ""mt"")"),"Ir-Renu Romantiku")</f>
        <v>Ir-Renu Romantiku</v>
      </c>
    </row>
    <row r="15312" ht="15.75" customHeight="1">
      <c r="A15312" s="2" t="s">
        <v>15312</v>
      </c>
      <c r="B15312" s="2" t="str">
        <f>IFERROR(__xludf.DUMMYFUNCTION("GOOGLETRANSLATE(A15312, ""en"", ""mt"")"),"Fejn u meta bdiet l-investigazzjoni tal-patoġen tal-pesta?")</f>
        <v>Fejn u meta bdiet l-investigazzjoni tal-patoġen tal-pesta?</v>
      </c>
    </row>
    <row r="15313" ht="15.75" customHeight="1">
      <c r="A15313" s="2" t="s">
        <v>15313</v>
      </c>
      <c r="B15313" s="2" t="str">
        <f>IFERROR(__xludf.DUMMYFUNCTION("GOOGLETRANSLATE(A15313, ""en"", ""mt"")")," Meta l-Gran Brittanja kisbet il-kolonji tagħha fl-Amerika ta ’Fuq?")</f>
        <v> Meta l-Gran Brittanja kisbet il-kolonji tagħha fl-Amerika ta ’Fuq?</v>
      </c>
    </row>
    <row r="15314" ht="15.75" customHeight="1">
      <c r="A15314" s="2" t="s">
        <v>15314</v>
      </c>
      <c r="B15314" s="2" t="str">
        <f>IFERROR(__xludf.DUMMYFUNCTION("GOOGLETRANSLATE(A15314, ""en"", ""mt"")"),"Kumitat ta 'Esperti Indipendenti")</f>
        <v>Kumitat ta 'Esperti Indipendenti</v>
      </c>
    </row>
    <row r="15315" ht="15.75" customHeight="1">
      <c r="A15315" s="2" t="s">
        <v>15315</v>
      </c>
      <c r="B15315" s="2" t="str">
        <f>IFERROR(__xludf.DUMMYFUNCTION("GOOGLETRANSLATE(A15315, ""en"", ""mt"")"),"F'liema xahar il-kaċċa tal-kennies tal-università?")</f>
        <v>F'liema xahar il-kaċċa tal-kennies tal-università?</v>
      </c>
    </row>
    <row r="15316" ht="15.75" customHeight="1">
      <c r="A15316" s="2" t="s">
        <v>15316</v>
      </c>
      <c r="B15316" s="2" t="str">
        <f>IFERROR(__xludf.DUMMYFUNCTION("GOOGLETRANSLATE(A15316, ""en"", ""mt"")"),"X'inhuma l-fagoċiti fit-tessuti li jissejħu biss kuntatt mal-ambjent intern?")</f>
        <v>X'inhuma l-fagoċiti fit-tessuti li jissejħu biss kuntatt mal-ambjent intern?</v>
      </c>
    </row>
    <row r="15317" ht="15.75" customHeight="1">
      <c r="A15317" s="2" t="s">
        <v>15317</v>
      </c>
      <c r="B15317" s="2" t="str">
        <f>IFERROR(__xludf.DUMMYFUNCTION("GOOGLETRANSLATE(A15317, ""en"", ""mt"")"),"F'Berlin, il-Huguenots ħolqu żewġ kwartieri ġodda: Dorotheenstadt u Friedrichstadt. Sal-1700, wieħed minn kull ħamsa tal-popolazzjoni tal-belt kien jitkellem bil-Franċiż. Il-Berlin Huguenots ippreserva l-lingwa Franċiża fis-servizzi tal-knisja tagħhom għa"&amp;"l kważi seklu. Fl-aħħar iddeċidew li jaqilbu għall-Ġermaniż bi protesta kontra l-okkupazzjoni tal-Prussja minn Napuljun fl-1806-07. Ħafna mid-dixxendenti tagħhom telgħu għal pożizzjonijiet ta ’prominenza. Diversi kongregazzjonijiet twaqqfu, bħal dawk ta '"&amp;"Fredericia (id-Danimarka), Berlin, Stokkolma, Hamburg, Frankfurt, Helsinki, u Emden.")</f>
        <v>F'Berlin, il-Huguenots ħolqu żewġ kwartieri ġodda: Dorotheenstadt u Friedrichstadt. Sal-1700, wieħed minn kull ħamsa tal-popolazzjoni tal-belt kien jitkellem bil-Franċiż. Il-Berlin Huguenots ippreserva l-lingwa Franċiża fis-servizzi tal-knisja tagħhom għal kważi seklu. Fl-aħħar iddeċidew li jaqilbu għall-Ġermaniż bi protesta kontra l-okkupazzjoni tal-Prussja minn Napuljun fl-1806-07. Ħafna mid-dixxendenti tagħhom telgħu għal pożizzjonijiet ta ’prominenza. Diversi kongregazzjonijiet twaqqfu, bħal dawk ta 'Fredericia (id-Danimarka), Berlin, Stokkolma, Hamburg, Frankfurt, Helsinki, u Emden.</v>
      </c>
    </row>
    <row r="15318" ht="15.75" customHeight="1">
      <c r="A15318" s="2" t="s">
        <v>15318</v>
      </c>
      <c r="B15318" s="2" t="str">
        <f>IFERROR(__xludf.DUMMYFUNCTION("GOOGLETRANSLATE(A15318, ""en"", ""mt"")"),"Liema rumanz kien miktub minn Legrande?")</f>
        <v>Liema rumanz kien miktub minn Legrande?</v>
      </c>
    </row>
    <row r="15319" ht="15.75" customHeight="1">
      <c r="A15319" s="2" t="s">
        <v>15319</v>
      </c>
      <c r="B15319" s="2" t="str">
        <f>IFERROR(__xludf.DUMMYFUNCTION("GOOGLETRANSLATE(A15319, ""en"", ""mt"")"),"Lag ta ’fuq")</f>
        <v>Lag ta ’fuq</v>
      </c>
    </row>
    <row r="15320" ht="15.75" customHeight="1">
      <c r="A15320" s="2" t="s">
        <v>15320</v>
      </c>
      <c r="B15320" s="2" t="str">
        <f>IFERROR(__xludf.DUMMYFUNCTION("GOOGLETRANSLATE(A15320, ""en"", ""mt"")"),"X'se tbiddel l-inerzja rotazzjonali ta 'korp taħt l-ewwel liġi ta' mozzjoni ta 'Newton?")</f>
        <v>X'se tbiddel l-inerzja rotazzjonali ta 'korp taħt l-ewwel liġi ta' mozzjoni ta 'Newton?</v>
      </c>
    </row>
    <row r="15321" ht="15.75" customHeight="1">
      <c r="A15321" s="2" t="s">
        <v>15321</v>
      </c>
      <c r="B15321" s="2" t="str">
        <f>IFERROR(__xludf.DUMMYFUNCTION("GOOGLETRANSLATE(A15321, ""en"", ""mt"")"),"Standard u fqir")</f>
        <v>Standard u fqir</v>
      </c>
    </row>
    <row r="15322" ht="15.75" customHeight="1">
      <c r="A15322" s="2" t="s">
        <v>15322</v>
      </c>
      <c r="B15322" s="2" t="str">
        <f>IFERROR(__xludf.DUMMYFUNCTION("GOOGLETRANSLATE(A15322, ""en"", ""mt"")"),"Dak li tfisser l-intrattabilità fil-prattika huwa miftuħ għad-dibattitu. Li tgħid li problema mhix f'P ma timplikax li l-każijiet kbar kollha tal-problema huma iebsa jew saħansitra li ħafna minnhom huma. Pereżempju, il-problema tad-deċiżjoni fl-aritmetika"&amp;" ta 'Presburger intweriet li mhix f'P, iżda ġew miktuba algoritmi li jsolvu l-problema fi żminijiet raġonevoli f'ħafna każijiet. Bl-istess mod, l-algoritmi jistgħu jsolvu l-problema ta 'ħabta kompluta NP fuq firxa wiesgħa ta' daqsijiet f'inqas minn ħin kw"&amp;"adratiku u s-solvers SAT jimmaniġġjaw rutina ta 'każijiet kbar tal-problema ta' sodisfazzjon Boolean NP-komplut.")</f>
        <v>Dak li tfisser l-intrattabilità fil-prattika huwa miftuħ għad-dibattitu. Li tgħid li problema mhix f'P ma timplikax li l-każijiet kbar kollha tal-problema huma iebsa jew saħansitra li ħafna minnhom huma. Pereżempju, il-problema tad-deċiżjoni fl-aritmetika ta 'Presburger intweriet li mhix f'P, iżda ġew miktuba algoritmi li jsolvu l-problema fi żminijiet raġonevoli f'ħafna każijiet. Bl-istess mod, l-algoritmi jistgħu jsolvu l-problema ta 'ħabta kompluta NP fuq firxa wiesgħa ta' daqsijiet f'inqas minn ħin kwadratiku u s-solvers SAT jimmaniġġjaw rutina ta 'każijiet kbar tal-problema ta' sodisfazzjon Boolean NP-komplut.</v>
      </c>
    </row>
    <row r="15323" ht="15.75" customHeight="1">
      <c r="A15323" s="2" t="s">
        <v>15323</v>
      </c>
      <c r="B15323" s="2" t="str">
        <f>IFERROR(__xludf.DUMMYFUNCTION("GOOGLETRANSLATE(A15323, ""en"", ""mt"")"),"Radikali ħielsa")</f>
        <v>Radikali ħielsa</v>
      </c>
    </row>
    <row r="15324" ht="15.75" customHeight="1">
      <c r="A15324" s="2" t="s">
        <v>15324</v>
      </c>
      <c r="B15324" s="2" t="str">
        <f>IFERROR(__xludf.DUMMYFUNCTION("GOOGLETRANSLATE(A15324, ""en"", ""mt"")"),"X’għandhom l-aqwa 400 Amerikani l-aktar sinjuri minn nofs l-Amerikani kollha?")</f>
        <v>X’għandhom l-aqwa 400 Amerikani l-aktar sinjuri minn nofs l-Amerikani kollha?</v>
      </c>
    </row>
    <row r="15325" ht="15.75" customHeight="1">
      <c r="A15325" s="2" t="s">
        <v>15325</v>
      </c>
      <c r="B15325" s="2" t="str">
        <f>IFERROR(__xludf.DUMMYFUNCTION("GOOGLETRANSLATE(A15325, ""en"", ""mt"")"),"ġew stabbiliti bosta pedamenti minn diversi riċerkaturi")</f>
        <v>ġew stabbiliti bosta pedamenti minn diversi riċerkaturi</v>
      </c>
    </row>
    <row r="15326" ht="15.75" customHeight="1">
      <c r="A15326" s="2" t="s">
        <v>15326</v>
      </c>
      <c r="B15326" s="2" t="str">
        <f>IFERROR(__xludf.DUMMYFUNCTION("GOOGLETRANSLATE(A15326, ""en"", ""mt"")"),"2p - 1, bi P a prim")</f>
        <v>2p - 1, bi P a prim</v>
      </c>
    </row>
    <row r="15327" ht="15.75" customHeight="1">
      <c r="A15327" s="2" t="s">
        <v>15327</v>
      </c>
      <c r="B15327" s="2" t="str">
        <f>IFERROR(__xludf.DUMMYFUNCTION("GOOGLETRANSLATE(A15327, ""en"", ""mt"")"),"F'liema sena nħolqot is-sistema ta 'awtostrada bejn l-istati?")</f>
        <v>F'liema sena nħolqot is-sistema ta 'awtostrada bejn l-istati?</v>
      </c>
    </row>
    <row r="15328" ht="15.75" customHeight="1">
      <c r="A15328" s="2" t="s">
        <v>15328</v>
      </c>
      <c r="B15328" s="2" t="str">
        <f>IFERROR(__xludf.DUMMYFUNCTION("GOOGLETRANSLATE(A15328, ""en"", ""mt"")"),"X'inhu parzjalment responsabbli għar-rispons immuni mdgħajjef f'individwi anzjani?")</f>
        <v>X'inhu parzjalment responsabbli għar-rispons immuni mdgħajjef f'individwi anzjani?</v>
      </c>
    </row>
    <row r="15329" ht="15.75" customHeight="1">
      <c r="A15329" s="2" t="s">
        <v>15329</v>
      </c>
      <c r="B15329" s="2" t="str">
        <f>IFERROR(__xludf.DUMMYFUNCTION("GOOGLETRANSLATE(A15329, ""en"", ""mt"")"),"L-ACME tal-magna orizzontali kienet il-magna tal-fwar Corliss, brevettata fl-1849, li kienet magna tal-fluss tal-counter b'erba 'valv b'ammissjoni tal-fwar separata u valvi tal-egżost u cutoff tal-fwar varjabbli awtomatiku. Meta Corliss ingħata l-midalja "&amp;"Rumford, il-kumitat qal li ""l-ebda invenzjoni minn żmien Watt tant tejjeb l-effiċjenza tal-magna tal-fwar"". Minbarra li tuża 30% inqas fwar, hija pprovdiet veloċità aktar uniformi minħabba l-fwar varjabbli maqtugħ, li jagħmilha adattata tajjeb għall-man"&amp;"ifattura, speċjalment l-għażil tal-qoton.")</f>
        <v>L-ACME tal-magna orizzontali kienet il-magna tal-fwar Corliss, brevettata fl-1849, li kienet magna tal-fluss tal-counter b'erba 'valv b'ammissjoni tal-fwar separata u valvi tal-egżost u cutoff tal-fwar varjabbli awtomatiku. Meta Corliss ingħata l-midalja Rumford, il-kumitat qal li "l-ebda invenzjoni minn żmien Watt tant tejjeb l-effiċjenza tal-magna tal-fwar". Minbarra li tuża 30% inqas fwar, hija pprovdiet veloċità aktar uniformi minħabba l-fwar varjabbli maqtugħ, li jagħmilha adattata tajjeb għall-manifattura, speċjalment l-għażil tal-qoton.</v>
      </c>
    </row>
    <row r="15330" ht="15.75" customHeight="1">
      <c r="A15330" s="2" t="s">
        <v>15330</v>
      </c>
      <c r="B15330" s="2" t="str">
        <f>IFERROR(__xludf.DUMMYFUNCTION("GOOGLETRANSLATE(A15330, ""en"", ""mt"")"),"Biegħ aktar mediċini lill-pazjent")</f>
        <v>Biegħ aktar mediċini lill-pazjent</v>
      </c>
    </row>
    <row r="15331" ht="15.75" customHeight="1">
      <c r="A15331" s="2" t="s">
        <v>15331</v>
      </c>
      <c r="B15331" s="2" t="str">
        <f>IFERROR(__xludf.DUMMYFUNCTION("GOOGLETRANSLATE(A15331, ""en"", ""mt"")"),"X'inhu dak li jagħmel il-metodu ta 'primalità aktar effiċjenti?")</f>
        <v>X'inhu dak li jagħmel il-metodu ta 'primalità aktar effiċjenti?</v>
      </c>
    </row>
    <row r="15332" ht="15.75" customHeight="1">
      <c r="A15332" s="2" t="s">
        <v>15332</v>
      </c>
      <c r="B15332" s="2" t="str">
        <f>IFERROR(__xludf.DUMMYFUNCTION("GOOGLETRANSLATE(A15332, ""en"", ""mt"")"),"Min stabbilixxa trattat mar-Re Charles it-tielet ta 'Franza?")</f>
        <v>Min stabbilixxa trattat mar-Re Charles it-tielet ta 'Franza?</v>
      </c>
    </row>
    <row r="15333" ht="15.75" customHeight="1">
      <c r="A15333" s="2" t="s">
        <v>15333</v>
      </c>
      <c r="B15333" s="2" t="str">
        <f>IFERROR(__xludf.DUMMYFUNCTION("GOOGLETRANSLATE(A15333, ""en"", ""mt"")"),"Jekk mudell tal-kompjuter wieħed jirriżulta korrett, sa liema sena jkun hemm telf kważi komplet ta 'foresta tropikali fil-baċin tal-Amażonja?")</f>
        <v>Jekk mudell tal-kompjuter wieħed jirriżulta korrett, sa liema sena jkun hemm telf kważi komplet ta 'foresta tropikali fil-baċin tal-Amażonja?</v>
      </c>
    </row>
    <row r="15334" ht="15.75" customHeight="1">
      <c r="A15334" s="2" t="s">
        <v>15334</v>
      </c>
      <c r="B15334" s="2" t="str">
        <f>IFERROR(__xludf.DUMMYFUNCTION("GOOGLETRANSLATE(A15334, ""en"", ""mt"")"),"leġittimità ta 'liġi partikolari")</f>
        <v>leġittimità ta 'liġi partikolari</v>
      </c>
    </row>
    <row r="15335" ht="15.75" customHeight="1">
      <c r="A15335" s="2" t="s">
        <v>15335</v>
      </c>
      <c r="B15335" s="2" t="str">
        <f>IFERROR(__xludf.DUMMYFUNCTION("GOOGLETRANSLATE(A15335, ""en"", ""mt"")"),"skejjel tal-gvern li qabel kienu riservati għal tfal bojod")</f>
        <v>skejjel tal-gvern li qabel kienu riservati għal tfal bojod</v>
      </c>
    </row>
    <row r="15336" ht="15.75" customHeight="1">
      <c r="A15336" s="2" t="s">
        <v>15336</v>
      </c>
      <c r="B15336" s="2" t="str">
        <f>IFERROR(__xludf.DUMMYFUNCTION("GOOGLETRANSLATE(A15336, ""en"", ""mt"")"),"Kif ir-revoka rrestrinġiet l-ivvjaġġar Huguenot?")</f>
        <v>Kif ir-revoka rrestrinġiet l-ivvjaġġar Huguenot?</v>
      </c>
    </row>
    <row r="15337" ht="15.75" customHeight="1">
      <c r="A15337" s="2" t="s">
        <v>15337</v>
      </c>
      <c r="B15337" s="2" t="str">
        <f>IFERROR(__xludf.DUMMYFUNCTION("GOOGLETRANSLATE(A15337, ""en"", ""mt"")"),"F'liema belt ta 'Illinois tinsab il-laboratorju bijoloġiku tal-baħar?")</f>
        <v>F'liema belt ta 'Illinois tinsab il-laboratorju bijoloġiku tal-baħar?</v>
      </c>
    </row>
    <row r="15338" ht="15.75" customHeight="1">
      <c r="A15338" s="2" t="s">
        <v>15338</v>
      </c>
      <c r="B15338" s="2" t="str">
        <f>IFERROR(__xludf.DUMMYFUNCTION("GOOGLETRANSLATE(A15338, ""en"", ""mt"")"),"Nederrijn")</f>
        <v>Nederrijn</v>
      </c>
    </row>
    <row r="15339" ht="15.75" customHeight="1">
      <c r="A15339" s="2" t="s">
        <v>15339</v>
      </c>
      <c r="B15339" s="2" t="str">
        <f>IFERROR(__xludf.DUMMYFUNCTION("GOOGLETRANSLATE(A15339, ""en"", ""mt"")"),"X'jista 'jirriżulta f'aktar distribuzzjoni ugwali tad-dħul?")</f>
        <v>X'jista 'jirriżulta f'aktar distribuzzjoni ugwali tad-dħul?</v>
      </c>
    </row>
    <row r="15340" ht="15.75" customHeight="1">
      <c r="A15340" s="2" t="s">
        <v>15340</v>
      </c>
      <c r="B15340" s="2" t="str">
        <f>IFERROR(__xludf.DUMMYFUNCTION("GOOGLETRANSLATE(A15340, ""en"", ""mt"")"),"Meta kienet Operation Market Garden?")</f>
        <v>Meta kienet Operation Market Garden?</v>
      </c>
    </row>
    <row r="15341" ht="15.75" customHeight="1">
      <c r="A15341" s="2" t="s">
        <v>15341</v>
      </c>
      <c r="B15341" s="2" t="str">
        <f>IFERROR(__xludf.DUMMYFUNCTION("GOOGLETRANSLATE(A15341, ""en"", ""mt"")"),"vapuri merkantili")</f>
        <v>vapuri merkantili</v>
      </c>
    </row>
    <row r="15342" ht="15.75" customHeight="1">
      <c r="A15342" s="2" t="s">
        <v>15342</v>
      </c>
      <c r="B15342" s="2" t="str">
        <f>IFERROR(__xludf.DUMMYFUNCTION("GOOGLETRANSLATE(A15342, ""en"", ""mt"")"),"Liema magna tippermetti lill-magna jkollha azzjonijiet tal-passat multipli possibbli minn stat partikolari?")</f>
        <v>Liema magna tippermetti lill-magna jkollha azzjonijiet tal-passat multipli possibbli minn stat partikolari?</v>
      </c>
    </row>
    <row r="15343" ht="15.75" customHeight="1">
      <c r="A15343" s="2" t="s">
        <v>15343</v>
      </c>
      <c r="B15343" s="2" t="str">
        <f>IFERROR(__xludf.DUMMYFUNCTION("GOOGLETRANSLATE(A15343, ""en"", ""mt"")"),"Suq Emerġenti")</f>
        <v>Suq Emerġenti</v>
      </c>
    </row>
    <row r="15344" ht="15.75" customHeight="1">
      <c r="A15344" s="2" t="s">
        <v>15344</v>
      </c>
      <c r="B15344" s="2" t="str">
        <f>IFERROR(__xludf.DUMMYFUNCTION("GOOGLETRANSLATE(A15344, ""en"", ""mt"")"),"F'liema kienu aktar tard l-imperaturi tal-wan diżinteressati?")</f>
        <v>F'liema kienu aktar tard l-imperaturi tal-wan diżinteressati?</v>
      </c>
    </row>
    <row r="15345" ht="15.75" customHeight="1">
      <c r="A15345" s="2" t="s">
        <v>15345</v>
      </c>
      <c r="B15345" s="2" t="str">
        <f>IFERROR(__xludf.DUMMYFUNCTION("GOOGLETRANSLATE(A15345, ""en"", ""mt"")"),"Xi jgħin l-Istitut tal-Edukazzjoni Urbana?")</f>
        <v>Xi jgħin l-Istitut tal-Edukazzjoni Urbana?</v>
      </c>
    </row>
    <row r="15346" ht="15.75" customHeight="1">
      <c r="A15346" s="2" t="s">
        <v>15346</v>
      </c>
      <c r="B15346" s="2" t="str">
        <f>IFERROR(__xludf.DUMMYFUNCTION("GOOGLETRANSLATE(A15346, ""en"", ""mt"")"),"$ 1,000,000")</f>
        <v>$ 1,000,000</v>
      </c>
    </row>
    <row r="15347" ht="15.75" customHeight="1">
      <c r="A15347" s="2" t="s">
        <v>15347</v>
      </c>
      <c r="B15347" s="2" t="str">
        <f>IFERROR(__xludf.DUMMYFUNCTION("GOOGLETRANSLATE(A15347, ""en"", ""mt"")"),"Min iseħħ il-mard tal-ossiġnu tad-dekompressjoni?")</f>
        <v>Min iseħħ il-mard tal-ossiġnu tad-dekompressjoni?</v>
      </c>
    </row>
    <row r="15348" ht="15.75" customHeight="1">
      <c r="A15348" s="2" t="s">
        <v>15348</v>
      </c>
      <c r="B15348" s="2" t="str">
        <f>IFERROR(__xludf.DUMMYFUNCTION("GOOGLETRANSLATE(A15348, ""en"", ""mt"")"),"Diversi gruppi alleati mill-Asja Ċentrali u t-tarf tal-punent tal-imperu")</f>
        <v>Diversi gruppi alleati mill-Asja Ċentrali u t-tarf tal-punent tal-imperu</v>
      </c>
    </row>
    <row r="15349" ht="15.75" customHeight="1">
      <c r="A15349" s="2" t="s">
        <v>15349</v>
      </c>
      <c r="B15349" s="2" t="str">
        <f>IFERROR(__xludf.DUMMYFUNCTION("GOOGLETRANSLATE(A15349, ""en"", ""mt"")"),"Enrico Fermi")</f>
        <v>Enrico Fermi</v>
      </c>
    </row>
    <row r="15350" ht="15.75" customHeight="1">
      <c r="A15350" s="2" t="s">
        <v>15350</v>
      </c>
      <c r="B15350" s="2" t="str">
        <f>IFERROR(__xludf.DUMMYFUNCTION("GOOGLETRANSLATE(A15350, ""en"", ""mt"")"),"Kemm ilu meta l-ilma għadda mill-arkata Purus?")</f>
        <v>Kemm ilu meta l-ilma għadda mill-arkata Purus?</v>
      </c>
    </row>
    <row r="15351" ht="15.75" customHeight="1">
      <c r="A15351" s="2" t="s">
        <v>15351</v>
      </c>
      <c r="B15351" s="2" t="str">
        <f>IFERROR(__xludf.DUMMYFUNCTION("GOOGLETRANSLATE(A15351, ""en"", ""mt"")"),"Aċidi amminiċi idrofiliċi")</f>
        <v>Aċidi amminiċi idrofiliċi</v>
      </c>
    </row>
    <row r="15352" ht="15.75" customHeight="1">
      <c r="A15352" s="2" t="s">
        <v>15352</v>
      </c>
      <c r="B15352" s="2" t="str">
        <f>IFERROR(__xludf.DUMMYFUNCTION("GOOGLETRANSLATE(A15352, ""en"", ""mt"")"),"Liema ko-riċettur jagħmel ir-rikonoxximent aktar diffiċli?")</f>
        <v>Liema ko-riċettur jagħmel ir-rikonoxximent aktar diffiċli?</v>
      </c>
    </row>
    <row r="15353" ht="15.75" customHeight="1">
      <c r="A15353" s="2" t="s">
        <v>15353</v>
      </c>
      <c r="B15353" s="2" t="str">
        <f>IFERROR(__xludf.DUMMYFUNCTION("GOOGLETRANSLATE(A15353, ""en"", ""mt"")"),"Escarpment ta 'Varsavja")</f>
        <v>Escarpment ta 'Varsavja</v>
      </c>
    </row>
    <row r="15354" ht="15.75" customHeight="1">
      <c r="A15354" s="2" t="s">
        <v>15354</v>
      </c>
      <c r="B15354" s="2" t="str">
        <f>IFERROR(__xludf.DUMMYFUNCTION("GOOGLETRANSLATE(A15354, ""en"", ""mt"")"),"Meta Robert Hutchins sar l-ewwel rebbieħ tat-Trofew Heisman?")</f>
        <v>Meta Robert Hutchins sar l-ewwel rebbieħ tat-Trofew Heisman?</v>
      </c>
    </row>
    <row r="15355" ht="15.75" customHeight="1">
      <c r="A15355" s="2" t="s">
        <v>15355</v>
      </c>
      <c r="B15355" s="2" t="str">
        <f>IFERROR(__xludf.DUMMYFUNCTION("GOOGLETRANSLATE(A15355, ""en"", ""mt"")"),"Ħafna nies tal-post u turisti jiffrekwentaw il-kosta tan-Nofsinhar ta 'California għall-bajjiet popolari tagħha, u l-belt tad-deżert ta' Palm Springs hija popolari għall-sensazzjoni ta 'resort tagħha u l-ispazji miftuħa fil-viċin.")</f>
        <v>Ħafna nies tal-post u turisti jiffrekwentaw il-kosta tan-Nofsinhar ta 'California għall-bajjiet popolari tagħha, u l-belt tad-deżert ta' Palm Springs hija popolari għall-sensazzjoni ta 'resort tagħha u l-ispazji miftuħa fil-viċin.</v>
      </c>
    </row>
    <row r="15356" ht="15.75" customHeight="1">
      <c r="A15356" s="2" t="s">
        <v>15356</v>
      </c>
      <c r="B15356" s="2" t="str">
        <f>IFERROR(__xludf.DUMMYFUNCTION("GOOGLETRANSLATE(A15356, ""en"", ""mt"")"),"Għaliex illum l-eżempji tal-arkitettura Pariġina?")</f>
        <v>Għaliex illum l-eżempji tal-arkitettura Pariġina?</v>
      </c>
    </row>
    <row r="15357" ht="15.75" customHeight="1">
      <c r="A15357" s="2" t="s">
        <v>15357</v>
      </c>
      <c r="B15357" s="2" t="str">
        <f>IFERROR(__xludf.DUMMYFUNCTION("GOOGLETRANSLATE(A15357, ""en"", ""mt"")"),"iddur bilanċ")</f>
        <v>iddur bilanċ</v>
      </c>
    </row>
    <row r="15358" ht="15.75" customHeight="1">
      <c r="A15358" s="2" t="s">
        <v>15358</v>
      </c>
      <c r="B15358" s="2" t="str">
        <f>IFERROR(__xludf.DUMMYFUNCTION("GOOGLETRANSLATE(A15358, ""en"", ""mt"")"),"Bid-dawl tax-xemx, liema kompost kien ikkonċentra Priestley biex jagħmel il-gass li hu sejjaħ ""arja deflogistizzata""?")</f>
        <v>Bid-dawl tax-xemx, liema kompost kien ikkonċentra Priestley biex jagħmel il-gass li hu sejjaħ "arja deflogistizzata"?</v>
      </c>
    </row>
    <row r="15359" ht="15.75" customHeight="1">
      <c r="A15359" s="2" t="s">
        <v>15359</v>
      </c>
      <c r="B15359" s="2" t="str">
        <f>IFERROR(__xludf.DUMMYFUNCTION("GOOGLETRANSLATE(A15359, ""en"", ""mt"")"),"tlieta")</f>
        <v>tlieta</v>
      </c>
    </row>
    <row r="15360" ht="15.75" customHeight="1">
      <c r="A15360" s="2" t="s">
        <v>15360</v>
      </c>
      <c r="B15360" s="2" t="str">
        <f>IFERROR(__xludf.DUMMYFUNCTION("GOOGLETRANSLATE(A15360, ""en"", ""mt"")"),"Għal xiex biddlu d-dixxendenti ta 'Vendobionta?")</f>
        <v>Għal xiex biddlu d-dixxendenti ta 'Vendobionta?</v>
      </c>
    </row>
    <row r="15361" ht="15.75" customHeight="1">
      <c r="A15361" s="2" t="s">
        <v>15361</v>
      </c>
      <c r="B15361" s="2" t="str">
        <f>IFERROR(__xludf.DUMMYFUNCTION("GOOGLETRANSLATE(A15361, ""en"", ""mt"")"),"X'inhu estiż fit-tramuntana sa 45 °?")</f>
        <v>X'inhu estiż fit-tramuntana sa 45 °?</v>
      </c>
    </row>
    <row r="15362" ht="15.75" customHeight="1">
      <c r="A15362" s="2" t="s">
        <v>15362</v>
      </c>
      <c r="B15362" s="2" t="str">
        <f>IFERROR(__xludf.DUMMYFUNCTION("GOOGLETRANSLATE(A15362, ""en"", ""mt"")"),"Min iddisinja l-ġnien għal-librerija tal-università?")</f>
        <v>Min iddisinja l-ġnien għal-librerija tal-università?</v>
      </c>
    </row>
    <row r="15363" ht="15.75" customHeight="1">
      <c r="A15363" s="2" t="s">
        <v>15363</v>
      </c>
      <c r="B15363" s="2" t="str">
        <f>IFERROR(__xludf.DUMMYFUNCTION("GOOGLETRANSLATE(A15363, ""en"", ""mt"")"),"saff tal-ożonu")</f>
        <v>saff tal-ożonu</v>
      </c>
    </row>
    <row r="15364" ht="15.75" customHeight="1">
      <c r="A15364" s="2" t="s">
        <v>15364</v>
      </c>
      <c r="B15364" s="2" t="str">
        <f>IFERROR(__xludf.DUMMYFUNCTION("GOOGLETRANSLATE(A15364, ""en"", ""mt"")"),"1294")</f>
        <v>1294</v>
      </c>
    </row>
    <row r="15365" ht="15.75" customHeight="1">
      <c r="A15365" s="2" t="s">
        <v>15365</v>
      </c>
      <c r="B15365" s="2" t="str">
        <f>IFERROR(__xludf.DUMMYFUNCTION("GOOGLETRANSLATE(A15365, ""en"", ""mt"")"),"Minn min ġie influwenzat minn Charles Lyell?")</f>
        <v>Minn min ġie influwenzat minn Charles Lyell?</v>
      </c>
    </row>
    <row r="15366" ht="15.75" customHeight="1">
      <c r="A15366" s="2" t="s">
        <v>15366</v>
      </c>
      <c r="B15366" s="2" t="str">
        <f>IFERROR(__xludf.DUMMYFUNCTION("GOOGLETRANSLATE(A15366, ""en"", ""mt"")"),"molekuli organiċi")</f>
        <v>molekuli organiċi</v>
      </c>
    </row>
    <row r="15367" ht="15.75" customHeight="1">
      <c r="A15367" s="2" t="s">
        <v>15367</v>
      </c>
      <c r="B15367" s="2" t="str">
        <f>IFERROR(__xludf.DUMMYFUNCTION("GOOGLETRANSLATE(A15367, ""en"", ""mt"")"),"$ 40 kull barmil")</f>
        <v>$ 40 kull barmil</v>
      </c>
    </row>
    <row r="15368" ht="15.75" customHeight="1">
      <c r="A15368" s="2" t="s">
        <v>15368</v>
      </c>
      <c r="B15368" s="2" t="str">
        <f>IFERROR(__xludf.DUMMYFUNCTION("GOOGLETRANSLATE(A15368, ""en"", ""mt"")"),"41 ° C.")</f>
        <v>41 ° C.</v>
      </c>
    </row>
    <row r="15369" ht="15.75" customHeight="1">
      <c r="A15369" s="2" t="s">
        <v>15369</v>
      </c>
      <c r="B15369" s="2" t="str">
        <f>IFERROR(__xludf.DUMMYFUNCTION("GOOGLETRANSLATE(A15369, ""en"", ""mt"")"),"Microsoft x’ħabbret li se tibdel l-isem Sky?")</f>
        <v>Microsoft x’ħabbret li se tibdel l-isem Sky?</v>
      </c>
    </row>
    <row r="15370" ht="15.75" customHeight="1">
      <c r="A15370" s="2" t="s">
        <v>15370</v>
      </c>
      <c r="B15370" s="2" t="str">
        <f>IFERROR(__xludf.DUMMYFUNCTION("GOOGLETRANSLATE(A15370, ""en"", ""mt"")"),"Milton Friedman")</f>
        <v>Milton Friedman</v>
      </c>
    </row>
    <row r="15371" ht="15.75" customHeight="1">
      <c r="A15371" s="2" t="s">
        <v>15371</v>
      </c>
      <c r="B15371" s="2" t="str">
        <f>IFERROR(__xludf.DUMMYFUNCTION("GOOGLETRANSLATE(A15371, ""en"", ""mt"")"),"Liema sessjonijiet kellhom attendenza maġġoranza minn organizzazzjonijiet mhux governattivi?")</f>
        <v>Liema sessjonijiet kellhom attendenza maġġoranza minn organizzazzjonijiet mhux governattivi?</v>
      </c>
    </row>
    <row r="15372" ht="15.75" customHeight="1">
      <c r="A15372" s="2" t="s">
        <v>15372</v>
      </c>
      <c r="B15372" s="2" t="str">
        <f>IFERROR(__xludf.DUMMYFUNCTION("GOOGLETRANSLATE(A15372, ""en"", ""mt"")"),"il-mudell tal-komputazzjoni")</f>
        <v>il-mudell tal-komputazzjoni</v>
      </c>
    </row>
    <row r="15373" ht="15.75" customHeight="1">
      <c r="A15373" s="2" t="s">
        <v>15373</v>
      </c>
      <c r="B15373" s="2" t="str">
        <f>IFERROR(__xludf.DUMMYFUNCTION("GOOGLETRANSLATE(A15373, ""en"", ""mt"")"),"Sqallija")</f>
        <v>Sqallija</v>
      </c>
    </row>
    <row r="15374" ht="15.75" customHeight="1">
      <c r="A15374" s="2" t="s">
        <v>15374</v>
      </c>
      <c r="B15374" s="2" t="str">
        <f>IFERROR(__xludf.DUMMYFUNCTION("GOOGLETRANSLATE(A15374, ""en"", ""mt"")"),"X'tip ta 'sensittività eċċessiva tieħu bejn ġimagħtejn u tliet ġimgħat biex tiżviluppa?")</f>
        <v>X'tip ta 'sensittività eċċessiva tieħu bejn ġimagħtejn u tliet ġimgħat biex tiżviluppa?</v>
      </c>
    </row>
    <row r="15375" ht="15.75" customHeight="1">
      <c r="A15375" s="2" t="s">
        <v>15375</v>
      </c>
      <c r="B15375" s="2" t="str">
        <f>IFERROR(__xludf.DUMMYFUNCTION("GOOGLETRANSLATE(A15375, ""en"", ""mt"")"),"Il-pjan kien formalizzat?")</f>
        <v>Il-pjan kien formalizzat?</v>
      </c>
    </row>
    <row r="15376" ht="15.75" customHeight="1">
      <c r="A15376" s="2" t="s">
        <v>15376</v>
      </c>
      <c r="B15376" s="2" t="str">
        <f>IFERROR(__xludf.DUMMYFUNCTION("GOOGLETRANSLATE(A15376, ""en"", ""mt"")"),"Kemm tista 'tkun mhedda l-Amazon Rainforest, skond xi mudelli tal-kompjuter?")</f>
        <v>Kemm tista 'tkun mhedda l-Amazon Rainforest, skond xi mudelli tal-kompjuter?</v>
      </c>
    </row>
    <row r="15377" ht="15.75" customHeight="1">
      <c r="A15377" s="2" t="s">
        <v>15377</v>
      </c>
      <c r="B15377" s="2" t="str">
        <f>IFERROR(__xludf.DUMMYFUNCTION("GOOGLETRANSLATE(A15377, ""en"", ""mt"")"),"Kif irrisponda r-Re Louis XV għall-pjanijiet Ingliżi?")</f>
        <v>Kif irrisponda r-Re Louis XV għall-pjanijiet Ingliżi?</v>
      </c>
    </row>
    <row r="15378" ht="15.75" customHeight="1">
      <c r="A15378" s="2" t="s">
        <v>15378</v>
      </c>
      <c r="B15378" s="2" t="str">
        <f>IFERROR(__xludf.DUMMYFUNCTION("GOOGLETRANSLATE(A15378, ""en"", ""mt"")"),"$ 100,000")</f>
        <v>$ 100,000</v>
      </c>
    </row>
    <row r="15379" ht="15.75" customHeight="1">
      <c r="A15379" s="2" t="s">
        <v>15379</v>
      </c>
      <c r="B15379" s="2" t="str">
        <f>IFERROR(__xludf.DUMMYFUNCTION("GOOGLETRANSLATE(A15379, ""en"", ""mt"")"),"Konsiderazzjonijiet makrofiżiċi li jrendu l-forzi bħala li jirriżultaw minn medja statistika makroskopika ta 'mikrostati")</f>
        <v>Konsiderazzjonijiet makrofiżiċi li jrendu l-forzi bħala li jirriżultaw minn medja statistika makroskopika ta 'mikrostati</v>
      </c>
    </row>
    <row r="15380" ht="15.75" customHeight="1">
      <c r="A15380" s="2" t="s">
        <v>15380</v>
      </c>
      <c r="B15380" s="2" t="str">
        <f>IFERROR(__xludf.DUMMYFUNCTION("GOOGLETRANSLATE(A15380, ""en"", ""mt"")"),"Fejn jgħixu Ctenophora?")</f>
        <v>Fejn jgħixu Ctenophora?</v>
      </c>
    </row>
    <row r="15381" ht="15.75" customHeight="1">
      <c r="A15381" s="2" t="s">
        <v>15381</v>
      </c>
      <c r="B15381" s="2" t="str">
        <f>IFERROR(__xludf.DUMMYFUNCTION("GOOGLETRANSLATE(A15381, ""en"", ""mt"")"),"Jekk Q = 9 u A = 1,2,4,5,7, jew 8, kemm primes ikunu fi progress?")</f>
        <v>Jekk Q = 9 u A = 1,2,4,5,7, jew 8, kemm primes ikunu fi progress?</v>
      </c>
    </row>
    <row r="15382" ht="15.75" customHeight="1">
      <c r="A15382" s="2" t="s">
        <v>15382</v>
      </c>
      <c r="B15382" s="2" t="str">
        <f>IFERROR(__xludf.DUMMYFUNCTION("GOOGLETRANSLATE(A15382, ""en"", ""mt"")"),"Fejn jgħixu Platycenida?")</f>
        <v>Fejn jgħixu Platycenida?</v>
      </c>
    </row>
    <row r="15383" ht="15.75" customHeight="1">
      <c r="A15383" s="2" t="s">
        <v>15383</v>
      </c>
      <c r="B15383" s="2" t="str">
        <f>IFERROR(__xludf.DUMMYFUNCTION("GOOGLETRANSLATE(A15383, ""en"", ""mt"")"),"Kif jintbagħtu l-pakketti b'mod irregolari?")</f>
        <v>Kif jintbagħtu l-pakketti b'mod irregolari?</v>
      </c>
    </row>
    <row r="15384" ht="15.75" customHeight="1">
      <c r="A15384" s="2" t="s">
        <v>15384</v>
      </c>
      <c r="B15384" s="2" t="str">
        <f>IFERROR(__xludf.DUMMYFUNCTION("GOOGLETRANSLATE(A15384, ""en"", ""mt"")"),"F'liema temperatura l-forzi dgħajfa u elettromanjetiċi jidhru l-istess?")</f>
        <v>F'liema temperatura l-forzi dgħajfa u elettromanjetiċi jidhru l-istess?</v>
      </c>
    </row>
    <row r="15385" ht="15.75" customHeight="1">
      <c r="A15385" s="2" t="s">
        <v>15385</v>
      </c>
      <c r="B15385" s="2" t="str">
        <f>IFERROR(__xludf.DUMMYFUNCTION("GOOGLETRANSLATE(A15385, ""en"", ""mt"")"),"reazzjoni eżotermika")</f>
        <v>reazzjoni eżotermika</v>
      </c>
    </row>
    <row r="15386" ht="15.75" customHeight="1">
      <c r="A15386" s="2" t="s">
        <v>15386</v>
      </c>
      <c r="B15386" s="2" t="str">
        <f>IFERROR(__xludf.DUMMYFUNCTION("GOOGLETRANSLATE(A15386, ""en"", ""mt"")"),"Fejn tnejn mill-bniet ta 'Triton waqqfu vjaġġ?")</f>
        <v>Fejn tnejn mill-bniet ta 'Triton waqqfu vjaġġ?</v>
      </c>
    </row>
    <row r="15387" ht="15.75" customHeight="1">
      <c r="A15387" s="2" t="s">
        <v>15387</v>
      </c>
      <c r="B15387" s="2" t="str">
        <f>IFERROR(__xludf.DUMMYFUNCTION("GOOGLETRANSLATE(A15387, ""en"", ""mt"")"),"ġustizzja u prosperità")</f>
        <v>ġustizzja u prosperità</v>
      </c>
    </row>
    <row r="15388" ht="15.75" customHeight="1">
      <c r="A15388" s="2" t="s">
        <v>15388</v>
      </c>
      <c r="B15388" s="2" t="str">
        <f>IFERROR(__xludf.DUMMYFUNCTION("GOOGLETRANSLATE(A15388, ""en"", ""mt"")"),"F’liema seklu l-Baħar tal-Baħar ingħaqad mal-baħar?")</f>
        <v>F’liema seklu l-Baħar tal-Baħar ingħaqad mal-baħar?</v>
      </c>
    </row>
    <row r="15389" ht="15.75" customHeight="1">
      <c r="A15389" s="2" t="s">
        <v>15389</v>
      </c>
      <c r="B15389" s="2" t="str">
        <f>IFERROR(__xludf.DUMMYFUNCTION("GOOGLETRANSLATE(A15389, ""en"", ""mt"")"),"Sistemi Cisco")</f>
        <v>Sistemi Cisco</v>
      </c>
    </row>
    <row r="15390" ht="15.75" customHeight="1">
      <c r="A15390" s="2" t="s">
        <v>15390</v>
      </c>
      <c r="B15390" s="2" t="str">
        <f>IFERROR(__xludf.DUMMYFUNCTION("GOOGLETRANSLATE(A15390, ""en"", ""mt"")"),"Iż-żewġ ex-deputati tal-Parlament huma min?")</f>
        <v>Iż-żewġ ex-deputati tal-Parlament huma min?</v>
      </c>
    </row>
    <row r="15391" ht="15.75" customHeight="1">
      <c r="A15391" s="2" t="s">
        <v>15391</v>
      </c>
      <c r="B15391" s="2" t="str">
        <f>IFERROR(__xludf.DUMMYFUNCTION("GOOGLETRANSLATE(A15391, ""en"", ""mt"")"),"L-ewwel bini tal-Università ta 'Oxford huma magħrufa bħala?")</f>
        <v>L-ewwel bini tal-Università ta 'Oxford huma magħrufa bħala?</v>
      </c>
    </row>
    <row r="15392" ht="15.75" customHeight="1">
      <c r="A15392" s="2" t="s">
        <v>15392</v>
      </c>
      <c r="B15392" s="2" t="str">
        <f>IFERROR(__xludf.DUMMYFUNCTION("GOOGLETRANSLATE(A15392, ""en"", ""mt"")"),"Liema belt ta 'Florida għandha popolazzjoni iżgħar?")</f>
        <v>Liema belt ta 'Florida għandha popolazzjoni iżgħar?</v>
      </c>
    </row>
    <row r="15393" ht="15.75" customHeight="1">
      <c r="A15393" s="2" t="s">
        <v>15393</v>
      </c>
      <c r="B15393" s="2" t="str">
        <f>IFERROR(__xludf.DUMMYFUNCTION("GOOGLETRANSLATE(A15393, ""en"", ""mt"")"),"It-talba ta 'Franza fir-reġjun kienet superjuri għal dik tal-Ingliżi")</f>
        <v>It-talba ta 'Franza fir-reġjun kienet superjuri għal dik tal-Ingliżi</v>
      </c>
    </row>
    <row r="15394" ht="15.75" customHeight="1">
      <c r="A15394" s="2" t="s">
        <v>15394</v>
      </c>
      <c r="B15394" s="2" t="str">
        <f>IFERROR(__xludf.DUMMYFUNCTION("GOOGLETRANSLATE(A15394, ""en"", ""mt"")"),"X'jista 'jitqies bħala funzjoni tal-prezz tas-suq tal-ħila?")</f>
        <v>X'jista 'jitqies bħala funzjoni tal-prezz tas-suq tal-ħila?</v>
      </c>
    </row>
    <row r="15395" ht="15.75" customHeight="1">
      <c r="A15395" s="2" t="s">
        <v>15395</v>
      </c>
      <c r="B15395" s="2" t="str">
        <f>IFERROR(__xludf.DUMMYFUNCTION("GOOGLETRANSLATE(A15395, ""en"", ""mt"")"),"Ir-riċerka rigward il-proċessi metamorfiċi tgħin biex tispjega xi ngħidu dwar il-pressjoni?")</f>
        <v>Ir-riċerka rigward il-proċessi metamorfiċi tgħin biex tispjega xi ngħidu dwar il-pressjoni?</v>
      </c>
    </row>
    <row r="15396" ht="15.75" customHeight="1">
      <c r="A15396" s="2" t="s">
        <v>15396</v>
      </c>
      <c r="B15396" s="2" t="str">
        <f>IFERROR(__xludf.DUMMYFUNCTION("GOOGLETRANSLATE(A15396, ""en"", ""mt"")"),"15 ° C.")</f>
        <v>15 ° C.</v>
      </c>
    </row>
    <row r="15397" ht="15.75" customHeight="1">
      <c r="A15397" s="2" t="s">
        <v>15397</v>
      </c>
      <c r="B15397" s="2" t="str">
        <f>IFERROR(__xludf.DUMMYFUNCTION("GOOGLETRANSLATE(A15397, ""en"", ""mt"")"),"Anglikan")</f>
        <v>Anglikan</v>
      </c>
    </row>
    <row r="15398" ht="15.75" customHeight="1">
      <c r="A15398" s="2" t="s">
        <v>15398</v>
      </c>
      <c r="B15398" s="2" t="str">
        <f>IFERROR(__xludf.DUMMYFUNCTION("GOOGLETRANSLATE(A15398, ""en"", ""mt"")"),"X'tip ta 'waqfien tal-klima rinforzat milli jinfirex madwar il-kontinent?")</f>
        <v>X'tip ta 'waqfien tal-klima rinforzat milli jinfirex madwar il-kontinent?</v>
      </c>
    </row>
    <row r="15399" ht="15.75" customHeight="1">
      <c r="A15399" s="2" t="s">
        <v>15399</v>
      </c>
      <c r="B15399" s="2" t="str">
        <f>IFERROR(__xludf.DUMMYFUNCTION("GOOGLETRANSLATE(A15399, ""en"", ""mt"")"),"X'inhi kelma oħra għall-istudju tal-ħajja tal-passat u attwali?")</f>
        <v>X'inhi kelma oħra għall-istudju tal-ħajja tal-passat u attwali?</v>
      </c>
    </row>
    <row r="15400" ht="15.75" customHeight="1">
      <c r="A15400" s="2" t="s">
        <v>15400</v>
      </c>
      <c r="B15400" s="2" t="str">
        <f>IFERROR(__xludf.DUMMYFUNCTION("GOOGLETRANSLATE(A15400, ""en"", ""mt"")"),"Il-punt ta 'Bauffet")</f>
        <v>Il-punt ta 'Bauffet</v>
      </c>
    </row>
    <row r="15401" ht="15.75" customHeight="1">
      <c r="A15401" s="2" t="s">
        <v>15401</v>
      </c>
      <c r="B15401" s="2" t="str">
        <f>IFERROR(__xludf.DUMMYFUNCTION("GOOGLETRANSLATE(A15401, ""en"", ""mt"")"),"Kif kienu l-Ingliżi kapaċi jaqtgħu l-provvisti lil Louisbourg?")</f>
        <v>Kif kienu l-Ingliżi kapaċi jaqtgħu l-provvisti lil Louisbourg?</v>
      </c>
    </row>
    <row r="15402" ht="15.75" customHeight="1">
      <c r="A15402" s="2" t="s">
        <v>15402</v>
      </c>
      <c r="B15402" s="2" t="str">
        <f>IFERROR(__xludf.DUMMYFUNCTION("GOOGLETRANSLATE(A15402, ""en"", ""mt"")")," X'jineħħu n-nies li jneħħu mill-popolazzjonijiet indiġeni?")</f>
        <v> X'jineħħu n-nies li jneħħu mill-popolazzjonijiet indiġeni?</v>
      </c>
    </row>
    <row r="15403" ht="15.75" customHeight="1">
      <c r="A15403" s="2" t="s">
        <v>15403</v>
      </c>
      <c r="B15403" s="2" t="str">
        <f>IFERROR(__xludf.DUMMYFUNCTION("GOOGLETRANSLATE(A15403, ""en"", ""mt"")"),"X'inhu 37 ° 8 '59.23 ""Latitudni?")</f>
        <v>X'inhu 37 ° 8 '59.23 "Latitudni?</v>
      </c>
    </row>
    <row r="15404" ht="15.75" customHeight="1">
      <c r="A15404" s="2" t="s">
        <v>15404</v>
      </c>
      <c r="B15404" s="2" t="str">
        <f>IFERROR(__xludf.DUMMYFUNCTION("GOOGLETRANSLATE(A15404, ""en"", ""mt"")"),"Għaliex iċ-Ċiniżi tat-Tramuntana ġew ikklassifikati ogħla?")</f>
        <v>Għaliex iċ-Ċiniżi tat-Tramuntana ġew ikklassifikati ogħla?</v>
      </c>
    </row>
    <row r="15405" ht="15.75" customHeight="1">
      <c r="A15405" s="2" t="s">
        <v>15405</v>
      </c>
      <c r="B15405" s="2" t="str">
        <f>IFERROR(__xludf.DUMMYFUNCTION("GOOGLETRANSLATE(A15405, ""en"", ""mt"")"),"Min jgħidu l-biċċa l-kbira tal-ġurisdizzjonijiet jistgħu jagħtu drogi skedati lill-pubbliku?")</f>
        <v>Min jgħidu l-biċċa l-kbira tal-ġurisdizzjonijiet jistgħu jagħtu drogi skedati lill-pubbliku?</v>
      </c>
    </row>
    <row r="15406" ht="15.75" customHeight="1">
      <c r="A15406" s="2" t="s">
        <v>15406</v>
      </c>
      <c r="B15406" s="2" t="str">
        <f>IFERROR(__xludf.DUMMYFUNCTION("GOOGLETRANSLATE(A15406, ""en"", ""mt"")"),"Liema żewġ aġenziji pubbliċi jkunu f'kunflitt taħt id-defnintion tad-diżubbidjenza ċivili?")</f>
        <v>Liema żewġ aġenziji pubbliċi jkunu f'kunflitt taħt id-defnintion tad-diżubbidjenza ċivili?</v>
      </c>
    </row>
    <row r="15407" ht="15.75" customHeight="1">
      <c r="A15407" s="2" t="s">
        <v>15407</v>
      </c>
      <c r="B15407" s="2" t="str">
        <f>IFERROR(__xludf.DUMMYFUNCTION("GOOGLETRANSLATE(A15407, ""en"", ""mt"")"),"20 miljun uqija")</f>
        <v>20 miljun uqija</v>
      </c>
    </row>
    <row r="15408" ht="15.75" customHeight="1">
      <c r="A15408" s="2" t="s">
        <v>15408</v>
      </c>
      <c r="B15408" s="2" t="str">
        <f>IFERROR(__xludf.DUMMYFUNCTION("GOOGLETRANSLATE(A15408, ""en"", ""mt"")"),"Diversi professuri tal-Università ta ’Chicago")</f>
        <v>Diversi professuri tal-Università ta ’Chicago</v>
      </c>
    </row>
    <row r="15409" ht="15.75" customHeight="1">
      <c r="A15409" s="2" t="s">
        <v>15409</v>
      </c>
      <c r="B15409" s="2" t="str">
        <f>IFERROR(__xludf.DUMMYFUNCTION("GOOGLETRANSLATE(A15409, ""en"", ""mt"")"),"Kemm hemm timijiet li kellhom Los Angeles?")</f>
        <v>Kemm hemm timijiet li kellhom Los Angeles?</v>
      </c>
    </row>
    <row r="15410" ht="15.75" customHeight="1">
      <c r="A15410" s="2" t="s">
        <v>15410</v>
      </c>
      <c r="B15410" s="2" t="str">
        <f>IFERROR(__xludf.DUMMYFUNCTION("GOOGLETRANSLATE(A15410, ""en"", ""mt"")"),"Distribuzzjonijiet relattivament ugwali tal-ġid")</f>
        <v>Distribuzzjonijiet relattivament ugwali tal-ġid</v>
      </c>
    </row>
    <row r="15411" ht="15.75" customHeight="1">
      <c r="A15411" s="2" t="s">
        <v>15411</v>
      </c>
      <c r="B15411" s="2" t="str">
        <f>IFERROR(__xludf.DUMMYFUNCTION("GOOGLETRANSLATE(A15411, ""en"", ""mt"")"),"Marquis de la Jonquière")</f>
        <v>Marquis de la Jonquière</v>
      </c>
    </row>
    <row r="15412" ht="15.75" customHeight="1">
      <c r="A15412" s="2" t="s">
        <v>15412</v>
      </c>
      <c r="B15412" s="2" t="str">
        <f>IFERROR(__xludf.DUMMYFUNCTION("GOOGLETRANSLATE(A15412, ""en"", ""mt"")"),"Teorija tan-Numri")</f>
        <v>Teorija tan-Numri</v>
      </c>
    </row>
    <row r="15413" ht="15.75" customHeight="1">
      <c r="A15413" s="2" t="s">
        <v>15413</v>
      </c>
      <c r="B15413" s="2" t="str">
        <f>IFERROR(__xludf.DUMMYFUNCTION("GOOGLETRANSLATE(A15413, ""en"", ""mt"")"),"F'liema sena bdew joqgħodu Huguenots fl-Afrika t'Isfel?")</f>
        <v>F'liema sena bdew joqgħodu Huguenots fl-Afrika t'Isfel?</v>
      </c>
    </row>
    <row r="15414" ht="15.75" customHeight="1">
      <c r="A15414" s="2" t="s">
        <v>15414</v>
      </c>
      <c r="B15414" s="2" t="str">
        <f>IFERROR(__xludf.DUMMYFUNCTION("GOOGLETRANSLATE(A15414, ""en"", ""mt"")"),"Xi elementi tal-fratellanza, għalkemm forsi kontra l-ordnijiet, kienu jinvolvu ruħhom fi vjolenza kontra l-gvern, u l-fundatur tiegħu Al-Banna ġie maqtul fl-1949 bħala ritaljazzjoni għall-qtil tal-premier tal-Eġittu Mahmud Fami Naqrashi tliet xhur qabel. "&amp;"Il-fratellanza sofriet repressjoni perjodika fl-Eġittu u ġiet ipprojbita diversi drabi, fl-1948 u bosta snin wara wara konfronti mal-president Eġizzjan Gamal Abdul Nasser, li ħabs eluf ta ’membri għal bosta snin.")</f>
        <v>Xi elementi tal-fratellanza, għalkemm forsi kontra l-ordnijiet, kienu jinvolvu ruħhom fi vjolenza kontra l-gvern, u l-fundatur tiegħu Al-Banna ġie maqtul fl-1949 bħala ritaljazzjoni għall-qtil tal-premier tal-Eġittu Mahmud Fami Naqrashi tliet xhur qabel. Il-fratellanza sofriet repressjoni perjodika fl-Eġittu u ġiet ipprojbita diversi drabi, fl-1948 u bosta snin wara wara konfronti mal-president Eġizzjan Gamal Abdul Nasser, li ħabs eluf ta ’membri għal bosta snin.</v>
      </c>
    </row>
    <row r="15415" ht="15.75" customHeight="1">
      <c r="A15415" s="2" t="s">
        <v>15415</v>
      </c>
      <c r="B15415" s="2" t="str">
        <f>IFERROR(__xludf.DUMMYFUNCTION("GOOGLETRANSLATE(A15415, ""en"", ""mt"")"),"Dikjarazzjoni ta 'żewġ paġni")</f>
        <v>Dikjarazzjoni ta 'żewġ paġni</v>
      </c>
    </row>
    <row r="15416" ht="15.75" customHeight="1">
      <c r="A15416" s="2" t="s">
        <v>15416</v>
      </c>
      <c r="B15416" s="2" t="str">
        <f>IFERROR(__xludf.DUMMYFUNCTION("GOOGLETRANSLATE(A15416, ""en"", ""mt"")"),"Min kiteb l-ewwel dwar l-iskoperta u l-fruntiera tar-Rhine?")</f>
        <v>Min kiteb l-ewwel dwar l-iskoperta u l-fruntiera tar-Rhine?</v>
      </c>
    </row>
    <row r="15417" ht="15.75" customHeight="1">
      <c r="A15417" s="2" t="s">
        <v>15417</v>
      </c>
      <c r="B15417" s="2" t="str">
        <f>IFERROR(__xludf.DUMMYFUNCTION("GOOGLETRANSLATE(A15417, ""en"", ""mt"")"),"Storikament, il-forzi ġew investigati l-ewwel kwantitattivament f'kundizzjonijiet ta 'bilanċ statiku fejn diversi forzi kkanċellaw lil xulxin. Esperimenti bħal dawn juru l-proprjetajiet kruċjali li l-forzi huma kwantitajiet ta 'vettur addittivi: għandhom "&amp;"kobor u direzzjoni. Meta żewġ forzi jaġixxu fuq partikula punt, il-forza li tirriżulta, li tirriżulta (tissejjaħ ukoll il-forza netta), tista 'tiġi ddeterminata billi ssegwi r-regola parallelogramma ta' vettur miżjud: iż-żieda ta 'żewġ vettori rappreżenta"&amp;"ti minn naħat ta' parallelogramma, tagħti ekwivalenti vettur li jirriżulta li huwa ugwali fil-kobor u d-direzzjoni għat-trasversali tal-parallelogramma. Il-kobor tar-riżultanti jvarja mid-differenza tal-kobor taż-żewġ forzi għas-somma tagħhom, skont l-ang"&amp;"olu bejn il-linji ta 'azzjoni tagħhom. Madankollu, jekk il-forzi qed jaġixxu fuq korp estiż, il-linji ta 'applikazzjoni rispettivi tagħhom għandhom jiġu speċifikati wkoll sabiex jiġu kkunsidrati l-effetti tagħhom fuq il-moviment tal-ġisem.")</f>
        <v>Storikament, il-forzi ġew investigati l-ewwel kwantitattivament f'kundizzjonijiet ta 'bilanċ statiku fejn diversi forzi kkanċellaw lil xulxin. Esperimenti bħal dawn juru l-proprjetajiet kruċjali li l-forzi huma kwantitajiet ta 'vettur addittivi: għandhom kobor u direzzjoni. Meta żewġ forzi jaġixxu fuq partikula punt, il-forza li tirriżulta, li tirriżulta (tissejjaħ ukoll il-forza netta), tista 'tiġi ddeterminata billi ssegwi r-regola parallelogramma ta' vettur miżjud: iż-żieda ta 'żewġ vettori rappreżentati minn naħat ta' parallelogramma, tagħti ekwivalenti vettur li jirriżulta li huwa ugwali fil-kobor u d-direzzjoni għat-trasversali tal-parallelogramma. Il-kobor tar-riżultanti jvarja mid-differenza tal-kobor taż-żewġ forzi għas-somma tagħhom, skont l-angolu bejn il-linji ta 'azzjoni tagħhom. Madankollu, jekk il-forzi qed jaġixxu fuq korp estiż, il-linji ta 'applikazzjoni rispettivi tagħhom għandhom jiġu speċifikati wkoll sabiex jiġu kkunsidrati l-effetti tagħhom fuq il-moviment tal-ġisem.</v>
      </c>
    </row>
    <row r="15418" ht="15.75" customHeight="1">
      <c r="A15418" s="2" t="s">
        <v>15418</v>
      </c>
      <c r="B15418" s="2" t="str">
        <f>IFERROR(__xludf.DUMMYFUNCTION("GOOGLETRANSLATE(A15418, ""en"", ""mt"")"),"Liberaliżmu Ewropew")</f>
        <v>Liberaliżmu Ewropew</v>
      </c>
    </row>
    <row r="15419" ht="15.75" customHeight="1">
      <c r="A15419" s="2" t="s">
        <v>15419</v>
      </c>
      <c r="B15419" s="2" t="str">
        <f>IFERROR(__xludf.DUMMYFUNCTION("GOOGLETRANSLATE(A15419, ""en"", ""mt"")"),"Min waqqaf id-dinastija Ming?")</f>
        <v>Min waqqaf id-dinastija Ming?</v>
      </c>
    </row>
    <row r="15420" ht="15.75" customHeight="1">
      <c r="A15420" s="2" t="s">
        <v>15420</v>
      </c>
      <c r="B15420" s="2" t="str">
        <f>IFERROR(__xludf.DUMMYFUNCTION("GOOGLETRANSLATE(A15420, ""en"", ""mt"")"),"X'kien hemm minoranza sinifikanti ta 'Varsavja?")</f>
        <v>X'kien hemm minoranza sinifikanti ta 'Varsavja?</v>
      </c>
    </row>
    <row r="15421" ht="15.75" customHeight="1">
      <c r="A15421" s="2" t="s">
        <v>15421</v>
      </c>
      <c r="B15421" s="2" t="str">
        <f>IFERROR(__xludf.DUMMYFUNCTION("GOOGLETRANSLATE(A15421, ""en"", ""mt"")"),"Sas-6 seklu, ir-Renu kien fil-fruntieri ta ’Francia. Fid-9, hija ffurmat parti mill-fruntiera bejn in-nofs u l-punent ta 'Francia, iżda fis-seklu 10, kienet kompletament fl-Imperu Ruman qaddis, li tgħaddi minn Swabia, Franconja u Lorraine t'isfel. Il-ħalq"&amp;" tar-Renu, fil-kontea ta 'l-Olanda, waqgħu lejn l-Olanda tal-Burgundjani fis-seklu 15; L-Olanda baqgħet territorju kontenzjuż matul il-Gwerer tar-Reliġjon Ewropej u l-kollass eventwali tal-Imperu Ruman Imqaddes, meta t-tul tar-Renu waqa 'għall-ewwel Imper"&amp;"u Franċiż u l-istati tal-klijenti tiegħu. L-Alsace fuq il-banek tax-xellug tar-Renu ta ’Fuq inbiegħ lil Burgundy mill-Archduke Sigismund tal-Awstrija fl-1469 u eventwalment waqa’ għal Franza fil-gwerra tat-tletin sena. Il-bosta kastelli storiċi fir-Rhinel"&amp;"and-palatite jixhdu l-importanza tax-xmara bħala rotta kummerċjali.")</f>
        <v>Sas-6 seklu, ir-Renu kien fil-fruntieri ta ’Francia. Fid-9, hija ffurmat parti mill-fruntiera bejn in-nofs u l-punent ta 'Francia, iżda fis-seklu 10, kienet kompletament fl-Imperu Ruman qaddis, li tgħaddi minn Swabia, Franconja u Lorraine t'isfel. Il-ħalq tar-Renu, fil-kontea ta 'l-Olanda, waqgħu lejn l-Olanda tal-Burgundjani fis-seklu 15; L-Olanda baqgħet territorju kontenzjuż matul il-Gwerer tar-Reliġjon Ewropej u l-kollass eventwali tal-Imperu Ruman Imqaddes, meta t-tul tar-Renu waqa 'għall-ewwel Imperu Franċiż u l-istati tal-klijenti tiegħu. L-Alsace fuq il-banek tax-xellug tar-Renu ta ’Fuq inbiegħ lil Burgundy mill-Archduke Sigismund tal-Awstrija fl-1469 u eventwalment waqa’ għal Franza fil-gwerra tat-tletin sena. Il-bosta kastelli storiċi fir-Rhineland-palatite jixhdu l-importanza tax-xmara bħala rotta kummerċjali.</v>
      </c>
    </row>
    <row r="15422" ht="15.75" customHeight="1">
      <c r="A15422" s="2" t="s">
        <v>15422</v>
      </c>
      <c r="B15422" s="2" t="str">
        <f>IFERROR(__xludf.DUMMYFUNCTION("GOOGLETRANSLATE(A15422, ""en"", ""mt"")"),"X'inhu t-terminu għas-sett tal-graffs kollha mhux konnessi relatati ma 'din il-problema ta' deċiżjoni?")</f>
        <v>X'inhu t-terminu għas-sett tal-graffs kollha mhux konnessi relatati ma 'din il-problema ta' deċiżjoni?</v>
      </c>
    </row>
    <row r="15423" ht="15.75" customHeight="1">
      <c r="A15423" s="2" t="s">
        <v>15423</v>
      </c>
      <c r="B15423" s="2" t="str">
        <f>IFERROR(__xludf.DUMMYFUNCTION("GOOGLETRANSLATE(A15423, ""en"", ""mt"")"),"Lil min ġġieled l-Italja matul il-gwerra tat-tletin sena?")</f>
        <v>Lil min ġġieled l-Italja matul il-gwerra tat-tletin sena?</v>
      </c>
    </row>
    <row r="15424" ht="15.75" customHeight="1">
      <c r="A15424" s="2" t="s">
        <v>15424</v>
      </c>
      <c r="B15424" s="2" t="str">
        <f>IFERROR(__xludf.DUMMYFUNCTION("GOOGLETRANSLATE(A15424, ""en"", ""mt"")"),"Katastrofizmu")</f>
        <v>Katastrofizmu</v>
      </c>
    </row>
    <row r="15425" ht="15.75" customHeight="1">
      <c r="A15425" s="2" t="s">
        <v>15425</v>
      </c>
      <c r="B15425" s="2" t="str">
        <f>IFERROR(__xludf.DUMMYFUNCTION("GOOGLETRANSLATE(A15425, ""en"", ""mt"")"),"Fejn il-Baħar tat-Tramuntana joħroġ?")</f>
        <v>Fejn il-Baħar tat-Tramuntana joħroġ?</v>
      </c>
    </row>
    <row r="15426" ht="15.75" customHeight="1">
      <c r="A15426" s="2" t="s">
        <v>15426</v>
      </c>
      <c r="B15426" s="2" t="str">
        <f>IFERROR(__xludf.DUMMYFUNCTION("GOOGLETRANSLATE(A15426, ""en"", ""mt"")"),"Liema klassi ta 'vapuri hija eżempju ta' inforor żgħar tal-passiġġieri?")</f>
        <v>Liema klassi ta 'vapuri hija eżempju ta' inforor żgħar tal-passiġġieri?</v>
      </c>
    </row>
    <row r="15427" ht="15.75" customHeight="1">
      <c r="A15427" s="2" t="s">
        <v>15427</v>
      </c>
      <c r="B15427" s="2" t="str">
        <f>IFERROR(__xludf.DUMMYFUNCTION("GOOGLETRANSLATE(A15427, ""en"", ""mt"")"),"Il-Kompromess ta 'Missouri")</f>
        <v>Il-Kompromess ta 'Missouri</v>
      </c>
    </row>
    <row r="15428" ht="15.75" customHeight="1">
      <c r="A15428" s="2" t="s">
        <v>15428</v>
      </c>
      <c r="B15428" s="2" t="str">
        <f>IFERROR(__xludf.DUMMYFUNCTION("GOOGLETRANSLATE(A15428, ""en"", ""mt"")"),"£ 30m")</f>
        <v>£ 30m</v>
      </c>
    </row>
    <row r="15429" ht="15.75" customHeight="1">
      <c r="A15429" s="2" t="s">
        <v>15429</v>
      </c>
      <c r="B15429" s="2" t="str">
        <f>IFERROR(__xludf.DUMMYFUNCTION("GOOGLETRANSLATE(A15429, ""en"", ""mt"")"),"proporzjonalment man-numru ta 'voti riċevuti")</f>
        <v>proporzjonalment man-numru ta 'voti riċevuti</v>
      </c>
    </row>
    <row r="15430" ht="15.75" customHeight="1">
      <c r="A15430" s="2" t="s">
        <v>15430</v>
      </c>
      <c r="B15430" s="2" t="str">
        <f>IFERROR(__xludf.DUMMYFUNCTION("GOOGLETRANSLATE(A15430, ""en"", ""mt"")"),"Numri ta 'liema razza ta' studenti żdiedu fl-iskejjel pubbliċi qabel l-1954?")</f>
        <v>Numri ta 'liema razza ta' studenti żdiedu fl-iskejjel pubbliċi qabel l-1954?</v>
      </c>
    </row>
    <row r="15431" ht="15.75" customHeight="1">
      <c r="A15431" s="2" t="s">
        <v>15431</v>
      </c>
      <c r="B15431" s="2" t="str">
        <f>IFERROR(__xludf.DUMMYFUNCTION("GOOGLETRANSLATE(A15431, ""en"", ""mt"")"),"Kif iddefendew lilhom infushom il-Huguenots?")</f>
        <v>Kif iddefendew lilhom infushom il-Huguenots?</v>
      </c>
    </row>
    <row r="15432" ht="15.75" customHeight="1">
      <c r="A15432" s="2" t="s">
        <v>15432</v>
      </c>
      <c r="B15432" s="2" t="str">
        <f>IFERROR(__xludf.DUMMYFUNCTION("GOOGLETRANSLATE(A15432, ""en"", ""mt"")"),"Xi jipprevjeni l-ossiġnu doppju li jirreaġixxi bil-mod bil-biċċa l-kbira tal-molekuli organiċi?")</f>
        <v>Xi jipprevjeni l-ossiġnu doppju li jirreaġixxi bil-mod bil-biċċa l-kbira tal-molekuli organiċi?</v>
      </c>
    </row>
    <row r="15433" ht="15.75" customHeight="1">
      <c r="A15433" s="2" t="s">
        <v>15433</v>
      </c>
      <c r="B15433" s="2" t="str">
        <f>IFERROR(__xludf.DUMMYFUNCTION("GOOGLETRANSLATE(A15433, ""en"", ""mt"")"),"Kontenut ta 'enerġija")</f>
        <v>Kontenut ta 'enerġija</v>
      </c>
    </row>
    <row r="15434" ht="15.75" customHeight="1">
      <c r="A15434" s="2" t="s">
        <v>15434</v>
      </c>
      <c r="B15434" s="2" t="str">
        <f>IFERROR(__xludf.DUMMYFUNCTION("GOOGLETRANSLATE(A15434, ""en"", ""mt"")"),"X'tip ta 'riżultati jistgħu saħansitra jwasslu swieq stabbli?")</f>
        <v>X'tip ta 'riżultati jistgħu saħansitra jwasslu swieq stabbli?</v>
      </c>
    </row>
    <row r="15435" ht="15.75" customHeight="1">
      <c r="A15435" s="2" t="s">
        <v>15435</v>
      </c>
      <c r="B15435" s="2" t="str">
        <f>IFERROR(__xludf.DUMMYFUNCTION("GOOGLETRANSLATE(A15435, ""en"", ""mt"")"),"X'inhu l-Ispiżerija Medjevali ta 'Esteve fil-preżent?")</f>
        <v>X'inhu l-Ispiżerija Medjevali ta 'Esteve fil-preżent?</v>
      </c>
    </row>
    <row r="15436" ht="15.75" customHeight="1">
      <c r="A15436" s="2" t="s">
        <v>15436</v>
      </c>
      <c r="B15436" s="2" t="str">
        <f>IFERROR(__xludf.DUMMYFUNCTION("GOOGLETRANSLATE(A15436, ""en"", ""mt"")"),"Il-Ġermanja bdiet tibni l-imperu kolonjali tagħha stess")</f>
        <v>Il-Ġermanja bdiet tibni l-imperu kolonjali tagħha stess</v>
      </c>
    </row>
    <row r="15437" ht="15.75" customHeight="1">
      <c r="A15437" s="2" t="s">
        <v>15437</v>
      </c>
      <c r="B15437" s="2" t="str">
        <f>IFERROR(__xludf.DUMMYFUNCTION("GOOGLETRANSLATE(A15437, ""en"", ""mt"")"),"Matul liema snin kienet preżenti l-pesta fil-pajjiżi Iżlamiċi?")</f>
        <v>Matul liema snin kienet preżenti l-pesta fil-pajjiżi Iżlamiċi?</v>
      </c>
    </row>
    <row r="15438" ht="15.75" customHeight="1">
      <c r="A15438" s="2" t="s">
        <v>15438</v>
      </c>
      <c r="B15438" s="2" t="str">
        <f>IFERROR(__xludf.DUMMYFUNCTION("GOOGLETRANSLATE(A15438, ""en"", ""mt"")"),"Zaju")</f>
        <v>Zaju</v>
      </c>
    </row>
    <row r="15439" ht="15.75" customHeight="1">
      <c r="A15439" s="2" t="s">
        <v>15439</v>
      </c>
      <c r="B15439" s="2" t="str">
        <f>IFERROR(__xludf.DUMMYFUNCTION("GOOGLETRANSLATE(A15439, ""en"", ""mt"")"),"X'kien l-isem tal-battalja li mmarkat l-ewwel telf Konfederat fi Florida?")</f>
        <v>X'kien l-isem tal-battalja li mmarkat l-ewwel telf Konfederat fi Florida?</v>
      </c>
    </row>
    <row r="15440" ht="15.75" customHeight="1">
      <c r="A15440" s="2" t="s">
        <v>15440</v>
      </c>
      <c r="B15440" s="2" t="str">
        <f>IFERROR(__xludf.DUMMYFUNCTION("GOOGLETRANSLATE(A15440, ""en"", ""mt"")"),"Forza liberali li taġixxi fuq sistema magħluqa għandha x'tip ta 'xogħol mekkaniku?")</f>
        <v>Forza liberali li taġixxi fuq sistema magħluqa għandha x'tip ta 'xogħol mekkaniku?</v>
      </c>
    </row>
    <row r="15441" ht="15.75" customHeight="1">
      <c r="A15441" s="2" t="s">
        <v>15441</v>
      </c>
      <c r="B15441" s="2" t="str">
        <f>IFERROR(__xludf.DUMMYFUNCTION("GOOGLETRANSLATE(A15441, ""en"", ""mt"")"),"Ming")</f>
        <v>Ming</v>
      </c>
    </row>
    <row r="15442" ht="15.75" customHeight="1">
      <c r="A15442" s="2" t="s">
        <v>15442</v>
      </c>
      <c r="B15442" s="2" t="str">
        <f>IFERROR(__xludf.DUMMYFUNCTION("GOOGLETRANSLATE(A15442, ""en"", ""mt"")"),"Fuq liema riżorsi naturali l-gvern Ċiniż kellu monopolju?")</f>
        <v>Fuq liema riżorsi naturali l-gvern Ċiniż kellu monopolju?</v>
      </c>
    </row>
    <row r="15443" ht="15.75" customHeight="1">
      <c r="A15443" s="2" t="s">
        <v>15443</v>
      </c>
      <c r="B15443" s="2" t="str">
        <f>IFERROR(__xludf.DUMMYFUNCTION("GOOGLETRANSLATE(A15443, ""en"", ""mt"")"),"Meta ġiet miċħuda d-direttiva tal-leave tal-ġenituri?")</f>
        <v>Meta ġiet miċħuda d-direttiva tal-leave tal-ġenituri?</v>
      </c>
    </row>
    <row r="15444" ht="15.75" customHeight="1">
      <c r="A15444" s="2" t="s">
        <v>15444</v>
      </c>
      <c r="B15444" s="2" t="str">
        <f>IFERROR(__xludf.DUMMYFUNCTION("GOOGLETRANSLATE(A15444, ""en"", ""mt"")"),"McCrary")</f>
        <v>McCrary</v>
      </c>
    </row>
    <row r="15445" ht="15.75" customHeight="1">
      <c r="A15445" s="2" t="s">
        <v>15445</v>
      </c>
      <c r="B15445" s="2" t="str">
        <f>IFERROR(__xludf.DUMMYFUNCTION("GOOGLETRANSLATE(A15445, ""en"", ""mt"")"),"Liema kaxxa hija meħtieġa biex tara MPEG-3?")</f>
        <v>Liema kaxxa hija meħtieġa biex tara MPEG-3?</v>
      </c>
    </row>
    <row r="15446" ht="15.75" customHeight="1">
      <c r="A15446" s="2" t="s">
        <v>15446</v>
      </c>
      <c r="B15446" s="2" t="str">
        <f>IFERROR(__xludf.DUMMYFUNCTION("GOOGLETRANSLATE(A15446, ""en"", ""mt"")"),"L-Ungeriżi wettqu din id-diżubbidjenza ċivili taħt id-direzzjoni ta ’liema persuna?")</f>
        <v>L-Ungeriżi wettqu din id-diżubbidjenza ċivili taħt id-direzzjoni ta ’liema persuna?</v>
      </c>
    </row>
    <row r="15447" ht="15.75" customHeight="1">
      <c r="A15447" s="2" t="s">
        <v>15447</v>
      </c>
      <c r="B15447" s="2" t="str">
        <f>IFERROR(__xludf.DUMMYFUNCTION("GOOGLETRANSLATE(A15447, ""en"", ""mt"")"),"X'inhu eżempju ta 'problema li għaliha l-algoritmi effettivi pprovdew soluzzjoni minkejja l-intrattabilità assoċjata mal-wisa' tad-daqsijiet?")</f>
        <v>X'inhu eżempju ta 'problema li għaliha l-algoritmi effettivi pprovdew soluzzjoni minkejja l-intrattabilità assoċjata mal-wisa' tad-daqsijiet?</v>
      </c>
    </row>
    <row r="15448" ht="15.75" customHeight="1">
      <c r="A15448" s="2" t="s">
        <v>15448</v>
      </c>
      <c r="B15448" s="2" t="str">
        <f>IFERROR(__xludf.DUMMYFUNCTION("GOOGLETRANSLATE(A15448, ""en"", ""mt"")"),"mill-inqas erba 'passiġġieri")</f>
        <v>mill-inqas erba 'passiġġieri</v>
      </c>
    </row>
    <row r="15449" ht="15.75" customHeight="1">
      <c r="A15449" s="2" t="s">
        <v>15449</v>
      </c>
      <c r="B15449" s="2" t="str">
        <f>IFERROR(__xludf.DUMMYFUNCTION("GOOGLETRANSLATE(A15449, ""en"", ""mt"")"),"Liema apparat jintuża biex jikkura diversi kundizzjonijiet bħall-avvelenament mill-monossidu tal-karbonju?")</f>
        <v>Liema apparat jintuża biex jikkura diversi kundizzjonijiet bħall-avvelenament mill-monossidu tal-karbonju?</v>
      </c>
    </row>
    <row r="15450" ht="15.75" customHeight="1">
      <c r="A15450" s="2" t="s">
        <v>15450</v>
      </c>
      <c r="B15450" s="2" t="str">
        <f>IFERROR(__xludf.DUMMYFUNCTION("GOOGLETRANSLATE(A15450, ""en"", ""mt"")"),"Min jirċievi salarji ogħla fi skejjel privati ​​li jitolbu tagħlim ogħla?")</f>
        <v>Min jirċievi salarji ogħla fi skejjel privati ​​li jitolbu tagħlim ogħla?</v>
      </c>
    </row>
    <row r="15451" ht="15.75" customHeight="1">
      <c r="A15451" s="2" t="s">
        <v>15451</v>
      </c>
      <c r="B15451" s="2" t="str">
        <f>IFERROR(__xludf.DUMMYFUNCTION("GOOGLETRANSLATE(A15451, ""en"", ""mt"")"),"Meta kien l-ewwel kejl tal-valur tal-kostanti tal-gravitazzjoni universali ta ’Newton?")</f>
        <v>Meta kien l-ewwel kejl tal-valur tal-kostanti tal-gravitazzjoni universali ta ’Newton?</v>
      </c>
    </row>
    <row r="15452" ht="15.75" customHeight="1">
      <c r="A15452" s="2" t="s">
        <v>15452</v>
      </c>
      <c r="B15452" s="2" t="str">
        <f>IFERROR(__xludf.DUMMYFUNCTION("GOOGLETRANSLATE(A15452, ""en"", ""mt"")"),"X'inhu NSFNET")</f>
        <v>X'inhu NSFNET</v>
      </c>
    </row>
    <row r="15453" ht="15.75" customHeight="1">
      <c r="A15453" s="2" t="s">
        <v>15453</v>
      </c>
      <c r="B15453" s="2" t="str">
        <f>IFERROR(__xludf.DUMMYFUNCTION("GOOGLETRANSLATE(A15453, ""en"", ""mt"")"),"X'jaqbel mal-Istati Membri kollha jieħdu preċedenza fuq il-liġi nazzjonali?")</f>
        <v>X'jaqbel mal-Istati Membri kollha jieħdu preċedenza fuq il-liġi nazzjonali?</v>
      </c>
    </row>
    <row r="15454" ht="15.75" customHeight="1">
      <c r="A15454" s="2" t="s">
        <v>15454</v>
      </c>
      <c r="B15454" s="2" t="str">
        <f>IFERROR(__xludf.DUMMYFUNCTION("GOOGLETRANSLATE(A15454, ""en"", ""mt"")"),"X'tagħmel qtugħ ta 'sodda ewlenija jgħin forma ta' blat anzjana?")</f>
        <v>X'tagħmel qtugħ ta 'sodda ewlenija jgħin forma ta' blat anzjana?</v>
      </c>
    </row>
    <row r="15455" ht="15.75" customHeight="1">
      <c r="A15455" s="2" t="s">
        <v>15455</v>
      </c>
      <c r="B15455" s="2" t="str">
        <f>IFERROR(__xludf.DUMMYFUNCTION("GOOGLETRANSLATE(A15455, ""en"", ""mt"")"),"Liema kejl tal-ħin jintuża fit-tnaqqis tal-ħin polinomjali?")</f>
        <v>Liema kejl tal-ħin jintuża fit-tnaqqis tal-ħin polinomjali?</v>
      </c>
    </row>
    <row r="15456" ht="15.75" customHeight="1">
      <c r="A15456" s="2" t="s">
        <v>15456</v>
      </c>
      <c r="B15456" s="2" t="str">
        <f>IFERROR(__xludf.DUMMYFUNCTION("GOOGLETRANSLATE(A15456, ""en"", ""mt"")"),"X'tip ta 'organi għandhom xi sponoż?")</f>
        <v>X'tip ta 'organi għandhom xi sponoż?</v>
      </c>
    </row>
    <row r="15457" ht="15.75" customHeight="1">
      <c r="A15457" s="2" t="s">
        <v>15457</v>
      </c>
      <c r="B15457" s="2" t="str">
        <f>IFERROR(__xludf.DUMMYFUNCTION("GOOGLETRANSLATE(A15457, ""en"", ""mt"")"),"X'kienet il-porzjon ta 'l-Amerika t'Isfel tal-Gwerra ta' Suċċessjoni Awstrijaka?")</f>
        <v>X'kienet il-porzjon ta 'l-Amerika t'Isfel tal-Gwerra ta' Suċċessjoni Awstrijaka?</v>
      </c>
    </row>
    <row r="15458" ht="15.75" customHeight="1">
      <c r="A15458" s="2" t="s">
        <v>15458</v>
      </c>
      <c r="B15458" s="2" t="str">
        <f>IFERROR(__xludf.DUMMYFUNCTION("GOOGLETRANSLATE(A15458, ""en"", ""mt"")"),"X'inhu l-effett ta 'testosterone fuq is-sistema immuni maskili?")</f>
        <v>X'inhu l-effett ta 'testosterone fuq is-sistema immuni maskili?</v>
      </c>
    </row>
    <row r="15459" ht="15.75" customHeight="1">
      <c r="A15459" s="2" t="s">
        <v>15459</v>
      </c>
      <c r="B15459" s="2" t="str">
        <f>IFERROR(__xludf.DUMMYFUNCTION("GOOGLETRANSLATE(A15459, ""en"", ""mt"")"),"Fruntieri diverġenti")</f>
        <v>Fruntieri diverġenti</v>
      </c>
    </row>
    <row r="15460" ht="15.75" customHeight="1">
      <c r="A15460" s="2" t="s">
        <v>15460</v>
      </c>
      <c r="B15460" s="2" t="str">
        <f>IFERROR(__xludf.DUMMYFUNCTION("GOOGLETRANSLATE(A15460, ""en"", ""mt"")"),"F’liema età British Gas plc ġiegħlu lill-ħaddiema tagħhom jirtiraw?")</f>
        <v>F’liema età British Gas plc ġiegħlu lill-ħaddiema tagħhom jirtiraw?</v>
      </c>
    </row>
    <row r="15461" ht="15.75" customHeight="1">
      <c r="A15461" s="2" t="s">
        <v>15461</v>
      </c>
      <c r="B15461" s="2" t="str">
        <f>IFERROR(__xludf.DUMMYFUNCTION("GOOGLETRANSLATE(A15461, ""en"", ""mt"")"),"Kooperazzjoni")</f>
        <v>Kooperazzjoni</v>
      </c>
    </row>
    <row r="15462" ht="15.75" customHeight="1">
      <c r="A15462" s="2" t="s">
        <v>15462</v>
      </c>
      <c r="B15462" s="2" t="str">
        <f>IFERROR(__xludf.DUMMYFUNCTION("GOOGLETRANSLATE(A15462, ""en"", ""mt"")"),"wieħed mill-ifqar pajjiżi fid-dinja")</f>
        <v>wieħed mill-ifqar pajjiżi fid-dinja</v>
      </c>
    </row>
    <row r="15463" ht="15.75" customHeight="1">
      <c r="A15463" s="2" t="s">
        <v>15463</v>
      </c>
      <c r="B15463" s="2" t="str">
        <f>IFERROR(__xludf.DUMMYFUNCTION("GOOGLETRANSLATE(A15463, ""en"", ""mt"")"),"L-effiċjenza ta 'ċiklu ta' Rankine hija ġeneralment limitata mill-fluwidu tax-xogħol. Mingħajr ma l-pressjoni tilħaq livelli superkritiċi għall-fluwidu tax-xogħol, il-firxa tat-temperatura li ċ-ċiklu jista 'jaħdem fuqha hija pjuttost żgħira; Fit-turbini t"&amp;"al-fwar, it-temperaturi tad-dħul tat-turbina huma tipikament 565 ° C (il-limitu tal-creep ta 'l-istainless steel) u t-temperaturi tal-kondensatur huma ta' madwar 30 ° C. Dan jagħti effiċjenza teoretika ta 'Carnot ta' madwar 63% meta mqabbel ma 'effiċjenza"&amp;" attwali ta' 42% għal stazzjon tal-enerġija modern li jaħdem bil-faħam. Din it-temperatura baxxa tad-dħul tat-turbina (meta mqabbla ma 'turbina tal-gass) hija r-raġuni għaliex iċ-ċiklu ta' rankine spiss jintuża bħala ċiklu ta 'qiegħ fl-istazzjonijiet ta' "&amp;"enerġija tat-turbina tal-gass b'ċiklu magħqud. [Ċitazzjoni meħtieġa]")</f>
        <v>L-effiċjenza ta 'ċiklu ta' Rankine hija ġeneralment limitata mill-fluwidu tax-xogħol. Mingħajr ma l-pressjoni tilħaq livelli superkritiċi għall-fluwidu tax-xogħol, il-firxa tat-temperatura li ċ-ċiklu jista 'jaħdem fuqha hija pjuttost żgħira; Fit-turbini tal-fwar, it-temperaturi tad-dħul tat-turbina huma tipikament 565 ° C (il-limitu tal-creep ta 'l-istainless steel) u t-temperaturi tal-kondensatur huma ta' madwar 30 ° C. Dan jagħti effiċjenza teoretika ta 'Carnot ta' madwar 63% meta mqabbel ma 'effiċjenza attwali ta' 42% għal stazzjon tal-enerġija modern li jaħdem bil-faħam. Din it-temperatura baxxa tad-dħul tat-turbina (meta mqabbla ma 'turbina tal-gass) hija r-raġuni għaliex iċ-ċiklu ta' rankine spiss jintuża bħala ċiklu ta 'qiegħ fl-istazzjonijiet ta' enerġija tat-turbina tal-gass b'ċiklu magħqud. [Ċitazzjoni meħtieġa]</v>
      </c>
    </row>
    <row r="15464" ht="15.75" customHeight="1">
      <c r="A15464" s="2" t="s">
        <v>15464</v>
      </c>
      <c r="B15464" s="2" t="str">
        <f>IFERROR(__xludf.DUMMYFUNCTION("GOOGLETRANSLATE(A15464, ""en"", ""mt"")"),"Meta Honda, Toyota u Nissan fetħu pjanti tal-assemblaġġ tal-Istati Uniti?")</f>
        <v>Meta Honda, Toyota u Nissan fetħu pjanti tal-assemblaġġ tal-Istati Uniti?</v>
      </c>
    </row>
    <row r="15465" ht="15.75" customHeight="1">
      <c r="A15465" s="2" t="s">
        <v>15465</v>
      </c>
      <c r="B15465" s="2" t="str">
        <f>IFERROR(__xludf.DUMMYFUNCTION("GOOGLETRANSLATE(A15465, ""en"", ""mt"")"),"kaskata katalitika")</f>
        <v>kaskata katalitika</v>
      </c>
    </row>
    <row r="15466" ht="15.75" customHeight="1">
      <c r="A15466" s="2" t="s">
        <v>15466</v>
      </c>
      <c r="B15466" s="2" t="str">
        <f>IFERROR(__xludf.DUMMYFUNCTION("GOOGLETRANSLATE(A15466, ""en"", ""mt"")"),"Li jkollok linji ta 'utilità eżistenti mmarkati tnaqqas il-probabbiltà ta' xiex?")</f>
        <v>Li jkollok linji ta 'utilità eżistenti mmarkati tnaqqas il-probabbiltà ta' xiex?</v>
      </c>
    </row>
    <row r="15467" ht="15.75" customHeight="1">
      <c r="A15467" s="2" t="s">
        <v>15467</v>
      </c>
      <c r="B15467" s="2" t="str">
        <f>IFERROR(__xludf.DUMMYFUNCTION("GOOGLETRANSLATE(A15467, ""en"", ""mt"")"),"Liema reliġjon kienet Shi Tianze?")</f>
        <v>Liema reliġjon kienet Shi Tianze?</v>
      </c>
    </row>
    <row r="15468" ht="15.75" customHeight="1">
      <c r="A15468" s="2" t="s">
        <v>15468</v>
      </c>
      <c r="B15468" s="2" t="str">
        <f>IFERROR(__xludf.DUMMYFUNCTION("GOOGLETRANSLATE(A15468, ""en"", ""mt"")"),"biex tiċċivilja l-inferjuri")</f>
        <v>biex tiċċivilja l-inferjuri</v>
      </c>
    </row>
    <row r="15469" ht="15.75" customHeight="1">
      <c r="A15469" s="2" t="s">
        <v>15469</v>
      </c>
      <c r="B15469" s="2" t="str">
        <f>IFERROR(__xludf.DUMMYFUNCTION("GOOGLETRANSLATE(A15469, ""en"", ""mt"")"),"Il-baqar ingħataw ix-xmara hemmhekk.")</f>
        <v>Il-baqar ingħataw ix-xmara hemmhekk.</v>
      </c>
    </row>
    <row r="15470" ht="15.75" customHeight="1">
      <c r="A15470" s="2" t="s">
        <v>15470</v>
      </c>
      <c r="B15470" s="2" t="str">
        <f>IFERROR(__xludf.DUMMYFUNCTION("GOOGLETRANSLATE(A15470, ""en"", ""mt"")"),"William of Orange")</f>
        <v>William of Orange</v>
      </c>
    </row>
    <row r="15471" ht="15.75" customHeight="1">
      <c r="A15471" s="2" t="s">
        <v>15471</v>
      </c>
      <c r="B15471" s="2" t="str">
        <f>IFERROR(__xludf.DUMMYFUNCTION("GOOGLETRANSLATE(A15471, ""en"", ""mt"")"),"spins antiparallel")</f>
        <v>spins antiparallel</v>
      </c>
    </row>
    <row r="15472" ht="15.75" customHeight="1">
      <c r="A15472" s="2" t="s">
        <v>15472</v>
      </c>
      <c r="B15472" s="2" t="str">
        <f>IFERROR(__xludf.DUMMYFUNCTION("GOOGLETRANSLATE(A15472, ""en"", ""mt"")"),"X'kienet ir-risposta ta 'Brittaniku l-Qadim għal Celeron?")</f>
        <v>X'kienet ir-risposta ta 'Brittaniku l-Qadim għal Celeron?</v>
      </c>
    </row>
    <row r="15473" ht="15.75" customHeight="1">
      <c r="A15473" s="2" t="s">
        <v>15473</v>
      </c>
      <c r="B15473" s="2" t="str">
        <f>IFERROR(__xludf.DUMMYFUNCTION("GOOGLETRANSLATE(A15473, ""en"", ""mt"")"),"Għawwiema iżgħar u aktar dgħajfa bħal rotifers u molluski u larva tal-krustaċji")</f>
        <v>Għawwiema iżgħar u aktar dgħajfa bħal rotifers u molluski u larva tal-krustaċji</v>
      </c>
    </row>
    <row r="15474" ht="15.75" customHeight="1">
      <c r="A15474" s="2" t="s">
        <v>15474</v>
      </c>
      <c r="B15474" s="2" t="str">
        <f>IFERROR(__xludf.DUMMYFUNCTION("GOOGLETRANSLATE(A15474, ""en"", ""mt"")"),"1705")</f>
        <v>1705</v>
      </c>
    </row>
    <row r="15475" ht="15.75" customHeight="1">
      <c r="A15475" s="2" t="s">
        <v>15475</v>
      </c>
      <c r="B15475" s="2" t="str">
        <f>IFERROR(__xludf.DUMMYFUNCTION("GOOGLETRANSLATE(A15475, ""en"", ""mt"")"),"Shen Kuo")</f>
        <v>Shen Kuo</v>
      </c>
    </row>
    <row r="15476" ht="15.75" customHeight="1">
      <c r="A15476" s="2" t="s">
        <v>15476</v>
      </c>
      <c r="B15476" s="2" t="str">
        <f>IFERROR(__xludf.DUMMYFUNCTION("GOOGLETRANSLATE(A15476, ""en"", ""mt"")"),"X'kienet waħda mill-importazzjonijiet ewlenin tan-Norman?")</f>
        <v>X'kienet waħda mill-importazzjonijiet ewlenin tan-Norman?</v>
      </c>
    </row>
    <row r="15477" ht="15.75" customHeight="1">
      <c r="A15477" s="2" t="s">
        <v>15477</v>
      </c>
      <c r="B15477" s="2" t="str">
        <f>IFERROR(__xludf.DUMMYFUNCTION("GOOGLETRANSLATE(A15477, ""en"", ""mt"")"),"Tittrasforma l-konfini")</f>
        <v>Tittrasforma l-konfini</v>
      </c>
    </row>
    <row r="15478" ht="15.75" customHeight="1">
      <c r="A15478" s="2" t="s">
        <v>15478</v>
      </c>
      <c r="B15478" s="2" t="str">
        <f>IFERROR(__xludf.DUMMYFUNCTION("GOOGLETRANSLATE(A15478, ""en"", ""mt"")"),"aerobiku")</f>
        <v>aerobiku</v>
      </c>
    </row>
    <row r="15479" ht="15.75" customHeight="1">
      <c r="A15479" s="2" t="s">
        <v>15479</v>
      </c>
      <c r="B15479" s="2" t="str">
        <f>IFERROR(__xludf.DUMMYFUNCTION("GOOGLETRANSLATE(A15479, ""en"", ""mt"")"),"X'kien l-għan tal-Kungress?")</f>
        <v>X'kien l-għan tal-Kungress?</v>
      </c>
    </row>
    <row r="15480" ht="15.75" customHeight="1">
      <c r="A15480" s="2" t="s">
        <v>15480</v>
      </c>
      <c r="B15480" s="2" t="str">
        <f>IFERROR(__xludf.DUMMYFUNCTION("GOOGLETRANSLATE(A15480, ""en"", ""mt"")"),"1935")</f>
        <v>1935</v>
      </c>
    </row>
    <row r="15481" ht="15.75" customHeight="1">
      <c r="A15481" s="2" t="s">
        <v>15481</v>
      </c>
      <c r="B15481" s="2" t="str">
        <f>IFERROR(__xludf.DUMMYFUNCTION("GOOGLETRANSLATE(A15481, ""en"", ""mt"")"),"ma kien kopert fl-ebda gazzetti")</f>
        <v>ma kien kopert fl-ebda gazzetti</v>
      </c>
    </row>
    <row r="15482" ht="15.75" customHeight="1">
      <c r="A15482" s="2" t="s">
        <v>15482</v>
      </c>
      <c r="B15482" s="2" t="str">
        <f>IFERROR(__xludf.DUMMYFUNCTION("GOOGLETRANSLATE(A15482, ""en"", ""mt"")"),"Bohemond")</f>
        <v>Bohemond</v>
      </c>
    </row>
    <row r="15483" ht="15.75" customHeight="1">
      <c r="A15483" s="2" t="s">
        <v>15483</v>
      </c>
      <c r="B15483" s="2" t="str">
        <f>IFERROR(__xludf.DUMMYFUNCTION("GOOGLETRANSLATE(A15483, ""en"", ""mt"")"),"Xi jwassal iktar edukazzjoni meta taħdem?")</f>
        <v>Xi jwassal iktar edukazzjoni meta taħdem?</v>
      </c>
    </row>
    <row r="15484" ht="15.75" customHeight="1">
      <c r="A15484" s="2" t="s">
        <v>15484</v>
      </c>
      <c r="B15484" s="2" t="str">
        <f>IFERROR(__xludf.DUMMYFUNCTION("GOOGLETRANSLATE(A15484, ""en"", ""mt"")"),"li tgħaddi nixxiegħa ta 'arja nadifa u niexfa minn sodda waħda ta' par ta 'passaġġi molekulari żeoliti identiċi, li jassorbi n-nitroġenu")</f>
        <v>li tgħaddi nixxiegħa ta 'arja nadifa u niexfa minn sodda waħda ta' par ta 'passaġġi molekulari żeoliti identiċi, li jassorbi n-nitroġenu</v>
      </c>
    </row>
    <row r="15485" ht="15.75" customHeight="1">
      <c r="A15485" s="2" t="s">
        <v>15485</v>
      </c>
      <c r="B15485" s="2" t="str">
        <f>IFERROR(__xludf.DUMMYFUNCTION("GOOGLETRANSLATE(A15485, ""en"", ""mt"")"),"Forzi irregolari Franċiżi")</f>
        <v>Forzi irregolari Franċiżi</v>
      </c>
    </row>
    <row r="15486" ht="15.75" customHeight="1">
      <c r="A15486" s="2" t="s">
        <v>15486</v>
      </c>
      <c r="B15486" s="2" t="str">
        <f>IFERROR(__xludf.DUMMYFUNCTION("GOOGLETRANSLATE(A15486, ""en"", ""mt"")"),"Xi mudelli tal-kompjuter jissuġġerixxu li l-foresta tropikali se tkun mhedda wara xiex?")</f>
        <v>Xi mudelli tal-kompjuter jissuġġerixxu li l-foresta tropikali se tkun mhedda wara xiex?</v>
      </c>
    </row>
    <row r="15487" ht="15.75" customHeight="1">
      <c r="A15487" s="2" t="s">
        <v>15487</v>
      </c>
      <c r="B15487" s="2" t="str">
        <f>IFERROR(__xludf.DUMMYFUNCTION("GOOGLETRANSLATE(A15487, ""en"", ""mt"")"),"Ħafna art u akkomodazzjoni")</f>
        <v>Ħafna art u akkomodazzjoni</v>
      </c>
    </row>
    <row r="15488" ht="15.75" customHeight="1">
      <c r="A15488" s="2" t="s">
        <v>15488</v>
      </c>
      <c r="B15488" s="2" t="str">
        <f>IFERROR(__xludf.DUMMYFUNCTION("GOOGLETRANSLATE(A15488, ""en"", ""mt"")"),"1.7 biljun sena ilu")</f>
        <v>1.7 biljun sena ilu</v>
      </c>
    </row>
    <row r="15489" ht="15.75" customHeight="1">
      <c r="A15489" s="2" t="s">
        <v>15489</v>
      </c>
      <c r="B15489" s="2" t="str">
        <f>IFERROR(__xludf.DUMMYFUNCTION("GOOGLETRANSLATE(A15489, ""en"", ""mt"")"),"tadotta kultura Ċiniża mainstream")</f>
        <v>tadotta kultura Ċiniża mainstream</v>
      </c>
    </row>
    <row r="15490" ht="15.75" customHeight="1">
      <c r="A15490" s="2" t="s">
        <v>15490</v>
      </c>
      <c r="B15490" s="2" t="str">
        <f>IFERROR(__xludf.DUMMYFUNCTION("GOOGLETRANSLATE(A15490, ""en"", ""mt"")"),"X'tip ta 'ġeneraturi ta' numri jagħmlu użu mill-irkaptu militari?")</f>
        <v>X'tip ta 'ġeneraturi ta' numri jagħmlu użu mill-irkaptu militari?</v>
      </c>
    </row>
    <row r="15491" ht="15.75" customHeight="1">
      <c r="A15491" s="2" t="s">
        <v>15491</v>
      </c>
      <c r="B15491" s="2" t="str">
        <f>IFERROR(__xludf.DUMMYFUNCTION("GOOGLETRANSLATE(A15491, ""en"", ""mt"")"),"Matul il-mandat ta 'min inqerdet is-sistema ta' l-isptarijiet ta 'l-Università ta' Chicago?")</f>
        <v>Matul il-mandat ta 'min inqerdet is-sistema ta' l-isptarijiet ta 'l-Università ta' Chicago?</v>
      </c>
    </row>
    <row r="15492" ht="15.75" customHeight="1">
      <c r="A15492" s="2" t="s">
        <v>15492</v>
      </c>
      <c r="B15492" s="2" t="str">
        <f>IFERROR(__xludf.DUMMYFUNCTION("GOOGLETRANSLATE(A15492, ""en"", ""mt"")"),"tirrifjuta li tinforza deċiżjoni")</f>
        <v>tirrifjuta li tinforza deċiżjoni</v>
      </c>
    </row>
    <row r="15493" ht="15.75" customHeight="1">
      <c r="A15493" s="2" t="s">
        <v>15493</v>
      </c>
      <c r="B15493" s="2" t="str">
        <f>IFERROR(__xludf.DUMMYFUNCTION("GOOGLETRANSLATE(A15493, ""en"", ""mt"")"),"Fl-iskejjel privati ​​tan-Nepaliżi, x'inhi l-lingwa primarja ta 'l-istruzzjoni?")</f>
        <v>Fl-iskejjel privati ​​tan-Nepaliżi, x'inhi l-lingwa primarja ta 'l-istruzzjoni?</v>
      </c>
    </row>
    <row r="15494" ht="15.75" customHeight="1">
      <c r="A15494" s="2" t="s">
        <v>15494</v>
      </c>
      <c r="B15494" s="2" t="str">
        <f>IFERROR(__xludf.DUMMYFUNCTION("GOOGLETRANSLATE(A15494, ""en"", ""mt"")"),"L-interpretazzjoni tal-Iżlam promossa minn dan il-finanzjament kienet il-Wahhabism jew is-Salafiżmu strett, konservattiv ibbażat fis-Sawdi. Fl-iktar forma ħarxa tagħha ppriedka li l-Musulmani m'għandhomx biss ""jopponu"" infidili ""b'kull mod,"" iżda ""jo"&amp;"bogħduhom għar-reliġjon tagħhom ... għall-fini ta 'Allah,"" dik id-demokrazija ""hija responsabbli għall-gwerer horrible kollha tal-20 Seklu, ""li s-Shia u Musulmani oħra mhux Wahhabi kienu infidili, eċċ. Filwaqt li dan l-isforz bl-ebda mod ma kkonverta k"&amp;"ollha, jew saħansitra l-biċċa l-kbira tal-Musulmani għall-interpretazzjoni Wahhabist tal-Iżlam, għamel ħafna biex jegħleb interpretazzjonijiet lokali aktar moderati, u għandu Issettja l-Interpretazzjoni tal-Islam Sawdi bħala l- ""istandard tad-deheb"" tar"&amp;"-reliġjon f'moħħ ta 'xi wħud jew ħafna Musulmani.")</f>
        <v>L-interpretazzjoni tal-Iżlam promossa minn dan il-finanzjament kienet il-Wahhabism jew is-Salafiżmu strett, konservattiv ibbażat fis-Sawdi. Fl-iktar forma ħarxa tagħha ppriedka li l-Musulmani m'għandhomx biss "jopponu" infidili "b'kull mod," iżda "jobogħduhom għar-reliġjon tagħhom ... għall-fini ta 'Allah," dik id-demokrazija "hija responsabbli għall-gwerer horrible kollha tal-20 Seklu, "li s-Shia u Musulmani oħra mhux Wahhabi kienu infidili, eċċ. Filwaqt li dan l-isforz bl-ebda mod ma kkonverta kollha, jew saħansitra l-biċċa l-kbira tal-Musulmani għall-interpretazzjoni Wahhabist tal-Iżlam, għamel ħafna biex jegħleb interpretazzjonijiet lokali aktar moderati, u għandu Issettja l-Interpretazzjoni tal-Islam Sawdi bħala l- "istandard tad-deheb" tar-reliġjon f'moħħ ta 'xi wħud jew ħafna Musulmani.</v>
      </c>
    </row>
    <row r="15495" ht="15.75" customHeight="1">
      <c r="A15495" s="2" t="s">
        <v>15495</v>
      </c>
      <c r="B15495" s="2" t="str">
        <f>IFERROR(__xludf.DUMMYFUNCTION("GOOGLETRANSLATE(A15495, ""en"", ""mt"")"),"mill-bogħod")</f>
        <v>mill-bogħod</v>
      </c>
    </row>
    <row r="15496" ht="15.75" customHeight="1">
      <c r="A15496" s="2" t="s">
        <v>15496</v>
      </c>
      <c r="B15496" s="2" t="str">
        <f>IFERROR(__xludf.DUMMYFUNCTION("GOOGLETRANSLATE(A15496, ""en"", ""mt"")"),"Rhine mgħawweġ")</f>
        <v>Rhine mgħawweġ</v>
      </c>
    </row>
    <row r="15497" ht="15.75" customHeight="1">
      <c r="A15497" s="2" t="s">
        <v>15497</v>
      </c>
      <c r="B15497" s="2" t="str">
        <f>IFERROR(__xludf.DUMMYFUNCTION("GOOGLETRANSLATE(A15497, ""en"", ""mt"")"),"Għaliex inħolqot din l-organizzazzjoni msejħa qasira?")</f>
        <v>Għaliex inħolqot din l-organizzazzjoni msejħa qasira?</v>
      </c>
    </row>
    <row r="15498" ht="15.75" customHeight="1">
      <c r="A15498" s="2" t="s">
        <v>15498</v>
      </c>
      <c r="B15498" s="2" t="str">
        <f>IFERROR(__xludf.DUMMYFUNCTION("GOOGLETRANSLATE(A15498, ""en"", ""mt"")"),"L-ispiżjara ma jistgħux jiffurmaw sħubijiet kummerċjali ma 'tobba jew jagħtuhom ħlasijiet ""kickback""")</f>
        <v>L-ispiżjara ma jistgħux jiffurmaw sħubijiet kummerċjali ma 'tobba jew jagħtuhom ħlasijiet "kickback"</v>
      </c>
    </row>
    <row r="15499" ht="15.75" customHeight="1">
      <c r="A15499" s="2" t="s">
        <v>15499</v>
      </c>
      <c r="B15499" s="2" t="str">
        <f>IFERROR(__xludf.DUMMYFUNCTION("GOOGLETRANSLATE(A15499, ""en"", ""mt"")"),"Kumitat tas-Senat tal-Istati Uniti dwar il-Kummerċ, ix-Xjenza u t-Trasport")</f>
        <v>Kumitat tas-Senat tal-Istati Uniti dwar il-Kummerċ, ix-Xjenza u t-Trasport</v>
      </c>
    </row>
    <row r="15500" ht="15.75" customHeight="1">
      <c r="A15500" s="2" t="s">
        <v>15500</v>
      </c>
      <c r="B15500" s="2" t="str">
        <f>IFERROR(__xludf.DUMMYFUNCTION("GOOGLETRANSLATE(A15500, ""en"", ""mt"")"),"X'kienet l-isem ta 'missirijiet ta' Maria de la Quellerie?")</f>
        <v>X'kienet l-isem ta 'missirijiet ta' Maria de la Quellerie?</v>
      </c>
    </row>
    <row r="15501" ht="15.75" customHeight="1">
      <c r="A15501" s="2" t="s">
        <v>15501</v>
      </c>
      <c r="B15501" s="2" t="str">
        <f>IFERROR(__xludf.DUMMYFUNCTION("GOOGLETRANSLATE(A15501, ""en"", ""mt"")"),"Kemm hemm sororitajiet apparti mill-università?")</f>
        <v>Kemm hemm sororitajiet apparti mill-università?</v>
      </c>
    </row>
    <row r="15502" ht="15.75" customHeight="1">
      <c r="A15502" s="2" t="s">
        <v>15502</v>
      </c>
      <c r="B15502" s="2" t="str">
        <f>IFERROR(__xludf.DUMMYFUNCTION("GOOGLETRANSLATE(A15502, ""en"", ""mt"")"),"Il-Qorti tal-Ġustizzja")</f>
        <v>Il-Qorti tal-Ġustizzja</v>
      </c>
    </row>
    <row r="15503" ht="15.75" customHeight="1">
      <c r="A15503" s="2" t="s">
        <v>15503</v>
      </c>
      <c r="B15503" s="2" t="str">
        <f>IFERROR(__xludf.DUMMYFUNCTION("GOOGLETRANSLATE(A15503, ""en"", ""mt"")")," Min kien id-direttur tas-Soċjetà Ġeografika Amerikana fl-1917?")</f>
        <v> Min kien id-direttur tas-Soċjetà Ġeografika Amerikana fl-1917?</v>
      </c>
    </row>
    <row r="15504" ht="15.75" customHeight="1">
      <c r="A15504" s="2" t="s">
        <v>15504</v>
      </c>
      <c r="B15504" s="2" t="str">
        <f>IFERROR(__xludf.DUMMYFUNCTION("GOOGLETRANSLATE(A15504, ""en"", ""mt"")"),"X'inhu l-isem tal-programm ta 'trattament residenzjali li tmexxi l-università?")</f>
        <v>X'inhu l-isem tal-programm ta 'trattament residenzjali li tmexxi l-università?</v>
      </c>
    </row>
    <row r="15505" ht="15.75" customHeight="1">
      <c r="A15505" s="2" t="s">
        <v>15505</v>
      </c>
      <c r="B15505" s="2" t="str">
        <f>IFERROR(__xludf.DUMMYFUNCTION("GOOGLETRANSLATE(A15505, ""en"", ""mt"")"),"Lil min jirrappurtaw l-awturi li jikkontribwixxu?")</f>
        <v>Lil min jirrappurtaw l-awturi li jikkontribwixxu?</v>
      </c>
    </row>
    <row r="15506" ht="15.75" customHeight="1">
      <c r="A15506" s="2" t="s">
        <v>15506</v>
      </c>
      <c r="B15506" s="2" t="str">
        <f>IFERROR(__xludf.DUMMYFUNCTION("GOOGLETRANSLATE(A15506, ""en"", ""mt"")"),"X'inhu l-isem tal-papyrus Eġizzjan li jissuġġerixxi li setgħu kellhom għarfien tan-numri ewlenin?")</f>
        <v>X'inhu l-isem tal-papyrus Eġizzjan li jissuġġerixxi li setgħu kellhom għarfien tan-numri ewlenin?</v>
      </c>
    </row>
    <row r="15507" ht="15.75" customHeight="1">
      <c r="A15507" s="2" t="s">
        <v>15507</v>
      </c>
      <c r="B15507" s="2" t="str">
        <f>IFERROR(__xludf.DUMMYFUNCTION("GOOGLETRANSLATE(A15507, ""en"", ""mt"")"),"art u akkomodazzjoni")</f>
        <v>art u akkomodazzjoni</v>
      </c>
    </row>
    <row r="15508" ht="15.75" customHeight="1">
      <c r="A15508" s="2" t="s">
        <v>15508</v>
      </c>
      <c r="B15508" s="2" t="str">
        <f>IFERROR(__xludf.DUMMYFUNCTION("GOOGLETRANSLATE(A15508, ""en"", ""mt"")"),"X'inhi importanza kbira tan-Nofsinhar ta 'California fir-rigward ta' California u l-Istati Uniti?")</f>
        <v>X'inhi importanza kbira tan-Nofsinhar ta 'California fir-rigward ta' California u l-Istati Uniti?</v>
      </c>
    </row>
    <row r="15509" ht="15.75" customHeight="1">
      <c r="A15509" s="2" t="s">
        <v>15509</v>
      </c>
      <c r="B15509" s="2" t="str">
        <f>IFERROR(__xludf.DUMMYFUNCTION("GOOGLETRANSLATE(A15509, ""en"", ""mt"")"),"Kien biss l-orbita tal-pjaneta Merkurju li l-liġi ta 'gravitazzjoni ta' Newton dehret li ma tispjegax bis-sħiħ. Xi astrofiżiċi bassru l-eżistenza ta 'pjaneta oħra (Vulcan) li tispjega d-diskrepanzi; Madankollu, minkejja xi indikazzjonijiet bikrija, ma nst"&amp;"ab l-ebda pjaneta bħal din. Meta Albert Einstein fformula t-teorija tiegħu tar-Relatività Ġenerali (GR) huwa biddel l-attenzjoni tiegħu għall-problema tal-orbita ta 'Merkurju u sab li t-teorija tiegħu żiedet korrezzjoni, li tista' tirrapreżenta d-diskrepa"&amp;"nza. Din kienet l-ewwel darba li t-teorija tal-gravità ta ’Newton kienet murija li kienet inqas korretta minn alternattiva.")</f>
        <v>Kien biss l-orbita tal-pjaneta Merkurju li l-liġi ta 'gravitazzjoni ta' Newton dehret li ma tispjegax bis-sħiħ. Xi astrofiżiċi bassru l-eżistenza ta 'pjaneta oħra (Vulcan) li tispjega d-diskrepanzi; Madankollu, minkejja xi indikazzjonijiet bikrija, ma nstab l-ebda pjaneta bħal din. Meta Albert Einstein fformula t-teorija tiegħu tar-Relatività Ġenerali (GR) huwa biddel l-attenzjoni tiegħu għall-problema tal-orbita ta 'Merkurju u sab li t-teorija tiegħu żiedet korrezzjoni, li tista' tirrapreżenta d-diskrepanza. Din kienet l-ewwel darba li t-teorija tal-gravità ta ’Newton kienet murija li kienet inqas korretta minn alternattiva.</v>
      </c>
    </row>
    <row r="15510" ht="15.75" customHeight="1">
      <c r="A15510" s="2" t="s">
        <v>15510</v>
      </c>
      <c r="B15510" s="2" t="str">
        <f>IFERROR(__xludf.DUMMYFUNCTION("GOOGLETRANSLATE(A15510, ""en"", ""mt"")"),"Han Ċiniż")</f>
        <v>Han Ċiniż</v>
      </c>
    </row>
    <row r="15511" ht="15.75" customHeight="1">
      <c r="A15511" s="2" t="s">
        <v>15511</v>
      </c>
      <c r="B15511" s="2" t="str">
        <f>IFERROR(__xludf.DUMMYFUNCTION("GOOGLETRANSLATE(A15511, ""en"", ""mt"")"),"Liema marka tat-trattur hija mmanifatturata fil-broadmeadows?")</f>
        <v>Liema marka tat-trattur hija mmanifatturata fil-broadmeadows?</v>
      </c>
    </row>
    <row r="15512" ht="15.75" customHeight="1">
      <c r="A15512" s="2" t="s">
        <v>15512</v>
      </c>
      <c r="B15512" s="2" t="str">
        <f>IFERROR(__xludf.DUMMYFUNCTION("GOOGLETRANSLATE(A15512, ""en"", ""mt"")"),"Min ħoloq Arpanet fl-Istati Uniti?")</f>
        <v>Min ħoloq Arpanet fl-Istati Uniti?</v>
      </c>
    </row>
    <row r="15513" ht="15.75" customHeight="1">
      <c r="A15513" s="2" t="s">
        <v>15513</v>
      </c>
      <c r="B15513" s="2" t="str">
        <f>IFERROR(__xludf.DUMMYFUNCTION("GOOGLETRANSLATE(A15513, ""en"", ""mt"")"),"Hemm 34 belt fin-Nofsinhar tal-Kalifornja li għandhom popolazzjoni li taqbeż liema numru?")</f>
        <v>Hemm 34 belt fin-Nofsinhar tal-Kalifornja li għandhom popolazzjoni li taqbeż liema numru?</v>
      </c>
    </row>
    <row r="15514" ht="15.75" customHeight="1">
      <c r="A15514" s="2" t="s">
        <v>15514</v>
      </c>
      <c r="B15514" s="2" t="str">
        <f>IFERROR(__xludf.DUMMYFUNCTION("GOOGLETRANSLATE(A15514, ""en"", ""mt"")"),"Liema ammont ta 'speċi ta' għasafar fid-dinja jinstabu fil-foresta tropikali tal-Amażonja?")</f>
        <v>Liema ammont ta 'speċi ta' għasafar fid-dinja jinstabu fil-foresta tropikali tal-Amażonja?</v>
      </c>
    </row>
    <row r="15515" ht="15.75" customHeight="1">
      <c r="A15515" s="2" t="s">
        <v>15515</v>
      </c>
      <c r="B15515" s="2" t="str">
        <f>IFERROR(__xludf.DUMMYFUNCTION("GOOGLETRANSLATE(A15515, ""en"", ""mt"")"),"li għandhom x'jaqsmu mar-relazzjoni taċ-ċittadin mal-istat u l-liġijiet tiegħu")</f>
        <v>li għandhom x'jaqsmu mar-relazzjoni taċ-ċittadin mal-istat u l-liġijiet tiegħu</v>
      </c>
    </row>
    <row r="15516" ht="15.75" customHeight="1">
      <c r="A15516" s="2" t="s">
        <v>15516</v>
      </c>
      <c r="B15516" s="2" t="str">
        <f>IFERROR(__xludf.DUMMYFUNCTION("GOOGLETRANSLATE(A15516, ""en"", ""mt"")"),"Magna b'ħafna tejp teħtieġ x'tip ta 'ħin għal soluzzjoni?")</f>
        <v>Magna b'ħafna tejp teħtieġ x'tip ta 'ħin għal soluzzjoni?</v>
      </c>
    </row>
    <row r="15517" ht="15.75" customHeight="1">
      <c r="A15517" s="2" t="s">
        <v>15517</v>
      </c>
      <c r="B15517" s="2" t="str">
        <f>IFERROR(__xludf.DUMMYFUNCTION("GOOGLETRANSLATE(A15517, ""en"", ""mt"")"),"Fejn fl-Awstralja tinsab ir-Rabat?")</f>
        <v>Fejn fl-Awstralja tinsab ir-Rabat?</v>
      </c>
    </row>
    <row r="15518" ht="15.75" customHeight="1">
      <c r="A15518" s="2" t="s">
        <v>15518</v>
      </c>
      <c r="B15518" s="2" t="str">
        <f>IFERROR(__xludf.DUMMYFUNCTION("GOOGLETRANSLATE(A15518, ""en"", ""mt"")"),"Kemm drogi approvati mill-FDA fl-2013 kienu drogi speċjalizzati?")</f>
        <v>Kemm drogi approvati mill-FDA fl-2013 kienu drogi speċjalizzati?</v>
      </c>
    </row>
    <row r="15519" ht="15.75" customHeight="1">
      <c r="A15519" s="2" t="s">
        <v>15519</v>
      </c>
      <c r="B15519" s="2" t="str">
        <f>IFERROR(__xludf.DUMMYFUNCTION("GOOGLETRANSLATE(A15519, ""en"", ""mt"")"),"Organizzazzjonijiet professjonali u tax-xogħol")</f>
        <v>Organizzazzjonijiet professjonali u tax-xogħol</v>
      </c>
    </row>
    <row r="15520" ht="15.75" customHeight="1">
      <c r="A15520" s="2" t="s">
        <v>15520</v>
      </c>
      <c r="B15520" s="2" t="str">
        <f>IFERROR(__xludf.DUMMYFUNCTION("GOOGLETRANSLATE(A15520, ""en"", ""mt"")"),"Meta kienet l-ewwel gwerra Rumana?")</f>
        <v>Meta kienet l-ewwel gwerra Rumana?</v>
      </c>
    </row>
    <row r="15521" ht="15.75" customHeight="1">
      <c r="A15521" s="2" t="s">
        <v>15521</v>
      </c>
      <c r="B15521" s="2" t="str">
        <f>IFERROR(__xludf.DUMMYFUNCTION("GOOGLETRANSLATE(A15521, ""en"", ""mt"")"),"Kemm ingħaqad man- ""netwerk""?")</f>
        <v>Kemm ingħaqad man- "netwerk"?</v>
      </c>
    </row>
    <row r="15522" ht="15.75" customHeight="1">
      <c r="A15522" s="2" t="s">
        <v>15522</v>
      </c>
      <c r="B15522" s="2" t="str">
        <f>IFERROR(__xludf.DUMMYFUNCTION("GOOGLETRANSLATE(A15522, ""en"", ""mt"")"),"X'inhu t-terminu metrika inqas użat minn Newton?")</f>
        <v>X'inhu t-terminu metrika inqas użat minn Newton?</v>
      </c>
    </row>
    <row r="15523" ht="15.75" customHeight="1">
      <c r="A15523" s="2" t="s">
        <v>15523</v>
      </c>
      <c r="B15523" s="2" t="str">
        <f>IFERROR(__xludf.DUMMYFUNCTION("GOOGLETRANSLATE(A15523, ""en"", ""mt"")"),"X'inhu użat biex jiġu stmati l-emissjonijiet?")</f>
        <v>X'inhu użat biex jiġu stmati l-emissjonijiet?</v>
      </c>
    </row>
    <row r="15524" ht="15.75" customHeight="1">
      <c r="A15524" s="2" t="s">
        <v>15524</v>
      </c>
      <c r="B15524" s="2" t="str">
        <f>IFERROR(__xludf.DUMMYFUNCTION("GOOGLETRANSLATE(A15524, ""en"", ""mt"")"),"L-Università ta 'Chicago kienet is-sit ta' xi esperimenti u movimenti akkademiċi importanti. Fl-ekonomija, l-università kellha rwol importanti fit-tfassil ta 'ideat dwar is-suq ħieles u hija l-isem ta' l-Iskola ta 'l-Ekonomija ta' Chicago, l-Iskola ta 'Ħs"&amp;"ieb Ekonomiku appoġġat minn Milton Friedman u ekonomisti oħra. Id-dipartiment tas-soċjoloġija tal-università kien l-ewwel dipartiment tas-soċjoloġija indipendenti fl-Istati Uniti u welldet l-Iskola tas-Soċjoloġija ta 'Chicago. Fil-fiżika, l-università kie"&amp;"net is-sit taċ-Chicago Pile-1 (l-ewwel reazzjoni nukleari magħmula mill-bniedem awto-sostnuta, parti mill-proġett Manhattan), tal-esperiment tal-qatra taż-żejt ta 'Robert Millikan li kkalkula l-ħlas tal-elettroni, u ta' L-iżvilupp tad-dating tar-radjokarb"&amp;"onju minn Willard F. Libby fl-1947. L-esperiment kimiku li ttestja kif oriġina l-ħajja fuq l-art bikrija, l-esperiment Miller-Urey, sar fl-università. L-irqad REM ġie skopert fl-università fl-1953 minn Nathaniel Kleitman u Eugene Aserinsky.")</f>
        <v>L-Università ta 'Chicago kienet is-sit ta' xi esperimenti u movimenti akkademiċi importanti. Fl-ekonomija, l-università kellha rwol importanti fit-tfassil ta 'ideat dwar is-suq ħieles u hija l-isem ta' l-Iskola ta 'l-Ekonomija ta' Chicago, l-Iskola ta 'Ħsieb Ekonomiku appoġġat minn Milton Friedman u ekonomisti oħra. Id-dipartiment tas-soċjoloġija tal-università kien l-ewwel dipartiment tas-soċjoloġija indipendenti fl-Istati Uniti u welldet l-Iskola tas-Soċjoloġija ta 'Chicago. Fil-fiżika, l-università kienet is-sit taċ-Chicago Pile-1 (l-ewwel reazzjoni nukleari magħmula mill-bniedem awto-sostnuta, parti mill-proġett Manhattan), tal-esperiment tal-qatra taż-żejt ta 'Robert Millikan li kkalkula l-ħlas tal-elettroni, u ta' L-iżvilupp tad-dating tar-radjokarbonju minn Willard F. Libby fl-1947. L-esperiment kimiku li ttestja kif oriġina l-ħajja fuq l-art bikrija, l-esperiment Miller-Urey, sar fl-università. L-irqad REM ġie skopert fl-università fl-1953 minn Nathaniel Kleitman u Eugene Aserinsky.</v>
      </c>
    </row>
    <row r="15525" ht="15.75" customHeight="1">
      <c r="A15525" s="2" t="s">
        <v>15525</v>
      </c>
      <c r="B15525" s="2" t="str">
        <f>IFERROR(__xludf.DUMMYFUNCTION("GOOGLETRANSLATE(A15525, ""en"", ""mt"")"),"Ipotesi tal-kurva tal-kuznets")</f>
        <v>Ipotesi tal-kurva tal-kuznets</v>
      </c>
    </row>
    <row r="15526" ht="15.75" customHeight="1">
      <c r="A15526" s="2" t="s">
        <v>15526</v>
      </c>
      <c r="B15526" s="2" t="str">
        <f>IFERROR(__xludf.DUMMYFUNCTION("GOOGLETRANSLATE(A15526, ""en"", ""mt"")"),"Liema deżert huwa fin-nofsinhar qrib l-Arizona?")</f>
        <v>Liema deżert huwa fin-nofsinhar qrib l-Arizona?</v>
      </c>
    </row>
    <row r="15527" ht="15.75" customHeight="1">
      <c r="A15527" s="2" t="s">
        <v>15527</v>
      </c>
      <c r="B15527" s="2" t="str">
        <f>IFERROR(__xludf.DUMMYFUNCTION("GOOGLETRANSLATE(A15527, ""en"", ""mt"")"),"X'inhi t-traduzzjoni bl-Ingliż ta 'Kunskapskolan?")</f>
        <v>X'inhi t-traduzzjoni bl-Ingliż ta 'Kunskapskolan?</v>
      </c>
    </row>
    <row r="15528" ht="15.75" customHeight="1">
      <c r="A15528" s="2" t="s">
        <v>15528</v>
      </c>
      <c r="B15528" s="2" t="str">
        <f>IFERROR(__xludf.DUMMYFUNCTION("GOOGLETRANSLATE(A15528, ""en"", ""mt"")"),"pompa tal-ilma")</f>
        <v>pompa tal-ilma</v>
      </c>
    </row>
    <row r="15529" ht="15.75" customHeight="1">
      <c r="A15529" s="2" t="s">
        <v>15529</v>
      </c>
      <c r="B15529" s="2" t="str">
        <f>IFERROR(__xludf.DUMMYFUNCTION("GOOGLETRANSLATE(A15529, ""en"", ""mt"")")," X'kienu l-armati tal-wan b'saħħithom wisq biex jieqfu?")</f>
        <v> X'kienu l-armati tal-wan b'saħħithom wisq biex jieqfu?</v>
      </c>
    </row>
    <row r="15530" ht="15.75" customHeight="1">
      <c r="A15530" s="2" t="s">
        <v>15530</v>
      </c>
      <c r="B15530" s="2" t="str">
        <f>IFERROR(__xludf.DUMMYFUNCTION("GOOGLETRANSLATE(A15530, ""en"", ""mt"")"),"Meta l-Ġermanja invadiet il-Polonja u meta għamlet hekk tibda t-Tieni Gwerra Dinjija?")</f>
        <v>Meta l-Ġermanja invadiet il-Polonja u meta għamlet hekk tibda t-Tieni Gwerra Dinjija?</v>
      </c>
    </row>
    <row r="15531" ht="15.75" customHeight="1">
      <c r="A15531" s="2" t="s">
        <v>15531</v>
      </c>
      <c r="B15531" s="2" t="str">
        <f>IFERROR(__xludf.DUMMYFUNCTION("GOOGLETRANSLATE(A15531, ""en"", ""mt"")"),"Fejn jinsab l-ajruport?")</f>
        <v>Fejn jinsab l-ajruport?</v>
      </c>
    </row>
    <row r="15532" ht="15.75" customHeight="1">
      <c r="A15532" s="2" t="s">
        <v>15532</v>
      </c>
      <c r="B15532" s="2" t="str">
        <f>IFERROR(__xludf.DUMMYFUNCTION("GOOGLETRANSLATE(A15532, ""en"", ""mt"")"),"Kemm mill-art agrikola tar-Rabat tikber il-ħuxlief?")</f>
        <v>Kemm mill-art agrikola tar-Rabat tikber il-ħuxlief?</v>
      </c>
    </row>
    <row r="15533" ht="15.75" customHeight="1">
      <c r="A15533" s="2" t="s">
        <v>15533</v>
      </c>
      <c r="B15533" s="2" t="str">
        <f>IFERROR(__xludf.DUMMYFUNCTION("GOOGLETRANSLATE(A15533, ""en"", ""mt"")"),"Kemm speċi ta 'siġar instabu f'kilometru kwadru ta' foresta tropikali Ekwadorjana fl-2001?")</f>
        <v>Kemm speċi ta 'siġar instabu f'kilometru kwadru ta' foresta tropikali Ekwadorjana fl-2001?</v>
      </c>
    </row>
    <row r="15534" ht="15.75" customHeight="1">
      <c r="A15534" s="2" t="s">
        <v>15534</v>
      </c>
      <c r="B15534" s="2" t="str">
        <f>IFERROR(__xludf.DUMMYFUNCTION("GOOGLETRANSLATE(A15534, ""en"", ""mt"")"),"Għaliex hija rranġata l-post bil-qiegħda tal-kamra tad-dibattitu kif inhi?")</f>
        <v>Għaliex hija rranġata l-post bil-qiegħda tal-kamra tad-dibattitu kif inhi?</v>
      </c>
    </row>
    <row r="15535" ht="15.75" customHeight="1">
      <c r="A15535" s="2" t="s">
        <v>15535</v>
      </c>
      <c r="B15535" s="2" t="str">
        <f>IFERROR(__xludf.DUMMYFUNCTION("GOOGLETRANSLATE(A15535, ""en"", ""mt"")"),"Problemi li jistgħu jiġu solvuti fit-teorija (per eżempju, minħabba ħin kbir iżda finit), iżda li fil-prattika jdumu wisq biex is-soluzzjonijiet tagħhom ikunu utli, huma magħrufa bħala problemi intrattabbli. Fit-teorija tal-kumplessità, problemi li m'għan"&amp;"dhomx soluzzjonijiet ta 'ħin polinomjali huma kkunsidrati li huma intrattabbli għal aktar mill-iżgħar inputs. Fil-fatt, it-teżi ta 'Cobham-Edmonds tiddikjara li dawk il-problemi biss li jistgħu jissolvew fi żmien polinomjali jistgħu jiġu kkalkulati b'mod "&amp;"fattibbli fuq xi apparat komputazzjonali. Problemi li huma magħrufa li huma intrattabbli f'dan is-sens jinkludu dawk li huma iebsa. Jekk NP ma jkunx l-istess bħal P, allura l-problemi kompluti NP huma wkoll intrattabbli f'dan is-sens. Biex tara għaliex l-"&amp;"algoritmi ta 'ħin esponenzjali jistgħu ma jistgħux jintużaw fil-prattika, ikkunsidra programm li jagħmel operazzjonijiet 2N qabel ma jieqaf. Għal N żgħar, ngħidu 100, u jekk wieħed jassumi għall-finijiet ta 'eżempju li l-kompjuter jagħmel 1012 operazzjoni"&amp;"jiet kull sekonda, il-programm jibqa' għaddej għal madwar 4 × 1010 snin, li huwa l-istess ordni ta 'kobor bħall-età tal-univers. Anke b'kompjuter ferm aktar mgħaġġel, il-programm ikun utli biss għal każijiet żgħar ħafna u f'dak is-sens l-intrattabilità ta"&amp;" 'problema hija kemmxejn indipendenti mill-progress teknoloġiku. Madankollu, algoritmu ta 'ħin polinomjali mhux dejjem huwa prattiku. Jekk il-ħin ta 'tħaddim tiegħu huwa, ngħidu aħna, N15, huwa raġonevoli li tikkunsidrah effiċjenti u għadu inutli ħlief fu"&amp;"q każijiet żgħar.")</f>
        <v>Problemi li jistgħu jiġu solvuti fit-teorija (per eżempju, minħabba ħin kbir iżda finit), iżda li fil-prattika jdumu wisq biex is-soluzzjonijiet tagħhom ikunu utli, huma magħrufa bħala problemi intrattabbli. Fit-teorija tal-kumplessità, problemi li m'għandhomx soluzzjonijiet ta 'ħin polinomjali huma kkunsidrati li huma intrattabbli għal aktar mill-iżgħar inputs. Fil-fatt, it-teżi ta 'Cobham-Edmonds tiddikjara li dawk il-problemi biss li jistgħu jissolvew fi żmien polinomjali jistgħu jiġu kkalkulati b'mod fattibbli fuq xi apparat komputazzjonali. Problemi li huma magħrufa li huma intrattabbli f'dan is-sens jinkludu dawk li huma iebsa. Jekk NP ma jkunx l-istess bħal P, allura l-problemi kompluti NP huma wkoll intrattabbli f'dan is-sens. Biex tara għaliex l-algoritmi ta 'ħin esponenzjali jistgħu ma jistgħux jintużaw fil-prattika, ikkunsidra programm li jagħmel operazzjonijiet 2N qabel ma jieqaf. Għal N żgħar, ngħidu 100, u jekk wieħed jassumi għall-finijiet ta 'eżempju li l-kompjuter jagħmel 1012 operazzjonijiet kull sekonda, il-programm jibqa' għaddej għal madwar 4 × 1010 snin, li huwa l-istess ordni ta 'kobor bħall-età tal-univers. Anke b'kompjuter ferm aktar mgħaġġel, il-programm ikun utli biss għal każijiet żgħar ħafna u f'dak is-sens l-intrattabilità ta 'problema hija kemmxejn indipendenti mill-progress teknoloġiku. Madankollu, algoritmu ta 'ħin polinomjali mhux dejjem huwa prattiku. Jekk il-ħin ta 'tħaddim tiegħu huwa, ngħidu aħna, N15, huwa raġonevoli li tikkunsidrah effiċjenti u għadu inutli ħlief fuq każijiet żgħar.</v>
      </c>
    </row>
    <row r="15536" ht="15.75" customHeight="1">
      <c r="A15536" s="2" t="s">
        <v>15536</v>
      </c>
      <c r="B15536" s="2" t="str">
        <f>IFERROR(__xludf.DUMMYFUNCTION("GOOGLETRANSLATE(A15536, ""en"", ""mt"")"),"X’kompilja l-ENR fl-2004?")</f>
        <v>X’kompilja l-ENR fl-2004?</v>
      </c>
    </row>
    <row r="15537" ht="15.75" customHeight="1">
      <c r="A15537" s="2" t="s">
        <v>15537</v>
      </c>
      <c r="B15537" s="2" t="str">
        <f>IFERROR(__xludf.DUMMYFUNCTION("GOOGLETRANSLATE(A15537, ""en"", ""mt"")"),"F'Gebhard vs Consiglio ... Milano, ir-rekwiżiti li għandhom jiġu rreġistrati f'Milan qabel ma jkunu jistgħu jipprattikaw il-liġi jkunu permessi taħt liema kundizzjonijiet?")</f>
        <v>F'Gebhard vs Consiglio ... Milano, ir-rekwiżiti li għandhom jiġu rreġistrati f'Milan qabel ma jkunu jistgħu jipprattikaw il-liġi jkunu permessi taħt liema kundizzjonijiet?</v>
      </c>
    </row>
    <row r="15538" ht="15.75" customHeight="1">
      <c r="A15538" s="2" t="s">
        <v>15538</v>
      </c>
      <c r="B15538" s="2" t="str">
        <f>IFERROR(__xludf.DUMMYFUNCTION("GOOGLETRANSLATE(A15538, ""en"", ""mt"")"),"Eureka Stockade")</f>
        <v>Eureka Stockade</v>
      </c>
    </row>
    <row r="15539" ht="15.75" customHeight="1">
      <c r="A15539" s="2" t="s">
        <v>15539</v>
      </c>
      <c r="B15539" s="2" t="str">
        <f>IFERROR(__xludf.DUMMYFUNCTION("GOOGLETRANSLATE(A15539, ""en"", ""mt"")"),"San Diego")</f>
        <v>San Diego</v>
      </c>
    </row>
    <row r="15540" ht="15.75" customHeight="1">
      <c r="A15540" s="2" t="s">
        <v>15540</v>
      </c>
      <c r="B15540" s="2" t="str">
        <f>IFERROR(__xludf.DUMMYFUNCTION("GOOGLETRANSLATE(A15540, ""en"", ""mt"")"),"Negozju / Ċentru Finanzjarju tal-Ospitalità")</f>
        <v>Negozju / Ċentru Finanzjarju tal-Ospitalità</v>
      </c>
    </row>
    <row r="15541" ht="15.75" customHeight="1">
      <c r="A15541" s="2" t="s">
        <v>15541</v>
      </c>
      <c r="B15541" s="2" t="str">
        <f>IFERROR(__xludf.DUMMYFUNCTION("GOOGLETRANSLATE(A15541, ""en"", ""mt"")"),"Liema grupp ta 'nies ma jistgħux ikunu parti mid-diżubbidjenza ċivili?")</f>
        <v>Liema grupp ta 'nies ma jistgħux ikunu parti mid-diżubbidjenza ċivili?</v>
      </c>
    </row>
    <row r="15542" ht="15.75" customHeight="1">
      <c r="A15542" s="2" t="s">
        <v>15542</v>
      </c>
      <c r="B15542" s="2" t="str">
        <f>IFERROR(__xludf.DUMMYFUNCTION("GOOGLETRANSLATE(A15542, ""en"", ""mt"")"),"Iċ-ċellula T qattiel u ċ-ċellula T helper")</f>
        <v>Iċ-ċellula T qattiel u ċ-ċellula T helper</v>
      </c>
    </row>
    <row r="15543" ht="15.75" customHeight="1">
      <c r="A15543" s="2" t="s">
        <v>15543</v>
      </c>
      <c r="B15543" s="2" t="str">
        <f>IFERROR(__xludf.DUMMYFUNCTION("GOOGLETRANSLATE(A15543, ""en"", ""mt"")"),"Knisja Kattolika fi Franza")</f>
        <v>Knisja Kattolika fi Franza</v>
      </c>
    </row>
    <row r="15544" ht="15.75" customHeight="1">
      <c r="A15544" s="2" t="s">
        <v>15544</v>
      </c>
      <c r="B15544" s="2" t="str">
        <f>IFERROR(__xludf.DUMMYFUNCTION("GOOGLETRANSLATE(A15544, ""en"", ""mt"")"),"Meta Kublai pprojbixxa l-kummerċ internazzjonali tal-iskjavi tal-Mongol?")</f>
        <v>Meta Kublai pprojbixxa l-kummerċ internazzjonali tal-iskjavi tal-Mongol?</v>
      </c>
    </row>
    <row r="15545" ht="15.75" customHeight="1">
      <c r="A15545" s="2" t="s">
        <v>15545</v>
      </c>
      <c r="B15545" s="2" t="str">
        <f>IFERROR(__xludf.DUMMYFUNCTION("GOOGLETRANSLATE(A15545, ""en"", ""mt"")"),"marea")</f>
        <v>marea</v>
      </c>
    </row>
    <row r="15546" ht="15.75" customHeight="1">
      <c r="A15546" s="2" t="s">
        <v>15546</v>
      </c>
      <c r="B15546" s="2" t="str">
        <f>IFERROR(__xludf.DUMMYFUNCTION("GOOGLETRANSLATE(A15546, ""en"", ""mt"")"),"X'jista 'jinkiseb billi jiġi żgurat li rappreżentazzjonijiet differenti jistgħu jinbidlu f'xulxin b'mod effiċjenti?")</f>
        <v>X'jista 'jinkiseb billi jiġi żgurat li rappreżentazzjonijiet differenti jistgħu jinbidlu f'xulxin b'mod effiċjenti?</v>
      </c>
    </row>
    <row r="15547" ht="15.75" customHeight="1">
      <c r="A15547" s="2" t="s">
        <v>15547</v>
      </c>
      <c r="B15547" s="2" t="str">
        <f>IFERROR(__xludf.DUMMYFUNCTION("GOOGLETRANSLATE(A15547, ""en"", ""mt"")"),"Michael Oppenheimer, parteċipant fit-tul fl-IPCC u l-awtur ewlieni tal-koordinazzjoni tal-ħames rapport ta 'valutazzjoni ammetta fl-Istat tal-Pjaneta tar-rivista tax-xjenza 2008-2009 Xi limitazzjonijiet tal-approċċ tal-kunsens tal-IPCC u jitlob għal konko"&amp;"rrenti, evalwazzjonijiet iżgħar ta' problemi speċjali minflok L-approċċ fuq skala kbira bħal fir-rapporti ta 'valutazzjoni tal-IPCC preċedenti. Sar iktar importanti li tipprovdi esplorazzjoni usa 'ta' inċertezzi. Oħrajn jaraw it-tberik imħallat sew tal-is"&amp;"pinta għal kunsens fil-proċess tal-IPCC u jitolbu li jinkludu pożizzjonijiet li ma jaqblux jew minoranza jew biex itejbu d-dikjarazzjonijiet dwar l-inċertezzi.")</f>
        <v>Michael Oppenheimer, parteċipant fit-tul fl-IPCC u l-awtur ewlieni tal-koordinazzjoni tal-ħames rapport ta 'valutazzjoni ammetta fl-Istat tal-Pjaneta tar-rivista tax-xjenza 2008-2009 Xi limitazzjonijiet tal-approċċ tal-kunsens tal-IPCC u jitlob għal konkorrenti, evalwazzjonijiet iżgħar ta' problemi speċjali minflok L-approċċ fuq skala kbira bħal fir-rapporti ta 'valutazzjoni tal-IPCC preċedenti. Sar iktar importanti li tipprovdi esplorazzjoni usa 'ta' inċertezzi. Oħrajn jaraw it-tberik imħallat sew tal-ispinta għal kunsens fil-proċess tal-IPCC u jitolbu li jinkludu pożizzjonijiet li ma jaqblux jew minoranza jew biex itejbu d-dikjarazzjonijiet dwar l-inċertezzi.</v>
      </c>
    </row>
    <row r="15548" ht="15.75" customHeight="1">
      <c r="A15548" s="2" t="s">
        <v>15548</v>
      </c>
      <c r="B15548" s="2" t="str">
        <f>IFERROR(__xludf.DUMMYFUNCTION("GOOGLETRANSLATE(A15548, ""en"", ""mt"")"),"Ludwig von Nassau-Saarbrücken")</f>
        <v>Ludwig von Nassau-Saarbrücken</v>
      </c>
    </row>
    <row r="15549" ht="15.75" customHeight="1">
      <c r="A15549" s="2" t="s">
        <v>15549</v>
      </c>
      <c r="B15549" s="2" t="str">
        <f>IFERROR(__xludf.DUMMYFUNCTION("GOOGLETRANSLATE(A15549, ""en"", ""mt"")"),"Aktar minn 100 pulizija Eġizzjana kienu vittmi ta 'liema kampanja ta' terrur ta 'grupp?")</f>
        <v>Aktar minn 100 pulizija Eġizzjana kienu vittmi ta 'liema kampanja ta' terrur ta 'grupp?</v>
      </c>
    </row>
    <row r="15550" ht="15.75" customHeight="1">
      <c r="A15550" s="2" t="s">
        <v>15550</v>
      </c>
      <c r="B15550" s="2" t="str">
        <f>IFERROR(__xludf.DUMMYFUNCTION("GOOGLETRANSLATE(A15550, ""en"", ""mt"")"),"Kif jissejjaħ is-saff tal-konfini termali t'isfel?")</f>
        <v>Kif jissejjaħ is-saff tal-konfini termali t'isfel?</v>
      </c>
    </row>
    <row r="15551" ht="15.75" customHeight="1">
      <c r="A15551" s="2" t="s">
        <v>15551</v>
      </c>
      <c r="B15551" s="2" t="str">
        <f>IFERROR(__xludf.DUMMYFUNCTION("GOOGLETRANSLATE(A15551, ""en"", ""mt"")"),"F’liema sena Joseph Priestley irrikonoxxa l-ossiġnu?")</f>
        <v>F’liema sena Joseph Priestley irrikonoxxa l-ossiġnu?</v>
      </c>
    </row>
    <row r="15552" ht="15.75" customHeight="1">
      <c r="A15552" s="2" t="s">
        <v>15552</v>
      </c>
      <c r="B15552" s="2" t="str">
        <f>IFERROR(__xludf.DUMMYFUNCTION("GOOGLETRANSLATE(A15552, ""en"", ""mt"")"),"Liema pjattaforma tat-TV b'xejn kienet l-iktar popolari fl-Ewropa f'dan il-ħin?")</f>
        <v>Liema pjattaforma tat-TV b'xejn kienet l-iktar popolari fl-Ewropa f'dan il-ħin?</v>
      </c>
    </row>
    <row r="15553" ht="15.75" customHeight="1">
      <c r="A15553" s="2" t="s">
        <v>15553</v>
      </c>
      <c r="B15553" s="2" t="str">
        <f>IFERROR(__xludf.DUMMYFUNCTION("GOOGLETRANSLATE(A15553, ""en"", ""mt"")"),"L-isfruttament tal-assi u l-provvisti siewja")</f>
        <v>L-isfruttament tal-assi u l-provvisti siewja</v>
      </c>
    </row>
    <row r="15554" ht="15.75" customHeight="1">
      <c r="A15554" s="2" t="s">
        <v>15554</v>
      </c>
      <c r="B15554" s="2" t="str">
        <f>IFERROR(__xludf.DUMMYFUNCTION("GOOGLETRANSLATE(A15554, ""en"", ""mt"")"),"Il-messaġġ / dejta oriġinali hija mmuntata mill-ġdid fl-ordni t-tajba, ibbażata fuq in-numru tas-sekwenza tal-pakketti")</f>
        <v>Il-messaġġ / dejta oriġinali hija mmuntata mill-ġdid fl-ordni t-tajba, ibbażata fuq in-numru tas-sekwenza tal-pakketti</v>
      </c>
    </row>
    <row r="15555" ht="15.75" customHeight="1">
      <c r="A15555" s="2" t="s">
        <v>15555</v>
      </c>
      <c r="B15555" s="2" t="str">
        <f>IFERROR(__xludf.DUMMYFUNCTION("GOOGLETRANSLATE(A15555, ""en"", ""mt"")"),"Liema forza hija dovuta għal forzi attraenti ta 'interazzjoni?")</f>
        <v>Liema forza hija dovuta għal forzi attraenti ta 'interazzjoni?</v>
      </c>
    </row>
    <row r="15556" ht="15.75" customHeight="1">
      <c r="A15556" s="2" t="s">
        <v>15556</v>
      </c>
      <c r="B15556" s="2" t="str">
        <f>IFERROR(__xludf.DUMMYFUNCTION("GOOGLETRANSLATE(A15556, ""en"", ""mt"")"),"Thomas Newcomen")</f>
        <v>Thomas Newcomen</v>
      </c>
    </row>
    <row r="15557" ht="15.75" customHeight="1">
      <c r="A15557" s="2" t="s">
        <v>15557</v>
      </c>
      <c r="B15557" s="2" t="str">
        <f>IFERROR(__xludf.DUMMYFUNCTION("GOOGLETRANSLATE(A15557, ""en"", ""mt"")"),"Seklu 20")</f>
        <v>Seklu 20</v>
      </c>
    </row>
    <row r="15558" ht="15.75" customHeight="1">
      <c r="A15558" s="2" t="s">
        <v>15558</v>
      </c>
      <c r="B15558" s="2" t="str">
        <f>IFERROR(__xludf.DUMMYFUNCTION("GOOGLETRANSLATE(A15558, ""en"", ""mt"")"),"1965")</f>
        <v>1965</v>
      </c>
    </row>
    <row r="15559" ht="15.75" customHeight="1">
      <c r="A15559" s="2" t="s">
        <v>15559</v>
      </c>
      <c r="B15559" s="2" t="str">
        <f>IFERROR(__xludf.DUMMYFUNCTION("GOOGLETRANSLATE(A15559, ""en"", ""mt"")"),"Min rebaħ il-Premju Nobel fl-1905?")</f>
        <v>Min rebaħ il-Premju Nobel fl-1905?</v>
      </c>
    </row>
    <row r="15560" ht="15.75" customHeight="1">
      <c r="A15560" s="2" t="s">
        <v>15560</v>
      </c>
      <c r="B15560" s="2" t="str">
        <f>IFERROR(__xludf.DUMMYFUNCTION("GOOGLETRANSLATE(A15560, ""en"", ""mt"")"),"Waterford preżenti, Pennsylvania")</f>
        <v>Waterford preżenti, Pennsylvania</v>
      </c>
    </row>
    <row r="15561" ht="15.75" customHeight="1">
      <c r="A15561" s="2" t="s">
        <v>15561</v>
      </c>
      <c r="B15561" s="2" t="str">
        <f>IFERROR(__xludf.DUMMYFUNCTION("GOOGLETRANSLATE(A15561, ""en"", ""mt"")"),"50 kilopascals")</f>
        <v>50 kilopascals</v>
      </c>
    </row>
    <row r="15562" ht="15.75" customHeight="1">
      <c r="A15562" s="2" t="s">
        <v>15562</v>
      </c>
      <c r="B15562" s="2" t="str">
        <f>IFERROR(__xludf.DUMMYFUNCTION("GOOGLETRANSLATE(A15562, ""en"", ""mt"")"),"Liema titlu żamm Latham Milton?")</f>
        <v>Liema titlu żamm Latham Milton?</v>
      </c>
    </row>
    <row r="15563" ht="15.75" customHeight="1">
      <c r="A15563" s="2" t="s">
        <v>15563</v>
      </c>
      <c r="B15563" s="2" t="str">
        <f>IFERROR(__xludf.DUMMYFUNCTION("GOOGLETRANSLATE(A15563, ""en"", ""mt"")"),"L-U.S.")</f>
        <v>L-U.S.</v>
      </c>
    </row>
    <row r="15564" ht="15.75" customHeight="1">
      <c r="A15564" s="2" t="s">
        <v>15564</v>
      </c>
      <c r="B15564" s="2" t="str">
        <f>IFERROR(__xludf.DUMMYFUNCTION("GOOGLETRANSLATE(A15564, ""en"", ""mt"")"),"Kwalunkwe membru")</f>
        <v>Kwalunkwe membru</v>
      </c>
    </row>
    <row r="15565" ht="15.75" customHeight="1">
      <c r="A15565" s="2" t="s">
        <v>15565</v>
      </c>
      <c r="B15565" s="2" t="str">
        <f>IFERROR(__xludf.DUMMYFUNCTION("GOOGLETRANSLATE(A15565, ""en"", ""mt"")"),"It-telf tal-bijodiversità jista 'jkun ir-riżultat ta' dak, skond l-ambjentalisti?")</f>
        <v>It-telf tal-bijodiversità jista 'jkun ir-riżultat ta' dak, skond l-ambjentalisti?</v>
      </c>
    </row>
    <row r="15566" ht="15.75" customHeight="1">
      <c r="A15566" s="2" t="s">
        <v>15566</v>
      </c>
      <c r="B15566" s="2" t="str">
        <f>IFERROR(__xludf.DUMMYFUNCTION("GOOGLETRANSLATE(A15566, ""en"", ""mt"")"),"Pressjoni osmotika")</f>
        <v>Pressjoni osmotika</v>
      </c>
    </row>
    <row r="15567" ht="15.75" customHeight="1">
      <c r="A15567" s="2" t="s">
        <v>15567</v>
      </c>
      <c r="B15567" s="2" t="str">
        <f>IFERROR(__xludf.DUMMYFUNCTION("GOOGLETRANSLATE(A15567, ""en"", ""mt"")"),"jiksbu l-appoġġ tal-Ingliżi u jerġgħu jiksbu l-awtorità fuq in-nies tiegħu stess")</f>
        <v>jiksbu l-appoġġ tal-Ingliżi u jerġgħu jiksbu l-awtorità fuq in-nies tiegħu stess</v>
      </c>
    </row>
    <row r="15568" ht="15.75" customHeight="1">
      <c r="A15568" s="2" t="s">
        <v>15568</v>
      </c>
      <c r="B15568" s="2" t="str">
        <f>IFERROR(__xludf.DUMMYFUNCTION("GOOGLETRANSLATE(A15568, ""en"", ""mt"")"),"Rhind")</f>
        <v>Rhind</v>
      </c>
    </row>
    <row r="15569" ht="15.75" customHeight="1">
      <c r="A15569" s="2" t="s">
        <v>15569</v>
      </c>
      <c r="B15569" s="2" t="str">
        <f>IFERROR(__xludf.DUMMYFUNCTION("GOOGLETRANSLATE(A15569, ""en"", ""mt"")"),"Kemm iddum l-invażjoni tal-Lvant Nofsani sabiex tiżviluppa riżorsi rinnovabbli?")</f>
        <v>Kemm iddum l-invażjoni tal-Lvant Nofsani sabiex tiżviluppa riżorsi rinnovabbli?</v>
      </c>
    </row>
    <row r="15570" ht="15.75" customHeight="1">
      <c r="A15570" s="2" t="s">
        <v>15570</v>
      </c>
      <c r="B15570" s="2" t="str">
        <f>IFERROR(__xludf.DUMMYFUNCTION("GOOGLETRANSLATE(A15570, ""en"", ""mt"")"),"Matul in-Nofs Ekene, huwa maħsub li l-baċin tad-drenaġġ tal-Amażonja kien maqsum tul in-nofs tal-kontinent mill-arkata Purus. L-ilma fuq in-naħa tal-Lvant ħareġ lejn l-Atlantiku, waqt li l-ilma tal-punent ħareġ lejn il-Paċifiku madwar il-baċin tal-Amazona"&amp;"s. Madankollu, hekk kif il-Muntanji Andes żdiedu, inħoloq baċin kbir li jingħalaq lag; issa magħruf bħala l-Baċin Solimões. Fl-aħħar 5-10 miljun sena, dan l-ilma li jakkumula għadda mill-Arch Purus, u ngħaqad mal-fluss tal-Lvant lejn l-Atlantiku.")</f>
        <v>Matul in-Nofs Ekene, huwa maħsub li l-baċin tad-drenaġġ tal-Amażonja kien maqsum tul in-nofs tal-kontinent mill-arkata Purus. L-ilma fuq in-naħa tal-Lvant ħareġ lejn l-Atlantiku, waqt li l-ilma tal-punent ħareġ lejn il-Paċifiku madwar il-baċin tal-Amazonas. Madankollu, hekk kif il-Muntanji Andes żdiedu, inħoloq baċin kbir li jingħalaq lag; issa magħruf bħala l-Baċin Solimões. Fl-aħħar 5-10 miljun sena, dan l-ilma li jakkumula għadda mill-Arch Purus, u ngħaqad mal-fluss tal-Lvant lejn l-Atlantiku.</v>
      </c>
    </row>
    <row r="15571" ht="15.75" customHeight="1">
      <c r="A15571" s="2" t="s">
        <v>15571</v>
      </c>
      <c r="B15571" s="2" t="str">
        <f>IFERROR(__xludf.DUMMYFUNCTION("GOOGLETRANSLATE(A15571, ""en"", ""mt"")"),"Kif tikklassifika Victoria fir-rigward tad-densità tal-popolazzjoni?")</f>
        <v>Kif tikklassifika Victoria fir-rigward tad-densità tal-popolazzjoni?</v>
      </c>
    </row>
    <row r="15572" ht="15.75" customHeight="1">
      <c r="A15572" s="2" t="s">
        <v>15572</v>
      </c>
      <c r="B15572" s="2" t="str">
        <f>IFERROR(__xludf.DUMMYFUNCTION("GOOGLETRANSLATE(A15572, ""en"", ""mt"")"),"tnaqqas l-ispejjeż tal-konsumatur")</f>
        <v>tnaqqas l-ispejjeż tal-konsumatur</v>
      </c>
    </row>
    <row r="15573" ht="15.75" customHeight="1">
      <c r="A15573" s="2" t="s">
        <v>15573</v>
      </c>
      <c r="B15573" s="2" t="str">
        <f>IFERROR(__xludf.DUMMYFUNCTION("GOOGLETRANSLATE(A15573, ""en"", ""mt"")"),"madwar 1820")</f>
        <v>madwar 1820</v>
      </c>
    </row>
    <row r="15574" ht="15.75" customHeight="1">
      <c r="A15574" s="2" t="s">
        <v>15574</v>
      </c>
      <c r="B15574" s="2" t="str">
        <f>IFERROR(__xludf.DUMMYFUNCTION("GOOGLETRANSLATE(A15574, ""en"", ""mt"")"),"L-anarkisti ma jridux jaċċettaw kastig għal liema raġuni?")</f>
        <v>L-anarkisti ma jridux jaċċettaw kastig għal liema raġuni?</v>
      </c>
    </row>
    <row r="15575" ht="15.75" customHeight="1">
      <c r="A15575" s="2" t="s">
        <v>15575</v>
      </c>
      <c r="B15575" s="2" t="str">
        <f>IFERROR(__xludf.DUMMYFUNCTION("GOOGLETRANSLATE(A15575, ""en"", ""mt"")"),"Napuljun")</f>
        <v>Napuljun</v>
      </c>
    </row>
    <row r="15576" ht="15.75" customHeight="1">
      <c r="A15576" s="2" t="s">
        <v>15576</v>
      </c>
      <c r="B15576" s="2" t="str">
        <f>IFERROR(__xludf.DUMMYFUNCTION("GOOGLETRANSLATE(A15576, ""en"", ""mt"")"),"Musulmani tal-Asja Ċentrali")</f>
        <v>Musulmani tal-Asja Ċentrali</v>
      </c>
    </row>
    <row r="15577" ht="15.75" customHeight="1">
      <c r="A15577" s="2" t="s">
        <v>15577</v>
      </c>
      <c r="B15577" s="2" t="str">
        <f>IFERROR(__xludf.DUMMYFUNCTION("GOOGLETRANSLATE(A15577, ""en"", ""mt"")"),"Il-Ġermanja m'għandhiex passat imperialist sa meta?")</f>
        <v>Il-Ġermanja m'għandhiex passat imperialist sa meta?</v>
      </c>
    </row>
    <row r="15578" ht="15.75" customHeight="1">
      <c r="A15578" s="2" t="s">
        <v>15578</v>
      </c>
      <c r="B15578" s="2" t="str">
        <f>IFERROR(__xludf.DUMMYFUNCTION("GOOGLETRANSLATE(A15578, ""en"", ""mt"")"),"Liema sena Joseph Louis von Humboldt iddefinixxa l-formula għall-ilma?")</f>
        <v>Liema sena Joseph Louis von Humboldt iddefinixxa l-formula għall-ilma?</v>
      </c>
    </row>
    <row r="15579" ht="15.75" customHeight="1">
      <c r="A15579" s="2" t="s">
        <v>15579</v>
      </c>
      <c r="B15579" s="2" t="str">
        <f>IFERROR(__xludf.DUMMYFUNCTION("GOOGLETRANSLATE(A15579, ""en"", ""mt"")"),"kważi xahar")</f>
        <v>kważi xahar</v>
      </c>
    </row>
    <row r="15580" ht="15.75" customHeight="1">
      <c r="A15580" s="2" t="s">
        <v>15580</v>
      </c>
      <c r="B15580" s="2" t="str">
        <f>IFERROR(__xludf.DUMMYFUNCTION("GOOGLETRANSLATE(A15580, ""en"", ""mt"")"),"teżaġera s-serjetà tagħhom")</f>
        <v>teżaġera s-serjetà tagħhom</v>
      </c>
    </row>
    <row r="15581" ht="15.75" customHeight="1">
      <c r="A15581" s="2" t="s">
        <v>15581</v>
      </c>
      <c r="B15581" s="2" t="str">
        <f>IFERROR(__xludf.DUMMYFUNCTION("GOOGLETRANSLATE(A15581, ""en"", ""mt"")"),"X'inhu l-isem tal-funzjoni użata għall-iżgħar numru sħiħ mhux akbar min-numru in kwistjoni?")</f>
        <v>X'inhu l-isem tal-funzjoni użata għall-iżgħar numru sħiħ mhux akbar min-numru in kwistjoni?</v>
      </c>
    </row>
    <row r="15582" ht="15.75" customHeight="1">
      <c r="A15582" s="2" t="s">
        <v>15582</v>
      </c>
      <c r="B15582" s="2" t="str">
        <f>IFERROR(__xludf.DUMMYFUNCTION("GOOGLETRANSLATE(A15582, ""en"", ""mt"")"),"Konsegwenza proċedurali")</f>
        <v>Konsegwenza proċedurali</v>
      </c>
    </row>
    <row r="15583" ht="15.75" customHeight="1">
      <c r="A15583" s="2" t="s">
        <v>15583</v>
      </c>
      <c r="B15583" s="2" t="str">
        <f>IFERROR(__xludf.DUMMYFUNCTION("GOOGLETRANSLATE(A15583, ""en"", ""mt"")"),"Fejn hi d-dar tal-klabb tal-pajjiż Sunnyside?")</f>
        <v>Fejn hi d-dar tal-klabb tal-pajjiż Sunnyside?</v>
      </c>
    </row>
    <row r="15584" ht="15.75" customHeight="1">
      <c r="A15584" s="2" t="s">
        <v>15584</v>
      </c>
      <c r="B15584" s="2" t="str">
        <f>IFERROR(__xludf.DUMMYFUNCTION("GOOGLETRANSLATE(A15584, ""en"", ""mt"")"),"X'tip ta 'oġġetti qatt ma jintwerew fil-Mużew ta' Esteve Pharmacy?")</f>
        <v>X'tip ta 'oġġetti qatt ma jintwerew fil-Mużew ta' Esteve Pharmacy?</v>
      </c>
    </row>
    <row r="15585" ht="15.75" customHeight="1">
      <c r="A15585" s="2" t="s">
        <v>15585</v>
      </c>
      <c r="B15585" s="2" t="str">
        <f>IFERROR(__xludf.DUMMYFUNCTION("GOOGLETRANSLATE(A15585, ""en"", ""mt"")"),"Iż-żona tal-belt moderna ta 'Jacksonville ilha abitata għal eluf ta' snin. Fuq l-Iswed tal-Gżira Hammock fil-Preserva Nazzjonali Ekoloġika u Storika ta ’Timucuan, tim tal-Università ta’ Florida tat-Tramuntana skopra wħud mill-eqdem fdalijiet tal-fuħħar fl"&amp;"-Istati Uniti, li jmorru għall-2500 QK. Fis-seklu 16, il-bidu tal-era storika, ir-reġjun kien abitat mill-Mocama, sottogrupp kostali tal-poplu ta 'Timucua. Fil-ħin tal-kuntatt mal-Ewropej, l-irħula kollha tal-Mocama fil-preżent Jacksonville kienu parti mi"&amp;"ll-kapna qawwija magħrufa bħala s-Saturawa, iċċentrata madwar il-bokka tax-Xmara San Ġwann. Mappa bikrija turi raħal imsejjaħ Ossachite fis-sit ta 'dak li issa huwa d-downtown ta' Jacksonville; Dan jista 'jkun l-ewwel isem irreġistrat għal dik iż-żona.")</f>
        <v>Iż-żona tal-belt moderna ta 'Jacksonville ilha abitata għal eluf ta' snin. Fuq l-Iswed tal-Gżira Hammock fil-Preserva Nazzjonali Ekoloġika u Storika ta ’Timucuan, tim tal-Università ta’ Florida tat-Tramuntana skopra wħud mill-eqdem fdalijiet tal-fuħħar fl-Istati Uniti, li jmorru għall-2500 QK. Fis-seklu 16, il-bidu tal-era storika, ir-reġjun kien abitat mill-Mocama, sottogrupp kostali tal-poplu ta 'Timucua. Fil-ħin tal-kuntatt mal-Ewropej, l-irħula kollha tal-Mocama fil-preżent Jacksonville kienu parti mill-kapna qawwija magħrufa bħala s-Saturawa, iċċentrata madwar il-bokka tax-Xmara San Ġwann. Mappa bikrija turi raħal imsejjaħ Ossachite fis-sit ta 'dak li issa huwa d-downtown ta' Jacksonville; Dan jista 'jkun l-ewwel isem irreġistrat għal dik iż-żona.</v>
      </c>
    </row>
    <row r="15586" ht="15.75" customHeight="1">
      <c r="A15586" s="2" t="s">
        <v>15586</v>
      </c>
      <c r="B15586" s="2" t="str">
        <f>IFERROR(__xludf.DUMMYFUNCTION("GOOGLETRANSLATE(A15586, ""en"", ""mt"")"),"Meta l-gvernijiet tal-Punent appoġġjaw l-Iżlamisti li qed joħorġu?")</f>
        <v>Meta l-gvernijiet tal-Punent appoġġjaw l-Iżlamisti li qed joħorġu?</v>
      </c>
    </row>
    <row r="15587" ht="15.75" customHeight="1">
      <c r="A15587" s="2" t="s">
        <v>15587</v>
      </c>
      <c r="B15587" s="2" t="str">
        <f>IFERROR(__xludf.DUMMYFUNCTION("GOOGLETRANSLATE(A15587, ""en"", ""mt"")"),"Kejl kinematiku")</f>
        <v>Kejl kinematiku</v>
      </c>
    </row>
    <row r="15588" ht="15.75" customHeight="1">
      <c r="A15588" s="2" t="s">
        <v>15588</v>
      </c>
      <c r="B15588" s="2" t="str">
        <f>IFERROR(__xludf.DUMMYFUNCTION("GOOGLETRANSLATE(A15588, ""en"", ""mt"")"),"Nies ta 'liema nazzjonalità vvintaw l-HMS Dreadnought?")</f>
        <v>Nies ta 'liema nazzjonalità vvintaw l-HMS Dreadnought?</v>
      </c>
    </row>
    <row r="15589" ht="15.75" customHeight="1">
      <c r="A15589" s="2" t="s">
        <v>15589</v>
      </c>
      <c r="B15589" s="2" t="str">
        <f>IFERROR(__xludf.DUMMYFUNCTION("GOOGLETRANSLATE(A15589, ""en"", ""mt"")"),"Ruhr")</f>
        <v>Ruhr</v>
      </c>
    </row>
    <row r="15590" ht="15.75" customHeight="1">
      <c r="A15590" s="2" t="s">
        <v>15590</v>
      </c>
      <c r="B15590" s="2" t="str">
        <f>IFERROR(__xludf.DUMMYFUNCTION("GOOGLETRANSLATE(A15590, ""en"", ""mt"")"),"Finsteraarhorn, t")</f>
        <v>Finsteraarhorn, t</v>
      </c>
    </row>
    <row r="15591" ht="15.75" customHeight="1">
      <c r="A15591" s="2" t="s">
        <v>15591</v>
      </c>
      <c r="B15591" s="2" t="str">
        <f>IFERROR(__xludf.DUMMYFUNCTION("GOOGLETRANSLATE(A15591, ""en"", ""mt"")"),"Studju ta 'saffi sedimentarji")</f>
        <v>Studju ta 'saffi sedimentarji</v>
      </c>
    </row>
    <row r="15592" ht="15.75" customHeight="1">
      <c r="A15592" s="2" t="s">
        <v>15592</v>
      </c>
      <c r="B15592" s="2" t="str">
        <f>IFERROR(__xludf.DUMMYFUNCTION("GOOGLETRANSLATE(A15592, ""en"", ""mt"")"),"Xi tfisser in-newtralizzazzjoni tar-rispons immuni għall-mediċini bbażati fuq peptidi u proteini iżgħar?")</f>
        <v>Xi tfisser in-newtralizzazzjoni tar-rispons immuni għall-mediċini bbażati fuq peptidi u proteini iżgħar?</v>
      </c>
    </row>
    <row r="15593" ht="15.75" customHeight="1">
      <c r="A15593" s="2" t="s">
        <v>15593</v>
      </c>
      <c r="B15593" s="2" t="str">
        <f>IFERROR(__xludf.DUMMYFUNCTION("GOOGLETRANSLATE(A15593, ""en"", ""mt"")"),"M’għandniex xi ngħidu, xi klassijiet ta ’kumplessità għandhom definizzjonijiet ikkumplikati li ma jidħlux f’dan il-qafas. Għalhekk, klassi ta 'kumplessità tipika għandha definizzjoni bħal din li ġejja:")</f>
        <v>M’għandniex xi ngħidu, xi klassijiet ta ’kumplessità għandhom definizzjonijiet ikkumplikati li ma jidħlux f’dan il-qafas. Għalhekk, klassi ta 'kumplessità tipika għandha definizzjoni bħal din li ġejja:</v>
      </c>
    </row>
    <row r="15594" ht="15.75" customHeight="1">
      <c r="A15594" s="2" t="s">
        <v>15594</v>
      </c>
      <c r="B15594" s="2" t="str">
        <f>IFERROR(__xludf.DUMMYFUNCTION("GOOGLETRANSLATE(A15594, ""en"", ""mt"")"),"Kompjuter imqassam")</f>
        <v>Kompjuter imqassam</v>
      </c>
    </row>
    <row r="15595" ht="15.75" customHeight="1">
      <c r="A15595" s="2" t="s">
        <v>15595</v>
      </c>
      <c r="B15595" s="2" t="str">
        <f>IFERROR(__xludf.DUMMYFUNCTION("GOOGLETRANSLATE(A15595, ""en"", ""mt"")"),"Liema sena l-università fetħet ċentru f'Hong Kong?")</f>
        <v>Liema sena l-università fetħet ċentru f'Hong Kong?</v>
      </c>
    </row>
    <row r="15596" ht="15.75" customHeight="1">
      <c r="A15596" s="2" t="s">
        <v>15596</v>
      </c>
      <c r="B15596" s="2" t="str">
        <f>IFERROR(__xludf.DUMMYFUNCTION("GOOGLETRANSLATE(A15596, ""en"", ""mt"")"),"Kif il-Camden 28 iddeċidew li jissottomettu ruħhom quddiem il-qorti wara li wieġbu ħatja?")</f>
        <v>Kif il-Camden 28 iddeċidew li jissottomettu ruħhom quddiem il-qorti wara li wieġbu ħatja?</v>
      </c>
    </row>
    <row r="15597" ht="15.75" customHeight="1">
      <c r="A15597" s="2" t="s">
        <v>15597</v>
      </c>
      <c r="B15597" s="2" t="str">
        <f>IFERROR(__xludf.DUMMYFUNCTION("GOOGLETRANSLATE(A15597, ""en"", ""mt"")"),"Min hu l-President tal-Afganistan?")</f>
        <v>Min hu l-President tal-Afganistan?</v>
      </c>
    </row>
    <row r="15598" ht="15.75" customHeight="1">
      <c r="A15598" s="2" t="s">
        <v>15598</v>
      </c>
      <c r="B15598" s="2" t="str">
        <f>IFERROR(__xludf.DUMMYFUNCTION("GOOGLETRANSLATE(A15598, ""en"", ""mt"")"),"X'kien il-prezz ta 'barmil taż-żejt fl-1970?")</f>
        <v>X'kien il-prezz ta 'barmil taż-żejt fl-1970?</v>
      </c>
    </row>
    <row r="15599" ht="15.75" customHeight="1">
      <c r="A15599" s="2" t="s">
        <v>15599</v>
      </c>
      <c r="B15599" s="2" t="str">
        <f>IFERROR(__xludf.DUMMYFUNCTION("GOOGLETRANSLATE(A15599, ""en"", ""mt"")"),"Baillie-PSW,")</f>
        <v>Baillie-PSW,</v>
      </c>
    </row>
    <row r="15600" ht="15.75" customHeight="1">
      <c r="A15600" s="2" t="s">
        <v>15600</v>
      </c>
      <c r="B15600" s="2" t="str">
        <f>IFERROR(__xludf.DUMMYFUNCTION("GOOGLETRANSLATE(A15600, ""en"", ""mt"")"),"Madwar nofs it-300,000 abitant ta 'Napli")</f>
        <v>Madwar nofs it-300,000 abitant ta 'Napli</v>
      </c>
    </row>
    <row r="15601" ht="15.75" customHeight="1">
      <c r="A15601" s="2" t="s">
        <v>15601</v>
      </c>
      <c r="B15601" s="2" t="str">
        <f>IFERROR(__xludf.DUMMYFUNCTION("GOOGLETRANSLATE(A15601, ""en"", ""mt"")"),"Kif għandha l-leġislazzjoni fl-Istati Membri li timplimenta l-liġi tal-UE m'għandhiex tkun miktuba?")</f>
        <v>Kif għandha l-leġislazzjoni fl-Istati Membri li timplimenta l-liġi tal-UE m'għandhiex tkun miktuba?</v>
      </c>
    </row>
    <row r="15602" ht="15.75" customHeight="1">
      <c r="A15602" s="2" t="s">
        <v>15602</v>
      </c>
      <c r="B15602" s="2" t="str">
        <f>IFERROR(__xludf.DUMMYFUNCTION("GOOGLETRANSLATE(A15602, ""en"", ""mt"")"),"Liema perċentili ta 'prodott domestiku gross huwa magħmul minn kostruzzjoni?")</f>
        <v>Liema perċentili ta 'prodott domestiku gross huwa magħmul minn kostruzzjoni?</v>
      </c>
    </row>
    <row r="15603" ht="15.75" customHeight="1">
      <c r="A15603" s="2" t="s">
        <v>15603</v>
      </c>
      <c r="B15603" s="2" t="str">
        <f>IFERROR(__xludf.DUMMYFUNCTION("GOOGLETRANSLATE(A15603, ""en"", ""mt"")"),"Ir-Renu jifforma delta interna f'liema lag?")</f>
        <v>Ir-Renu jifforma delta interna f'liema lag?</v>
      </c>
    </row>
    <row r="15604" ht="15.75" customHeight="1">
      <c r="A15604" s="2" t="s">
        <v>15604</v>
      </c>
      <c r="B15604" s="2" t="str">
        <f>IFERROR(__xludf.DUMMYFUNCTION("GOOGLETRANSLATE(A15604, ""en"", ""mt"")"),"L-allotrope komuni ta 'ossiġenu elementari fid-Dinja tissejjaħ dioxygen, o
2. Hija l-forma li hija parti ewlenija fl-atmosfera tad-Dinja (ara l-okkorrenza). O2 għandu tul ta 'bond ta' 121 pm u enerġija ta 'bond ta' 498 kJ · mol - 1, li hija iżgħar mill-en"&amp;"erġija ta 'bonds doppji oħra jew pari ta' bonds singoli fil-bijosfera u responsabbli għar-reazzjoni eżotermika ta 'O2 bi kwalunkwe molekula organika - Minħabba l-kontenut ta 'enerġija tiegħu, O2 jintuża minn forom kumplessi ta' ħajja, bħal annimali, fir-r"&amp;"espirazzjoni ċellulari (ara r-rwol bijoloġiku). Aspetti oħra ta 'O
2 huma koperti fil-bqija ta 'dan l-artikolu.")</f>
        <v>L-allotrope komuni ta 'ossiġenu elementari fid-Dinja tissejjaħ dioxygen, o
2. Hija l-forma li hija parti ewlenija fl-atmosfera tad-Dinja (ara l-okkorrenza). O2 għandu tul ta 'bond ta' 121 pm u enerġija ta 'bond ta' 498 kJ · mol - 1, li hija iżgħar mill-enerġija ta 'bonds doppji oħra jew pari ta' bonds singoli fil-bijosfera u responsabbli għar-reazzjoni eżotermika ta 'O2 bi kwalunkwe molekula organika - Minħabba l-kontenut ta 'enerġija tiegħu, O2 jintuża minn forom kumplessi ta' ħajja, bħal annimali, fir-respirazzjoni ċellulari (ara r-rwol bijoloġiku). Aspetti oħra ta 'O
2 huma koperti fil-bqija ta 'dan l-artikolu.</v>
      </c>
    </row>
    <row r="15605" ht="15.75" customHeight="1">
      <c r="A15605" s="2" t="s">
        <v>15605</v>
      </c>
      <c r="B15605" s="2" t="str">
        <f>IFERROR(__xludf.DUMMYFUNCTION("GOOGLETRANSLATE(A15605, ""en"", ""mt"")"),"X'kienet Maria Wola l-ewwel mara li tirċievi?")</f>
        <v>X'kienet Maria Wola l-ewwel mara li tirċievi?</v>
      </c>
    </row>
    <row r="15606" ht="15.75" customHeight="1">
      <c r="A15606" s="2" t="s">
        <v>15606</v>
      </c>
      <c r="B15606" s="2" t="str">
        <f>IFERROR(__xludf.DUMMYFUNCTION("GOOGLETRANSLATE(A15606, ""en"", ""mt"")"),"Fejn l-ispiżjara ma jmorrux wara l-iskola tal-ispiżerija?")</f>
        <v>Fejn l-ispiżjara ma jmorrux wara l-iskola tal-ispiżerija?</v>
      </c>
    </row>
    <row r="15607" ht="15.75" customHeight="1">
      <c r="A15607" s="2" t="s">
        <v>15607</v>
      </c>
      <c r="B15607" s="2" t="str">
        <f>IFERROR(__xludf.DUMMYFUNCTION("GOOGLETRANSLATE(A15607, ""en"", ""mt"")"),"Liema ċelloli jintramaw rispons dgħajjef jekk patoġen jiġi skopert mill-ġdid?")</f>
        <v>Liema ċelloli jintramaw rispons dgħajjef jekk patoġen jiġi skopert mill-ġdid?</v>
      </c>
    </row>
    <row r="15608" ht="15.75" customHeight="1">
      <c r="A15608" s="2" t="s">
        <v>15608</v>
      </c>
      <c r="B15608" s="2" t="str">
        <f>IFERROR(__xludf.DUMMYFUNCTION("GOOGLETRANSLATE(A15608, ""en"", ""mt"")"),"Kważi l-ispeċi kollha huma ermafroditi, fi kliem ieħor huma jiffunzjonaw kemm irġiel kif ukoll nisa fl-istess ħin - ħlief li f'żewġ speċi tal-ġeneru individwi ocryopsis jibqgħu ta 'l-istess sess uniku ħajjithom kollha. Il-gonadi jinsabu fil-partijiet tan-"&amp;"netwerk tal-kanali interni taħt ir-ringieli tal-moxt, u l-bajd u l-isperma huma rilaxxati permezz tal-pori fl-epidermide. Il-fertilizzazzjoni hija esterna fil-biċċa l-kbira tal-ispeċi, iżda l-platyctenids jużaw il-fertilizzazzjoni interna u jżommu l-bajd "&amp;"fil-kmamar tan-nixxiegħa sakemm ifaqqsu. L-awto-fertilizzazzjoni kultant kienet tidher fl-ispeċi tal-ġeneru Mnemiopsis, u huwa maħsub li ħafna mill-ispeċi ermafroditiċi huma awto-fertili.")</f>
        <v>Kważi l-ispeċi kollha huma ermafroditi, fi kliem ieħor huma jiffunzjonaw kemm irġiel kif ukoll nisa fl-istess ħin - ħlief li f'żewġ speċi tal-ġeneru individwi ocryopsis jibqgħu ta 'l-istess sess uniku ħajjithom kollha. Il-gonadi jinsabu fil-partijiet tan-netwerk tal-kanali interni taħt ir-ringieli tal-moxt, u l-bajd u l-isperma huma rilaxxati permezz tal-pori fl-epidermide. Il-fertilizzazzjoni hija esterna fil-biċċa l-kbira tal-ispeċi, iżda l-platyctenids jużaw il-fertilizzazzjoni interna u jżommu l-bajd fil-kmamar tan-nixxiegħa sakemm ifaqqsu. L-awto-fertilizzazzjoni kultant kienet tidher fl-ispeċi tal-ġeneru Mnemiopsis, u huwa maħsub li ħafna mill-ispeċi ermafroditiċi huma awto-fertili.</v>
      </c>
    </row>
    <row r="15609" ht="15.75" customHeight="1">
      <c r="A15609" s="2" t="s">
        <v>15609</v>
      </c>
      <c r="B15609" s="2" t="str">
        <f>IFERROR(__xludf.DUMMYFUNCTION("GOOGLETRANSLATE(A15609, ""en"", ""mt"")"),"L-embargo")</f>
        <v>L-embargo</v>
      </c>
    </row>
    <row r="15610" ht="15.75" customHeight="1">
      <c r="A15610" s="2" t="s">
        <v>15610</v>
      </c>
      <c r="B15610" s="2" t="str">
        <f>IFERROR(__xludf.DUMMYFUNCTION("GOOGLETRANSLATE(A15610, ""en"", ""mt"")"),"Figura ewlenija fil-pjanijiet għal dak li kien se jkun magħruf bħala l-Imperu Amerikan, kien ġeografu jismu Isiah Bowman. Bowman kien id-direttur tas-Soċjetà Ġeografika Amerikana fl-1914. Tliet snin wara fl-1917, inħatar l-inkjesta tal-President Woodrow W"&amp;"ilson fl-1917. L-inkjesta kienet l-idea tal-President Wilson u d-delegazzjoni Amerikana mill-Konferenza tal-Paċi ta 'Pariġi. Il-punt ta 'din l-inkjesta kien li tinbena premessa li tippermetti l-awtrija ta' l-Istati Uniti ta '' dinja ġdida 'li kellha tkun "&amp;"ikkaratterizzata minn ordni ġeografika. Bħala riżultat tar-rwol tiegħu fl-inkjesta, Isiah Bowman se jkun magħruf bħala Wilson's Geographer.")</f>
        <v>Figura ewlenija fil-pjanijiet għal dak li kien se jkun magħruf bħala l-Imperu Amerikan, kien ġeografu jismu Isiah Bowman. Bowman kien id-direttur tas-Soċjetà Ġeografika Amerikana fl-1914. Tliet snin wara fl-1917, inħatar l-inkjesta tal-President Woodrow Wilson fl-1917. L-inkjesta kienet l-idea tal-President Wilson u d-delegazzjoni Amerikana mill-Konferenza tal-Paċi ta 'Pariġi. Il-punt ta 'din l-inkjesta kien li tinbena premessa li tippermetti l-awtrija ta' l-Istati Uniti ta '' dinja ġdida 'li kellha tkun ikkaratterizzata minn ordni ġeografika. Bħala riżultat tar-rwol tiegħu fl-inkjesta, Isiah Bowman se jkun magħruf bħala Wilson's Geographer.</v>
      </c>
    </row>
    <row r="15611" ht="15.75" customHeight="1">
      <c r="A15611" s="2" t="s">
        <v>15611</v>
      </c>
      <c r="B15611" s="2" t="str">
        <f>IFERROR(__xludf.DUMMYFUNCTION("GOOGLETRANSLATE(A15611, ""en"", ""mt"")"),"Syrenka")</f>
        <v>Syrenka</v>
      </c>
    </row>
    <row r="15612" ht="15.75" customHeight="1">
      <c r="A15612" s="2" t="s">
        <v>15612</v>
      </c>
      <c r="B15612" s="2" t="str">
        <f>IFERROR(__xludf.DUMMYFUNCTION("GOOGLETRANSLATE(A15612, ""en"", ""mt"")"),"L-adulti jew is-sekrezzjonijiet tal-minorenni jegħlbu l-isbaħ?")</f>
        <v>L-adulti jew is-sekrezzjonijiet tal-minorenni jegħlbu l-isbaħ?</v>
      </c>
    </row>
    <row r="15613" ht="15.75" customHeight="1">
      <c r="A15613" s="2" t="s">
        <v>15613</v>
      </c>
      <c r="B15613" s="2" t="str">
        <f>IFERROR(__xludf.DUMMYFUNCTION("GOOGLETRANSLATE(A15613, ""en"", ""mt"")"),"X'għandhom il-fossili attwali li nstabu ma kellhomx?")</f>
        <v>X'għandhom il-fossili attwali li nstabu ma kellhomx?</v>
      </c>
    </row>
    <row r="15614" ht="15.75" customHeight="1">
      <c r="A15614" s="2" t="s">
        <v>15614</v>
      </c>
      <c r="B15614" s="2" t="str">
        <f>IFERROR(__xludf.DUMMYFUNCTION("GOOGLETRANSLATE(A15614, ""en"", ""mt"")"),"Fejn huma l-meded tat-temperatura tax-xitwa 90-60s?")</f>
        <v>Fejn huma l-meded tat-temperatura tax-xitwa 90-60s?</v>
      </c>
    </row>
    <row r="15615" ht="15.75" customHeight="1">
      <c r="A15615" s="2" t="s">
        <v>15615</v>
      </c>
      <c r="B15615" s="2" t="str">
        <f>IFERROR(__xludf.DUMMYFUNCTION("GOOGLETRANSLATE(A15615, ""en"", ""mt"")"),"Aktar bħal larva vera")</f>
        <v>Aktar bħal larva vera</v>
      </c>
    </row>
    <row r="15616" ht="15.75" customHeight="1">
      <c r="A15616" s="2" t="s">
        <v>15616</v>
      </c>
      <c r="B15616" s="2" t="str">
        <f>IFERROR(__xludf.DUMMYFUNCTION("GOOGLETRANSLATE(A15616, ""en"", ""mt"")"),"Meta jkun hemm ħafna ħaddiema li jikkompetu għal ħafna impjiegi meqjusa bħala?")</f>
        <v>Meta jkun hemm ħafna ħaddiema li jikkompetu għal ħafna impjiegi meqjusa bħala?</v>
      </c>
    </row>
    <row r="15617" ht="15.75" customHeight="1">
      <c r="A15617" s="2" t="s">
        <v>15617</v>
      </c>
      <c r="B15617" s="2" t="str">
        <f>IFERROR(__xludf.DUMMYFUNCTION("GOOGLETRANSLATE(A15617, ""en"", ""mt"")"),"Fl-1755 liema fort ċediet l-Ingliżi?")</f>
        <v>Fl-1755 liema fort ċediet l-Ingliżi?</v>
      </c>
    </row>
    <row r="15618" ht="15.75" customHeight="1">
      <c r="A15618" s="2" t="s">
        <v>15618</v>
      </c>
      <c r="B15618" s="2" t="str">
        <f>IFERROR(__xludf.DUMMYFUNCTION("GOOGLETRANSLATE(A15618, ""en"", ""mt"")"),"Liema rwol ieħor għandhom ħafna spiżjara?")</f>
        <v>Liema rwol ieħor għandhom ħafna spiżjara?</v>
      </c>
    </row>
    <row r="15619" ht="15.75" customHeight="1">
      <c r="A15619" s="2" t="s">
        <v>15619</v>
      </c>
      <c r="B15619" s="2" t="str">
        <f>IFERROR(__xludf.DUMMYFUNCTION("GOOGLETRANSLATE(A15619, ""en"", ""mt"")"),"X'ġara wara li Henry Ware u Samuel Webber mietu?")</f>
        <v>X'ġara wara li Henry Ware u Samuel Webber mietu?</v>
      </c>
    </row>
    <row r="15620" ht="15.75" customHeight="1">
      <c r="A15620" s="2" t="s">
        <v>15620</v>
      </c>
      <c r="B15620" s="2" t="str">
        <f>IFERROR(__xludf.DUMMYFUNCTION("GOOGLETRANSLATE(A15620, ""en"", ""mt"")"),"F'dawn l-aħħar snin il-karatteristika li korrelata ħafna mas-saħħa f'pajjiżi żviluppati hija l-inugwaljanza fid-dħul. Il-ħolqien ta 'indiċi ta' ""problemi tas-saħħa u soċjali"" minn disa 'fatturi, l-awturi Richard Wilkinson u Kate Pickett sabu problemi ta"&amp;"s-saħħa u soċjali ""aktar komuni f'pajjiżi b'inugwaljanzi ta' dħul ikbar"", u aktar komuni fost l-istati fl-Istati Uniti b'inugwaljanzi ta 'dħul akbar. Studji oħra kkonfermaw din ir-relazzjoni. L-indiċi tal-UNICEF ta '""benesseri tat-tfal f'pajjiżi sinjur"&amp;"i"", li jistudja 40 indikatur fi 22 pajjiż, jikkorrelata ma' ugwaljanza akbar iżda mhux dħul per capita.")</f>
        <v>F'dawn l-aħħar snin il-karatteristika li korrelata ħafna mas-saħħa f'pajjiżi żviluppati hija l-inugwaljanza fid-dħul. Il-ħolqien ta 'indiċi ta' "problemi tas-saħħa u soċjali" minn disa 'fatturi, l-awturi Richard Wilkinson u Kate Pickett sabu problemi tas-saħħa u soċjali "aktar komuni f'pajjiżi b'inugwaljanzi ta' dħul ikbar", u aktar komuni fost l-istati fl-Istati Uniti b'inugwaljanzi ta 'dħul akbar. Studji oħra kkonfermaw din ir-relazzjoni. L-indiċi tal-UNICEF ta '"benesseri tat-tfal f'pajjiżi sinjuri", li jistudja 40 indikatur fi 22 pajjiż, jikkorrelata ma' ugwaljanza akbar iżda mhux dħul per capita.</v>
      </c>
    </row>
    <row r="15621" ht="15.75" customHeight="1">
      <c r="A15621" s="2" t="s">
        <v>15621</v>
      </c>
      <c r="B15621" s="2" t="str">
        <f>IFERROR(__xludf.DUMMYFUNCTION("GOOGLETRANSLATE(A15621, ""en"", ""mt"")"),"Liema grupp huwa mwaqqaf biex jifli l-kontijiet privati ​​sottomessi lill-Parlament Spanjol?")</f>
        <v>Liema grupp huwa mwaqqaf biex jifli l-kontijiet privati ​​sottomessi lill-Parlament Spanjol?</v>
      </c>
    </row>
    <row r="15622" ht="15.75" customHeight="1">
      <c r="A15622" s="2" t="s">
        <v>15622</v>
      </c>
      <c r="B15622" s="2" t="str">
        <f>IFERROR(__xludf.DUMMYFUNCTION("GOOGLETRANSLATE(A15622, ""en"", ""mt"")"),"Għal liema għażla tal-iskola kienu l-ġenituri tat-tfal minoritarji mogħtija biex jikkonvertu?")</f>
        <v>Għal liema għażla tal-iskola kienu l-ġenituri tat-tfal minoritarji mogħtija biex jikkonvertu?</v>
      </c>
    </row>
    <row r="15623" ht="15.75" customHeight="1">
      <c r="A15623" s="2" t="s">
        <v>15623</v>
      </c>
      <c r="B15623" s="2" t="str">
        <f>IFERROR(__xludf.DUMMYFUNCTION("GOOGLETRANSLATE(A15623, ""en"", ""mt"")"),"ma tkunx konness direttament ma 'arpanet")</f>
        <v>ma tkunx konness direttament ma 'arpanet</v>
      </c>
    </row>
    <row r="15624" ht="15.75" customHeight="1">
      <c r="A15624" s="2" t="s">
        <v>15624</v>
      </c>
      <c r="B15624" s="2" t="str">
        <f>IFERROR(__xludf.DUMMYFUNCTION("GOOGLETRANSLATE(A15624, ""en"", ""mt"")"),"X'inhi l-inugwaljanza assoċjata ma 'livelli aktar baxxi ta'?")</f>
        <v>X'inhi l-inugwaljanza assoċjata ma 'livelli aktar baxxi ta'?</v>
      </c>
    </row>
    <row r="15625" ht="15.75" customHeight="1">
      <c r="A15625" s="2" t="s">
        <v>15625</v>
      </c>
      <c r="B15625" s="2" t="str">
        <f>IFERROR(__xludf.DUMMYFUNCTION("GOOGLETRANSLATE(A15625, ""en"", ""mt"")"),"Twieqi tal-enerġija")</f>
        <v>Twieqi tal-enerġija</v>
      </c>
    </row>
    <row r="15626" ht="15.75" customHeight="1">
      <c r="A15626" s="2" t="s">
        <v>15626</v>
      </c>
      <c r="B15626" s="2" t="str">
        <f>IFERROR(__xludf.DUMMYFUNCTION("GOOGLETRANSLATE(A15626, ""en"", ""mt"")"),"22,000 sena ilu")</f>
        <v>22,000 sena ilu</v>
      </c>
    </row>
    <row r="15627" ht="15.75" customHeight="1">
      <c r="A15627" s="2" t="s">
        <v>15627</v>
      </c>
      <c r="B15627" s="2" t="str">
        <f>IFERROR(__xludf.DUMMYFUNCTION("GOOGLETRANSLATE(A15627, ""en"", ""mt"")"),"Assoċjazzjoni tal-Atletika tal-Università (UAA)")</f>
        <v>Assoċjazzjoni tal-Atletika tal-Università (UAA)</v>
      </c>
    </row>
    <row r="15628" ht="15.75" customHeight="1">
      <c r="A15628" s="2" t="s">
        <v>15628</v>
      </c>
      <c r="B15628" s="2" t="str">
        <f>IFERROR(__xludf.DUMMYFUNCTION("GOOGLETRANSLATE(A15628, ""en"", ""mt"")"),"X'azzjoni ttieħdet kontra l-Ġappun fil-25 ta 'Diċembru biex tagħmilhom ibiddlu l-politika tagħhom?")</f>
        <v>X'azzjoni ttieħdet kontra l-Ġappun fil-25 ta 'Diċembru biex tagħmilhom ibiddlu l-politika tagħhom?</v>
      </c>
    </row>
    <row r="15629" ht="15.75" customHeight="1">
      <c r="A15629" s="2" t="s">
        <v>15629</v>
      </c>
      <c r="B15629" s="2" t="str">
        <f>IFERROR(__xludf.DUMMYFUNCTION("GOOGLETRANSLATE(A15629, ""en"", ""mt"")"),"1850s")</f>
        <v>1850s</v>
      </c>
    </row>
    <row r="15630" ht="15.75" customHeight="1">
      <c r="A15630" s="2" t="s">
        <v>15630</v>
      </c>
      <c r="B15630" s="2" t="str">
        <f>IFERROR(__xludf.DUMMYFUNCTION("GOOGLETRANSLATE(A15630, ""en"", ""mt"")"),"Kif wieħed iqassar t (n) = 8n2 + 16n = 40 f'notazzjoni kbira o?")</f>
        <v>Kif wieħed iqassar t (n) = 8n2 + 16n = 40 f'notazzjoni kbira o?</v>
      </c>
    </row>
    <row r="15631" ht="15.75" customHeight="1">
      <c r="A15631" s="2" t="s">
        <v>15631</v>
      </c>
      <c r="B15631" s="2" t="str">
        <f>IFERROR(__xludf.DUMMYFUNCTION("GOOGLETRANSLATE(A15631, ""en"", ""mt"")"),"Tajlandja")</f>
        <v>Tajlandja</v>
      </c>
    </row>
    <row r="15632" ht="15.75" customHeight="1">
      <c r="A15632" s="2" t="s">
        <v>15632</v>
      </c>
      <c r="B15632" s="2" t="str">
        <f>IFERROR(__xludf.DUMMYFUNCTION("GOOGLETRANSLATE(A15632, ""en"", ""mt"")"),"X'inhu l-Ħut tal-Istat tar-Rabat?")</f>
        <v>X'inhu l-Ħut tal-Istat tar-Rabat?</v>
      </c>
    </row>
    <row r="15633" ht="15.75" customHeight="1">
      <c r="A15633" s="2" t="s">
        <v>15633</v>
      </c>
      <c r="B15633" s="2" t="str">
        <f>IFERROR(__xludf.DUMMYFUNCTION("GOOGLETRANSLATE(A15633, ""en"", ""mt"")"),"Min għandu jkun imħasseb max-xejra li tiddikjara l-effetti tal-bidla fil-klima?")</f>
        <v>Min għandu jkun imħasseb max-xejra li tiddikjara l-effetti tal-bidla fil-klima?</v>
      </c>
    </row>
    <row r="15634" ht="15.75" customHeight="1">
      <c r="A15634" s="2" t="s">
        <v>15634</v>
      </c>
      <c r="B15634" s="2" t="str">
        <f>IFERROR(__xludf.DUMMYFUNCTION("GOOGLETRANSLATE(A15634, ""en"", ""mt"")"),"Dak li jservi bħala barriera bijoloġika billi jikkompeti għall-ispazju u l-ikel fil-passaġġ GI?")</f>
        <v>Dak li jservi bħala barriera bijoloġika billi jikkompeti għall-ispazju u l-ikel fil-passaġġ GI?</v>
      </c>
    </row>
    <row r="15635" ht="15.75" customHeight="1">
      <c r="A15635" s="2" t="s">
        <v>15635</v>
      </c>
      <c r="B15635" s="2" t="str">
        <f>IFERROR(__xludf.DUMMYFUNCTION("GOOGLETRANSLATE(A15635, ""en"", ""mt"")"),"Kemm hemm volumi li jinsabu fil-librerija?")</f>
        <v>Kemm hemm volumi li jinsabu fil-librerija?</v>
      </c>
    </row>
    <row r="15636" ht="15.75" customHeight="1">
      <c r="A15636" s="2" t="s">
        <v>15636</v>
      </c>
      <c r="B15636" s="2" t="str">
        <f>IFERROR(__xludf.DUMMYFUNCTION("GOOGLETRANSLATE(A15636, ""en"", ""mt"")"),"ta 'l-ogħla' effiċjenza soċjali")</f>
        <v>ta 'l-ogħla' effiċjenza soċjali</v>
      </c>
    </row>
    <row r="15637" ht="15.75" customHeight="1">
      <c r="A15637" s="2" t="s">
        <v>15637</v>
      </c>
      <c r="B15637" s="2" t="str">
        <f>IFERROR(__xludf.DUMMYFUNCTION("GOOGLETRANSLATE(A15637, ""en"", ""mt"")"),"Pakistan")</f>
        <v>Pakistan</v>
      </c>
    </row>
    <row r="15638" ht="15.75" customHeight="1">
      <c r="A15638" s="2" t="s">
        <v>15638</v>
      </c>
      <c r="B15638" s="2" t="str">
        <f>IFERROR(__xludf.DUMMYFUNCTION("GOOGLETRANSLATE(A15638, ""en"", ""mt"")"),"Min jistgħu l-membri jidderieġu mistoqsijiet waqt il-ħin ġenerali tal-mistoqsija?")</f>
        <v>Min jistgħu l-membri jidderieġu mistoqsijiet waqt il-ħin ġenerali tal-mistoqsija?</v>
      </c>
    </row>
    <row r="15639" ht="15.75" customHeight="1">
      <c r="A15639" s="2" t="s">
        <v>15639</v>
      </c>
      <c r="B15639" s="2" t="str">
        <f>IFERROR(__xludf.DUMMYFUNCTION("GOOGLETRANSLATE(A15639, ""en"", ""mt"")"),"Ir-Repubblika tal-Poplu taċ-Ċina")</f>
        <v>Ir-Repubblika tal-Poplu taċ-Ċina</v>
      </c>
    </row>
    <row r="15640" ht="15.75" customHeight="1">
      <c r="A15640" s="2" t="s">
        <v>15640</v>
      </c>
      <c r="B15640" s="2" t="str">
        <f>IFERROR(__xludf.DUMMYFUNCTION("GOOGLETRANSLATE(A15640, ""en"", ""mt"")"),"X'inhuma l-gradwati meħtieġa biex jieħdu biex jissodisfaw il-kurrikulu ta 'Chicago Core?")</f>
        <v>X'inhuma l-gradwati meħtieġa biex jieħdu biex jissodisfaw il-kurrikulu ta 'Chicago Core?</v>
      </c>
    </row>
    <row r="15641" ht="15.75" customHeight="1">
      <c r="A15641" s="2" t="s">
        <v>15641</v>
      </c>
      <c r="B15641" s="2" t="str">
        <f>IFERROR(__xludf.DUMMYFUNCTION("GOOGLETRANSLATE(A15641, ""en"", ""mt"")"),"valur tal-ispin,")</f>
        <v>valur tal-ispin,</v>
      </c>
    </row>
    <row r="15642" ht="15.75" customHeight="1">
      <c r="A15642" s="2" t="s">
        <v>15642</v>
      </c>
      <c r="B15642" s="2" t="str">
        <f>IFERROR(__xludf.DUMMYFUNCTION("GOOGLETRANSLATE(A15642, ""en"", ""mt"")"),"Meta jista 'l-gass tal-ossiġnu jipproduċi kundizzjoni tossika?")</f>
        <v>Meta jista 'l-gass tal-ossiġnu jipproduċi kundizzjoni tossika?</v>
      </c>
    </row>
    <row r="15643" ht="15.75" customHeight="1">
      <c r="A15643" s="2" t="s">
        <v>15643</v>
      </c>
      <c r="B15643" s="2" t="str">
        <f>IFERROR(__xludf.DUMMYFUNCTION("GOOGLETRANSLATE(A15643, ""en"", ""mt"")"),"X’kien ibn Sina, li kien jgħix minn 1031-1095 bażi l-ipoteżi tiegħu għall-formazzjoni tal-art?")</f>
        <v>X’kien ibn Sina, li kien jgħix minn 1031-1095 bażi l-ipoteżi tiegħu għall-formazzjoni tal-art?</v>
      </c>
    </row>
    <row r="15644" ht="15.75" customHeight="1">
      <c r="A15644" s="2" t="s">
        <v>15644</v>
      </c>
      <c r="B15644" s="2" t="str">
        <f>IFERROR(__xludf.DUMMYFUNCTION("GOOGLETRANSLATE(A15644, ""en"", ""mt"")"),"X'inhuma jinsabu fid-downtown tat-tramuntana ta 'San Diego?")</f>
        <v>X'inhuma jinsabu fid-downtown tat-tramuntana ta 'San Diego?</v>
      </c>
    </row>
    <row r="15645" ht="15.75" customHeight="1">
      <c r="A15645" s="2" t="s">
        <v>15645</v>
      </c>
      <c r="B15645" s="2" t="str">
        <f>IFERROR(__xludf.DUMMYFUNCTION("GOOGLETRANSLATE(A15645, ""en"", ""mt"")")," Kif kienet qed tispiċċa l-amministrazzjoni ta 'Kublai?")</f>
        <v> Kif kienet qed tispiċċa l-amministrazzjoni ta 'Kublai?</v>
      </c>
    </row>
    <row r="15646" ht="15.75" customHeight="1">
      <c r="A15646" s="2" t="s">
        <v>15646</v>
      </c>
      <c r="B15646" s="2" t="str">
        <f>IFERROR(__xludf.DUMMYFUNCTION("GOOGLETRANSLATE(A15646, ""en"", ""mt"")"),"Università Medika ta 'Varsavja")</f>
        <v>Università Medika ta 'Varsavja</v>
      </c>
    </row>
    <row r="15647" ht="15.75" customHeight="1">
      <c r="A15647" s="2" t="s">
        <v>15647</v>
      </c>
      <c r="B15647" s="2" t="str">
        <f>IFERROR(__xludf.DUMMYFUNCTION("GOOGLETRANSLATE(A15647, ""en"", ""mt"")"),"Theodor Fontane")</f>
        <v>Theodor Fontane</v>
      </c>
    </row>
    <row r="15648" ht="15.75" customHeight="1">
      <c r="A15648" s="2" t="s">
        <v>15648</v>
      </c>
      <c r="B15648" s="2" t="str">
        <f>IFERROR(__xludf.DUMMYFUNCTION("GOOGLETRANSLATE(A15648, ""en"", ""mt"")"),"X'jagħmlu l-ispetturi tal-bini dwar linji ta 'utilità?")</f>
        <v>X'jagħmlu l-ispetturi tal-bini dwar linji ta 'utilità?</v>
      </c>
    </row>
    <row r="15649" ht="15.75" customHeight="1">
      <c r="A15649" s="2" t="s">
        <v>15649</v>
      </c>
      <c r="B15649" s="2" t="str">
        <f>IFERROR(__xludf.DUMMYFUNCTION("GOOGLETRANSLATE(A15649, ""en"", ""mt"")"),"1806-07.")</f>
        <v>1806-07.</v>
      </c>
    </row>
    <row r="15650" ht="15.75" customHeight="1">
      <c r="A15650" s="2" t="s">
        <v>15650</v>
      </c>
      <c r="B15650" s="2" t="str">
        <f>IFERROR(__xludf.DUMMYFUNCTION("GOOGLETRANSLATE(A15650, ""en"", ""mt"")"),"Meta miet l-Archduke Sigismund tal-Awstrija?")</f>
        <v>Meta miet l-Archduke Sigismund tal-Awstrija?</v>
      </c>
    </row>
    <row r="15651" ht="15.75" customHeight="1">
      <c r="A15651" s="2" t="s">
        <v>15651</v>
      </c>
      <c r="B15651" s="2" t="str">
        <f>IFERROR(__xludf.DUMMYFUNCTION("GOOGLETRANSLATE(A15651, ""en"", ""mt"")"),"Kemm minjieri mietu fit-tifqigħa tat-tifojde tal-1854?")</f>
        <v>Kemm minjieri mietu fit-tifqigħa tat-tifojde tal-1854?</v>
      </c>
    </row>
    <row r="15652" ht="15.75" customHeight="1">
      <c r="A15652" s="2" t="s">
        <v>15652</v>
      </c>
      <c r="B15652" s="2" t="str">
        <f>IFERROR(__xludf.DUMMYFUNCTION("GOOGLETRANSLATE(A15652, ""en"", ""mt"")"),"Ħafna mudelli ta 'magni differenti mill-magni standard tat-Turing b'ħafna tape ġew proposti fil-letteratura, pereżempju magni ta' aċċess bl-addoċċ. Forsi sorprendentement, kull wieħed minn dawn il-mudelli jista 'jiġi kkonvertit għal ieħor mingħajr ma jipp"&amp;"rovdi saħħa tal-komputazzjoni żejda. Il-konsum tal-ħin u tal-memorja ta 'dawn il-mudelli alternattivi jista' jvarja. Dak li dawn il-mudelli kollha għandhom komuni huwa li l-magni joperaw b'mod determinanti.")</f>
        <v>Ħafna mudelli ta 'magni differenti mill-magni standard tat-Turing b'ħafna tape ġew proposti fil-letteratura, pereżempju magni ta' aċċess bl-addoċċ. Forsi sorprendentement, kull wieħed minn dawn il-mudelli jista 'jiġi kkonvertit għal ieħor mingħajr ma jipprovdi saħħa tal-komputazzjoni żejda. Il-konsum tal-ħin u tal-memorja ta 'dawn il-mudelli alternattivi jista' jvarja. Dak li dawn il-mudelli kollha għandhom komuni huwa li l-magni joperaw b'mod determinanti.</v>
      </c>
    </row>
    <row r="15653" ht="15.75" customHeight="1">
      <c r="A15653" s="2" t="s">
        <v>15653</v>
      </c>
      <c r="B15653" s="2" t="str">
        <f>IFERROR(__xludf.DUMMYFUNCTION("GOOGLETRANSLATE(A15653, ""en"", ""mt"")"),"Fejn jgħixu l-platyctenids minorenni?")</f>
        <v>Fejn jgħixu l-platyctenids minorenni?</v>
      </c>
    </row>
    <row r="15654" ht="15.75" customHeight="1">
      <c r="A15654" s="2" t="s">
        <v>15654</v>
      </c>
      <c r="B15654" s="2" t="str">
        <f>IFERROR(__xludf.DUMMYFUNCTION("GOOGLETRANSLATE(A15654, ""en"", ""mt"")"),"Huwa joskura l-fatt li l-Indjani ġġieldu fuq iż-żewġ naħat tal-kunflitt")</f>
        <v>Huwa joskura l-fatt li l-Indjani ġġieldu fuq iż-żewġ naħat tal-kunflitt</v>
      </c>
    </row>
    <row r="15655" ht="15.75" customHeight="1">
      <c r="A15655" s="2" t="s">
        <v>15655</v>
      </c>
      <c r="B15655" s="2" t="str">
        <f>IFERROR(__xludf.DUMMYFUNCTION("GOOGLETRANSLATE(A15655, ""en"", ""mt"")"),"Ikkastiga lill-poplu Miami ta 'Pickawillany")</f>
        <v>Ikkastiga lill-poplu Miami ta 'Pickawillany</v>
      </c>
    </row>
    <row r="15656" ht="15.75" customHeight="1">
      <c r="A15656" s="2" t="s">
        <v>15656</v>
      </c>
      <c r="B15656" s="2" t="str">
        <f>IFERROR(__xludf.DUMMYFUNCTION("GOOGLETRANSLATE(A15656, ""en"", ""mt"")"),"X'inhuma l-inqas medjaturi importanti fl-attivazzjoni tas-sistema immuni adatta?")</f>
        <v>X'inhuma l-inqas medjaturi importanti fl-attivazzjoni tas-sistema immuni adatta?</v>
      </c>
    </row>
    <row r="15657" ht="15.75" customHeight="1">
      <c r="A15657" s="2" t="s">
        <v>15657</v>
      </c>
      <c r="B15657" s="2" t="str">
        <f>IFERROR(__xludf.DUMMYFUNCTION("GOOGLETRANSLATE(A15657, ""en"", ""mt"")"),"Min ħa post Abercrombie bħala kaptan kap?")</f>
        <v>Min ħa post Abercrombie bħala kaptan kap?</v>
      </c>
    </row>
    <row r="15658" ht="15.75" customHeight="1">
      <c r="A15658" s="2" t="s">
        <v>15658</v>
      </c>
      <c r="B15658" s="2" t="str">
        <f>IFERROR(__xludf.DUMMYFUNCTION("GOOGLETRANSLATE(A15658, ""en"", ""mt"")"),"Rispons immuni Th1")</f>
        <v>Rispons immuni Th1</v>
      </c>
    </row>
    <row r="15659" ht="15.75" customHeight="1">
      <c r="A15659" s="2" t="s">
        <v>15659</v>
      </c>
      <c r="B15659" s="2" t="str">
        <f>IFERROR(__xludf.DUMMYFUNCTION("GOOGLETRANSLATE(A15659, ""en"", ""mt"")"),"Liema żewġ oqsma fir-Repubblika kienu l-ewwel li jagħtu drittijiet lill-Huguenots?")</f>
        <v>Liema żewġ oqsma fir-Repubblika kienu l-ewwel li jagħtu drittijiet lill-Huguenots?</v>
      </c>
    </row>
    <row r="15660" ht="15.75" customHeight="1">
      <c r="A15660" s="2" t="s">
        <v>15660</v>
      </c>
      <c r="B15660" s="2" t="str">
        <f>IFERROR(__xludf.DUMMYFUNCTION("GOOGLETRANSLATE(A15660, ""en"", ""mt"")"),"Pożizzjonijiet ikklassifikati")</f>
        <v>Pożizzjonijiet ikklassifikati</v>
      </c>
    </row>
    <row r="15661" ht="15.75" customHeight="1">
      <c r="A15661" s="2" t="s">
        <v>15661</v>
      </c>
      <c r="B15661" s="2" t="str">
        <f>IFERROR(__xludf.DUMMYFUNCTION("GOOGLETRANSLATE(A15661, ""en"", ""mt"")"),"It-tieni liġi ta 'Newton tafferma l-proporzjonalità diretta ta' aċċellerazzjoni għall-forza u l-proporzjonalità inversa ta 'aċċellerazzjoni għall-massa. L-aċċellerazzjonijiet jistgħu jiġu definiti permezz ta 'kejl kinematiku. Madankollu, filwaqt li l-kine"&amp;"matika hija deskritta sew permezz ta 'analiżi tal-qafas ta' referenza fil-fiżika avvanzata, għad hemm mistoqsijiet profondi li jibqgħu dwar x'inhi d-definizzjoni xierqa tal-massa. Ir-Relatività Ġenerali toffri ekwivalenza bejn l-ispazju-ħin u l-massa, iżd"&amp;"a nieqsa minn teorija koerenti tal-gravità kwantistika, mhuwiex ċar dwar kif jew jekk din il-konnessjoni hijiex rilevanti fuq il-mikroskali. B'xi ġustifikazzjoni, it-tieni liġi ta 'Newton tista' tittieħed bħala definizzjoni kwantitattiva tal-massa billi t"&amp;"ikteb il-liġi bħala ugwaljanza; L-unitajiet relattivi tal-forza u l-massa mbagħad huma ffissati.")</f>
        <v>It-tieni liġi ta 'Newton tafferma l-proporzjonalità diretta ta' aċċellerazzjoni għall-forza u l-proporzjonalità inversa ta 'aċċellerazzjoni għall-massa. L-aċċellerazzjonijiet jistgħu jiġu definiti permezz ta 'kejl kinematiku. Madankollu, filwaqt li l-kinematika hija deskritta sew permezz ta 'analiżi tal-qafas ta' referenza fil-fiżika avvanzata, għad hemm mistoqsijiet profondi li jibqgħu dwar x'inhi d-definizzjoni xierqa tal-massa. Ir-Relatività Ġenerali toffri ekwivalenza bejn l-ispazju-ħin u l-massa, iżda nieqsa minn teorija koerenti tal-gravità kwantistika, mhuwiex ċar dwar kif jew jekk din il-konnessjoni hijiex rilevanti fuq il-mikroskali. B'xi ġustifikazzjoni, it-tieni liġi ta 'Newton tista' tittieħed bħala definizzjoni kwantitattiva tal-massa billi tikteb il-liġi bħala ugwaljanza; L-unitajiet relattivi tal-forza u l-massa mbagħad huma ffissati.</v>
      </c>
    </row>
    <row r="15662" ht="15.75" customHeight="1">
      <c r="A15662" s="2" t="s">
        <v>15662</v>
      </c>
      <c r="B15662" s="2" t="str">
        <f>IFERROR(__xludf.DUMMYFUNCTION("GOOGLETRANSLATE(A15662, ""en"", ""mt"")"),"X'kien ir-riżultat li tgħix fis-siġra tal-injam aħmar ta 'Kalifornja?")</f>
        <v>X'kien ir-riżultat li tgħix fis-siġra tal-injam aħmar ta 'Kalifornja?</v>
      </c>
    </row>
    <row r="15663" ht="15.75" customHeight="1">
      <c r="A15663" s="2" t="s">
        <v>15663</v>
      </c>
      <c r="B15663" s="2" t="str">
        <f>IFERROR(__xludf.DUMMYFUNCTION("GOOGLETRANSLATE(A15663, ""en"", ""mt"")"),"Liema sena ġie ppubblikat it-tielet rapport ta 'valutazzjoni?")</f>
        <v>Liema sena ġie ppubblikat it-tielet rapport ta 'valutazzjoni?</v>
      </c>
    </row>
    <row r="15664" ht="15.75" customHeight="1">
      <c r="A15664" s="2" t="s">
        <v>15664</v>
      </c>
      <c r="B15664" s="2" t="str">
        <f>IFERROR(__xludf.DUMMYFUNCTION("GOOGLETRANSLATE(A15664, ""en"", ""mt"")"),"Momus")</f>
        <v>Momus</v>
      </c>
    </row>
    <row r="15665" ht="15.75" customHeight="1">
      <c r="A15665" s="2" t="s">
        <v>15665</v>
      </c>
      <c r="B15665" s="2" t="str">
        <f>IFERROR(__xludf.DUMMYFUNCTION("GOOGLETRANSLATE(A15665, ""en"", ""mt"")"),"Minbarra l-Klabb tal-Karozzi tan-Nofsinhar ta 'California, liema AAA Auto Club oħra għażlet li tissimplifika l-qasma?")</f>
        <v>Minbarra l-Klabb tal-Karozzi tan-Nofsinhar ta 'California, liema AAA Auto Club oħra għażlet li tissimplifika l-qasma?</v>
      </c>
    </row>
    <row r="15666" ht="15.75" customHeight="1">
      <c r="A15666" s="2" t="s">
        <v>15666</v>
      </c>
      <c r="B15666" s="2" t="str">
        <f>IFERROR(__xludf.DUMMYFUNCTION("GOOGLETRANSLATE(A15666, ""en"", ""mt"")"),"Fuq xiex ma ffokatx il-komunità Ewropea?")</f>
        <v>Fuq xiex ma ffokatx il-komunità Ewropea?</v>
      </c>
    </row>
    <row r="15667" ht="15.75" customHeight="1">
      <c r="A15667" s="2" t="s">
        <v>15667</v>
      </c>
      <c r="B15667" s="2" t="str">
        <f>IFERROR(__xludf.DUMMYFUNCTION("GOOGLETRANSLATE(A15667, ""en"", ""mt"")"),"Edinburgh")</f>
        <v>Edinburgh</v>
      </c>
    </row>
    <row r="15668" ht="15.75" customHeight="1">
      <c r="A15668" s="2" t="s">
        <v>15668</v>
      </c>
      <c r="B15668" s="2" t="str">
        <f>IFERROR(__xludf.DUMMYFUNCTION("GOOGLETRANSLATE(A15668, ""en"", ""mt"")"),"F’liema sena fetħet il-plejers tal-pranzu u tal-kumpanija tajba ta ’Roger Rocka?")</f>
        <v>F’liema sena fetħet il-plejers tal-pranzu u tal-kumpanija tajba ta ’Roger Rocka?</v>
      </c>
    </row>
    <row r="15669" ht="15.75" customHeight="1">
      <c r="A15669" s="2" t="s">
        <v>15669</v>
      </c>
      <c r="B15669" s="2" t="str">
        <f>IFERROR(__xludf.DUMMYFUNCTION("GOOGLETRANSLATE(A15669, ""en"", ""mt"")"),"Liema għodda sottili tista 'tintuża f'sitwazzjoni imperjalista informali biex tespandi żona kkontrollata?")</f>
        <v>Liema għodda sottili tista 'tintuża f'sitwazzjoni imperjalista informali biex tespandi żona kkontrollata?</v>
      </c>
    </row>
    <row r="15670" ht="15.75" customHeight="1">
      <c r="A15670" s="2" t="s">
        <v>15670</v>
      </c>
      <c r="B15670" s="2" t="str">
        <f>IFERROR(__xludf.DUMMYFUNCTION("GOOGLETRANSLATE(A15670, ""en"", ""mt"")"),"Liema proprjetajiet hemm fil-kristalli?")</f>
        <v>Liema proprjetajiet hemm fil-kristalli?</v>
      </c>
    </row>
    <row r="15671" ht="15.75" customHeight="1">
      <c r="A15671" s="2" t="s">
        <v>15671</v>
      </c>
      <c r="B15671" s="2" t="str">
        <f>IFERROR(__xludf.DUMMYFUNCTION("GOOGLETRANSLATE(A15671, ""en"", ""mt"")"),"wieħed mill-aktar influwenti")</f>
        <v>wieħed mill-aktar influwenti</v>
      </c>
    </row>
    <row r="15672" ht="15.75" customHeight="1">
      <c r="A15672" s="2" t="s">
        <v>15672</v>
      </c>
      <c r="B15672" s="2" t="str">
        <f>IFERROR(__xludf.DUMMYFUNCTION("GOOGLETRANSLATE(A15672, ""en"", ""mt"")"),"Futbol Ingliż Premier League")</f>
        <v>Futbol Ingliż Premier League</v>
      </c>
    </row>
    <row r="15673" ht="15.75" customHeight="1">
      <c r="A15673" s="2" t="s">
        <v>15673</v>
      </c>
      <c r="B15673" s="2" t="str">
        <f>IFERROR(__xludf.DUMMYFUNCTION("GOOGLETRANSLATE(A15673, ""en"", ""mt"")"),"Fejn tinsab il-post tad-dar ta 'Polonia?")</f>
        <v>Fejn tinsab il-post tad-dar ta 'Polonia?</v>
      </c>
    </row>
    <row r="15674" ht="15.75" customHeight="1">
      <c r="A15674" s="2" t="s">
        <v>15674</v>
      </c>
      <c r="B15674" s="2" t="str">
        <f>IFERROR(__xludf.DUMMYFUNCTION("GOOGLETRANSLATE(A15674, ""en"", ""mt"")"),"Ottubru 1973")</f>
        <v>Ottubru 1973</v>
      </c>
    </row>
    <row r="15675" ht="15.75" customHeight="1">
      <c r="A15675" s="2" t="s">
        <v>15675</v>
      </c>
      <c r="B15675" s="2" t="str">
        <f>IFERROR(__xludf.DUMMYFUNCTION("GOOGLETRANSLATE(A15675, ""en"", ""mt"")"),"tnaqqas")</f>
        <v>tnaqqas</v>
      </c>
    </row>
    <row r="15676" ht="15.75" customHeight="1">
      <c r="A15676" s="2" t="s">
        <v>15676</v>
      </c>
      <c r="B15676" s="2" t="str">
        <f>IFERROR(__xludf.DUMMYFUNCTION("GOOGLETRANSLATE(A15676, ""en"", ""mt"")"),"X'inhu msemmi KMJ issa?")</f>
        <v>X'inhu msemmi KMJ issa?</v>
      </c>
    </row>
    <row r="15677" ht="15.75" customHeight="1">
      <c r="A15677" s="2" t="s">
        <v>15677</v>
      </c>
      <c r="B15677" s="2" t="str">
        <f>IFERROR(__xludf.DUMMYFUNCTION("GOOGLETRANSLATE(A15677, ""en"", ""mt"")"),"determinat b'mod uniku")</f>
        <v>determinat b'mod uniku</v>
      </c>
    </row>
    <row r="15678" ht="15.75" customHeight="1">
      <c r="A15678" s="2" t="s">
        <v>15678</v>
      </c>
      <c r="B15678" s="2" t="str">
        <f>IFERROR(__xludf.DUMMYFUNCTION("GOOGLETRANSLATE(A15678, ""en"", ""mt"")"),"Wara liema sena l-lokomottivi tal-baħar ma waqfux jintużaw fil-Gran Brittanja?")</f>
        <v>Wara liema sena l-lokomottivi tal-baħar ma waqfux jintużaw fil-Gran Brittanja?</v>
      </c>
    </row>
    <row r="15679" ht="15.75" customHeight="1">
      <c r="A15679" s="2" t="s">
        <v>15679</v>
      </c>
      <c r="B15679" s="2" t="str">
        <f>IFERROR(__xludf.DUMMYFUNCTION("GOOGLETRANSLATE(A15679, ""en"", ""mt"")"),"Membri tal-Organizzazzjoni tal-Pajjiżi li Jesportaw il-Petrolju Għarab")</f>
        <v>Membri tal-Organizzazzjoni tal-Pajjiżi li Jesportaw il-Petrolju Għarab</v>
      </c>
    </row>
    <row r="15680" ht="15.75" customHeight="1">
      <c r="A15680" s="2" t="s">
        <v>15680</v>
      </c>
      <c r="B15680" s="2" t="str">
        <f>IFERROR(__xludf.DUMMYFUNCTION("GOOGLETRANSLATE(A15680, ""en"", ""mt"")"),"Kif ir-riċerkaturi oħra jemmnu li Porifera evolviet u żviluppaw iċ-ċelloli newrali tagħha?")</f>
        <v>Kif ir-riċerkaturi oħra jemmnu li Porifera evolviet u żviluppaw iċ-ċelloli newrali tagħha?</v>
      </c>
    </row>
    <row r="15681" ht="15.75" customHeight="1">
      <c r="A15681" s="2" t="s">
        <v>15681</v>
      </c>
      <c r="B15681" s="2" t="str">
        <f>IFERROR(__xludf.DUMMYFUNCTION("GOOGLETRANSLATE(A15681, ""en"", ""mt"")"),"Kick Back")</f>
        <v>Kick Back</v>
      </c>
    </row>
    <row r="15682" ht="15.75" customHeight="1">
      <c r="A15682" s="2" t="s">
        <v>15682</v>
      </c>
      <c r="B15682" s="2" t="str">
        <f>IFERROR(__xludf.DUMMYFUNCTION("GOOGLETRANSLATE(A15682, ""en"", ""mt"")"),"X'tip ta 'post huwa t-Teatr Wielki?")</f>
        <v>X'tip ta 'post huwa t-Teatr Wielki?</v>
      </c>
    </row>
    <row r="15683" ht="15.75" customHeight="1">
      <c r="A15683" s="2" t="s">
        <v>15683</v>
      </c>
      <c r="B15683" s="2" t="str">
        <f>IFERROR(__xludf.DUMMYFUNCTION("GOOGLETRANSLATE(A15683, ""en"", ""mt"")"),"X’jikkawżaw żieda fil-gassijiet b’effett ta ’serra?")</f>
        <v>X’jikkawżaw żieda fil-gassijiet b’effett ta ’serra?</v>
      </c>
    </row>
    <row r="15684" ht="15.75" customHeight="1">
      <c r="A15684" s="2" t="s">
        <v>15684</v>
      </c>
      <c r="B15684" s="2" t="str">
        <f>IFERROR(__xludf.DUMMYFUNCTION("GOOGLETRANSLATE(A15684, ""en"", ""mt"")"),"X'inhi attribwita għall-inugwaljanza tad-dħul fin-Nazzjonijiet Uniti?")</f>
        <v>X'inhi attribwita għall-inugwaljanza tad-dħul fin-Nazzjonijiet Uniti?</v>
      </c>
    </row>
    <row r="15685" ht="15.75" customHeight="1">
      <c r="A15685" s="2" t="s">
        <v>15685</v>
      </c>
      <c r="B15685" s="2" t="str">
        <f>IFERROR(__xludf.DUMMYFUNCTION("GOOGLETRANSLATE(A15685, ""en"", ""mt"")"),"Kompetizzjoni fost il-ħaddiema")</f>
        <v>Kompetizzjoni fost il-ħaddiema</v>
      </c>
    </row>
    <row r="15686" ht="15.75" customHeight="1">
      <c r="A15686" s="2" t="s">
        <v>15686</v>
      </c>
      <c r="B15686" s="2" t="str">
        <f>IFERROR(__xludf.DUMMYFUNCTION("GOOGLETRANSLATE(A15686, ""en"", ""mt"")"),"Programm ta 'Ambjent tan-Nazzjonijiet Uniti (UNEP) u l-Organizzazzjoni Meteoroloġika Dinjija (WMO)")</f>
        <v>Programm ta 'Ambjent tan-Nazzjonijiet Uniti (UNEP) u l-Organizzazzjoni Meteoroloġika Dinjija (WMO)</v>
      </c>
    </row>
    <row r="15687" ht="15.75" customHeight="1">
      <c r="A15687" s="2" t="s">
        <v>15687</v>
      </c>
      <c r="B15687" s="2" t="str">
        <f>IFERROR(__xludf.DUMMYFUNCTION("GOOGLETRANSLATE(A15687, ""en"", ""mt"")"),"bażi tat-taxxa tinħela")</f>
        <v>bażi tat-taxxa tinħela</v>
      </c>
    </row>
    <row r="15688" ht="15.75" customHeight="1">
      <c r="A15688" s="2" t="s">
        <v>15688</v>
      </c>
      <c r="B15688" s="2" t="str">
        <f>IFERROR(__xludf.DUMMYFUNCTION("GOOGLETRANSLATE(A15688, ""en"", ""mt"")"),"L-ewwel oġġett ta 'negozju nhar ta' Erbgħa normalment huwa l-ħin għar-riflessjoni, li fih kelliem jindirizza lill-membri sa erba 'minuti, jaqsam perspettiva dwar kwistjonijiet ta' fidi. Dan jikkuntrasta mal-istil formali ta '""talb"", li huwa l-ewwel oġġe"&amp;"tt ta' negozju fil-laqgħat tal-House of Commons. Il-kelliema huma meħuda minn madwar l-Iskozja u huma magħżula biex jirrappreżentaw il-bilanċ tat-twemmin reliġjuż skont iċ-ċensiment Skoċċiż. Stediniet biex jindirizzaw il-Parlament b'dan il-mod huma determ"&amp;"inati mill-uffiċjal li jippresiedi dwar il-parir tal-Uffiċċju Parlamentari. Gruppi ta 'fidi jistgħu jagħmlu rappreżentazzjonijiet diretti lill-uffiċjal li jippresiedi biex jinnomina l-kelliema.")</f>
        <v>L-ewwel oġġett ta 'negozju nhar ta' Erbgħa normalment huwa l-ħin għar-riflessjoni, li fih kelliem jindirizza lill-membri sa erba 'minuti, jaqsam perspettiva dwar kwistjonijiet ta' fidi. Dan jikkuntrasta mal-istil formali ta '"talb", li huwa l-ewwel oġġett ta' negozju fil-laqgħat tal-House of Commons. Il-kelliema huma meħuda minn madwar l-Iskozja u huma magħżula biex jirrappreżentaw il-bilanċ tat-twemmin reliġjuż skont iċ-ċensiment Skoċċiż. Stediniet biex jindirizzaw il-Parlament b'dan il-mod huma determinati mill-uffiċjal li jippresiedi dwar il-parir tal-Uffiċċju Parlamentari. Gruppi ta 'fidi jistgħu jagħmlu rappreżentazzjonijiet diretti lill-uffiċjal li jippresiedi biex jinnomina l-kelliema.</v>
      </c>
    </row>
    <row r="15689" ht="15.75" customHeight="1">
      <c r="A15689" s="2" t="s">
        <v>15689</v>
      </c>
      <c r="B15689" s="2" t="str">
        <f>IFERROR(__xludf.DUMMYFUNCTION("GOOGLETRANSLATE(A15689, ""en"", ""mt"")"),"OC-48C")</f>
        <v>OC-48C</v>
      </c>
    </row>
    <row r="15690" ht="15.75" customHeight="1">
      <c r="A15690" s="2" t="s">
        <v>15690</v>
      </c>
      <c r="B15690" s="2" t="str">
        <f>IFERROR(__xludf.DUMMYFUNCTION("GOOGLETRANSLATE(A15690, ""en"", ""mt"")"),"X'inhi l-espressjoni mhux użata biex tindika l-agħar kumplessità tal-każ kif espress mill-ħin meħud?")</f>
        <v>X'inhi l-espressjoni mhux użata biex tindika l-agħar kumplessità tal-każ kif espress mill-ħin meħud?</v>
      </c>
    </row>
    <row r="15691" ht="15.75" customHeight="1">
      <c r="A15691" s="2" t="s">
        <v>15691</v>
      </c>
      <c r="B15691" s="2" t="str">
        <f>IFERROR(__xludf.DUMMYFUNCTION("GOOGLETRANSLATE(A15691, ""en"", ""mt"")"),"Uni fl-Istati Uniti")</f>
        <v>Uni fl-Istati Uniti</v>
      </c>
    </row>
    <row r="15692" ht="15.75" customHeight="1">
      <c r="A15692" s="2" t="s">
        <v>15692</v>
      </c>
      <c r="B15692" s="2" t="str">
        <f>IFERROR(__xludf.DUMMYFUNCTION("GOOGLETRANSLATE(A15692, ""en"", ""mt"")"),"B'liema korp għandu jirreġistra tekniku tal-ispiżerija?")</f>
        <v>B'liema korp għandu jirreġistra tekniku tal-ispiżerija?</v>
      </c>
    </row>
    <row r="15693" ht="15.75" customHeight="1">
      <c r="A15693" s="2" t="s">
        <v>15693</v>
      </c>
      <c r="B15693" s="2" t="str">
        <f>IFERROR(__xludf.DUMMYFUNCTION("GOOGLETRANSLATE(A15693, ""en"", ""mt"")"),"X.25 u X.121 ippermettew x'jiġri?")</f>
        <v>X.25 u X.121 ippermettew x'jiġri?</v>
      </c>
    </row>
    <row r="15694" ht="15.75" customHeight="1">
      <c r="A15694" s="2" t="s">
        <v>15694</v>
      </c>
      <c r="B15694" s="2" t="str">
        <f>IFERROR(__xludf.DUMMYFUNCTION("GOOGLETRANSLATE(A15694, ""en"", ""mt"")"),"madwar 500")</f>
        <v>madwar 500</v>
      </c>
    </row>
    <row r="15695" ht="15.75" customHeight="1">
      <c r="A15695" s="2" t="s">
        <v>15695</v>
      </c>
      <c r="B15695" s="2" t="str">
        <f>IFERROR(__xludf.DUMMYFUNCTION("GOOGLETRANSLATE(A15695, ""en"", ""mt"")"),"X'inhi proteina li hija marbuta mill-qrib mar-ritmi ċirkadjani?")</f>
        <v>X'inhi proteina li hija marbuta mill-qrib mar-ritmi ċirkadjani?</v>
      </c>
    </row>
    <row r="15696" ht="15.75" customHeight="1">
      <c r="A15696" s="2" t="s">
        <v>15696</v>
      </c>
      <c r="B15696" s="2" t="str">
        <f>IFERROR(__xludf.DUMMYFUNCTION("GOOGLETRANSLATE(A15696, ""en"", ""mt"")"),"Fil Millingen Aan de Rijn fejn tinqasam ir-Rhine, għal xiex tbiddel l-isem?")</f>
        <v>Fil Millingen Aan de Rijn fejn tinqasam ir-Rhine, għal xiex tbiddel l-isem?</v>
      </c>
    </row>
    <row r="15697" ht="15.75" customHeight="1">
      <c r="A15697" s="2" t="s">
        <v>15697</v>
      </c>
      <c r="B15697" s="2" t="str">
        <f>IFERROR(__xludf.DUMMYFUNCTION("GOOGLETRANSLATE(A15697, ""en"", ""mt"")"),"Liema mużew jippreserva l-memorja tal-indipendenza?")</f>
        <v>Liema mużew jippreserva l-memorja tal-indipendenza?</v>
      </c>
    </row>
    <row r="15698" ht="15.75" customHeight="1">
      <c r="A15698" s="2" t="s">
        <v>15698</v>
      </c>
      <c r="B15698" s="2" t="str">
        <f>IFERROR(__xludf.DUMMYFUNCTION("GOOGLETRANSLATE(A15698, ""en"", ""mt"")"),"Xi drabi ma jagħtix klassijiet ta 'kumplessità li jiddependu fuq il-mudell tal-magna magħżula?")</f>
        <v>Xi drabi ma jagħtix klassijiet ta 'kumplessità li jiddependu fuq il-mudell tal-magna magħżula?</v>
      </c>
    </row>
    <row r="15699" ht="15.75" customHeight="1">
      <c r="A15699" s="2" t="s">
        <v>15699</v>
      </c>
      <c r="B15699" s="2" t="str">
        <f>IFERROR(__xludf.DUMMYFUNCTION("GOOGLETRANSLATE(A15699, ""en"", ""mt"")"),"Min kien l-ewwel siġġu tal-IPCC?")</f>
        <v>Min kien l-ewwel siġġu tal-IPCC?</v>
      </c>
    </row>
    <row r="15700" ht="15.75" customHeight="1">
      <c r="A15700" s="2" t="s">
        <v>15700</v>
      </c>
      <c r="B15700" s="2" t="str">
        <f>IFERROR(__xludf.DUMMYFUNCTION("GOOGLETRANSLATE(A15700, ""en"", ""mt"")"),"Il-Kunsill Privat")</f>
        <v>Il-Kunsill Privat</v>
      </c>
    </row>
    <row r="15701" ht="15.75" customHeight="1">
      <c r="A15701" s="2" t="s">
        <v>15701</v>
      </c>
      <c r="B15701" s="2" t="str">
        <f>IFERROR(__xludf.DUMMYFUNCTION("GOOGLETRANSLATE(A15701, ""en"", ""mt"")"),"Liema teorija tal-qasam xjentifiku rċeviet kontribuzzjonijiet mill-magna Rankine?")</f>
        <v>Liema teorija tal-qasam xjentifiku rċeviet kontribuzzjonijiet mill-magna Rankine?</v>
      </c>
    </row>
    <row r="15702" ht="15.75" customHeight="1">
      <c r="A15702" s="2" t="s">
        <v>15702</v>
      </c>
      <c r="B15702" s="2" t="str">
        <f>IFERROR(__xludf.DUMMYFUNCTION("GOOGLETRANSLATE(A15702, ""en"", ""mt"")"),"Qawwa tal-komputazzjoni")</f>
        <v>Qawwa tal-komputazzjoni</v>
      </c>
    </row>
    <row r="15703" ht="15.75" customHeight="1">
      <c r="A15703" s="2" t="s">
        <v>15703</v>
      </c>
      <c r="B15703" s="2" t="str">
        <f>IFERROR(__xludf.DUMMYFUNCTION("GOOGLETRANSLATE(A15703, ""en"", ""mt"")"),"Min issuġġerixxa li l-imperjalizmu kien l-inqas forma ta 'kapitaliżmu?")</f>
        <v>Min issuġġerixxa li l-imperjalizmu kien l-inqas forma ta 'kapitaliżmu?</v>
      </c>
    </row>
    <row r="15704" ht="15.75" customHeight="1">
      <c r="A15704" s="2" t="s">
        <v>15704</v>
      </c>
      <c r="B15704" s="2" t="str">
        <f>IFERROR(__xludf.DUMMYFUNCTION("GOOGLETRANSLATE(A15704, ""en"", ""mt"")"),"113")</f>
        <v>113</v>
      </c>
    </row>
    <row r="15705" ht="15.75" customHeight="1">
      <c r="A15705" s="2" t="s">
        <v>15705</v>
      </c>
      <c r="B15705" s="2" t="str">
        <f>IFERROR(__xludf.DUMMYFUNCTION("GOOGLETRANSLATE(A15705, ""en"", ""mt"")"),"sustanza bħall-injam taqbad piż ġenerali fil-ħruq")</f>
        <v>sustanza bħall-injam taqbad piż ġenerali fil-ħruq</v>
      </c>
    </row>
    <row r="15706" ht="15.75" customHeight="1">
      <c r="A15706" s="2" t="s">
        <v>15706</v>
      </c>
      <c r="B15706" s="2" t="str">
        <f>IFERROR(__xludf.DUMMYFUNCTION("GOOGLETRANSLATE(A15706, ""en"", ""mt"")"),"Li kien sar sinjur u prosperu qabel l-1 Gwerra Dinjija")</f>
        <v>Li kien sar sinjur u prosperu qabel l-1 Gwerra Dinjija</v>
      </c>
    </row>
    <row r="15707" ht="15.75" customHeight="1">
      <c r="A15707" s="2" t="s">
        <v>15707</v>
      </c>
      <c r="B15707" s="2" t="str">
        <f>IFERROR(__xludf.DUMMYFUNCTION("GOOGLETRANSLATE(A15707, ""en"", ""mt"")"),"Diviżjoni tal-Kolleġġjata Ġdida")</f>
        <v>Diviżjoni tal-Kolleġġjata Ġdida</v>
      </c>
    </row>
    <row r="15708" ht="15.75" customHeight="1">
      <c r="A15708" s="2" t="s">
        <v>15708</v>
      </c>
      <c r="B15708" s="2" t="str">
        <f>IFERROR(__xludf.DUMMYFUNCTION("GOOGLETRANSLATE(A15708, ""en"", ""mt"")"),"Għal xiex jintuża t-Tuititon fl-akkademji militari?")</f>
        <v>Għal xiex jintuża t-Tuititon fl-akkademji militari?</v>
      </c>
    </row>
    <row r="15709" ht="15.75" customHeight="1">
      <c r="A15709" s="2" t="s">
        <v>15709</v>
      </c>
      <c r="B15709" s="2" t="str">
        <f>IFERROR(__xludf.DUMMYFUNCTION("GOOGLETRANSLATE(A15709, ""en"", ""mt"")"),"""Bricks għal Varsavja""")</f>
        <v>"Bricks għal Varsavja"</v>
      </c>
    </row>
    <row r="15710" ht="15.75" customHeight="1">
      <c r="A15710" s="2" t="s">
        <v>15710</v>
      </c>
      <c r="B15710" s="2" t="str">
        <f>IFERROR(__xludf.DUMMYFUNCTION("GOOGLETRANSLATE(A15710, ""en"", ""mt"")")," Min kien it-tnaqqis tal-wan fil-kummerċ?")</f>
        <v> Min kien it-tnaqqis tal-wan fil-kummerċ?</v>
      </c>
    </row>
    <row r="15711" ht="15.75" customHeight="1">
      <c r="A15711" s="2" t="s">
        <v>15711</v>
      </c>
      <c r="B15711" s="2" t="str">
        <f>IFERROR(__xludf.DUMMYFUNCTION("GOOGLETRANSLATE(A15711, ""en"", ""mt"")"),"F'liema sena ntużaw l-ewwel reazzjonijiet fil-katina tal-polimerażi?")</f>
        <v>F'liema sena ntużaw l-ewwel reazzjonijiet fil-katina tal-polimerażi?</v>
      </c>
    </row>
    <row r="15712" ht="15.75" customHeight="1">
      <c r="A15712" s="2" t="s">
        <v>15712</v>
      </c>
      <c r="B15712" s="2" t="str">
        <f>IFERROR(__xludf.DUMMYFUNCTION("GOOGLETRANSLATE(A15712, ""en"", ""mt"")"),"Kemm nisa kienu impjegati fil-kostruzzjoni fl-2011?")</f>
        <v>Kemm nisa kienu impjegati fil-kostruzzjoni fl-2011?</v>
      </c>
    </row>
    <row r="15713" ht="15.75" customHeight="1">
      <c r="A15713" s="2" t="s">
        <v>15713</v>
      </c>
      <c r="B15713" s="2" t="str">
        <f>IFERROR(__xludf.DUMMYFUNCTION("GOOGLETRANSLATE(A15713, ""en"", ""mt"")"),"Min għeleb lil Montcalm f'Montreal?")</f>
        <v>Min għeleb lil Montcalm f'Montreal?</v>
      </c>
    </row>
    <row r="15714" ht="15.75" customHeight="1">
      <c r="A15714" s="2" t="s">
        <v>15714</v>
      </c>
      <c r="B15714" s="2" t="str">
        <f>IFERROR(__xludf.DUMMYFUNCTION("GOOGLETRANSLATE(A15714, ""en"", ""mt"")"),"Immunoglobulini")</f>
        <v>Immunoglobulini</v>
      </c>
    </row>
    <row r="15715" ht="15.75" customHeight="1">
      <c r="A15715" s="2" t="s">
        <v>15715</v>
      </c>
      <c r="B15715" s="2" t="str">
        <f>IFERROR(__xludf.DUMMYFUNCTION("GOOGLETRANSLATE(A15715, ""en"", ""mt"")"),"Għal xiex jorbtu l-molekuli ta 'l-awto?")</f>
        <v>Għal xiex jorbtu l-molekuli ta 'l-awto?</v>
      </c>
    </row>
    <row r="15716" ht="15.75" customHeight="1">
      <c r="A15716" s="2" t="s">
        <v>15716</v>
      </c>
      <c r="B15716" s="2" t="str">
        <f>IFERROR(__xludf.DUMMYFUNCTION("GOOGLETRANSLATE(A15716, ""en"", ""mt"")"),"antiġen")</f>
        <v>antiġen</v>
      </c>
    </row>
    <row r="15717" ht="15.75" customHeight="1">
      <c r="A15717" s="2" t="s">
        <v>15717</v>
      </c>
      <c r="B15717" s="2" t="str">
        <f>IFERROR(__xludf.DUMMYFUNCTION("GOOGLETRANSLATE(A15717, ""en"", ""mt"")")," Liema diviżjoni amministrattiva Kublai let modifikata?")</f>
        <v> Liema diviżjoni amministrattiva Kublai let modifikata?</v>
      </c>
    </row>
    <row r="15718" ht="15.75" customHeight="1">
      <c r="A15718" s="2" t="s">
        <v>15718</v>
      </c>
      <c r="B15718" s="2" t="str">
        <f>IFERROR(__xludf.DUMMYFUNCTION("GOOGLETRANSLATE(A15718, ""en"", ""mt"")"),"Uża l-arrest bħala opportunità")</f>
        <v>Uża l-arrest bħala opportunità</v>
      </c>
    </row>
    <row r="15719" ht="15.75" customHeight="1">
      <c r="A15719" s="2" t="s">
        <v>15719</v>
      </c>
      <c r="B15719" s="2" t="str">
        <f>IFERROR(__xludf.DUMMYFUNCTION("GOOGLETRANSLATE(A15719, ""en"", ""mt"")"),"F'Mejju 2002, fejn tmur tindirizza l-Parlament?")</f>
        <v>F'Mejju 2002, fejn tmur tindirizza l-Parlament?</v>
      </c>
    </row>
    <row r="15720" ht="15.75" customHeight="1">
      <c r="A15720" s="2" t="s">
        <v>15720</v>
      </c>
      <c r="B15720" s="2" t="str">
        <f>IFERROR(__xludf.DUMMYFUNCTION("GOOGLETRANSLATE(A15720, ""en"", ""mt"")"),"Sitt reġimenti għal Franza Ġdida")</f>
        <v>Sitt reġimenti għal Franza Ġdida</v>
      </c>
    </row>
    <row r="15721" ht="15.75" customHeight="1">
      <c r="A15721" s="2" t="s">
        <v>15721</v>
      </c>
      <c r="B15721" s="2" t="str">
        <f>IFERROR(__xludf.DUMMYFUNCTION("GOOGLETRANSLATE(A15721, ""en"", ""mt"")"),"Shing-Tung Yau")</f>
        <v>Shing-Tung Yau</v>
      </c>
    </row>
    <row r="15722" ht="15.75" customHeight="1">
      <c r="A15722" s="2" t="s">
        <v>15722</v>
      </c>
      <c r="B15722" s="2" t="str">
        <f>IFERROR(__xludf.DUMMYFUNCTION("GOOGLETRANSLATE(A15722, ""en"", ""mt"")"),"Kmieni fis-seklu 11")</f>
        <v>Kmieni fis-seklu 11</v>
      </c>
    </row>
    <row r="15723" ht="15.75" customHeight="1">
      <c r="A15723" s="2" t="s">
        <v>15723</v>
      </c>
      <c r="B15723" s="2" t="str">
        <f>IFERROR(__xludf.DUMMYFUNCTION("GOOGLETRANSLATE(A15723, ""en"", ""mt"")"),"Liema titlu kienet il-Karta Soċjali li ma ġietx inkluża fit-Trattat ta 'Masstricht?")</f>
        <v>Liema titlu kienet il-Karta Soċjali li ma ġietx inkluża fit-Trattat ta 'Masstricht?</v>
      </c>
    </row>
    <row r="15724" ht="15.75" customHeight="1">
      <c r="A15724" s="2" t="s">
        <v>15724</v>
      </c>
      <c r="B15724" s="2" t="str">
        <f>IFERROR(__xludf.DUMMYFUNCTION("GOOGLETRANSLATE(A15724, ""en"", ""mt"")"),"Każ tal-Qorti Suprema tal-Fondazzjoni FCC v. Pacifica")</f>
        <v>Każ tal-Qorti Suprema tal-Fondazzjoni FCC v. Pacifica</v>
      </c>
    </row>
    <row r="15725" ht="15.75" customHeight="1">
      <c r="A15725" s="2" t="s">
        <v>15725</v>
      </c>
      <c r="B15725" s="2" t="str">
        <f>IFERROR(__xludf.DUMMYFUNCTION("GOOGLETRANSLATE(A15725, ""en"", ""mt"")"),"X'inhu aktar in-nitroġenu li jinħall fl-ilma?")</f>
        <v>X'inhu aktar in-nitroġenu li jinħall fl-ilma?</v>
      </c>
    </row>
    <row r="15726" ht="15.75" customHeight="1">
      <c r="A15726" s="2" t="s">
        <v>15726</v>
      </c>
      <c r="B15726" s="2" t="str">
        <f>IFERROR(__xludf.DUMMYFUNCTION("GOOGLETRANSLATE(A15726, ""en"", ""mt"")"),"Kemm hi għolja s-sedimentazzjoni naturali mir-Renu?")</f>
        <v>Kemm hi għolja s-sedimentazzjoni naturali mir-Renu?</v>
      </c>
    </row>
    <row r="15727" ht="15.75" customHeight="1">
      <c r="A15727" s="2" t="s">
        <v>15727</v>
      </c>
      <c r="B15727" s="2" t="str">
        <f>IFERROR(__xludf.DUMMYFUNCTION("GOOGLETRANSLATE(A15727, ""en"", ""mt"")"),"Mainstream Nazzjonalist u Sekularist Kungress Nazzjonali Indjan")</f>
        <v>Mainstream Nazzjonalist u Sekularist Kungress Nazzjonali Indjan</v>
      </c>
    </row>
    <row r="15728" ht="15.75" customHeight="1">
      <c r="A15728" s="2" t="s">
        <v>15728</v>
      </c>
      <c r="B15728" s="2" t="str">
        <f>IFERROR(__xludf.DUMMYFUNCTION("GOOGLETRANSLATE(A15728, ""en"", ""mt"")"),"Liema rata ta 'aċċettazzjoni għandu l-programm ta' azzjoni bikrija għall-2019?")</f>
        <v>Liema rata ta 'aċċettazzjoni għandu l-programm ta' azzjoni bikrija għall-2019?</v>
      </c>
    </row>
    <row r="15729" ht="15.75" customHeight="1">
      <c r="A15729" s="2" t="s">
        <v>15729</v>
      </c>
      <c r="B15729" s="2" t="str">
        <f>IFERROR(__xludf.DUMMYFUNCTION("GOOGLETRANSLATE(A15729, ""en"", ""mt"")"),"Kemm mili kwadru kbir ir-reġjun kellu impatt min-nixfa tal-2010?")</f>
        <v>Kemm mili kwadru kbir ir-reġjun kellu impatt min-nixfa tal-2010?</v>
      </c>
    </row>
    <row r="15730" ht="15.75" customHeight="1">
      <c r="A15730" s="2" t="s">
        <v>15730</v>
      </c>
      <c r="B15730" s="2" t="str">
        <f>IFERROR(__xludf.DUMMYFUNCTION("GOOGLETRANSLATE(A15730, ""en"", ""mt"")"),"F'liema sena l-magna ta 'Newcomen tippompja f'minjiera?")</f>
        <v>F'liema sena l-magna ta 'Newcomen tippompja f'minjiera?</v>
      </c>
    </row>
    <row r="15731" ht="15.75" customHeight="1">
      <c r="A15731" s="2" t="s">
        <v>15731</v>
      </c>
      <c r="B15731" s="2" t="str">
        <f>IFERROR(__xludf.DUMMYFUNCTION("GOOGLETRANSLATE(A15731, ""en"", ""mt"")"),"bi ħlas għal kull unità ta 'informazzjoni trażmessa")</f>
        <v>bi ħlas għal kull unità ta 'informazzjoni trażmessa</v>
      </c>
    </row>
    <row r="15732" ht="15.75" customHeight="1">
      <c r="A15732" s="2" t="s">
        <v>15732</v>
      </c>
      <c r="B15732" s="2" t="str">
        <f>IFERROR(__xludf.DUMMYFUNCTION("GOOGLETRANSLATE(A15732, ""en"", ""mt"")"),"Metrolink")</f>
        <v>Metrolink</v>
      </c>
    </row>
    <row r="15733" ht="15.75" customHeight="1">
      <c r="A15733" s="2" t="s">
        <v>15733</v>
      </c>
      <c r="B15733" s="2" t="str">
        <f>IFERROR(__xludf.DUMMYFUNCTION("GOOGLETRANSLATE(A15733, ""en"", ""mt"")"),"X'inhu magħruf Trioxygen (O2) bħala?")</f>
        <v>X'inhu magħruf Trioxygen (O2) bħala?</v>
      </c>
    </row>
    <row r="15734" ht="15.75" customHeight="1">
      <c r="A15734" s="2" t="s">
        <v>15734</v>
      </c>
      <c r="B15734" s="2" t="str">
        <f>IFERROR(__xludf.DUMMYFUNCTION("GOOGLETRANSLATE(A15734, ""en"", ""mt"")"),"Meta huma meħtieġa inqas ħaddiema, x'jiġri mis-suq tax-xogħol?")</f>
        <v>Meta huma meħtieġa inqas ħaddiema, x'jiġri mis-suq tax-xogħol?</v>
      </c>
    </row>
    <row r="15735" ht="15.75" customHeight="1">
      <c r="A15735" s="2" t="s">
        <v>15735</v>
      </c>
      <c r="B15735" s="2" t="str">
        <f>IFERROR(__xludf.DUMMYFUNCTION("GOOGLETRANSLATE(A15735, ""en"", ""mt"")"),"tiddikjara l-liġi marzjali")</f>
        <v>tiddikjara l-liġi marzjali</v>
      </c>
    </row>
    <row r="15736" ht="15.75" customHeight="1">
      <c r="A15736" s="2" t="s">
        <v>15736</v>
      </c>
      <c r="B15736" s="2" t="str">
        <f>IFERROR(__xludf.DUMMYFUNCTION("GOOGLETRANSLATE(A15736, ""en"", ""mt"")"),"kombustibbli")</f>
        <v>kombustibbli</v>
      </c>
    </row>
    <row r="15737" ht="15.75" customHeight="1">
      <c r="A15737" s="2" t="s">
        <v>15737</v>
      </c>
      <c r="B15737" s="2" t="str">
        <f>IFERROR(__xludf.DUMMYFUNCTION("GOOGLETRANSLATE(A15737, ""en"", ""mt"")"),"Kemm damet il-pesta fl-imperu Ottoman?")</f>
        <v>Kemm damet il-pesta fl-imperu Ottoman?</v>
      </c>
    </row>
    <row r="15738" ht="15.75" customHeight="1">
      <c r="A15738" s="2" t="s">
        <v>15738</v>
      </c>
      <c r="B15738" s="2" t="str">
        <f>IFERROR(__xludf.DUMMYFUNCTION("GOOGLETRANSLATE(A15738, ""en"", ""mt"")")," X'inhu l-għan ta 'gruppi mhux Iżlamiċi bħal Hezbollah u Hamas?")</f>
        <v> X'inhu l-għan ta 'gruppi mhux Iżlamiċi bħal Hezbollah u Hamas?</v>
      </c>
    </row>
    <row r="15739" ht="15.75" customHeight="1">
      <c r="A15739" s="2" t="s">
        <v>15739</v>
      </c>
      <c r="B15739" s="2" t="str">
        <f>IFERROR(__xludf.DUMMYFUNCTION("GOOGLETRANSLATE(A15739, ""en"", ""mt"")"),"Kemm-il darba inqas hija l-parti ta 'l-għelieqi dgħajfa meta mqabbla ma' dak qawwi?")</f>
        <v>Kemm-il darba inqas hija l-parti ta 'l-għelieqi dgħajfa meta mqabbla ma' dak qawwi?</v>
      </c>
    </row>
    <row r="15740" ht="15.75" customHeight="1">
      <c r="A15740" s="2" t="s">
        <v>15740</v>
      </c>
      <c r="B15740" s="2" t="str">
        <f>IFERROR(__xludf.DUMMYFUNCTION("GOOGLETRANSLATE(A15740, ""en"", ""mt"")"),"Xi tuża Ctenophora għad-diġestjoni u r-respirazzjoni?")</f>
        <v>Xi tuża Ctenophora għad-diġestjoni u r-respirazzjoni?</v>
      </c>
    </row>
    <row r="15741" ht="15.75" customHeight="1">
      <c r="A15741" s="2" t="s">
        <v>15741</v>
      </c>
      <c r="B15741" s="2" t="str">
        <f>IFERROR(__xludf.DUMMYFUNCTION("GOOGLETRANSLATE(A15741, ""en"", ""mt"")"),"hemicycle")</f>
        <v>hemicycle</v>
      </c>
    </row>
    <row r="15742" ht="15.75" customHeight="1">
      <c r="A15742" s="2" t="s">
        <v>15742</v>
      </c>
      <c r="B15742" s="2" t="str">
        <f>IFERROR(__xludf.DUMMYFUNCTION("GOOGLETRANSLATE(A15742, ""en"", ""mt"")"),"territorju mhux magħruf jew mhux esplorat")</f>
        <v>territorju mhux magħruf jew mhux esplorat</v>
      </c>
    </row>
    <row r="15743" ht="15.75" customHeight="1">
      <c r="A15743" s="2" t="s">
        <v>15743</v>
      </c>
      <c r="B15743" s="2" t="str">
        <f>IFERROR(__xludf.DUMMYFUNCTION("GOOGLETRANSLATE(A15743, ""en"", ""mt"")"),"kanali tad-drenaġġ")</f>
        <v>kanali tad-drenaġġ</v>
      </c>
    </row>
    <row r="15744" ht="15.75" customHeight="1">
      <c r="A15744" s="2" t="s">
        <v>15744</v>
      </c>
      <c r="B15744" s="2" t="str">
        <f>IFERROR(__xludf.DUMMYFUNCTION("GOOGLETRANSLATE(A15744, ""en"", ""mt"")"),"ugwaljanza akbar")</f>
        <v>ugwaljanza akbar</v>
      </c>
    </row>
    <row r="15745" ht="15.75" customHeight="1">
      <c r="A15745" s="2" t="s">
        <v>15745</v>
      </c>
      <c r="B15745" s="2" t="str">
        <f>IFERROR(__xludf.DUMMYFUNCTION("GOOGLETRANSLATE(A15745, ""en"", ""mt"")"),"Tnaqqis fil-prezz tax-xogħol tas-sengħa")</f>
        <v>Tnaqqis fil-prezz tax-xogħol tas-sengħa</v>
      </c>
    </row>
    <row r="15746" ht="15.75" customHeight="1">
      <c r="A15746" s="2" t="s">
        <v>15746</v>
      </c>
      <c r="B15746" s="2" t="str">
        <f>IFERROR(__xludf.DUMMYFUNCTION("GOOGLETRANSLATE(A15746, ""en"", ""mt"")"),"Torri ta 'tkessiħ evaporattiv huwa msejjaħ ukoll bħala x'tip ta' torri tat-tkessiħ?")</f>
        <v>Torri ta 'tkessiħ evaporattiv huwa msejjaħ ukoll bħala x'tip ta' torri tat-tkessiħ?</v>
      </c>
    </row>
    <row r="15747" ht="15.75" customHeight="1">
      <c r="A15747" s="2" t="s">
        <v>15747</v>
      </c>
      <c r="B15747" s="2" t="str">
        <f>IFERROR(__xludf.DUMMYFUNCTION("GOOGLETRANSLATE(A15747, ""en"", ""mt"")"),"Meta kienet il-mewġ tas-sħana li fih Wimmera rreġistra l-ogħla temperatura tiegħu?")</f>
        <v>Meta kienet il-mewġ tas-sħana li fih Wimmera rreġistra l-ogħla temperatura tiegħu?</v>
      </c>
    </row>
    <row r="15748" ht="15.75" customHeight="1">
      <c r="A15748" s="2" t="s">
        <v>15748</v>
      </c>
      <c r="B15748" s="2" t="str">
        <f>IFERROR(__xludf.DUMMYFUNCTION("GOOGLETRANSLATE(A15748, ""en"", ""mt"")"),"Liema ritwali segwew Kublai biex jgħinu l-immaġni tiegħu?")</f>
        <v>Liema ritwali segwew Kublai biex jgħinu l-immaġni tiegħu?</v>
      </c>
    </row>
    <row r="15749" ht="15.75" customHeight="1">
      <c r="A15749" s="2" t="s">
        <v>15749</v>
      </c>
      <c r="B15749" s="2" t="str">
        <f>IFERROR(__xludf.DUMMYFUNCTION("GOOGLETRANSLATE(A15749, ""en"", ""mt"")"),"X'inhu t-tributarju ewlieni tal-Lag Constance?")</f>
        <v>X'inhu t-tributarju ewlieni tal-Lag Constance?</v>
      </c>
    </row>
    <row r="15750" ht="15.75" customHeight="1">
      <c r="A15750" s="2" t="s">
        <v>15750</v>
      </c>
      <c r="B15750" s="2" t="str">
        <f>IFERROR(__xludf.DUMMYFUNCTION("GOOGLETRANSLATE(A15750, ""en"", ""mt"")"),"Dak li jeżisti biss barra mill-vertebrati tax-xedaq?")</f>
        <v>Dak li jeżisti biss barra mill-vertebrati tax-xedaq?</v>
      </c>
    </row>
    <row r="15751" ht="15.75" customHeight="1">
      <c r="A15751" s="2" t="s">
        <v>15751</v>
      </c>
      <c r="B15751" s="2" t="str">
        <f>IFERROR(__xludf.DUMMYFUNCTION("GOOGLETRANSLATE(A15751, ""en"", ""mt"")"),"Tethys")</f>
        <v>Tethys</v>
      </c>
    </row>
    <row r="15752" ht="15.75" customHeight="1">
      <c r="A15752" s="2" t="s">
        <v>15752</v>
      </c>
      <c r="B15752" s="2" t="str">
        <f>IFERROR(__xludf.DUMMYFUNCTION("GOOGLETRANSLATE(A15752, ""en"", ""mt"")"),"$ 12")</f>
        <v>$ 12</v>
      </c>
    </row>
    <row r="15753" ht="15.75" customHeight="1">
      <c r="A15753" s="2" t="s">
        <v>15753</v>
      </c>
      <c r="B15753" s="2" t="str">
        <f>IFERROR(__xludf.DUMMYFUNCTION("GOOGLETRANSLATE(A15753, ""en"", ""mt"")"),"Matul ix-xitwa tal-1973–74")</f>
        <v>Matul ix-xitwa tal-1973–74</v>
      </c>
    </row>
    <row r="15754" ht="15.75" customHeight="1">
      <c r="A15754" s="2" t="s">
        <v>15754</v>
      </c>
      <c r="B15754" s="2" t="str">
        <f>IFERROR(__xludf.DUMMYFUNCTION("GOOGLETRANSLATE(A15754, ""en"", ""mt"")"),"sistema immuni innata kontra s-sistema immuni adatta")</f>
        <v>sistema immuni innata kontra s-sistema immuni adatta</v>
      </c>
    </row>
    <row r="15755" ht="15.75" customHeight="1">
      <c r="A15755" s="2" t="s">
        <v>15755</v>
      </c>
      <c r="B15755" s="2" t="str">
        <f>IFERROR(__xludf.DUMMYFUNCTION("GOOGLETRANSLATE(A15755, ""en"", ""mt"")"),"Kif jidhru t-tweġibiet iva / le ta 'problema ta' kumpliment ta 'NP?")</f>
        <v>Kif jidhru t-tweġibiet iva / le ta 'problema ta' kumpliment ta 'NP?</v>
      </c>
    </row>
    <row r="15756" ht="15.75" customHeight="1">
      <c r="A15756" s="2" t="s">
        <v>15756</v>
      </c>
      <c r="B15756" s="2" t="str">
        <f>IFERROR(__xludf.DUMMYFUNCTION("GOOGLETRANSLATE(A15756, ""en"", ""mt"")"),"Dispożizzjonijiet ""għeruq""")</f>
        <v>Dispożizzjonijiet "għeruq"</v>
      </c>
    </row>
    <row r="15757" ht="15.75" customHeight="1">
      <c r="A15757" s="2" t="s">
        <v>15757</v>
      </c>
      <c r="B15757" s="2" t="str">
        <f>IFERROR(__xludf.DUMMYFUNCTION("GOOGLETRANSLATE(A15757, ""en"", ""mt"")"),"L-ispiżjara jipprovdu servizzi diretti għall-kura tal-pazjenti li jottimizzaw l-użu tal-medikazzjoni u jippromwovu s-saħħa, il-benessri, u l-prevenzjoni tal-mard. L-ispiżjara kliniċi jieħdu ħsieb pazjenti fl-issettjar tal-kura tas-saħħa kollha, iżda l-mov"&amp;"iment tal-ispiżerija klinika inizjalment beda ġewwa sptarijiet u kliniċi. L-ispiżjara kliniċi spiss jikkollaboraw ma 'tobba u professjonisti oħra tal-kura tas-saħħa biex itejbu l-kura farmaċewtika. L-ispiżjara kliniċi issa huma parti integrali tal-approċċ"&amp;" interdixxiplinarju għall-kura tal-pazjent. Ħafna drabi jipparteċipaw fl-għażla tal-prodott tad-droga tal-kura tal-pazjent.")</f>
        <v>L-ispiżjara jipprovdu servizzi diretti għall-kura tal-pazjenti li jottimizzaw l-użu tal-medikazzjoni u jippromwovu s-saħħa, il-benessri, u l-prevenzjoni tal-mard. L-ispiżjara kliniċi jieħdu ħsieb pazjenti fl-issettjar tal-kura tas-saħħa kollha, iżda l-moviment tal-ispiżerija klinika inizjalment beda ġewwa sptarijiet u kliniċi. L-ispiżjara kliniċi spiss jikkollaboraw ma 'tobba u professjonisti oħra tal-kura tas-saħħa biex itejbu l-kura farmaċewtika. L-ispiżjara kliniċi issa huma parti integrali tal-approċċ interdixxiplinarju għall-kura tal-pazjent. Ħafna drabi jipparteċipaw fl-għażla tal-prodott tad-droga tal-kura tal-pazjent.</v>
      </c>
    </row>
    <row r="15758" ht="15.75" customHeight="1">
      <c r="A15758" s="2" t="s">
        <v>15758</v>
      </c>
      <c r="B15758" s="2" t="str">
        <f>IFERROR(__xludf.DUMMYFUNCTION("GOOGLETRANSLATE(A15758, ""en"", ""mt"")"),"OAPEC ipproklama l-embargo li trażżan l-esportazzjonijiet lejn diversi pajjiżi")</f>
        <v>OAPEC ipproklama l-embargo li trażżan l-esportazzjonijiet lejn diversi pajjiżi</v>
      </c>
    </row>
    <row r="15759" ht="15.75" customHeight="1">
      <c r="A15759" s="2" t="s">
        <v>15759</v>
      </c>
      <c r="B15759" s="2" t="str">
        <f>IFERROR(__xludf.DUMMYFUNCTION("GOOGLETRANSLATE(A15759, ""en"", ""mt"")"),"Min iddisinja l-ġnien għal-librerija Marek?")</f>
        <v>Min iddisinja l-ġnien għal-librerija Marek?</v>
      </c>
    </row>
    <row r="15760" ht="15.75" customHeight="1">
      <c r="A15760" s="2" t="s">
        <v>15760</v>
      </c>
      <c r="B15760" s="2" t="str">
        <f>IFERROR(__xludf.DUMMYFUNCTION("GOOGLETRANSLATE(A15760, ""en"", ""mt"")"),"Liema Premju Memorial Nobel fir-rebbieħ tax-Xjenzi Ekonomiċi huwa wkoll membru tal-alumni tal-università?")</f>
        <v>Liema Premju Memorial Nobel fir-rebbieħ tax-Xjenzi Ekonomiċi huwa wkoll membru tal-alumni tal-università?</v>
      </c>
    </row>
    <row r="15761" ht="15.75" customHeight="1">
      <c r="A15761" s="2" t="s">
        <v>15761</v>
      </c>
      <c r="B15761" s="2" t="str">
        <f>IFERROR(__xludf.DUMMYFUNCTION("GOOGLETRANSLATE(A15761, ""en"", ""mt"")"),"Eventwalment, in-Normanni ingħaqdu man-nies tan-nies, u jgħaqqdu l-lingwi u t-tradizzjonijiet. Matul il-gwerra tal-mitt sena, l-aristokrazija Norman spiss identifikat ruħha bħala l-Ingliż. Il-lingwa Anglo-Norman saret distinta mil-lingwa Latina, xi ħaġa l"&amp;"i kienet is-suġġett ta 'xi umoriżmu minn Geoffrey Chaucer. Il-lingwa Anglo-Norman eventwalment ġiet assorbita fil-lingwa Anglo-Sassona tas-suġġetti tagħhom (ara l-Ingliż il-Qadim) u influwenzatha, tgħin (flimkien mal-lingwa Norveġja tal-kolonizzaturi Angl"&amp;"o-Norse preċedenti u l-Latin użati mill-Knisja) fil - Żvilupp tal-Ingliż Nofsani. Min-naħa tiegħu evolva fl-Ingliż modern.")</f>
        <v>Eventwalment, in-Normanni ingħaqdu man-nies tan-nies, u jgħaqqdu l-lingwi u t-tradizzjonijiet. Matul il-gwerra tal-mitt sena, l-aristokrazija Norman spiss identifikat ruħha bħala l-Ingliż. Il-lingwa Anglo-Norman saret distinta mil-lingwa Latina, xi ħaġa li kienet is-suġġett ta 'xi umoriżmu minn Geoffrey Chaucer. Il-lingwa Anglo-Norman eventwalment ġiet assorbita fil-lingwa Anglo-Sassona tas-suġġetti tagħhom (ara l-Ingliż il-Qadim) u influwenzatha, tgħin (flimkien mal-lingwa Norveġja tal-kolonizzaturi Anglo-Norse preċedenti u l-Latin użati mill-Knisja) fil - Żvilupp tal-Ingliż Nofsani. Min-naħa tiegħu evolva fl-Ingliż modern.</v>
      </c>
    </row>
    <row r="15762" ht="15.75" customHeight="1">
      <c r="A15762" s="2" t="s">
        <v>15762</v>
      </c>
      <c r="B15762" s="2" t="str">
        <f>IFERROR(__xludf.DUMMYFUNCTION("GOOGLETRANSLATE(A15762, ""en"", ""mt"")"),"Il-kumitati tal-kont pubbliċi ġew stabbiliti biex jagħmlu xiex?")</f>
        <v>Il-kumitati tal-kont pubbliċi ġew stabbiliti biex jagħmlu xiex?</v>
      </c>
    </row>
    <row r="15763" ht="15.75" customHeight="1">
      <c r="A15763" s="2" t="s">
        <v>15763</v>
      </c>
      <c r="B15763" s="2" t="str">
        <f>IFERROR(__xludf.DUMMYFUNCTION("GOOGLETRANSLATE(A15763, ""en"", ""mt"")"),"eluf ta ’snin")</f>
        <v>eluf ta ’snin</v>
      </c>
    </row>
    <row r="15764" ht="15.75" customHeight="1">
      <c r="A15764" s="2" t="s">
        <v>15764</v>
      </c>
      <c r="B15764" s="2" t="str">
        <f>IFERROR(__xludf.DUMMYFUNCTION("GOOGLETRANSLATE(A15764, ""en"", ""mt"")"),"Xi jfisser ukoll programm bażiku?")</f>
        <v>Xi jfisser ukoll programm bażiku?</v>
      </c>
    </row>
    <row r="15765" ht="15.75" customHeight="1">
      <c r="A15765" s="2" t="s">
        <v>15765</v>
      </c>
      <c r="B15765" s="2" t="str">
        <f>IFERROR(__xludf.DUMMYFUNCTION("GOOGLETRANSLATE(A15765, ""en"", ""mt"")"),"inugwaljanza bejn is-sessi kontinwa fl-edukazzjoni")</f>
        <v>inugwaljanza bejn is-sessi kontinwa fl-edukazzjoni</v>
      </c>
    </row>
    <row r="15766" ht="15.75" customHeight="1">
      <c r="A15766" s="2" t="s">
        <v>15766</v>
      </c>
      <c r="B15766" s="2" t="str">
        <f>IFERROR(__xludf.DUMMYFUNCTION("GOOGLETRANSLATE(A15766, ""en"", ""mt"")"),"Għal xiex wasslet iż-żieda fil-ħaddiema tas-sengħa?")</f>
        <v>Għal xiex wasslet iż-żieda fil-ħaddiema tas-sengħa?</v>
      </c>
    </row>
    <row r="15767" ht="15.75" customHeight="1">
      <c r="A15767" s="2" t="s">
        <v>15767</v>
      </c>
      <c r="B15767" s="2" t="str">
        <f>IFERROR(__xludf.DUMMYFUNCTION("GOOGLETRANSLATE(A15767, ""en"", ""mt"")"),"Fix-xogħlijiet akkademiċi Anglophone, it-teoriji rigward l-imperjalizmu spiss huma bbażati fuq l-esperjenza Ingliża. It-terminu ""imperjalizmu"" kien oriġinarjament introdott fl-Ingliż fis-sens preżenti tiegħu fl-aħħar tas-snin 1870 minn avversarji tal-po"&amp;"litiki imperjali allegatament aggressivi u ostentatious tal-Prim Ministru Ingliż Benjamin Disraeli. Ftit kien approprjat mill-partitarji ta '""imperjalizmu"" bħal Joseph Chamberlain. Għal uħud, l-imperjalizmu ħatar politika ta ’idealiżmu u filantropija; O"&amp;"ħrajn allegaw li kien ikkaratterizzat minn interess politiku tal-awto, u numru dejjem jikber assoċjatha mar-regħba kapitalista. Liberali John A. Hobson u Marxist Vladimir Lenin żiedu konnotazzjoni makroekonomika aktar teoretika mat-terminu. Lenin b'mod pa"&amp;"rtikolari eżerċita influwenza sostanzjali fuq kunċetti Marxisti aktar tard dwar l-imperjalizmu bl-imperjalizmu tax-xogħol tiegħu, l-ogħla stadju tal-kapitaliżmu. Fil-kitbiet tiegħu Lenin ippreżentat l-imperjalizmu bħala estensjoni naturali tal-kapitaliżmu"&amp;" li nibtet mill-ħtieġa għall-ekonomiji kapitalisti biex kontinwament jespandu l-investiment, ir-riżorsi materjali u l-ħaddiema b'tali mod li kien jeħtieġ espansjoni kolonjali. Din il-kunċett ta 'l-imperjalizmu bħala karatteristika strutturali tal-kapitali"&amp;"żmu hija mtennija minn teoriċi Marxisti aktar tard. Ħafna teoriċi fuq ix-xellug segwew fl-enfasi tal-karattru strutturali jew sistemiku ta '""imperjalizmu"". Kittieba bħal dawn espandew il-perjodu ta 'żmien assoċjat mat-terminu sabiex issa jinnomina polit"&amp;"ika, u lanqas spazju qasir ta' għexieren ta 'snin fl-aħħar tas-seklu 19, iżda sistema dinjija li testendi fuq perjodu ta' sekli, ħafna drabi tmur lura lejn Christopher Columbus u , f'xi kontijiet, għall-Kruċjati. Hekk kif l-applikazzjoni tat-terminu espan"&amp;"diet, it-tifsira tagħha tbiddlet tul ħames assi distinti imma ta 'spiss paralleli: il-morali, l-ekonomiku, il-sistemiku, il-kulturali, u t-temporali. Dawk il-bidliet jirriflettu - fost ċaqliq ieħor fis-sensibilità - inkwiet dejjem jikber, anke squeamishne"&amp;"ss, bil-fatt tal-poter, speċifikament, il-qawwa tal-Punent.")</f>
        <v>Fix-xogħlijiet akkademiċi Anglophone, it-teoriji rigward l-imperjalizmu spiss huma bbażati fuq l-esperjenza Ingliża. It-terminu "imperjalizmu" kien oriġinarjament introdott fl-Ingliż fis-sens preżenti tiegħu fl-aħħar tas-snin 1870 minn avversarji tal-politiki imperjali allegatament aggressivi u ostentatious tal-Prim Ministru Ingliż Benjamin Disraeli. Ftit kien approprjat mill-partitarji ta '"imperjalizmu" bħal Joseph Chamberlain. Għal uħud, l-imperjalizmu ħatar politika ta ’idealiżmu u filantropija; Oħrajn allegaw li kien ikkaratterizzat minn interess politiku tal-awto, u numru dejjem jikber assoċjatha mar-regħba kapitalista. Liberali John A. Hobson u Marxist Vladimir Lenin żiedu konnotazzjoni makroekonomika aktar teoretika mat-terminu. Lenin b'mod partikolari eżerċita influwenza sostanzjali fuq kunċetti Marxisti aktar tard dwar l-imperjalizmu bl-imperjalizmu tax-xogħol tiegħu, l-ogħla stadju tal-kapitaliżmu. Fil-kitbiet tiegħu Lenin ippreżentat l-imperjalizmu bħala estensjoni naturali tal-kapitaliżmu li nibtet mill-ħtieġa għall-ekonomiji kapitalisti biex kontinwament jespandu l-investiment, ir-riżorsi materjali u l-ħaddiema b'tali mod li kien jeħtieġ espansjoni kolonjali. Din il-kunċett ta 'l-imperjalizmu bħala karatteristika strutturali tal-kapitaliżmu hija mtennija minn teoriċi Marxisti aktar tard. Ħafna teoriċi fuq ix-xellug segwew fl-enfasi tal-karattru strutturali jew sistemiku ta '"imperjalizmu". Kittieba bħal dawn espandew il-perjodu ta 'żmien assoċjat mat-terminu sabiex issa jinnomina politika, u lanqas spazju qasir ta' għexieren ta 'snin fl-aħħar tas-seklu 19, iżda sistema dinjija li testendi fuq perjodu ta' sekli, ħafna drabi tmur lura lejn Christopher Columbus u , f'xi kontijiet, għall-Kruċjati. Hekk kif l-applikazzjoni tat-terminu espandiet, it-tifsira tagħha tbiddlet tul ħames assi distinti imma ta 'spiss paralleli: il-morali, l-ekonomiku, il-sistemiku, il-kulturali, u t-temporali. Dawk il-bidliet jirriflettu - fost ċaqliq ieħor fis-sensibilità - inkwiet dejjem jikber, anke squeamishness, bil-fatt tal-poter, speċifikament, il-qawwa tal-Punent.</v>
      </c>
    </row>
    <row r="15768" ht="15.75" customHeight="1">
      <c r="A15768" s="2" t="s">
        <v>15768</v>
      </c>
      <c r="B15768" s="2" t="str">
        <f>IFERROR(__xludf.DUMMYFUNCTION("GOOGLETRANSLATE(A15768, ""en"", ""mt"")"),"bejn p u pspace")</f>
        <v>bejn p u pspace</v>
      </c>
    </row>
    <row r="15769" ht="15.75" customHeight="1">
      <c r="A15769" s="2" t="s">
        <v>15769</v>
      </c>
      <c r="B15769" s="2" t="str">
        <f>IFERROR(__xludf.DUMMYFUNCTION("GOOGLETRANSLATE(A15769, ""en"", ""mt"")"),"Kif wieħed jikseb definizzjoni indefinita ta 'din il-lingwa?")</f>
        <v>Kif wieħed jikseb definizzjoni indefinita ta 'din il-lingwa?</v>
      </c>
    </row>
    <row r="15770" ht="15.75" customHeight="1">
      <c r="A15770" s="2" t="s">
        <v>15770</v>
      </c>
      <c r="B15770" s="2" t="str">
        <f>IFERROR(__xludf.DUMMYFUNCTION("GOOGLETRANSLATE(A15770, ""en"", ""mt"")"),"Fejn tnejn mill-ibniet ta 'Oppman bdew vjaġġ?")</f>
        <v>Fejn tnejn mill-ibniet ta 'Oppman bdew vjaġġ?</v>
      </c>
    </row>
    <row r="15771" ht="15.75" customHeight="1">
      <c r="A15771" s="2" t="s">
        <v>15771</v>
      </c>
      <c r="B15771" s="2" t="str">
        <f>IFERROR(__xludf.DUMMYFUNCTION("GOOGLETRANSLATE(A15771, ""en"", ""mt"")"),"Min se jaljena l-okkupazzjoni?")</f>
        <v>Min se jaljena l-okkupazzjoni?</v>
      </c>
    </row>
    <row r="15772" ht="15.75" customHeight="1">
      <c r="A15772" s="2" t="s">
        <v>15772</v>
      </c>
      <c r="B15772" s="2" t="str">
        <f>IFERROR(__xludf.DUMMYFUNCTION("GOOGLETRANSLATE(A15772, ""en"", ""mt"")"),"F'liema etude ta 'neumes rythmiques il-primes 41, 43, 47 u 53 jidhru?")</f>
        <v>F'liema etude ta 'neumes rythmiques il-primes 41, 43, 47 u 53 jidhru?</v>
      </c>
    </row>
    <row r="15773" ht="15.75" customHeight="1">
      <c r="A15773" s="2" t="s">
        <v>15773</v>
      </c>
      <c r="B15773" s="2" t="str">
        <f>IFERROR(__xludf.DUMMYFUNCTION("GOOGLETRANSLATE(A15773, ""en"", ""mt"")"),"X'għandhom ix-xjenzati li jużaw biex jikkaratterizzaw l-istatus tal-pjattaforma tal-pjanti?")</f>
        <v>X'għandhom ix-xjenzati li jużaw biex jikkaratterizzaw l-istatus tal-pjattaforma tal-pjanti?</v>
      </c>
    </row>
    <row r="15774" ht="15.75" customHeight="1">
      <c r="A15774" s="2" t="s">
        <v>15774</v>
      </c>
      <c r="B15774" s="2" t="str">
        <f>IFERROR(__xludf.DUMMYFUNCTION("GOOGLETRANSLATE(A15774, ""en"", ""mt"")"),"Melbourne kif tikklassifika l-popolazzjoni?")</f>
        <v>Melbourne kif tikklassifika l-popolazzjoni?</v>
      </c>
    </row>
    <row r="15775" ht="15.75" customHeight="1">
      <c r="A15775" s="2" t="s">
        <v>15775</v>
      </c>
      <c r="B15775" s="2" t="str">
        <f>IFERROR(__xludf.DUMMYFUNCTION("GOOGLETRANSLATE(A15775, ""en"", ""mt"")"),"1.5 m (4 ft 11 in)")</f>
        <v>1.5 m (4 ft 11 in)</v>
      </c>
    </row>
    <row r="15776" ht="15.75" customHeight="1">
      <c r="A15776" s="2" t="s">
        <v>15776</v>
      </c>
      <c r="B15776" s="2" t="str">
        <f>IFERROR(__xludf.DUMMYFUNCTION("GOOGLETRANSLATE(A15776, ""en"", ""mt"")"),"Fil-qoxra baxxa")</f>
        <v>Fil-qoxra baxxa</v>
      </c>
    </row>
    <row r="15777" ht="15.75" customHeight="1">
      <c r="A15777" s="2" t="s">
        <v>15777</v>
      </c>
      <c r="B15777" s="2" t="str">
        <f>IFERROR(__xludf.DUMMYFUNCTION("GOOGLETRANSLATE(A15777, ""en"", ""mt"")"),"Kif tinżamm propjetà mhux reġistrata f'forma informali?")</f>
        <v>Kif tinżamm propjetà mhux reġistrata f'forma informali?</v>
      </c>
    </row>
    <row r="15778" ht="15.75" customHeight="1">
      <c r="A15778" s="2" t="s">
        <v>15778</v>
      </c>
      <c r="B15778" s="2" t="str">
        <f>IFERROR(__xludf.DUMMYFUNCTION("GOOGLETRANSLATE(A15778, ""en"", ""mt"")"),"Kemm partijiet għandhom il-konsiderazzjoni ta 'kont fl-istadju 3?")</f>
        <v>Kemm partijiet għandhom il-konsiderazzjoni ta 'kont fl-istadju 3?</v>
      </c>
    </row>
    <row r="15779" ht="15.75" customHeight="1">
      <c r="A15779" s="2" t="s">
        <v>15779</v>
      </c>
      <c r="B15779" s="2" t="str">
        <f>IFERROR(__xludf.DUMMYFUNCTION("GOOGLETRANSLATE(A15779, ""en"", ""mt"")"),"X'bas minn Jacksonville minn wara l-Ewwel Gwerra Dinjija?")</f>
        <v>X'bas minn Jacksonville minn wara l-Ewwel Gwerra Dinjija?</v>
      </c>
    </row>
    <row r="15780" ht="15.75" customHeight="1">
      <c r="A15780" s="2" t="s">
        <v>15780</v>
      </c>
      <c r="B15780" s="2" t="str">
        <f>IFERROR(__xludf.DUMMYFUNCTION("GOOGLETRANSLATE(A15780, ""en"", ""mt"")"),"Umdità estremament għolja")</f>
        <v>Umdità estremament għolja</v>
      </c>
    </row>
    <row r="15781" ht="15.75" customHeight="1">
      <c r="A15781" s="2" t="s">
        <v>15781</v>
      </c>
      <c r="B15781" s="2" t="str">
        <f>IFERROR(__xludf.DUMMYFUNCTION("GOOGLETRANSLATE(A15781, ""en"", ""mt"")"),"Ħafna marru Kuba,")</f>
        <v>Ħafna marru Kuba,</v>
      </c>
    </row>
    <row r="15782" ht="15.75" customHeight="1">
      <c r="A15782" s="2" t="s">
        <v>15782</v>
      </c>
      <c r="B15782" s="2" t="str">
        <f>IFERROR(__xludf.DUMMYFUNCTION("GOOGLETRANSLATE(A15782, ""en"", ""mt"")"),"1720")</f>
        <v>1720</v>
      </c>
    </row>
    <row r="15783" ht="15.75" customHeight="1">
      <c r="A15783" s="2" t="s">
        <v>15783</v>
      </c>
      <c r="B15783" s="2" t="str">
        <f>IFERROR(__xludf.DUMMYFUNCTION("GOOGLETRANSLATE(A15783, ""en"", ""mt"")"),"L-ispirtu ta 'protesta għandu jinżamm it-triq kollha")</f>
        <v>L-ispirtu ta 'protesta għandu jinżamm it-triq kollha</v>
      </c>
    </row>
    <row r="15784" ht="15.75" customHeight="1">
      <c r="A15784" s="2" t="s">
        <v>15784</v>
      </c>
      <c r="B15784" s="2" t="str">
        <f>IFERROR(__xludf.DUMMYFUNCTION("GOOGLETRANSLATE(A15784, ""en"", ""mt"")"),"Żieda fil-kriminalità u l-faqar fil-viċinat tal-Hyde Park")</f>
        <v>Żieda fil-kriminalità u l-faqar fil-viċinat tal-Hyde Park</v>
      </c>
    </row>
    <row r="15785" ht="15.75" customHeight="1">
      <c r="A15785" s="2" t="s">
        <v>15785</v>
      </c>
      <c r="B15785" s="2" t="str">
        <f>IFERROR(__xludf.DUMMYFUNCTION("GOOGLETRANSLATE(A15785, ""en"", ""mt"")"),"11,000 sena")</f>
        <v>11,000 sena</v>
      </c>
    </row>
    <row r="15786" ht="15.75" customHeight="1">
      <c r="A15786" s="2" t="s">
        <v>15786</v>
      </c>
      <c r="B15786" s="2" t="str">
        <f>IFERROR(__xludf.DUMMYFUNCTION("GOOGLETRANSLATE(A15786, ""en"", ""mt"")"),"Xi tfisser il-leġislazzjoni tal-ispiżerija qatt?")</f>
        <v>Xi tfisser il-leġislazzjoni tal-ispiżerija qatt?</v>
      </c>
    </row>
    <row r="15787" ht="15.75" customHeight="1">
      <c r="A15787" s="2" t="s">
        <v>15787</v>
      </c>
      <c r="B15787" s="2" t="str">
        <f>IFERROR(__xludf.DUMMYFUNCTION("GOOGLETRANSLATE(A15787, ""en"", ""mt"")"),"Għal xiex tadatta Mesoglea meta sserraħ fuq ilma salmastru?")</f>
        <v>Għal xiex tadatta Mesoglea meta sserraħ fuq ilma salmastru?</v>
      </c>
    </row>
    <row r="15788" ht="15.75" customHeight="1">
      <c r="A15788" s="2" t="s">
        <v>15788</v>
      </c>
      <c r="B15788" s="2" t="str">
        <f>IFERROR(__xludf.DUMMYFUNCTION("GOOGLETRANSLATE(A15788, ""en"", ""mt"")"),"Eġizzjani")</f>
        <v>Eġizzjani</v>
      </c>
    </row>
    <row r="15789" ht="15.75" customHeight="1">
      <c r="A15789" s="2" t="s">
        <v>15789</v>
      </c>
      <c r="B15789" s="2" t="str">
        <f>IFERROR(__xludf.DUMMYFUNCTION("GOOGLETRANSLATE(A15789, ""en"", ""mt"")"),"Il-Konvenzjoni Qafas tan-Nazzjonijiet Uniti dwar it-Tibdil fil-Klima (UNFCCC),")</f>
        <v>Il-Konvenzjoni Qafas tan-Nazzjonijiet Uniti dwar it-Tibdil fil-Klima (UNFCCC),</v>
      </c>
    </row>
    <row r="15790" ht="15.75" customHeight="1">
      <c r="A15790" s="2" t="s">
        <v>15790</v>
      </c>
      <c r="B15790" s="2" t="str">
        <f>IFERROR(__xludf.DUMMYFUNCTION("GOOGLETRANSLATE(A15790, ""en"", ""mt"")"),"Pierre Bayle")</f>
        <v>Pierre Bayle</v>
      </c>
    </row>
    <row r="15791" ht="15.75" customHeight="1">
      <c r="A15791" s="2" t="s">
        <v>15791</v>
      </c>
      <c r="B15791" s="2" t="str">
        <f>IFERROR(__xludf.DUMMYFUNCTION("GOOGLETRANSLATE(A15791, ""en"", ""mt"")"),"X'inhuma l-ambjentalisti mħassba dwar li jitilfu fil-foresta tal-Amażonja?")</f>
        <v>X'inhuma l-ambjentalisti mħassba dwar li jitilfu fil-foresta tal-Amażonja?</v>
      </c>
    </row>
    <row r="15792" ht="15.75" customHeight="1">
      <c r="A15792" s="2" t="s">
        <v>15792</v>
      </c>
      <c r="B15792" s="2" t="str">
        <f>IFERROR(__xludf.DUMMYFUNCTION("GOOGLETRANSLATE(A15792, ""en"", ""mt"")"),"diversi mijiet")</f>
        <v>diversi mijiet</v>
      </c>
    </row>
    <row r="15793" ht="15.75" customHeight="1">
      <c r="A15793" s="2" t="s">
        <v>15793</v>
      </c>
      <c r="B15793" s="2" t="str">
        <f>IFERROR(__xludf.DUMMYFUNCTION("GOOGLETRANSLATE(A15793, ""en"", ""mt"")"),"Rhijn")</f>
        <v>Rhijn</v>
      </c>
    </row>
    <row r="15794" ht="15.75" customHeight="1">
      <c r="A15794" s="2" t="s">
        <v>15794</v>
      </c>
      <c r="B15794" s="2" t="str">
        <f>IFERROR(__xludf.DUMMYFUNCTION("GOOGLETRANSLATE(A15794, ""en"", ""mt"")"),"X'kienet ir-reazzjoni tal-BBN Monopoly għal Roberts?")</f>
        <v>X'kienet ir-reazzjoni tal-BBN Monopoly għal Roberts?</v>
      </c>
    </row>
    <row r="15795" ht="15.75" customHeight="1">
      <c r="A15795" s="2" t="s">
        <v>15795</v>
      </c>
      <c r="B15795" s="2" t="str">
        <f>IFERROR(__xludf.DUMMYFUNCTION("GOOGLETRANSLATE(A15795, ""en"", ""mt"")"),"X'jistgħu jimmaniġġjaw is-solvers SAT meta jittestjaw?")</f>
        <v>X'jistgħu jimmaniġġjaw is-solvers SAT meta jittestjaw?</v>
      </c>
    </row>
    <row r="15796" ht="15.75" customHeight="1">
      <c r="A15796" s="2" t="s">
        <v>15796</v>
      </c>
      <c r="B15796" s="2" t="str">
        <f>IFERROR(__xludf.DUMMYFUNCTION("GOOGLETRANSLATE(A15796, ""en"", ""mt"")"),"Ekonomisti bl-aġenzija tal-klassifikazzjoni Standard &amp; Poor")</f>
        <v>Ekonomisti bl-aġenzija tal-klassifikazzjoni Standard &amp; Poor</v>
      </c>
    </row>
    <row r="15797" ht="15.75" customHeight="1">
      <c r="A15797" s="2" t="s">
        <v>15797</v>
      </c>
      <c r="B15797" s="2" t="str">
        <f>IFERROR(__xludf.DUMMYFUNCTION("GOOGLETRANSLATE(A15797, ""en"", ""mt"")"),"€ 25,000")</f>
        <v>€ 25,000</v>
      </c>
    </row>
    <row r="15798" ht="15.75" customHeight="1">
      <c r="A15798" s="2" t="s">
        <v>15798</v>
      </c>
      <c r="B15798" s="2" t="str">
        <f>IFERROR(__xludf.DUMMYFUNCTION("GOOGLETRANSLATE(A15798, ""en"", ""mt"")"),"Fejn waħda mill-bniet ta 'Triton iddeċidiet li riedet toqgħod u tibqa'?")</f>
        <v>Fejn waħda mill-bniet ta 'Triton iddeċidiet li riedet toqgħod u tibqa'?</v>
      </c>
    </row>
    <row r="15799" ht="15.75" customHeight="1">
      <c r="A15799" s="2" t="s">
        <v>15799</v>
      </c>
      <c r="B15799" s="2" t="str">
        <f>IFERROR(__xludf.DUMMYFUNCTION("GOOGLETRANSLATE(A15799, ""en"", ""mt"")"),"Għaliex l-istudenti tal-Kulleġġ Radcliffe waqfu joqogħdu fis-Sala Sever?")</f>
        <v>Għaliex l-istudenti tal-Kulleġġ Radcliffe waqfu joqogħdu fis-Sala Sever?</v>
      </c>
    </row>
    <row r="15800" ht="15.75" customHeight="1">
      <c r="A15800" s="2" t="s">
        <v>15800</v>
      </c>
      <c r="B15800" s="2" t="str">
        <f>IFERROR(__xludf.DUMMYFUNCTION("GOOGLETRANSLATE(A15800, ""en"", ""mt"")"),"X'inhu l-isem tal-fruntiera għan-nofsinhar?")</f>
        <v>X'inhu l-isem tal-fruntiera għan-nofsinhar?</v>
      </c>
    </row>
    <row r="15801" ht="15.75" customHeight="1">
      <c r="A15801" s="2" t="s">
        <v>15801</v>
      </c>
      <c r="B15801" s="2" t="str">
        <f>IFERROR(__xludf.DUMMYFUNCTION("GOOGLETRANSLATE(A15801, ""en"", ""mt"")"),"il-finanzi tagħhom")</f>
        <v>il-finanzi tagħhom</v>
      </c>
    </row>
    <row r="15802" ht="15.75" customHeight="1">
      <c r="A15802" s="2" t="s">
        <v>15802</v>
      </c>
      <c r="B15802" s="2" t="str">
        <f>IFERROR(__xludf.DUMMYFUNCTION("GOOGLETRANSLATE(A15802, ""en"", ""mt"")"),"Ipparteċipa fil-ħajja ekonomika ""fuq bażi stabbli u kontinwa""")</f>
        <v>Ipparteċipa fil-ħajja ekonomika "fuq bażi stabbli u kontinwa"</v>
      </c>
    </row>
    <row r="15803" ht="15.75" customHeight="1">
      <c r="A15803" s="2" t="s">
        <v>15803</v>
      </c>
      <c r="B15803" s="2" t="str">
        <f>IFERROR(__xludf.DUMMYFUNCTION("GOOGLETRANSLATE(A15803, ""en"", ""mt"")"),"Xi jfisser l-Istat Iżlamiku mill-komunità internazzjonali?")</f>
        <v>Xi jfisser l-Istat Iżlamiku mill-komunità internazzjonali?</v>
      </c>
    </row>
    <row r="15804" ht="15.75" customHeight="1">
      <c r="A15804" s="2" t="s">
        <v>15804</v>
      </c>
      <c r="B15804" s="2" t="str">
        <f>IFERROR(__xludf.DUMMYFUNCTION("GOOGLETRANSLATE(A15804, ""en"", ""mt"")"),"Rotary")</f>
        <v>Rotary</v>
      </c>
    </row>
    <row r="15805" ht="15.75" customHeight="1">
      <c r="A15805" s="2" t="s">
        <v>15805</v>
      </c>
      <c r="B15805" s="2" t="str">
        <f>IFERROR(__xludf.DUMMYFUNCTION("GOOGLETRANSLATE(A15805, ""en"", ""mt"")"),"Libertà Reliġjuża fil-Commonwealth Pollakka-Litwana")</f>
        <v>Libertà Reliġjuża fil-Commonwealth Pollakka-Litwana</v>
      </c>
    </row>
    <row r="15806" ht="15.75" customHeight="1">
      <c r="A15806" s="2" t="s">
        <v>15806</v>
      </c>
      <c r="B15806" s="2" t="str">
        <f>IFERROR(__xludf.DUMMYFUNCTION("GOOGLETRANSLATE(A15806, ""en"", ""mt"")")," Min kien ziju Kublai Khan?")</f>
        <v> Min kien ziju Kublai Khan?</v>
      </c>
    </row>
    <row r="15807" ht="15.75" customHeight="1">
      <c r="A15807" s="2" t="s">
        <v>15807</v>
      </c>
      <c r="B15807" s="2" t="str">
        <f>IFERROR(__xludf.DUMMYFUNCTION("GOOGLETRANSLATE(A15807, ""en"", ""mt"")"),"Forza nukleari")</f>
        <v>Forza nukleari</v>
      </c>
    </row>
    <row r="15808" ht="15.75" customHeight="1">
      <c r="A15808" s="2" t="s">
        <v>15808</v>
      </c>
      <c r="B15808" s="2" t="str">
        <f>IFERROR(__xludf.DUMMYFUNCTION("GOOGLETRANSLATE(A15808, ""en"", ""mt"")"),"Materia Medica")</f>
        <v>Materia Medica</v>
      </c>
    </row>
    <row r="15809" ht="15.75" customHeight="1">
      <c r="A15809" s="2" t="s">
        <v>15809</v>
      </c>
      <c r="B15809" s="2" t="str">
        <f>IFERROR(__xludf.DUMMYFUNCTION("GOOGLETRANSLATE(A15809, ""en"", ""mt"")"),"Il-kontrolli tal-prezzijiet aggravaw il-kriżi fl-Istati Uniti. Is-sistema illimitat il-prezz ta '""żejt qadim"" (dak li kien diġà ġie skopert) filwaqt li ppermetta li ż-żejt ġdid skopert jinbiegħ bi prezz ogħla biex jinkoraġġixxi l-investiment. Prevedibbi"&amp;"lment, żejt qadim ġie rtirat mis-suq, u ħoloq skarsezza akbar. Ir-regola skoraġġit ukoll l-iżvilupp ta 'enerġiji alternattivi. Ir-regola kienet maħsuba biex tippromwovi l-esplorazzjoni taż-żejt. L-iskarsezza kienet indirizzata mir-razzjonar (bħal f'ħafna "&amp;"pajjiżi). Is-sewwieqa ffaċċjaw linji twal fil-pompi tal-gass li jibdew fis-sajf tal-1972 u jiżdiedu sas-sajf tal-1973.")</f>
        <v>Il-kontrolli tal-prezzijiet aggravaw il-kriżi fl-Istati Uniti. Is-sistema illimitat il-prezz ta '"żejt qadim" (dak li kien diġà ġie skopert) filwaqt li ppermetta li ż-żejt ġdid skopert jinbiegħ bi prezz ogħla biex jinkoraġġixxi l-investiment. Prevedibbilment, żejt qadim ġie rtirat mis-suq, u ħoloq skarsezza akbar. Ir-regola skoraġġit ukoll l-iżvilupp ta 'enerġiji alternattivi. Ir-regola kienet maħsuba biex tippromwovi l-esplorazzjoni taż-żejt. L-iskarsezza kienet indirizzata mir-razzjonar (bħal f'ħafna pajjiżi). Is-sewwieqa ffaċċjaw linji twal fil-pompi tal-gass li jibdew fis-sajf tal-1972 u jiżdiedu sas-sajf tal-1973.</v>
      </c>
    </row>
    <row r="15810" ht="15.75" customHeight="1">
      <c r="A15810" s="2" t="s">
        <v>15810</v>
      </c>
      <c r="B15810" s="2" t="str">
        <f>IFERROR(__xludf.DUMMYFUNCTION("GOOGLETRANSLATE(A15810, ""en"", ""mt"")"),"X'għandhom ħafna nies ma kellhomx bżonn rigward il-vantaġġi soċjali?")</f>
        <v>X'għandhom ħafna nies ma kellhomx bżonn rigward il-vantaġġi soċjali?</v>
      </c>
    </row>
    <row r="15811" ht="15.75" customHeight="1">
      <c r="A15811" s="2" t="s">
        <v>15811</v>
      </c>
      <c r="B15811" s="2" t="str">
        <f>IFERROR(__xludf.DUMMYFUNCTION("GOOGLETRANSLATE(A15811, ""en"", ""mt"")"),"£ 15-100,000")</f>
        <v>£ 15-100,000</v>
      </c>
    </row>
    <row r="15812" ht="15.75" customHeight="1">
      <c r="A15812" s="2" t="s">
        <v>15812</v>
      </c>
      <c r="B15812" s="2" t="str">
        <f>IFERROR(__xludf.DUMMYFUNCTION("GOOGLETRANSLATE(A15812, ""en"", ""mt"")"),"Min kien it-tieni l-akbar esportatur tal-qamħ tad-dinja lejn il-Lvant Nofsani?")</f>
        <v>Min kien it-tieni l-akbar esportatur tal-qamħ tad-dinja lejn il-Lvant Nofsani?</v>
      </c>
    </row>
    <row r="15813" ht="15.75" customHeight="1">
      <c r="A15813" s="2" t="s">
        <v>15813</v>
      </c>
      <c r="B15813" s="2" t="str">
        <f>IFERROR(__xludf.DUMMYFUNCTION("GOOGLETRANSLATE(A15813, ""en"", ""mt"")"),"Ma 'liema rata ta' kriminalità kienet li kienet korrelata f'soċjetà?")</f>
        <v>Ma 'liema rata ta' kriminalità kienet li kienet korrelata f'soċjetà?</v>
      </c>
    </row>
    <row r="15814" ht="15.75" customHeight="1">
      <c r="A15814" s="2" t="s">
        <v>15814</v>
      </c>
      <c r="B15814" s="2" t="str">
        <f>IFERROR(__xludf.DUMMYFUNCTION("GOOGLETRANSLATE(A15814, ""en"", ""mt"")"),"Filwaqt li l-kunċett ta '""ekonomija tas-suq soċjali"" ġie introdott biss fil-liġi tal-UE fl-2007, il-moviment liberu u l-kummerċ kienu ċentrali għall-iżvilupp Ewropew mit-Trattat ta' Ruma 1957. Skond it-teorija standard tal-vantaġġ komparattiv, żewġ pajj"&amp;"iżi jistgħu jibbenefikaw minn Kummerċ anke jekk wieħed minnhom għandu ekonomija inqas produttiva fl-aspetti kollha. Bħal f'organizzazzjonijiet reġjonali oħra bħall-Assoċjazzjoni tal-Kummerċ Ħieles tal-Amerika ta 'Fuq, jew l-Organizzazzjoni Dinjija tal-Kum"&amp;"merċ, tkisser l-ostakli għall-kummerċ, u t-titjib tal-moviment liberu ta' oġġetti, servizzi, xogħol u kapital, huwa maħsub biex inaqqas il-prezzijiet tal-konsumatur. Kien oriġinarjament teorizzat li żona ta 'kummerċ ħieles kellha tendenza li tagħti post g"&amp;"ħal unjoni doganali, li wasslet għal suq komuni, imbagħad unjoni monetarja, imbagħad unjoni tal-politika monetarja u fiskali, politika u eventwalment xi unjoni sħiħa karatteristika ta' stat federali - Fl-Ewropa, madankollu, dawk l-istadji kienu mħallta ko"&amp;"nsiderevolment, u għadu mhux ċar jekk il- ""endgame"" għandux ikun l-istess bħal stat, tradizzjonalment mifhum. Fil-prattika kummerċ ħieles, mingħajr standards biex jiżgura kummerċ ġust, jistgħu jibbenefikaw xi nies u gruppi ġewwa pajjiżi (partikolarment "&amp;"negozju kbir) ħafna iktar minn oħrajn, iżda se jġorru nies li m'għandhomx poter ta 'negozjar f'suq li qed jespandi, partikolarment ħaddiema, konsumaturi, negozji żgħar , li qed jiżviluppaw industriji, u komunitajiet. It-trattat dwar il-funzjonament tal-ar"&amp;"tikoli tal-Unjoni Ewropea 28 sa 37 jistabbilixxi l-prinċipju tal-moviment liberu tal-merkanzija fl-UE, filwaqt li l-artikoli 45 sa 66 jeħtieġu moviment liberu ta 'persuni, servizzi u kapital. Dawn l-hekk imsejħa ""erba 'libertajiet"" kienu maħsuba li huma"&amp;" inibiti minn ostakli fiżiċi (eż. Dwana), ostakli tekniċi (e.g. liġijiet differenti dwar is-sigurtà, l-istandards tal-konsumatur jew ambjentali) u ostakli fiskali (per eżempju rati differenti ta' taxxa fuq il-valur miżjud). It-tensjoni fil-liġi hija li l-"&amp;"moviment liberu u l-kummerċ mhux suppost jinxterdu f'liċenzja għal profitt kummerċjali mhux ristrett. It-trattati jillimitaw il-kummerċ ħieles, biex jipprijoritizzaw valuri oħra bħas-saħħa pubblika, il-protezzjoni tal-konsumatur, id-drittijiet tax-xogħol,"&amp;" kompetizzjoni ġusta, u titjib ambjentali. Kulma jmur il-Qorti tal-Ġustizzja għamlet il-fehma li l-għanijiet speċifiċi tal-kummerċ ħieles huma msejsa mill-għanijiet ġenerali tat-trattat għat-titjib tal-benesseri tan-nies.")</f>
        <v>Filwaqt li l-kunċett ta '"ekonomija tas-suq soċjali" ġie introdott biss fil-liġi tal-UE fl-2007, il-moviment liberu u l-kummerċ kienu ċentrali għall-iżvilupp Ewropew mit-Trattat ta' Ruma 1957. Skond it-teorija standard tal-vantaġġ komparattiv, żewġ pajjiżi jistgħu jibbenefikaw minn Kummerċ anke jekk wieħed minnhom għandu ekonomija inqas produttiva fl-aspetti kollha. Bħal f'organizzazzjonijiet reġjonali oħra bħall-Assoċjazzjoni tal-Kummerċ Ħieles tal-Amerika ta 'Fuq, jew l-Organizzazzjoni Dinjija tal-Kummerċ, tkisser l-ostakli għall-kummerċ, u t-titjib tal-moviment liberu ta' oġġetti, servizzi, xogħol u kapital, huwa maħsub biex inaqqas il-prezzijiet tal-konsumatur. Kien oriġinarjament teorizzat li żona ta 'kummerċ ħieles kellha tendenza li tagħti post għal unjoni doganali, li wasslet għal suq komuni, imbagħad unjoni monetarja, imbagħad unjoni tal-politika monetarja u fiskali, politika u eventwalment xi unjoni sħiħa karatteristika ta' stat federali - Fl-Ewropa, madankollu, dawk l-istadji kienu mħallta konsiderevolment, u għadu mhux ċar jekk il- "endgame" għandux ikun l-istess bħal stat, tradizzjonalment mifhum. Fil-prattika kummerċ ħieles, mingħajr standards biex jiżgura kummerċ ġust, jistgħu jibbenefikaw xi nies u gruppi ġewwa pajjiżi (partikolarment negozju kbir) ħafna iktar minn oħrajn, iżda se jġorru nies li m'għandhomx poter ta 'negozjar f'suq li qed jespandi, partikolarment ħaddiema, konsumaturi, negozji żgħar , li qed jiżviluppaw industriji, u komunitajiet. It-trattat dwar il-funzjonament tal-artikoli tal-Unjoni Ewropea 28 sa 37 jistabbilixxi l-prinċipju tal-moviment liberu tal-merkanzija fl-UE, filwaqt li l-artikoli 45 sa 66 jeħtieġu moviment liberu ta 'persuni, servizzi u kapital. Dawn l-hekk imsejħa "erba 'libertajiet" kienu maħsuba li huma inibiti minn ostakli fiżiċi (eż. Dwana), ostakli tekniċi (e.g. liġijiet differenti dwar is-sigurtà, l-istandards tal-konsumatur jew ambjentali) u ostakli fiskali (per eżempju rati differenti ta' taxxa fuq il-valur miżjud). It-tensjoni fil-liġi hija li l-moviment liberu u l-kummerċ mhux suppost jinxterdu f'liċenzja għal profitt kummerċjali mhux ristrett. It-trattati jillimitaw il-kummerċ ħieles, biex jipprijoritizzaw valuri oħra bħas-saħħa pubblika, il-protezzjoni tal-konsumatur, id-drittijiet tax-xogħol, kompetizzjoni ġusta, u titjib ambjentali. Kulma jmur il-Qorti tal-Ġustizzja għamlet il-fehma li l-għanijiet speċifiċi tal-kummerċ ħieles huma msejsa mill-għanijiet ġenerali tat-trattat għat-titjib tal-benesseri tan-nies.</v>
      </c>
    </row>
    <row r="15815" ht="15.75" customHeight="1">
      <c r="A15815" s="2" t="s">
        <v>15815</v>
      </c>
      <c r="B15815" s="2" t="str">
        <f>IFERROR(__xludf.DUMMYFUNCTION("GOOGLETRANSLATE(A15815, ""en"", ""mt"")"),"Kummissjoni v Franza Franċiża")</f>
        <v>Kummissjoni v Franza Franċiża</v>
      </c>
    </row>
    <row r="15816" ht="15.75" customHeight="1">
      <c r="A15816" s="2" t="s">
        <v>15816</v>
      </c>
      <c r="B15816" s="2" t="str">
        <f>IFERROR(__xludf.DUMMYFUNCTION("GOOGLETRANSLATE(A15816, ""en"", ""mt"")"),"kuntest modern")</f>
        <v>kuntest modern</v>
      </c>
    </row>
    <row r="15817" ht="15.75" customHeight="1">
      <c r="A15817" s="2" t="s">
        <v>15817</v>
      </c>
      <c r="B15817" s="2" t="str">
        <f>IFERROR(__xludf.DUMMYFUNCTION("GOOGLETRANSLATE(A15817, ""en"", ""mt"")"),"Min emmen li d-diżubbidjenza ċivili għandha tintuża biss kontra entitajiet governattivi?")</f>
        <v>Min emmen li d-diżubbidjenza ċivili għandha tintuża biss kontra entitajiet governattivi?</v>
      </c>
    </row>
    <row r="15818" ht="15.75" customHeight="1">
      <c r="A15818" s="2" t="s">
        <v>15818</v>
      </c>
      <c r="B15818" s="2" t="str">
        <f>IFERROR(__xludf.DUMMYFUNCTION("GOOGLETRANSLATE(A15818, ""en"", ""mt"")"),"Meta ġie skopert li n-numri ewlenin jistgħu jiġu applikati għall-ħolqien ta 'algoritmi militari ewlenin pubbliċi?")</f>
        <v>Meta ġie skopert li n-numri ewlenin jistgħu jiġu applikati għall-ħolqien ta 'algoritmi militari ewlenin pubbliċi?</v>
      </c>
    </row>
    <row r="15819" ht="15.75" customHeight="1">
      <c r="A15819" s="2" t="s">
        <v>15819</v>
      </c>
      <c r="B15819" s="2" t="str">
        <f>IFERROR(__xludf.DUMMYFUNCTION("GOOGLETRANSLATE(A15819, ""en"", ""mt"")"),"L-istadju 2 tal-kont huwa fejn min hu inkarigat mill-kont?")</f>
        <v>L-istadju 2 tal-kont huwa fejn min hu inkarigat mill-kont?</v>
      </c>
    </row>
    <row r="15820" ht="15.75" customHeight="1">
      <c r="A15820" s="2" t="s">
        <v>15820</v>
      </c>
      <c r="B15820" s="2" t="str">
        <f>IFERROR(__xludf.DUMMYFUNCTION("GOOGLETRANSLATE(A15820, ""en"", ""mt"")"),"Min ħabbar li se jbattal vjeġġi taż-żejt lejn l-Istati Uniti?")</f>
        <v>Min ħabbar li se jbattal vjeġġi taż-żejt lejn l-Istati Uniti?</v>
      </c>
    </row>
    <row r="15821" ht="15.75" customHeight="1">
      <c r="A15821" s="2" t="s">
        <v>15821</v>
      </c>
      <c r="B15821" s="2" t="str">
        <f>IFERROR(__xludf.DUMMYFUNCTION("GOOGLETRANSLATE(A15821, ""en"", ""mt"")"),"Kif huma ffinanzjati l-iskejjel pubbliċi?")</f>
        <v>Kif huma ffinanzjati l-iskejjel pubbliċi?</v>
      </c>
    </row>
    <row r="15822" ht="15.75" customHeight="1">
      <c r="A15822" s="2" t="s">
        <v>15822</v>
      </c>
      <c r="B15822" s="2" t="str">
        <f>IFERROR(__xludf.DUMMYFUNCTION("GOOGLETRANSLATE(A15822, ""en"", ""mt"")"),"L-epoka tal-Pleistocene sseħħ matul liema perjodu?")</f>
        <v>L-epoka tal-Pleistocene sseħħ matul liema perjodu?</v>
      </c>
    </row>
    <row r="15823" ht="15.75" customHeight="1">
      <c r="A15823" s="2" t="s">
        <v>15823</v>
      </c>
      <c r="B15823" s="2" t="str">
        <f>IFERROR(__xludf.DUMMYFUNCTION("GOOGLETRANSLATE(A15823, ""en"", ""mt"")"),"għerq")</f>
        <v>għerq</v>
      </c>
    </row>
    <row r="15824" ht="15.75" customHeight="1">
      <c r="A15824" s="2" t="s">
        <v>15824</v>
      </c>
      <c r="B15824" s="2" t="str">
        <f>IFERROR(__xludf.DUMMYFUNCTION("GOOGLETRANSLATE(A15824, ""en"", ""mt"")"),"F’liema konkwista ewlenija Tancred kellha roll?")</f>
        <v>F’liema konkwista ewlenija Tancred kellha roll?</v>
      </c>
    </row>
    <row r="15825" ht="15.75" customHeight="1">
      <c r="A15825" s="2" t="s">
        <v>15825</v>
      </c>
      <c r="B15825" s="2" t="str">
        <f>IFERROR(__xludf.DUMMYFUNCTION("GOOGLETRANSLATE(A15825, ""en"", ""mt"")"),"X'tistabx il-Konfederazzjoni ta 'Varsavja formalment fl-1573?")</f>
        <v>X'tistabx il-Konfederazzjoni ta 'Varsavja formalment fl-1573?</v>
      </c>
    </row>
    <row r="15826" ht="15.75" customHeight="1">
      <c r="A15826" s="2" t="s">
        <v>15826</v>
      </c>
      <c r="B15826" s="2" t="str">
        <f>IFERROR(__xludf.DUMMYFUNCTION("GOOGLETRANSLATE(A15826, ""en"", ""mt"")"),"Kummerċjali, Xjentifiku, u Kulturali")</f>
        <v>Kummerċjali, Xjentifiku, u Kulturali</v>
      </c>
    </row>
    <row r="15827" ht="15.75" customHeight="1">
      <c r="A15827" s="2" t="s">
        <v>15827</v>
      </c>
      <c r="B15827" s="2" t="str">
        <f>IFERROR(__xludf.DUMMYFUNCTION("GOOGLETRANSLATE(A15827, ""en"", ""mt"")"),"Jacksonville sofra inqas ħsara mill-uragani mill-biċċa l-kbira tal-bliet l-oħra tal-Kosta tal-Lvant, għalkemm it-theddida teżisti għal suċċess dirett minn uragan ewlieni. Il-belt irċeviet biss suċċess dirett minn uragan mill-1871; Madankollu, Jacksonville"&amp;" esperjenza kundizzjonijiet ta 'uragan jew kważi-uragan aktar minn tużżana darbiet minħabba maltempati li jaqsmu l-istat mill-Golf tal-Messiku lejn l-Oċean Atlantiku, jew li għaddiet lejn it-tramuntana jew fin-nofsinhar fl-Atlantiku u tfarfar iż-żona. L-i"&amp;"ktar effett qawwi fuq Jacksonville kien mill-Uragan Dora fl-1964, l-unika maltempata rreġistrata li laqat l-ewwel kosta bl-irjiħat tal-forza tal-uragan sostnuti. L-għajn qasmet lil Santu Wistin bi rjieħ li kienu għadhom kemm naqas għal 110 mph (180 km / h"&amp;"), u dan jagħmilha kategorija qawwija 2 fuq l-iskala Saffir-Simpson. Jacksonville sofra wkoll ħsara mill-maltempata tropikali tal-2008 li qabdet l-istat, u ġabet partijiet minn Jacksonville taħt id-dlam għal erbat ijiem. Bl-istess mod, erba 'snin qabel da"&amp;"n, Jacksonville ġie mgħarbel mill-Uragan Frances u l-Uragan Jeanne, li għamlu l-art fin-nofsinhar taż-żona. Dawn iċ-ċikloni tropikali kienu l-aktar spejjeż indiretti għal Jacksonville. L-Uragan Floyd fl-1999 ikkawża ħsara prinċipalment lil Jacksonville Be"&amp;"ach. Matul Floyd, il-moll tal-bajja ta 'Jacksonville kien bil-ħsara kbira, u aktar tard imwaqqa'. Il-moll mibni mill-ġdid aktar tard ġie bil-ħsara minn Fay, iżda mhux meqrud. Storm Tropikali Bonnie jikkawża ħsara minuri fl-2004, li jġib tornado minuri fil"&amp;"-proċess. Fit-28 ta 'Mejju, 2012, Jacksonville intlaqat minn Tropical Storm Beryl, li jippakkja rjiħat sa 70 mil fis-siegħa (113 km / h) li għamel l-art qrib Jacksonville Beach.")</f>
        <v>Jacksonville sofra inqas ħsara mill-uragani mill-biċċa l-kbira tal-bliet l-oħra tal-Kosta tal-Lvant, għalkemm it-theddida teżisti għal suċċess dirett minn uragan ewlieni. Il-belt irċeviet biss suċċess dirett minn uragan mill-1871; Madankollu, Jacksonville esperjenza kundizzjonijiet ta 'uragan jew kważi-uragan aktar minn tużżana darbiet minħabba maltempati li jaqsmu l-istat mill-Golf tal-Messiku lejn l-Oċean Atlantiku, jew li għaddiet lejn it-tramuntana jew fin-nofsinhar fl-Atlantiku u tfarfar iż-żona. L-iktar effett qawwi fuq Jacksonville kien mill-Uragan Dora fl-1964, l-unika maltempata rreġistrata li laqat l-ewwel kosta bl-irjiħat tal-forza tal-uragan sostnuti. L-għajn qasmet lil Santu Wistin bi rjieħ li kienu għadhom kemm naqas għal 110 mph (180 km / h), u dan jagħmilha kategorija qawwija 2 fuq l-iskala Saffir-Simpson. Jacksonville sofra wkoll ħsara mill-maltempata tropikali tal-2008 li qabdet l-istat, u ġabet partijiet minn Jacksonville taħt id-dlam għal erbat ijiem. Bl-istess mod, erba 'snin qabel dan, Jacksonville ġie mgħarbel mill-Uragan Frances u l-Uragan Jeanne, li għamlu l-art fin-nofsinhar taż-żona. Dawn iċ-ċikloni tropikali kienu l-aktar spejjeż indiretti għal Jacksonville. L-Uragan Floyd fl-1999 ikkawża ħsara prinċipalment lil Jacksonville Beach. Matul Floyd, il-moll tal-bajja ta 'Jacksonville kien bil-ħsara kbira, u aktar tard imwaqqa'. Il-moll mibni mill-ġdid aktar tard ġie bil-ħsara minn Fay, iżda mhux meqrud. Storm Tropikali Bonnie jikkawża ħsara minuri fl-2004, li jġib tornado minuri fil-proċess. Fit-28 ta 'Mejju, 2012, Jacksonville intlaqat minn Tropical Storm Beryl, li jippakkja rjiħat sa 70 mil fis-siegħa (113 km / h) li għamel l-art qrib Jacksonville Beach.</v>
      </c>
    </row>
    <row r="15828" ht="15.75" customHeight="1">
      <c r="A15828" s="2" t="s">
        <v>15828</v>
      </c>
      <c r="B15828" s="2" t="str">
        <f>IFERROR(__xludf.DUMMYFUNCTION("GOOGLETRANSLATE(A15828, ""en"", ""mt"")"),"X’jifhem it-Trattat ta ’Lisbona llum?")</f>
        <v>X’jifhem it-Trattat ta ’Lisbona llum?</v>
      </c>
    </row>
    <row r="15829" ht="15.75" customHeight="1">
      <c r="A15829" s="2" t="s">
        <v>15829</v>
      </c>
      <c r="B15829" s="2" t="str">
        <f>IFERROR(__xludf.DUMMYFUNCTION("GOOGLETRANSLATE(A15829, ""en"", ""mt"")"),"Meta ġiet iffurmata Francia Nofsani u tal-Punent?")</f>
        <v>Meta ġiet iffurmata Francia Nofsani u tal-Punent?</v>
      </c>
    </row>
    <row r="15830" ht="15.75" customHeight="1">
      <c r="A15830" s="2" t="s">
        <v>15830</v>
      </c>
      <c r="B15830" s="2" t="str">
        <f>IFERROR(__xludf.DUMMYFUNCTION("GOOGLETRANSLATE(A15830, ""en"", ""mt"")"),"Xi jfisser kittieb għall-grupp ta 'kriżi internazzjonali li l-kunċett ta' l-Islam politiku huwa ħolqien ta '?")</f>
        <v>Xi jfisser kittieb għall-grupp ta 'kriżi internazzjonali li l-kunċett ta' l-Islam politiku huwa ħolqien ta '?</v>
      </c>
    </row>
    <row r="15831" ht="15.75" customHeight="1">
      <c r="A15831" s="2" t="s">
        <v>15831</v>
      </c>
      <c r="B15831" s="2" t="str">
        <f>IFERROR(__xludf.DUMMYFUNCTION("GOOGLETRANSLATE(A15831, ""en"", ""mt"")"),"Kemm hemm kapitoli li jikkoordinaw awturi ewlenin?")</f>
        <v>Kemm hemm kapitoli li jikkoordinaw awturi ewlenin?</v>
      </c>
    </row>
    <row r="15832" ht="15.75" customHeight="1">
      <c r="A15832" s="2" t="s">
        <v>15832</v>
      </c>
      <c r="B15832" s="2" t="str">
        <f>IFERROR(__xludf.DUMMYFUNCTION("GOOGLETRANSLATE(A15832, ""en"", ""mt"")"),"imnissel bħala kandidati tal-partit uffiċjali waqt elezzjonijiet futuri")</f>
        <v>imnissel bħala kandidati tal-partit uffiċjali waqt elezzjonijiet futuri</v>
      </c>
    </row>
    <row r="15833" ht="15.75" customHeight="1">
      <c r="A15833" s="2" t="s">
        <v>15833</v>
      </c>
      <c r="B15833" s="2" t="str">
        <f>IFERROR(__xludf.DUMMYFUNCTION("GOOGLETRANSLATE(A15833, ""en"", ""mt"")"),"kondensaturi")</f>
        <v>kondensaturi</v>
      </c>
    </row>
    <row r="15834" ht="15.75" customHeight="1">
      <c r="A15834" s="2" t="s">
        <v>15834</v>
      </c>
      <c r="B15834" s="2" t="str">
        <f>IFERROR(__xludf.DUMMYFUNCTION("GOOGLETRANSLATE(A15834, ""en"", ""mt"")"),"Donald Tusk")</f>
        <v>Donald Tusk</v>
      </c>
    </row>
    <row r="15835" ht="15.75" customHeight="1">
      <c r="A15835" s="2" t="s">
        <v>15835</v>
      </c>
      <c r="B15835" s="2" t="str">
        <f>IFERROR(__xludf.DUMMYFUNCTION("GOOGLETRANSLATE(A15835, ""en"", ""mt"")"),"1998")</f>
        <v>1998</v>
      </c>
    </row>
    <row r="15836" ht="15.75" customHeight="1">
      <c r="A15836" s="2" t="s">
        <v>15836</v>
      </c>
      <c r="B15836" s="2" t="str">
        <f>IFERROR(__xludf.DUMMYFUNCTION("GOOGLETRANSLATE(A15836, ""en"", ""mt"")"),"X’jihom iħossu li l-anarkisti għandhom jaċċettaw bħala konsegwenza tal-azzjonijiet tagħhom biex jiksru l-liġi?")</f>
        <v>X’jihom iħossu li l-anarkisti għandhom jaċċettaw bħala konsegwenza tal-azzjonijiet tagħhom biex jiksru l-liġi?</v>
      </c>
    </row>
    <row r="15837" ht="15.75" customHeight="1">
      <c r="A15837" s="2" t="s">
        <v>15837</v>
      </c>
      <c r="B15837" s="2" t="str">
        <f>IFERROR(__xludf.DUMMYFUNCTION("GOOGLETRANSLATE(A15837, ""en"", ""mt"")"),"X'inhuma l-espressjonijiet dgħajfa u elettromatiċi tal-forzi?")</f>
        <v>X'inhuma l-espressjonijiet dgħajfa u elettromatiċi tal-forzi?</v>
      </c>
    </row>
    <row r="15838" ht="15.75" customHeight="1">
      <c r="A15838" s="2" t="s">
        <v>15838</v>
      </c>
      <c r="B15838" s="2" t="str">
        <f>IFERROR(__xludf.DUMMYFUNCTION("GOOGLETRANSLATE(A15838, ""en"", ""mt"")"),"Liema żewġ riżorsi huma kkunsmati mhux komuni minn mudelli alternattivi u huma tipikament magħrufa li jvarjaw?")</f>
        <v>Liema żewġ riżorsi huma kkunsmati mhux komuni minn mudelli alternattivi u huma tipikament magħrufa li jvarjaw?</v>
      </c>
    </row>
    <row r="15839" ht="15.75" customHeight="1">
      <c r="A15839" s="2" t="s">
        <v>15839</v>
      </c>
      <c r="B15839" s="2" t="str">
        <f>IFERROR(__xludf.DUMMYFUNCTION("GOOGLETRANSLATE(A15839, ""en"", ""mt"")"),"X'inhi xibka ta 'proġetti u skambji legali oħra?")</f>
        <v>X'inhi xibka ta 'proġetti u skambji legali oħra?</v>
      </c>
    </row>
    <row r="15840" ht="15.75" customHeight="1">
      <c r="A15840" s="2" t="s">
        <v>15840</v>
      </c>
      <c r="B15840" s="2" t="str">
        <f>IFERROR(__xludf.DUMMYFUNCTION("GOOGLETRANSLATE(A15840, ""en"", ""mt"")"),"Kolonizzanti")</f>
        <v>Kolonizzanti</v>
      </c>
    </row>
    <row r="15841" ht="15.75" customHeight="1">
      <c r="A15841" s="2" t="s">
        <v>15841</v>
      </c>
      <c r="B15841" s="2" t="str">
        <f>IFERROR(__xludf.DUMMYFUNCTION("GOOGLETRANSLATE(A15841, ""en"", ""mt"")"),"Kemm il-liġi Daniża kienet teħtieġ li tibda kumpanija?")</f>
        <v>Kemm il-liġi Daniża kienet teħtieġ li tibda kumpanija?</v>
      </c>
    </row>
    <row r="15842" ht="15.75" customHeight="1">
      <c r="A15842" s="2" t="s">
        <v>15842</v>
      </c>
      <c r="B15842" s="2" t="str">
        <f>IFERROR(__xludf.DUMMYFUNCTION("GOOGLETRANSLATE(A15842, ""en"", ""mt"")"),"L-iskejjel Vittorjani huma jew iffinanzjati pubblikament jew privatament. L-iskejjel pubbliċi, magħrufa wkoll bħala skejjel tal-istat jew tal-gvern, huma ffinanzjati u mmexxija direttament mid-Dipartiment tal-Edukazzjoni tar-Rabat. L-istudenti ma jħallsux"&amp;" miżati għat-tagħlim, iżda xi spejjeż żejda huma imposti. L-iskejjel privati ​​li jħallsu t-tariffi jinkludu skejjel parrokkjali mmexxija mill-Knisja Kattolika Rumana u skejjel indipendenti simili għal skejjel pubbliċi Ingliżi. L-iskejjel indipendenti hum"&amp;"a ġeneralment affiljati mal-knejjes Protestanti. Victoria għandha wkoll diversi skejjel privati ​​tal-Lhud u l-Iżlamiċi u l-iskejjel sekondarji. L-iskejjel privati ​​jirċievu wkoll xi fondi pubbliċi. L-iskejjel kollha għandhom jikkonformaw mal-istandards "&amp;"tal-kurrikulu tal-gvern. Barra minn hekk, Victoria għandha erba 'skejjel selettivi tal-gvern, Melbourne High School for Boys, Macrobertson Girls' High School for Girls, l-Iskejjel Koedukazzjonali John Monash Science School, Nossal High School u Suzanne Co"&amp;"ry High School, u l-Kulleġġ Vittorjan tal-Arts Sekondarja School - Studenti f'dawn l-iskejjel huma ammessi esklussivament abbażi ta 'test ta' dħul selettiv akkademiku.")</f>
        <v>L-iskejjel Vittorjani huma jew iffinanzjati pubblikament jew privatament. L-iskejjel pubbliċi, magħrufa wkoll bħala skejjel tal-istat jew tal-gvern, huma ffinanzjati u mmexxija direttament mid-Dipartiment tal-Edukazzjoni tar-Rabat. L-istudenti ma jħallsux miżati għat-tagħlim, iżda xi spejjeż żejda huma imposti. L-iskejjel privati ​​li jħallsu t-tariffi jinkludu skejjel parrokkjali mmexxija mill-Knisja Kattolika Rumana u skejjel indipendenti simili għal skejjel pubbliċi Ingliżi. L-iskejjel indipendenti huma ġeneralment affiljati mal-knejjes Protestanti. Victoria għandha wkoll diversi skejjel privati ​​tal-Lhud u l-Iżlamiċi u l-iskejjel sekondarji. L-iskejjel privati ​​jirċievu wkoll xi fondi pubbliċi. L-iskejjel kollha għandhom jikkonformaw mal-istandards tal-kurrikulu tal-gvern. Barra minn hekk, Victoria għandha erba 'skejjel selettivi tal-gvern, Melbourne High School for Boys, Macrobertson Girls' High School for Girls, l-Iskejjel Koedukazzjonali John Monash Science School, Nossal High School u Suzanne Cory High School, u l-Kulleġġ Vittorjan tal-Arts Sekondarja School - Studenti f'dawn l-iskejjel huma ammessi esklussivament abbażi ta 'test ta' dħul selettiv akkademiku.</v>
      </c>
    </row>
    <row r="15843" ht="15.75" customHeight="1">
      <c r="A15843" s="2" t="s">
        <v>15843</v>
      </c>
      <c r="B15843" s="2" t="str">
        <f>IFERROR(__xludf.DUMMYFUNCTION("GOOGLETRANSLATE(A15843, ""en"", ""mt"")"),"Dak li jippermetti lill-Parlament Skoċċiż jiskrutinja lill-gvern?")</f>
        <v>Dak li jippermetti lill-Parlament Skoċċiż jiskrutinja lill-gvern?</v>
      </c>
    </row>
    <row r="15844" ht="15.75" customHeight="1">
      <c r="A15844" s="2" t="s">
        <v>15844</v>
      </c>
      <c r="B15844" s="2" t="str">
        <f>IFERROR(__xludf.DUMMYFUNCTION("GOOGLETRANSLATE(A15844, ""en"", ""mt"")"),"Stratigraphers manjetiċi")</f>
        <v>Stratigraphers manjetiċi</v>
      </c>
    </row>
    <row r="15845" ht="15.75" customHeight="1">
      <c r="A15845" s="2" t="s">
        <v>15845</v>
      </c>
      <c r="B15845" s="2" t="str">
        <f>IFERROR(__xludf.DUMMYFUNCTION("GOOGLETRANSLATE(A15845, ""en"", ""mt"")"),"Mekkanika Newtonjana")</f>
        <v>Mekkanika Newtonjana</v>
      </c>
    </row>
    <row r="15846" ht="15.75" customHeight="1">
      <c r="A15846" s="2" t="s">
        <v>15846</v>
      </c>
      <c r="B15846" s="2" t="str">
        <f>IFERROR(__xludf.DUMMYFUNCTION("GOOGLETRANSLATE(A15846, ""en"", ""mt"")"),"1347")</f>
        <v>1347</v>
      </c>
    </row>
    <row r="15847" ht="15.75" customHeight="1">
      <c r="A15847" s="2" t="s">
        <v>15847</v>
      </c>
      <c r="B15847" s="2" t="str">
        <f>IFERROR(__xludf.DUMMYFUNCTION("GOOGLETRANSLATE(A15847, ""en"", ""mt"")"),"Xi tispjega l-evoluzzjoni tal-kamra tal-magma?")</f>
        <v>Xi tispjega l-evoluzzjoni tal-kamra tal-magma?</v>
      </c>
    </row>
    <row r="15848" ht="15.75" customHeight="1">
      <c r="A15848" s="2" t="s">
        <v>15848</v>
      </c>
      <c r="B15848" s="2" t="str">
        <f>IFERROR(__xludf.DUMMYFUNCTION("GOOGLETRANSLATE(A15848, ""en"", ""mt"")"),"sistema biex tiffunzjona")</f>
        <v>sistema biex tiffunzjona</v>
      </c>
    </row>
    <row r="15849" ht="15.75" customHeight="1">
      <c r="A15849" s="2" t="s">
        <v>15849</v>
      </c>
      <c r="B15849" s="2" t="str">
        <f>IFERROR(__xludf.DUMMYFUNCTION("GOOGLETRANSLATE(A15849, ""en"", ""mt"")"),"Fejn waħda mill-bniet ta 'Oppman iddeċidiet li riedet tistrieħ u tibqa'?")</f>
        <v>Fejn waħda mill-bniet ta 'Oppman iddeċidiet li riedet tistrieħ u tibqa'?</v>
      </c>
    </row>
    <row r="15850" ht="15.75" customHeight="1">
      <c r="A15850" s="2" t="s">
        <v>15850</v>
      </c>
      <c r="B15850" s="2" t="str">
        <f>IFERROR(__xludf.DUMMYFUNCTION("GOOGLETRANSLATE(A15850, ""en"", ""mt"")"),"Kemm sħubijiet mhux miżżewġin ta 'sess oppost kellhom tfal?")</f>
        <v>Kemm sħubijiet mhux miżżewġin ta 'sess oppost kellhom tfal?</v>
      </c>
    </row>
    <row r="15851" ht="15.75" customHeight="1">
      <c r="A15851" s="2" t="s">
        <v>15851</v>
      </c>
      <c r="B15851" s="2" t="str">
        <f>IFERROR(__xludf.DUMMYFUNCTION("GOOGLETRANSLATE(A15851, ""en"", ""mt"")"),"Kompjuters ospitanti (servers) f'eluf ta 'kumpaniji kbar, istituzzjonijiet edukattivi, u aġenziji tal-gvern")</f>
        <v>Kompjuters ospitanti (servers) f'eluf ta 'kumpaniji kbar, istituzzjonijiet edukattivi, u aġenziji tal-gvern</v>
      </c>
    </row>
    <row r="15852" ht="15.75" customHeight="1">
      <c r="A15852" s="2" t="s">
        <v>15852</v>
      </c>
      <c r="B15852" s="2" t="str">
        <f>IFERROR(__xludf.DUMMYFUNCTION("GOOGLETRANSLATE(A15852, ""en"", ""mt"")"),"Riċerka mill-ekonomista ta 'Harvard Robert Barro, sabet li hemm ""ftit relazzjoni ġenerali bejn l-inugwaljanza tad-dħul u r-rati ta' tkabbir u investiment"". Skond ix-xogħol minn Barro fl-1999 u l-2000, livelli għoljin ta 'inugwaljanza jnaqqsu t-tkabbir f"&amp;"'pajjiżi relattivament foqra iżda jinkoraġġixxu t-tkabbir f'pajjiżi aktar sinjuri. Studju tal-kontej Żvediżi bejn l-1960 u l-2000 sab impatt pożittiv ta 'inugwaljanza fuq it-tkabbir b'ħinijiet ta' ċomb ta 'ħames snin jew inqas, iżda l-ebda korrelazzjoni w"&amp;"ara għaxar snin. Studji ta 'settijiet ta' dejta akbar ma sabu l-ebda korrelazzjoni għal kwalunkwe ħin ta 'ċomb fiss, u impatt negattiv fuq it-tul tat-tkabbir.")</f>
        <v>Riċerka mill-ekonomista ta 'Harvard Robert Barro, sabet li hemm "ftit relazzjoni ġenerali bejn l-inugwaljanza tad-dħul u r-rati ta' tkabbir u investiment". Skond ix-xogħol minn Barro fl-1999 u l-2000, livelli għoljin ta 'inugwaljanza jnaqqsu t-tkabbir f'pajjiżi relattivament foqra iżda jinkoraġġixxu t-tkabbir f'pajjiżi aktar sinjuri. Studju tal-kontej Żvediżi bejn l-1960 u l-2000 sab impatt pożittiv ta 'inugwaljanza fuq it-tkabbir b'ħinijiet ta' ċomb ta 'ħames snin jew inqas, iżda l-ebda korrelazzjoni wara għaxar snin. Studji ta 'settijiet ta' dejta akbar ma sabu l-ebda korrelazzjoni għal kwalunkwe ħin ta 'ċomb fiss, u impatt negattiv fuq it-tul tat-tkabbir.</v>
      </c>
    </row>
    <row r="15853" ht="15.75" customHeight="1">
      <c r="A15853" s="2" t="s">
        <v>15853</v>
      </c>
      <c r="B15853" s="2" t="str">
        <f>IFERROR(__xludf.DUMMYFUNCTION("GOOGLETRANSLATE(A15853, ""en"", ""mt"")"),"Liema trattament mediku jintuża biex iżżid l-assorbiment ta 'ossiġnu f'pazjent?")</f>
        <v>Liema trattament mediku jintuża biex iżżid l-assorbiment ta 'ossiġnu f'pazjent?</v>
      </c>
    </row>
    <row r="15854" ht="15.75" customHeight="1">
      <c r="A15854" s="2" t="s">
        <v>15854</v>
      </c>
      <c r="B15854" s="2" t="str">
        <f>IFERROR(__xludf.DUMMYFUNCTION("GOOGLETRANSLATE(A15854, ""en"", ""mt"")"),"Liema gruppi speċifiċi jinstabu fil-popolazzjoni Messikana-Amerikana?")</f>
        <v>Liema gruppi speċifiċi jinstabu fil-popolazzjoni Messikana-Amerikana?</v>
      </c>
    </row>
    <row r="15855" ht="15.75" customHeight="1">
      <c r="A15855" s="2" t="s">
        <v>15855</v>
      </c>
      <c r="B15855" s="2" t="str">
        <f>IFERROR(__xludf.DUMMYFUNCTION("GOOGLETRANSLATE(A15855, ""en"", ""mt"")"),"gruppi terroristiċi")</f>
        <v>gruppi terroristiċi</v>
      </c>
    </row>
    <row r="15856" ht="15.75" customHeight="1">
      <c r="A15856" s="2" t="s">
        <v>15856</v>
      </c>
      <c r="B15856" s="2" t="str">
        <f>IFERROR(__xludf.DUMMYFUNCTION("GOOGLETRANSLATE(A15856, ""en"", ""mt"")"),"X'tagħmel l-ippumpjar fl-ilma baħar regolari għall-biċċa l-kbira tiegħu?")</f>
        <v>X'tagħmel l-ippumpjar fl-ilma baħar regolari għall-biċċa l-kbira tiegħu?</v>
      </c>
    </row>
    <row r="15857" ht="15.75" customHeight="1">
      <c r="A15857" s="2" t="s">
        <v>15857</v>
      </c>
      <c r="B15857" s="2" t="str">
        <f>IFERROR(__xludf.DUMMYFUNCTION("GOOGLETRANSLATE(A15857, ""en"", ""mt"")"),"Laboratorju")</f>
        <v>Laboratorju</v>
      </c>
    </row>
    <row r="15858" ht="15.75" customHeight="1">
      <c r="A15858" s="2" t="s">
        <v>15858</v>
      </c>
      <c r="B15858" s="2" t="str">
        <f>IFERROR(__xludf.DUMMYFUNCTION("GOOGLETRANSLATE(A15858, ""en"", ""mt"")"),"Kurt Vonnegut")</f>
        <v>Kurt Vonnegut</v>
      </c>
    </row>
    <row r="15859" ht="15.75" customHeight="1">
      <c r="A15859" s="2" t="s">
        <v>15859</v>
      </c>
      <c r="B15859" s="2" t="str">
        <f>IFERROR(__xludf.DUMMYFUNCTION("GOOGLETRANSLATE(A15859, ""en"", ""mt"")"),"Turabi kif bena bażi ekonomika qawwija?")</f>
        <v>Turabi kif bena bażi ekonomika qawwija?</v>
      </c>
    </row>
    <row r="15860" ht="15.75" customHeight="1">
      <c r="A15860" s="2" t="s">
        <v>15860</v>
      </c>
      <c r="B15860" s="2" t="str">
        <f>IFERROR(__xludf.DUMMYFUNCTION("GOOGLETRANSLATE(A15860, ""en"", ""mt"")"),"Meta jinżamm id-dibattitu tal-membri?")</f>
        <v>Meta jinżamm id-dibattitu tal-membri?</v>
      </c>
    </row>
    <row r="15861" ht="15.75" customHeight="1">
      <c r="A15861" s="2" t="s">
        <v>15861</v>
      </c>
      <c r="B15861" s="2" t="str">
        <f>IFERROR(__xludf.DUMMYFUNCTION("GOOGLETRANSLATE(A15861, ""en"", ""mt"")"),"WMO")</f>
        <v>WMO</v>
      </c>
    </row>
    <row r="15862" ht="15.75" customHeight="1">
      <c r="A15862" s="2" t="s">
        <v>15862</v>
      </c>
      <c r="B15862" s="2" t="str">
        <f>IFERROR(__xludf.DUMMYFUNCTION("GOOGLETRANSLATE(A15862, ""en"", ""mt"")"),"Chevrolet Bel Air, u Ford Galaxie 500")</f>
        <v>Chevrolet Bel Air, u Ford Galaxie 500</v>
      </c>
    </row>
    <row r="15863" ht="15.75" customHeight="1">
      <c r="A15863" s="2" t="s">
        <v>15863</v>
      </c>
      <c r="B15863" s="2" t="str">
        <f>IFERROR(__xludf.DUMMYFUNCTION("GOOGLETRANSLATE(A15863, ""en"", ""mt"")"),"infinitament")</f>
        <v>infinitament</v>
      </c>
    </row>
    <row r="15864" ht="15.75" customHeight="1">
      <c r="A15864" s="2" t="s">
        <v>15864</v>
      </c>
      <c r="B15864" s="2" t="str">
        <f>IFERROR(__xludf.DUMMYFUNCTION("GOOGLETRANSLATE(A15864, ""en"", ""mt"")"),"Meta nbena l-Freeway tar-Rotta tal-Istat 99?")</f>
        <v>Meta nbena l-Freeway tar-Rotta tal-Istat 99?</v>
      </c>
    </row>
    <row r="15865" ht="15.75" customHeight="1">
      <c r="A15865" s="2" t="s">
        <v>15865</v>
      </c>
      <c r="B15865" s="2" t="str">
        <f>IFERROR(__xludf.DUMMYFUNCTION("GOOGLETRANSLATE(A15865, ""en"", ""mt"")"),"Proporzjon baxx ta 'materja organika għal melħ u ilma")</f>
        <v>Proporzjon baxx ta 'materja organika għal melħ u ilma</v>
      </c>
    </row>
    <row r="15866" ht="15.75" customHeight="1">
      <c r="A15866" s="2" t="s">
        <v>15866</v>
      </c>
      <c r="B15866" s="2" t="str">
        <f>IFERROR(__xludf.DUMMYFUNCTION("GOOGLETRANSLATE(A15866, ""en"", ""mt"")"),"Sedimentazzjoni qawwija fid-Delta tar-Renu tal-Punent")</f>
        <v>Sedimentazzjoni qawwija fid-Delta tar-Renu tal-Punent</v>
      </c>
    </row>
    <row r="15867" ht="15.75" customHeight="1">
      <c r="A15867" s="2" t="s">
        <v>15867</v>
      </c>
      <c r="B15867" s="2" t="str">
        <f>IFERROR(__xludf.DUMMYFUNCTION("GOOGLETRANSLATE(A15867, ""en"", ""mt"")"),"Fis-snin 1890, l-Università ta 'Chicago, jibżgħu li r-riżorsi vasti tagħha jweġġgħu skejjel iżgħar billi jiġbdu studenti tajbin, affiljati ma' bosta kulleġġi u universitajiet reġjonali: Des Moines College, Kalamazoo College, Butler University, u Stetson U"&amp;"niversity. Fl-1896, l-università affiljata mal-Kulleġġ Shimer f'Monte Carroll, Illinois. Taħt it-termini tal-affiljazzjoni, l-iskejjel kienu meħtieġa jkollhom korsijiet ta 'studju komparabbli ma' dawk fl-università, biex jinnotifikaw lill-università kmien"&amp;"i dwar kwalunkwe ħatriet jew tkeċċijiet tal-fakultà kkontemplati, biex ma jagħmlu l-ebda ħatra tal-fakultà mingħajr l-approvazzjoni tal-università, u jibagħtu kopji ta 'eżamijiet għal suġġerimenti. L-Università ta ’Chicago qablet li tagħti grad lil kull a"&amp;"nzjan li jiggradwa minn skola affiljata li għamlet grad ta’ A għall-erba ’snin kollha, u fuq kull gradwat ieħor li ħa tnax-il ġimgħa studju addizzjonali fl-Università ta’ Chicago. Student jew membru tal-fakultà ta 'skola affiljata kien intitolat għal tagħ"&amp;"lim b'xejn fl-Università ta' Chicago, u studenti ta 'Chicago kienu eliġibbli biex jattendu skola affiljata fuq l-istess termini u jirċievu kreditu għax-xogħol tagħhom. L-Università ta ’Chicago qablet ukoll li tipprovdi skejjel affiljati bi kotba u apparat"&amp;" xjentifiku u provvisti bi spejjeż; Għalliema speċjali u letturi mingħajr spejjeż ħlief spejjeż tal-ivvjaġġar; u kopja ta 'kull ktieb u ġurnal ippubblikat mill-University of Chicago Press bla ħlas. Il-ftehim ipprovda li kwalunkwe parti tista 'tittermina l"&amp;"-affiljazzjoni fuq avviż xieraq. Bosta professuri tal-Università ta ’Chicago ma qalux il-programm, peress li kienu jinvolvu xogħol addizzjonali mhux ikkumpensat min-naħa tagħhom, u jemmnu li rħas ir-reputazzjoni akkademika tal-università. Il-programm għad"&amp;"da fl-istorja sal-1910.")</f>
        <v>Fis-snin 1890, l-Università ta 'Chicago, jibżgħu li r-riżorsi vasti tagħha jweġġgħu skejjel iżgħar billi jiġbdu studenti tajbin, affiljati ma' bosta kulleġġi u universitajiet reġjonali: Des Moines College, Kalamazoo College, Butler University, u Stetson University. Fl-1896, l-università affiljata mal-Kulleġġ Shimer f'Monte Carroll, Illinois. Taħt it-termini tal-affiljazzjoni, l-iskejjel kienu meħtieġa jkollhom korsijiet ta 'studju komparabbli ma' dawk fl-università, biex jinnotifikaw lill-università kmieni dwar kwalunkwe ħatriet jew tkeċċijiet tal-fakultà kkontemplati, biex ma jagħmlu l-ebda ħatra tal-fakultà mingħajr l-approvazzjoni tal-università, u jibagħtu kopji ta 'eżamijiet għal suġġerimenti. L-Università ta ’Chicago qablet li tagħti grad lil kull anzjan li jiggradwa minn skola affiljata li għamlet grad ta’ A għall-erba ’snin kollha, u fuq kull gradwat ieħor li ħa tnax-il ġimgħa studju addizzjonali fl-Università ta’ Chicago. Student jew membru tal-fakultà ta 'skola affiljata kien intitolat għal tagħlim b'xejn fl-Università ta' Chicago, u studenti ta 'Chicago kienu eliġibbli biex jattendu skola affiljata fuq l-istess termini u jirċievu kreditu għax-xogħol tagħhom. L-Università ta ’Chicago qablet ukoll li tipprovdi skejjel affiljati bi kotba u apparat xjentifiku u provvisti bi spejjeż; Għalliema speċjali u letturi mingħajr spejjeż ħlief spejjeż tal-ivvjaġġar; u kopja ta 'kull ktieb u ġurnal ippubblikat mill-University of Chicago Press bla ħlas. Il-ftehim ipprovda li kwalunkwe parti tista 'tittermina l-affiljazzjoni fuq avviż xieraq. Bosta professuri tal-Università ta ’Chicago ma qalux il-programm, peress li kienu jinvolvu xogħol addizzjonali mhux ikkumpensat min-naħa tagħhom, u jemmnu li rħas ir-reputazzjoni akkademika tal-università. Il-programm għadda fl-istorja sal-1910.</v>
      </c>
    </row>
    <row r="15868" ht="15.75" customHeight="1">
      <c r="A15868" s="2" t="s">
        <v>15868</v>
      </c>
      <c r="B15868" s="2" t="str">
        <f>IFERROR(__xludf.DUMMYFUNCTION("GOOGLETRANSLATE(A15868, ""en"", ""mt"")"),"F'każijiet ta 'mezz mhux kondiviż kif jitwasslu l-pakketti?")</f>
        <v>F'każijiet ta 'mezz mhux kondiviż kif jitwasslu l-pakketti?</v>
      </c>
    </row>
    <row r="15869" ht="15.75" customHeight="1">
      <c r="A15869" s="2" t="s">
        <v>15869</v>
      </c>
      <c r="B15869" s="2" t="str">
        <f>IFERROR(__xludf.DUMMYFUNCTION("GOOGLETRANSLATE(A15869, ""en"", ""mt"")"),"Min iddikjara bidla fit-tul tar-Renu?")</f>
        <v>Min iddikjara bidla fit-tul tar-Renu?</v>
      </c>
    </row>
    <row r="15870" ht="15.75" customHeight="1">
      <c r="A15870" s="2" t="s">
        <v>15870</v>
      </c>
      <c r="B15870" s="2" t="str">
        <f>IFERROR(__xludf.DUMMYFUNCTION("GOOGLETRANSLATE(A15870, ""en"", ""mt"")"),"Minbarra l-Baħar tat-Tramuntana u l-Kanal Irlandiż, x'iktar tbaxxiet fl-aħħar fażi kiesħa?")</f>
        <v>Minbarra l-Baħar tat-Tramuntana u l-Kanal Irlandiż, x'iktar tbaxxiet fl-aħħar fażi kiesħa?</v>
      </c>
    </row>
    <row r="15871" ht="15.75" customHeight="1">
      <c r="A15871" s="2" t="s">
        <v>15871</v>
      </c>
      <c r="B15871" s="2" t="str">
        <f>IFERROR(__xludf.DUMMYFUNCTION("GOOGLETRANSLATE(A15871, ""en"", ""mt"")"),"Il-Qorti Ewropea tad-Drittijiet tal-Bniedem")</f>
        <v>Il-Qorti Ewropea tad-Drittijiet tal-Bniedem</v>
      </c>
    </row>
    <row r="15872" ht="15.75" customHeight="1">
      <c r="A15872" s="2" t="s">
        <v>15872</v>
      </c>
      <c r="B15872" s="2" t="str">
        <f>IFERROR(__xludf.DUMMYFUNCTION("GOOGLETRANSLATE(A15872, ""en"", ""mt"")"),"Taħt liema politika huma mħeġġa l-għaqdiet tax-xogħol?")</f>
        <v>Taħt liema politika huma mħeġġa l-għaqdiet tax-xogħol?</v>
      </c>
    </row>
    <row r="15873" ht="15.75" customHeight="1">
      <c r="A15873" s="2" t="s">
        <v>15873</v>
      </c>
      <c r="B15873" s="2" t="str">
        <f>IFERROR(__xludf.DUMMYFUNCTION("GOOGLETRANSLATE(A15873, ""en"", ""mt"")"),"Molekuli tal-klassi I MHC")</f>
        <v>Molekuli tal-klassi I MHC</v>
      </c>
    </row>
    <row r="15874" ht="15.75" customHeight="1">
      <c r="A15874" s="2" t="s">
        <v>15874</v>
      </c>
      <c r="B15874" s="2" t="str">
        <f>IFERROR(__xludf.DUMMYFUNCTION("GOOGLETRANSLATE(A15874, ""en"", ""mt"")"),"Robert Koch meta skopra l-virus tad-deni isfar?")</f>
        <v>Robert Koch meta skopra l-virus tad-deni isfar?</v>
      </c>
    </row>
    <row r="15875" ht="15.75" customHeight="1">
      <c r="A15875" s="2" t="s">
        <v>15875</v>
      </c>
      <c r="B15875" s="2" t="str">
        <f>IFERROR(__xludf.DUMMYFUNCTION("GOOGLETRANSLATE(A15875, ""en"", ""mt"")"),"Lil min kien jappartjeni l-assedju tal-armata?")</f>
        <v>Lil min kien jappartjeni l-assedju tal-armata?</v>
      </c>
    </row>
    <row r="15876" ht="15.75" customHeight="1">
      <c r="A15876" s="2" t="s">
        <v>15876</v>
      </c>
      <c r="B15876" s="2" t="str">
        <f>IFERROR(__xludf.DUMMYFUNCTION("GOOGLETRANSLATE(A15876, ""en"", ""mt"")"),"Suite ta 'protokolli tan-netwerk maħluqa minn Digital Equipment Corporation")</f>
        <v>Suite ta 'protokolli tan-netwerk maħluqa minn Digital Equipment Corporation</v>
      </c>
    </row>
    <row r="15877" ht="15.75" customHeight="1">
      <c r="A15877" s="2" t="s">
        <v>15877</v>
      </c>
      <c r="B15877" s="2" t="str">
        <f>IFERROR(__xludf.DUMMYFUNCTION("GOOGLETRANSLATE(A15877, ""en"", ""mt"")"),"fotolisi ta 'l-ożonu bid-dawl ta' tul ta 'mewġa qasir")</f>
        <v>fotolisi ta 'l-ożonu bid-dawl ta' tul ta 'mewġa qasir</v>
      </c>
    </row>
    <row r="15878" ht="15.75" customHeight="1">
      <c r="A15878" s="2" t="s">
        <v>15878</v>
      </c>
      <c r="B15878" s="2" t="str">
        <f>IFERROR(__xludf.DUMMYFUNCTION("GOOGLETRANSLATE(A15878, ""en"", ""mt"")"),"Paul Revere kien imnissel mir-refuġjati Huguenot, kif kien Henry Laurens, li ffirma l-Artikoli tal-Konfederazzjoni għal South Carolina; Jack Jouett, li għamel ir-rikba minn Cuckoo Tavern biex iwissi lil Thomas Jefferson u oħrajn li Tarleton u l-irġiel tie"&amp;"għu kienu fi triqthom biex jarrestawh għal reati kontra r-re; Francis Marion, u numru ta ’mexxejja oħra tar-Rivoluzzjoni Amerikana u statisti aktar tard. L-aħħar kongregazzjoni attiva Huguenot fl-Amerika ta ’Fuq qima f’Charleston, South Carolina, fi knisj"&amp;"a li tmur għall-1844. Is-Soċjetà Huguenot tal-Amerika żżomm il-Knisja Episkopali Manakin f’V Virginia bħala santwarju storiku b’servizzi okkażjonali. Is-soċjetà għandha kapitoli f’bosta stati, b’dak f’Texas huwa l-akbar.")</f>
        <v>Paul Revere kien imnissel mir-refuġjati Huguenot, kif kien Henry Laurens, li ffirma l-Artikoli tal-Konfederazzjoni għal South Carolina; Jack Jouett, li għamel ir-rikba minn Cuckoo Tavern biex iwissi lil Thomas Jefferson u oħrajn li Tarleton u l-irġiel tiegħu kienu fi triqthom biex jarrestawh għal reati kontra r-re; Francis Marion, u numru ta ’mexxejja oħra tar-Rivoluzzjoni Amerikana u statisti aktar tard. L-aħħar kongregazzjoni attiva Huguenot fl-Amerika ta ’Fuq qima f’Charleston, South Carolina, fi knisja li tmur għall-1844. Is-Soċjetà Huguenot tal-Amerika żżomm il-Knisja Episkopali Manakin f’V Virginia bħala santwarju storiku b’servizzi okkażjonali. Is-soċjetà għandha kapitoli f’bosta stati, b’dak f’Texas huwa l-akbar.</v>
      </c>
    </row>
    <row r="15879" ht="15.75" customHeight="1">
      <c r="A15879" s="2" t="s">
        <v>15879</v>
      </c>
      <c r="B15879" s="2" t="str">
        <f>IFERROR(__xludf.DUMMYFUNCTION("GOOGLETRANSLATE(A15879, ""en"", ""mt"")"),"Alberto Calderón")</f>
        <v>Alberto Calderón</v>
      </c>
    </row>
    <row r="15880" ht="15.75" customHeight="1">
      <c r="A15880" s="2" t="s">
        <v>15880</v>
      </c>
      <c r="B15880" s="2" t="str">
        <f>IFERROR(__xludf.DUMMYFUNCTION("GOOGLETRANSLATE(A15880, ""en"", ""mt"")"),"X'inhu kwart ta 'Varsavja?")</f>
        <v>X'inhu kwart ta 'Varsavja?</v>
      </c>
    </row>
    <row r="15881" ht="15.75" customHeight="1">
      <c r="A15881" s="2" t="s">
        <v>15881</v>
      </c>
      <c r="B15881" s="2" t="str">
        <f>IFERROR(__xludf.DUMMYFUNCTION("GOOGLETRANSLATE(A15881, ""en"", ""mt"")"),"Meta l-gvern Iranjan ma rċeviex qawmien mill-ġdid?")</f>
        <v>Meta l-gvern Iranjan ma rċeviex qawmien mill-ġdid?</v>
      </c>
    </row>
    <row r="15882" ht="15.75" customHeight="1">
      <c r="A15882" s="2" t="s">
        <v>15882</v>
      </c>
      <c r="B15882" s="2" t="str">
        <f>IFERROR(__xludf.DUMMYFUNCTION("GOOGLETRANSLATE(A15882, ""en"", ""mt"")"),"Liema prinċipju għandu x'jaqsam mal-formazzjoni tal-ħsarat u l-età tas-sekwenzi li permezz tagħhom huma jaqtgħu?")</f>
        <v>Liema prinċipju għandu x'jaqsam mal-formazzjoni tal-ħsarat u l-età tas-sekwenzi li permezz tagħhom huma jaqtgħu?</v>
      </c>
    </row>
    <row r="15883" ht="15.75" customHeight="1">
      <c r="A15883" s="2" t="s">
        <v>15883</v>
      </c>
      <c r="B15883" s="2" t="str">
        <f>IFERROR(__xludf.DUMMYFUNCTION("GOOGLETRANSLATE(A15883, ""en"", ""mt"")"),"X'jiġri meta ċ-ċelloli B u ċ-ċelloli T jiġu diżattivati?")</f>
        <v>X'jiġri meta ċ-ċelloli B u ċ-ċelloli T jiġu diżattivati?</v>
      </c>
    </row>
    <row r="15884" ht="15.75" customHeight="1">
      <c r="A15884" s="2" t="s">
        <v>15884</v>
      </c>
      <c r="B15884" s="2" t="str">
        <f>IFERROR(__xludf.DUMMYFUNCTION("GOOGLETRANSLATE(A15884, ""en"", ""mt"")"),"Liema karriera ma għandux Joseph Stiglitz?")</f>
        <v>Liema karriera ma għandux Joseph Stiglitz?</v>
      </c>
    </row>
    <row r="15885" ht="15.75" customHeight="1">
      <c r="A15885" s="2" t="s">
        <v>15885</v>
      </c>
      <c r="B15885" s="2" t="str">
        <f>IFERROR(__xludf.DUMMYFUNCTION("GOOGLETRANSLATE(A15885, ""en"", ""mt"")"),"Ħalq ix-Xmara Monongahela (is-sit tal-lum Pittsburgh, Pennsylvania)")</f>
        <v>Ħalq ix-Xmara Monongahela (is-sit tal-lum Pittsburgh, Pennsylvania)</v>
      </c>
    </row>
    <row r="15886" ht="15.75" customHeight="1">
      <c r="A15886" s="2" t="s">
        <v>15886</v>
      </c>
      <c r="B15886" s="2" t="str">
        <f>IFERROR(__xludf.DUMMYFUNCTION("GOOGLETRANSLATE(A15886, ""en"", ""mt"")"),"Minħabba l-periklu inerenti fl-ossiġnu kkonċentrat, x'inhu tħassib dwar iż-żamma tiegħu?")</f>
        <v>Minħabba l-periklu inerenti fl-ossiġnu kkonċentrat, x'inhu tħassib dwar iż-żamma tiegħu?</v>
      </c>
    </row>
    <row r="15887" ht="15.75" customHeight="1">
      <c r="A15887" s="2" t="s">
        <v>15887</v>
      </c>
      <c r="B15887" s="2" t="str">
        <f>IFERROR(__xludf.DUMMYFUNCTION("GOOGLETRANSLATE(A15887, ""en"", ""mt"")"),"Qwest")</f>
        <v>Qwest</v>
      </c>
    </row>
    <row r="15888" ht="15.75" customHeight="1">
      <c r="A15888" s="2" t="s">
        <v>15888</v>
      </c>
      <c r="B15888" s="2" t="str">
        <f>IFERROR(__xludf.DUMMYFUNCTION("GOOGLETRANSLATE(A15888, ""en"", ""mt"")"),"Min kiteb il-karta ""riduttibilità fost problemi kombinatorji"" fl-1974?")</f>
        <v>Min kiteb il-karta "riduttibilità fost problemi kombinatorji" fl-1974?</v>
      </c>
    </row>
    <row r="15889" ht="15.75" customHeight="1">
      <c r="A15889" s="2" t="s">
        <v>15889</v>
      </c>
      <c r="B15889" s="2" t="str">
        <f>IFERROR(__xludf.DUMMYFUNCTION("GOOGLETRANSLATE(A15889, ""en"", ""mt"")"),"Meta ġie ffirmat l-Att Nazzjonali tal-Awtostrada Nazzjonali?")</f>
        <v>Meta ġie ffirmat l-Att Nazzjonali tal-Awtostrada Nazzjonali?</v>
      </c>
    </row>
    <row r="15890" ht="15.75" customHeight="1">
      <c r="A15890" s="2" t="s">
        <v>15890</v>
      </c>
      <c r="B15890" s="2" t="str">
        <f>IFERROR(__xludf.DUMMYFUNCTION("GOOGLETRANSLATE(A15890, ""en"", ""mt"")"),"Min esplora t-territorju ta 'Ohio fl-1750?")</f>
        <v>Min esplora t-territorju ta 'Ohio fl-1750?</v>
      </c>
    </row>
    <row r="15891" ht="15.75" customHeight="1">
      <c r="A15891" s="2" t="s">
        <v>15891</v>
      </c>
      <c r="B15891" s="2" t="str">
        <f>IFERROR(__xludf.DUMMYFUNCTION("GOOGLETRANSLATE(A15891, ""en"", ""mt"")"),"Meta ġiet meqruda l-kolonja?")</f>
        <v>Meta ġiet meqruda l-kolonja?</v>
      </c>
    </row>
    <row r="15892" ht="15.75" customHeight="1">
      <c r="A15892" s="2" t="s">
        <v>15892</v>
      </c>
      <c r="B15892" s="2" t="str">
        <f>IFERROR(__xludf.DUMMYFUNCTION("GOOGLETRANSLATE(A15892, ""en"", ""mt"")"),"X'tip ta 'element ta' tisħin spiss jintuża fil-magni tal-kamra tal-ġugarell?")</f>
        <v>X'tip ta 'element ta' tisħin spiss jintuża fil-magni tal-kamra tal-ġugarell?</v>
      </c>
    </row>
    <row r="15893" ht="15.75" customHeight="1">
      <c r="A15893" s="2" t="s">
        <v>15893</v>
      </c>
      <c r="B15893" s="2" t="str">
        <f>IFERROR(__xludf.DUMMYFUNCTION("GOOGLETRANSLATE(A15893, ""en"", ""mt"")"),"Meta l-Ingilterra temmet formalment il-gwerra fuq Franza?")</f>
        <v>Meta l-Ingilterra temmet formalment il-gwerra fuq Franza?</v>
      </c>
    </row>
    <row r="15894" ht="15.75" customHeight="1">
      <c r="A15894" s="2" t="s">
        <v>15894</v>
      </c>
      <c r="B15894" s="2" t="str">
        <f>IFERROR(__xludf.DUMMYFUNCTION("GOOGLETRANSLATE(A15894, ""en"", ""mt"")"),"Liema sena hija l-ewwel traċċi tal-kulur Crimson f'Harvard?")</f>
        <v>Liema sena hija l-ewwel traċċi tal-kulur Crimson f'Harvard?</v>
      </c>
    </row>
    <row r="15895" ht="15.75" customHeight="1">
      <c r="A15895" s="2" t="s">
        <v>15895</v>
      </c>
      <c r="B15895" s="2" t="str">
        <f>IFERROR(__xludf.DUMMYFUNCTION("GOOGLETRANSLATE(A15895, ""en"", ""mt"")"),"Kemm rikostruzzjonijiet medjevali ta 'perjodu sħun koprew 1,000+ sena?")</f>
        <v>Kemm rikostruzzjonijiet medjevali ta 'perjodu sħun koprew 1,000+ sena?</v>
      </c>
    </row>
    <row r="15896" ht="15.75" customHeight="1">
      <c r="A15896" s="2" t="s">
        <v>15896</v>
      </c>
      <c r="B15896" s="2" t="str">
        <f>IFERROR(__xludf.DUMMYFUNCTION("GOOGLETRANSLATE(A15896, ""en"", ""mt"")"),"Min hu rumanzier li jirbaħ il-Premju Nobel minn qabel?")</f>
        <v>Min hu rumanzier li jirbaħ il-Premju Nobel minn qabel?</v>
      </c>
    </row>
    <row r="15897" ht="15.75" customHeight="1">
      <c r="A15897" s="2" t="s">
        <v>15897</v>
      </c>
      <c r="B15897" s="2" t="str">
        <f>IFERROR(__xludf.DUMMYFUNCTION("GOOGLETRANSLATE(A15897, ""en"", ""mt"")"),"Ix-xandir tal-WBAI ftit mill-kummiedja ta 'George Carlin eventwalment wassal għal xiex?")</f>
        <v>Ix-xandir tal-WBAI ftit mill-kummiedja ta 'George Carlin eventwalment wassal għal xiex?</v>
      </c>
    </row>
    <row r="15898" ht="15.75" customHeight="1">
      <c r="A15898" s="2" t="s">
        <v>15898</v>
      </c>
      <c r="B15898" s="2" t="str">
        <f>IFERROR(__xludf.DUMMYFUNCTION("GOOGLETRANSLATE(A15898, ""en"", ""mt"")"),"tnaqqis tax-xogħol organizzat")</f>
        <v>tnaqqis tax-xogħol organizzat</v>
      </c>
    </row>
    <row r="15899" ht="15.75" customHeight="1">
      <c r="A15899" s="2" t="s">
        <v>15899</v>
      </c>
      <c r="B15899" s="2" t="str">
        <f>IFERROR(__xludf.DUMMYFUNCTION("GOOGLETRANSLATE(A15899, ""en"", ""mt"")"),"6,000 kilometru kwadru")</f>
        <v>6,000 kilometru kwadru</v>
      </c>
    </row>
    <row r="15900" ht="15.75" customHeight="1">
      <c r="A15900" s="2" t="s">
        <v>15900</v>
      </c>
      <c r="B15900" s="2" t="str">
        <f>IFERROR(__xludf.DUMMYFUNCTION("GOOGLETRANSLATE(A15900, ""en"", ""mt"")"),"Iddgħajjef il-liġi billi tinkoraġġixxi d-diżubbidjenza ġenerali")</f>
        <v>Iddgħajjef il-liġi billi tinkoraġġixxi d-diżubbidjenza ġenerali</v>
      </c>
    </row>
    <row r="15901" ht="15.75" customHeight="1">
      <c r="A15901" s="2" t="s">
        <v>15901</v>
      </c>
      <c r="B15901" s="2" t="str">
        <f>IFERROR(__xludf.DUMMYFUNCTION("GOOGLETRANSLATE(A15901, ""en"", ""mt"")"),"It-tabib għandu interess awto finanzjarju fid- ""dijanjosi"" kemm jista 'jkun kundizzjonijiet")</f>
        <v>It-tabib għandu interess awto finanzjarju fid- "dijanjosi" kemm jista 'jkun kundizzjonijiet</v>
      </c>
    </row>
    <row r="15902" ht="15.75" customHeight="1">
      <c r="A15902" s="2" t="s">
        <v>15902</v>
      </c>
      <c r="B15902" s="2" t="str">
        <f>IFERROR(__xludf.DUMMYFUNCTION("GOOGLETRANSLATE(A15902, ""en"", ""mt"")"),"Liema speċi huma annimali planktoniċi b'forma ta 'żigarella?")</f>
        <v>Liema speċi huma annimali planktoniċi b'forma ta 'żigarella?</v>
      </c>
    </row>
    <row r="15903" ht="15.75" customHeight="1">
      <c r="A15903" s="2" t="s">
        <v>15903</v>
      </c>
      <c r="B15903" s="2" t="str">
        <f>IFERROR(__xludf.DUMMYFUNCTION("GOOGLETRANSLATE(A15903, ""en"", ""mt"")"),"X'bidliet l-enerġiji tas-sistema magħluqa makroskopiċi?")</f>
        <v>X'bidliet l-enerġiji tas-sistema magħluqa makroskopiċi?</v>
      </c>
    </row>
    <row r="15904" ht="15.75" customHeight="1">
      <c r="A15904" s="2" t="s">
        <v>15904</v>
      </c>
      <c r="B15904" s="2" t="str">
        <f>IFERROR(__xludf.DUMMYFUNCTION("GOOGLETRANSLATE(A15904, ""en"", ""mt"")"),"It-Torri Magdalen ta 'Oxford")</f>
        <v>It-Torri Magdalen ta 'Oxford</v>
      </c>
    </row>
    <row r="15905" ht="15.75" customHeight="1">
      <c r="A15905" s="2" t="s">
        <v>15905</v>
      </c>
      <c r="B15905" s="2" t="str">
        <f>IFERROR(__xludf.DUMMYFUNCTION("GOOGLETRANSLATE(A15905, ""en"", ""mt"")"),"Liġijiet tal-Istat individwali")</f>
        <v>Liġijiet tal-Istat individwali</v>
      </c>
    </row>
    <row r="15906" ht="15.75" customHeight="1">
      <c r="A15906" s="2" t="s">
        <v>15906</v>
      </c>
      <c r="B15906" s="2" t="str">
        <f>IFERROR(__xludf.DUMMYFUNCTION("GOOGLETRANSLATE(A15906, ""en"", ""mt"")"),"Liema studju preċedenti f'Jacksonville ġie kkonvertit għal mużew tal-films modern?")</f>
        <v>Liema studju preċedenti f'Jacksonville ġie kkonvertit għal mużew tal-films modern?</v>
      </c>
    </row>
    <row r="15907" ht="15.75" customHeight="1">
      <c r="A15907" s="2" t="s">
        <v>15907</v>
      </c>
      <c r="B15907" s="2" t="str">
        <f>IFERROR(__xludf.DUMMYFUNCTION("GOOGLETRANSLATE(A15907, ""en"", ""mt"")"),"falliet")</f>
        <v>falliet</v>
      </c>
    </row>
    <row r="15908" ht="15.75" customHeight="1">
      <c r="A15908" s="2" t="s">
        <v>15908</v>
      </c>
      <c r="B15908" s="2" t="str">
        <f>IFERROR(__xludf.DUMMYFUNCTION("GOOGLETRANSLATE(A15908, ""en"", ""mt"")"),"Liema flussi mill-ex-Bay Hollands Diep?")</f>
        <v>Liema flussi mill-ex-Bay Hollands Diep?</v>
      </c>
    </row>
    <row r="15909" ht="15.75" customHeight="1">
      <c r="A15909" s="2" t="s">
        <v>15909</v>
      </c>
      <c r="B15909" s="2" t="str">
        <f>IFERROR(__xludf.DUMMYFUNCTION("GOOGLETRANSLATE(A15909, ""en"", ""mt"")"),"F'żoni l-forzi tagħha okkupati fl-Ewropa tal-Lvant")</f>
        <v>F'żoni l-forzi tagħha okkupati fl-Ewropa tal-Lvant</v>
      </c>
    </row>
    <row r="15910" ht="15.75" customHeight="1">
      <c r="A15910" s="2" t="s">
        <v>15910</v>
      </c>
      <c r="B15910" s="2" t="str">
        <f>IFERROR(__xludf.DUMMYFUNCTION("GOOGLETRANSLATE(A15910, ""en"", ""mt"")"),"Xi jfisser pajjiż hekk kif jiżviluppa?")</f>
        <v>Xi jfisser pajjiż hekk kif jiżviluppa?</v>
      </c>
    </row>
    <row r="15911" ht="15.75" customHeight="1">
      <c r="A15911" s="2" t="s">
        <v>15911</v>
      </c>
      <c r="B15911" s="2" t="str">
        <f>IFERROR(__xludf.DUMMYFUNCTION("GOOGLETRANSLATE(A15911, ""en"", ""mt"")"),"Immunoloġija")</f>
        <v>Immunoloġija</v>
      </c>
    </row>
    <row r="15912" ht="15.75" customHeight="1">
      <c r="A15912" s="2" t="s">
        <v>15912</v>
      </c>
      <c r="B15912" s="2" t="str">
        <f>IFERROR(__xludf.DUMMYFUNCTION("GOOGLETRANSLATE(A15912, ""en"", ""mt"")"),"Liema forzi għandhom iservu bħala brejk fuq il-konċentrazzjoni tal-ġid?")</f>
        <v>Liema forzi għandhom iservu bħala brejk fuq il-konċentrazzjoni tal-ġid?</v>
      </c>
    </row>
    <row r="15913" ht="15.75" customHeight="1">
      <c r="A15913" s="2" t="s">
        <v>15913</v>
      </c>
      <c r="B15913" s="2" t="str">
        <f>IFERROR(__xludf.DUMMYFUNCTION("GOOGLETRANSLATE(A15913, ""en"", ""mt"")")," Dak li ma ġarax bħala riżultat tal-gwerra Russo-Ġappuniża?")</f>
        <v> Dak li ma ġarax bħala riżultat tal-gwerra Russo-Ġappuniża?</v>
      </c>
    </row>
    <row r="15914" ht="15.75" customHeight="1">
      <c r="A15914" s="2" t="s">
        <v>15914</v>
      </c>
      <c r="B15914" s="2" t="str">
        <f>IFERROR(__xludf.DUMMYFUNCTION("GOOGLETRANSLATE(A15914, ""en"", ""mt"")"),"Meta kien Geegen l-Imperatur?")</f>
        <v>Meta kien Geegen l-Imperatur?</v>
      </c>
    </row>
    <row r="15915" ht="15.75" customHeight="1">
      <c r="A15915" s="2" t="s">
        <v>15915</v>
      </c>
      <c r="B15915" s="2" t="str">
        <f>IFERROR(__xludf.DUMMYFUNCTION("GOOGLETRANSLATE(A15915, ""en"", ""mt"")"),"X'inhi fażi stabbilita?")</f>
        <v>X'inhi fażi stabbilita?</v>
      </c>
    </row>
    <row r="15916" ht="15.75" customHeight="1">
      <c r="A15916" s="2" t="s">
        <v>15916</v>
      </c>
      <c r="B15916" s="2" t="str">
        <f>IFERROR(__xludf.DUMMYFUNCTION("GOOGLETRANSLATE(A15916, ""en"", ""mt"")"),"X'karatteristiċi kellu l-antenat komuni ta 'Lagerstatten?")</f>
        <v>X'karatteristiċi kellu l-antenat komuni ta 'Lagerstatten?</v>
      </c>
    </row>
    <row r="15917" ht="15.75" customHeight="1">
      <c r="A15917" s="2" t="s">
        <v>15917</v>
      </c>
      <c r="B15917" s="2" t="str">
        <f>IFERROR(__xludf.DUMMYFUNCTION("GOOGLETRANSLATE(A15917, ""en"", ""mt"")"),"X'tiproduċiet is-Soċjetà Filosofika Amerikana fl-1809?")</f>
        <v>X'tiproduċiet is-Soċjetà Filosofika Amerikana fl-1809?</v>
      </c>
    </row>
    <row r="15918" ht="15.75" customHeight="1">
      <c r="A15918" s="2" t="s">
        <v>15918</v>
      </c>
      <c r="B15918" s="2" t="str">
        <f>IFERROR(__xludf.DUMMYFUNCTION("GOOGLETRANSLATE(A15918, ""en"", ""mt"")"),"Mill-2001")</f>
        <v>Mill-2001</v>
      </c>
    </row>
    <row r="15919" ht="15.75" customHeight="1">
      <c r="A15919" s="2" t="s">
        <v>15919</v>
      </c>
      <c r="B15919" s="2" t="str">
        <f>IFERROR(__xludf.DUMMYFUNCTION("GOOGLETRANSLATE(A15919, ""en"", ""mt"")"),"Enerġiji interni tas-sistema")</f>
        <v>Enerġiji interni tas-sistema</v>
      </c>
    </row>
    <row r="15920" ht="15.75" customHeight="1">
      <c r="A15920" s="2" t="s">
        <v>15920</v>
      </c>
      <c r="B15920" s="2" t="str">
        <f>IFERROR(__xludf.DUMMYFUNCTION("GOOGLETRANSLATE(A15920, ""en"", ""mt"")"),"L-idea ta 'immunità akkwistata fil-vertebrati tax-xedaq hija l-bażi ta' liema trattament mediku?")</f>
        <v>L-idea ta 'immunità akkwistata fil-vertebrati tax-xedaq hija l-bażi ta' liema trattament mediku?</v>
      </c>
    </row>
    <row r="15921" ht="15.75" customHeight="1">
      <c r="A15921" s="2" t="s">
        <v>15921</v>
      </c>
      <c r="B15921" s="2" t="str">
        <f>IFERROR(__xludf.DUMMYFUNCTION("GOOGLETRANSLATE(A15921, ""en"", ""mt"")"),"AppleTalk kienet suite proprjetarja ta 'protokolli ta' netwerking żviluppati minn Apple Inc. fl-1985 għall-kompjuters ta 'Apple Macintosh. Kien il-protokoll primarju użat mill-apparati tat-tuffieħ matul is-snin 1980 u 90. AppleTalk kien jinkludi karatteri"&amp;"stiċi li ppermettew li n-netwerks taż-żona lokali jiġu stabbiliti ad hoc mingħajr il-ħtieġa għal router jew server ċentralizzat. Is-sistema AppleTalk assenjata awtomatikament indirizzi, aġġornat l-ispazju ta 'l-ismijiet distribwit, u kkonfigurat kwalunkwe"&amp;" rotta ta' bejn in-netwerk meħtieġa. Kienet sistema plug-n-play.")</f>
        <v>AppleTalk kienet suite proprjetarja ta 'protokolli ta' netwerking żviluppati minn Apple Inc. fl-1985 għall-kompjuters ta 'Apple Macintosh. Kien il-protokoll primarju użat mill-apparati tat-tuffieħ matul is-snin 1980 u 90. AppleTalk kien jinkludi karatteristiċi li ppermettew li n-netwerks taż-żona lokali jiġu stabbiliti ad hoc mingħajr il-ħtieġa għal router jew server ċentralizzat. Is-sistema AppleTalk assenjata awtomatikament indirizzi, aġġornat l-ispazju ta 'l-ismijiet distribwit, u kkonfigurat kwalunkwe rotta ta' bejn in-netwerk meħtieġa. Kienet sistema plug-n-play.</v>
      </c>
    </row>
    <row r="15922" ht="15.75" customHeight="1">
      <c r="A15922" s="2" t="s">
        <v>15922</v>
      </c>
      <c r="B15922" s="2" t="str">
        <f>IFERROR(__xludf.DUMMYFUNCTION("GOOGLETRANSLATE(A15922, ""en"", ""mt"")"),"Art tal-Punent mill-Medju Evu sal-Preżent")</f>
        <v>Art tal-Punent mill-Medju Evu sal-Preżent</v>
      </c>
    </row>
    <row r="15923" ht="15.75" customHeight="1">
      <c r="A15923" s="2" t="s">
        <v>15923</v>
      </c>
      <c r="B15923" s="2" t="str">
        <f>IFERROR(__xludf.DUMMYFUNCTION("GOOGLETRANSLATE(A15923, ""en"", ""mt"")"),"Liema poeta Ġermaniż kien imnissel minn Huguenots?")</f>
        <v>Liema poeta Ġermaniż kien imnissel minn Huguenots?</v>
      </c>
    </row>
    <row r="15924" ht="15.75" customHeight="1">
      <c r="A15924" s="2" t="s">
        <v>15924</v>
      </c>
      <c r="B15924" s="2" t="str">
        <f>IFERROR(__xludf.DUMMYFUNCTION("GOOGLETRANSLATE(A15924, ""en"", ""mt"")"),"Saff ta 'ożonu ta' altitudni għolja")</f>
        <v>Saff ta 'ożonu ta' altitudni għolja</v>
      </c>
    </row>
    <row r="15925" ht="15.75" customHeight="1">
      <c r="A15925" s="2" t="s">
        <v>15925</v>
      </c>
      <c r="B15925" s="2" t="str">
        <f>IFERROR(__xludf.DUMMYFUNCTION("GOOGLETRANSLATE(A15925, ""en"", ""mt"")"),"trattament")</f>
        <v>trattament</v>
      </c>
    </row>
    <row r="15926" ht="15.75" customHeight="1">
      <c r="A15926" s="2" t="s">
        <v>15926</v>
      </c>
      <c r="B15926" s="2" t="str">
        <f>IFERROR(__xludf.DUMMYFUNCTION("GOOGLETRANSLATE(A15926, ""en"", ""mt"")"),"Kemm 'il bogħod mit-tarzna tinsab il-quad?")</f>
        <v>Kemm 'il bogħod mit-tarzna tinsab il-quad?</v>
      </c>
    </row>
    <row r="15927" ht="15.75" customHeight="1">
      <c r="A15927" s="2" t="s">
        <v>15927</v>
      </c>
      <c r="B15927" s="2" t="str">
        <f>IFERROR(__xludf.DUMMYFUNCTION("GOOGLETRANSLATE(A15927, ""en"", ""mt"")"),"Liema xahar huwa l-ewwel wieħed fis-sena l-parlament jieħu vaganza ta 'ġimgħatejn?")</f>
        <v>Liema xahar huwa l-ewwel wieħed fis-sena l-parlament jieħu vaganza ta 'ġimgħatejn?</v>
      </c>
    </row>
    <row r="15928" ht="15.75" customHeight="1">
      <c r="A15928" s="2" t="s">
        <v>15928</v>
      </c>
      <c r="B15928" s="2" t="str">
        <f>IFERROR(__xludf.DUMMYFUNCTION("GOOGLETRANSLATE(A15928, ""en"", ""mt"")"),"relattivament ugwali")</f>
        <v>relattivament ugwali</v>
      </c>
    </row>
    <row r="15929" ht="15.75" customHeight="1">
      <c r="A15929" s="2" t="s">
        <v>15929</v>
      </c>
      <c r="B15929" s="2" t="str">
        <f>IFERROR(__xludf.DUMMYFUNCTION("GOOGLETRANSLATE(A15929, ""en"", ""mt"")"),"waħda li tappoġġja Th1")</f>
        <v>waħda li tappoġġja Th1</v>
      </c>
    </row>
    <row r="15930" ht="15.75" customHeight="1">
      <c r="A15930" s="2" t="s">
        <v>15930</v>
      </c>
      <c r="B15930" s="2" t="str">
        <f>IFERROR(__xludf.DUMMYFUNCTION("GOOGLETRANSLATE(A15930, ""en"", ""mt"")"),"Albert Einstein")</f>
        <v>Albert Einstein</v>
      </c>
    </row>
    <row r="15931" ht="15.75" customHeight="1">
      <c r="A15931" s="2" t="s">
        <v>15931</v>
      </c>
      <c r="B15931" s="2" t="str">
        <f>IFERROR(__xludf.DUMMYFUNCTION("GOOGLETRANSLATE(A15931, ""en"", ""mt"")"),"Quddiem l-iskrivanija tal-uffiċjali li jippresiedu hemm il-mace parlamentari, li huwa magħmul mill-fidda u intarsjat bid-deheb imqabbad mix-xmajjar Skoċċiżi u miktub bil-kliem: għerf, kompassjoni, ġustizzja u integrità. Il-kliem li jkun hemm il-Parlament "&amp;"Skoċċiż, li huma l-ewwel kliem tal-Att tal-Iskozja, huma miktuba madwar il-kap tal-Mace, li għandu rwol ċerimonjali formali fil-laqgħat tal-Parlament, li jsaħħaħ l-awtorità tal-Parlament fil-kapaċità tiegħu tagħmel liġijiet. Ippreżentat lill-Parlament Sko"&amp;"ċċiż mir-Reġina wara l-ftuħ uffiċjali tagħha f'Lulju 1999, il-mace hija murija f'każ tal-ħġieġ sospiż mill-għatu. Fil-bidu ta 'kull seduta fil-kamra, l-għatu tal-każ huwa mdawwar sabiex il-mace tkun' il fuq mill-ħġieġ, biex tissimbolizza li qed isseħħ laq"&amp;"għa sħiħa tal-Parlament.")</f>
        <v>Quddiem l-iskrivanija tal-uffiċjali li jippresiedu hemm il-mace parlamentari, li huwa magħmul mill-fidda u intarsjat bid-deheb imqabbad mix-xmajjar Skoċċiżi u miktub bil-kliem: għerf, kompassjoni, ġustizzja u integrità. Il-kliem li jkun hemm il-Parlament Skoċċiż, li huma l-ewwel kliem tal-Att tal-Iskozja, huma miktuba madwar il-kap tal-Mace, li għandu rwol ċerimonjali formali fil-laqgħat tal-Parlament, li jsaħħaħ l-awtorità tal-Parlament fil-kapaċità tiegħu tagħmel liġijiet. Ippreżentat lill-Parlament Skoċċiż mir-Reġina wara l-ftuħ uffiċjali tagħha f'Lulju 1999, il-mace hija murija f'każ tal-ħġieġ sospiż mill-għatu. Fil-bidu ta 'kull seduta fil-kamra, l-għatu tal-każ huwa mdawwar sabiex il-mace tkun' il fuq mill-ħġieġ, biex tissimbolizza li qed isseħħ laqgħa sħiħa tal-Parlament.</v>
      </c>
    </row>
    <row r="15932" ht="15.75" customHeight="1">
      <c r="A15932" s="2" t="s">
        <v>15932</v>
      </c>
      <c r="B15932" s="2" t="str">
        <f>IFERROR(__xludf.DUMMYFUNCTION("GOOGLETRANSLATE(A15932, ""en"", ""mt"")"),"X'inhu l-gauge tal-linji tal-enerġija Vittorjana?")</f>
        <v>X'inhu l-gauge tal-linji tal-enerġija Vittorjana?</v>
      </c>
    </row>
    <row r="15933" ht="15.75" customHeight="1">
      <c r="A15933" s="2" t="s">
        <v>15933</v>
      </c>
      <c r="B15933" s="2" t="str">
        <f>IFERROR(__xludf.DUMMYFUNCTION("GOOGLETRANSLATE(A15933, ""en"", ""mt"")"),"Żona Medika u Akkademika ta 'Longwood")</f>
        <v>Żona Medika u Akkademika ta 'Longwood</v>
      </c>
    </row>
    <row r="15934" ht="15.75" customHeight="1">
      <c r="A15934" s="2" t="s">
        <v>15934</v>
      </c>
      <c r="B15934" s="2" t="str">
        <f>IFERROR(__xludf.DUMMYFUNCTION("GOOGLETRANSLATE(A15934, ""en"", ""mt"")"),"1/6")</f>
        <v>1/6</v>
      </c>
    </row>
    <row r="15935" ht="15.75" customHeight="1">
      <c r="A15935" s="2" t="s">
        <v>15935</v>
      </c>
      <c r="B15935" s="2" t="str">
        <f>IFERROR(__xludf.DUMMYFUNCTION("GOOGLETRANSLATE(A15935, ""en"", ""mt"")"),"X’wassal biex Newcastle jaqa ’mill-poter bħala konsulent militari?")</f>
        <v>X’wassal biex Newcastle jaqa ’mill-poter bħala konsulent militari?</v>
      </c>
    </row>
    <row r="15936" ht="15.75" customHeight="1">
      <c r="A15936" s="2" t="s">
        <v>15936</v>
      </c>
      <c r="B15936" s="2" t="str">
        <f>IFERROR(__xludf.DUMMYFUNCTION("GOOGLETRANSLATE(A15936, ""en"", ""mt"")"),"Min jagħżel il-membri tal-Parlament Ewropew?")</f>
        <v>Min jagħżel il-membri tal-Parlament Ewropew?</v>
      </c>
    </row>
    <row r="15937" ht="15.75" customHeight="1">
      <c r="A15937" s="2" t="s">
        <v>15937</v>
      </c>
      <c r="B15937" s="2" t="str">
        <f>IFERROR(__xludf.DUMMYFUNCTION("GOOGLETRANSLATE(A15937, ""en"", ""mt"")"),"Is-soluzzjoni tagħha teħtieġ riżorsi sinifikanti")</f>
        <v>Is-soluzzjoni tagħha teħtieġ riżorsi sinifikanti</v>
      </c>
    </row>
    <row r="15938" ht="15.75" customHeight="1">
      <c r="A15938" s="2" t="s">
        <v>15938</v>
      </c>
      <c r="B15938" s="2" t="str">
        <f>IFERROR(__xludf.DUMMYFUNCTION("GOOGLETRANSLATE(A15938, ""en"", ""mt"")")," Min kien iqbal sostenitur ta '?")</f>
        <v> Min kien iqbal sostenitur ta '?</v>
      </c>
    </row>
    <row r="15939" ht="15.75" customHeight="1">
      <c r="A15939" s="2" t="s">
        <v>15939</v>
      </c>
      <c r="B15939" s="2" t="str">
        <f>IFERROR(__xludf.DUMMYFUNCTION("GOOGLETRANSLATE(A15939, ""en"", ""mt"")"),"ortogonali")</f>
        <v>ortogonali</v>
      </c>
    </row>
    <row r="15940" ht="15.75" customHeight="1">
      <c r="A15940" s="2" t="s">
        <v>15940</v>
      </c>
      <c r="B15940" s="2" t="str">
        <f>IFERROR(__xludf.DUMMYFUNCTION("GOOGLETRANSLATE(A15940, ""en"", ""mt"")"),"moxt ġelatina")</f>
        <v>moxt ġelatina</v>
      </c>
    </row>
    <row r="15941" ht="15.75" customHeight="1">
      <c r="A15941" s="2" t="s">
        <v>15941</v>
      </c>
      <c r="B15941" s="2" t="str">
        <f>IFERROR(__xludf.DUMMYFUNCTION("GOOGLETRANSLATE(A15941, ""en"", ""mt"")"),"Kemm huguenot stabbilixxa fit-territorju tas-Sassonja t'isfel tal-Ġermanja?")</f>
        <v>Kemm huguenot stabbilixxa fit-territorju tas-Sassonja t'isfel tal-Ġermanja?</v>
      </c>
    </row>
    <row r="15942" ht="15.75" customHeight="1">
      <c r="A15942" s="2" t="s">
        <v>15942</v>
      </c>
      <c r="B15942" s="2" t="str">
        <f>IFERROR(__xludf.DUMMYFUNCTION("GOOGLETRANSLATE(A15942, ""en"", ""mt"")"),"Il-qoxra tad-Dinja")</f>
        <v>Il-qoxra tad-Dinja</v>
      </c>
    </row>
    <row r="15943" ht="15.75" customHeight="1">
      <c r="A15943" s="2" t="s">
        <v>15943</v>
      </c>
      <c r="B15943" s="2" t="str">
        <f>IFERROR(__xludf.DUMMYFUNCTION("GOOGLETRANSLATE(A15943, ""en"", ""mt"")"),"tikkastiga lill-poplu Miami")</f>
        <v>tikkastiga lill-poplu Miami</v>
      </c>
    </row>
    <row r="15944" ht="15.75" customHeight="1">
      <c r="A15944" s="2" t="s">
        <v>15944</v>
      </c>
      <c r="B15944" s="2" t="str">
        <f>IFERROR(__xludf.DUMMYFUNCTION("GOOGLETRANSLATE(A15944, ""en"", ""mt"")"),"X'inhi t-tmien l-iktar belt popolata fin-nazzjon?")</f>
        <v>X'inhi t-tmien l-iktar belt popolata fin-nazzjon?</v>
      </c>
    </row>
    <row r="15945" ht="15.75" customHeight="1">
      <c r="A15945" s="2" t="s">
        <v>15945</v>
      </c>
      <c r="B15945" s="2" t="str">
        <f>IFERROR(__xludf.DUMMYFUNCTION("GOOGLETRANSLATE(A15945, ""en"", ""mt"")"),"Liema parti hija l-iktar b'saħħitha fid-distrett finanzjarju ta 'Melbourne?")</f>
        <v>Liema parti hija l-iktar b'saħħitha fid-distrett finanzjarju ta 'Melbourne?</v>
      </c>
    </row>
    <row r="15946" ht="15.75" customHeight="1">
      <c r="A15946" s="2" t="s">
        <v>15946</v>
      </c>
      <c r="B15946" s="2" t="str">
        <f>IFERROR(__xludf.DUMMYFUNCTION("GOOGLETRANSLATE(A15946, ""en"", ""mt"")"),"Magna tat-Turing deterministika hija l-iktar magna bażika tat-Turing, li tuża sett fiss ta 'regoli biex tiddetermina l-azzjonijiet futuri tagħha. Magna tat-Turing probabilistika hija magna tat-Turing deterministika bi provvista żejda ta 'bits bl-addoċċ. I"&amp;"l-ħila li tieħu deċiżjonijiet probabilistiċi ħafna drabi tgħin lill-algoritmi jsolvu problemi b'mod aktar effiċjenti. Algoritmi li jużaw bits bl-addoċċ jissejħu algoritmi randomised. Magna tat-Turing mhux deterministika hija magna tat-Turing deterministik"&amp;"a b'karatteristika miżjuda ta 'non-determiniżmu, li tippermetti li magna tat-Turing ikollha azzjonijiet futuri possibbli multipli minn stat partikolari. Mod wieħed kif tara n-non-determiniżmu huwa li l-magna tat-Turing fergħat f'ħafna mogħdijiet tal-kompu"&amp;"tazzjoni possibbli f'kull pass, u jekk issolvi l-problema fi kwalunkwe waħda minn dawn il-fergħat, jingħad li solviet il-problema. B'mod ċar, dan il-mudell mhuwiex maħsub biex ikun mudell fiżikament realizzabbli, huwa biss magna astratta teoretikament int"&amp;"eressanti li tagħti lok għal klassijiet ta 'kumplessità partikolarment interessanti. Għal eżempji, ara l-algoritmu mhux deterministiku.")</f>
        <v>Magna tat-Turing deterministika hija l-iktar magna bażika tat-Turing, li tuża sett fiss ta 'regoli biex tiddetermina l-azzjonijiet futuri tagħha. Magna tat-Turing probabilistika hija magna tat-Turing deterministika bi provvista żejda ta 'bits bl-addoċċ. Il-ħila li tieħu deċiżjonijiet probabilistiċi ħafna drabi tgħin lill-algoritmi jsolvu problemi b'mod aktar effiċjenti. Algoritmi li jużaw bits bl-addoċċ jissejħu algoritmi randomised. Magna tat-Turing mhux deterministika hija magna tat-Turing deterministika b'karatteristika miżjuda ta 'non-determiniżmu, li tippermetti li magna tat-Turing ikollha azzjonijiet futuri possibbli multipli minn stat partikolari. Mod wieħed kif tara n-non-determiniżmu huwa li l-magna tat-Turing fergħat f'ħafna mogħdijiet tal-komputazzjoni possibbli f'kull pass, u jekk issolvi l-problema fi kwalunkwe waħda minn dawn il-fergħat, jingħad li solviet il-problema. B'mod ċar, dan il-mudell mhuwiex maħsub biex ikun mudell fiżikament realizzabbli, huwa biss magna astratta teoretikament interessanti li tagħti lok għal klassijiet ta 'kumplessità partikolarment interessanti. Għal eżempji, ara l-algoritmu mhux deterministiku.</v>
      </c>
    </row>
    <row r="15947" ht="15.75" customHeight="1">
      <c r="A15947" s="2" t="s">
        <v>15947</v>
      </c>
      <c r="B15947" s="2" t="str">
        <f>IFERROR(__xludf.DUMMYFUNCTION("GOOGLETRANSLATE(A15947, ""en"", ""mt"")"),"Liema artijiet ma kinux riservati għan-nies tan-nies?")</f>
        <v>Liema artijiet ma kinux riservati għan-nies tan-nies?</v>
      </c>
    </row>
    <row r="15948" ht="15.75" customHeight="1">
      <c r="A15948" s="2" t="s">
        <v>15948</v>
      </c>
      <c r="B15948" s="2" t="str">
        <f>IFERROR(__xludf.DUMMYFUNCTION("GOOGLETRANSLATE(A15948, ""en"", ""mt"")"),"1798")</f>
        <v>1798</v>
      </c>
    </row>
    <row r="15949" ht="15.75" customHeight="1">
      <c r="A15949" s="2" t="s">
        <v>15949</v>
      </c>
      <c r="B15949" s="2" t="str">
        <f>IFERROR(__xludf.DUMMYFUNCTION("GOOGLETRANSLATE(A15949, ""en"", ""mt"")"),"X'hemm bżonn li l-qorti tkun inqas aċċessibbli?")</f>
        <v>X'hemm bżonn li l-qorti tkun inqas aċċessibbli?</v>
      </c>
    </row>
    <row r="15950" ht="15.75" customHeight="1">
      <c r="A15950" s="2" t="s">
        <v>15950</v>
      </c>
      <c r="B15950" s="2" t="str">
        <f>IFERROR(__xludf.DUMMYFUNCTION("GOOGLETRANSLATE(A15950, ""en"", ""mt"")"),"Il-konġettura ta 'Goldbach")</f>
        <v>Il-konġettura ta 'Goldbach</v>
      </c>
    </row>
    <row r="15951" ht="15.75" customHeight="1">
      <c r="A15951" s="2" t="s">
        <v>15951</v>
      </c>
      <c r="B15951" s="2" t="str">
        <f>IFERROR(__xludf.DUMMYFUNCTION("GOOGLETRANSLATE(A15951, ""en"", ""mt"")"),"X'inhu r-rekord tat-temperatura l-iktar sħun għal Fresno?")</f>
        <v>X'inhu r-rekord tat-temperatura l-iktar sħun għal Fresno?</v>
      </c>
    </row>
    <row r="15952" ht="15.75" customHeight="1">
      <c r="A15952" s="2" t="s">
        <v>15952</v>
      </c>
      <c r="B15952" s="2" t="str">
        <f>IFERROR(__xludf.DUMMYFUNCTION("GOOGLETRANSLATE(A15952, ""en"", ""mt"")"),"Sal-bidu tas-snin 1980, l-industrija kienet sors ewlieni ta 'tniġġis tal-ilma. Għalkemm ħafna pjanti u fabbriki jistgħu jinstabu tul ir-Renu fl-Isvizzera, huwa tul ir-Renu t'isfel li l-biċċa l-kbira tagħhom huma kkonċentrati, hekk kif ix-xmara tgħaddi mil"&amp;"l-ibliet il-kbar ta 'Cologne, Düsseldorf u Duisburg. Duisburg huwa d-dar tal-ikbar port intern tal-Ewropa u jiffunzjona bħala hub għall-portijiet tal-baħar ta 'Rotterdam, Antwerp u Amsterdam. Ir-RUHR, li tgħaqqad ir-Rhine f'Duisburg, illum hija xmara nadi"&amp;"fa, grazzi għal taħlita ta 'kontrolli ambjentali aktar stretti, tranżizzjoni minn industrija tqila għal industrija ħafifa u miżuri ta' tindif, bħalma huma r-riforestazzjoni ta 'gagazza u l-kampijiet. Ir-RUHR bħalissa tipprovdi lir-reġjun bl-ilma tax-xorb."&amp;" Jikkontribwixxi 70 m3 / s (2,500 cu ft / s) għar-Rhine. Xmajjar oħra fiż-żona tar-Ruhr, fuq kollox, l-Emscher, għadhom għandhom grad konsiderevoli ta 'tniġġis.")</f>
        <v>Sal-bidu tas-snin 1980, l-industrija kienet sors ewlieni ta 'tniġġis tal-ilma. Għalkemm ħafna pjanti u fabbriki jistgħu jinstabu tul ir-Renu fl-Isvizzera, huwa tul ir-Renu t'isfel li l-biċċa l-kbira tagħhom huma kkonċentrati, hekk kif ix-xmara tgħaddi mill-ibliet il-kbar ta 'Cologne, Düsseldorf u Duisburg. Duisburg huwa d-dar tal-ikbar port intern tal-Ewropa u jiffunzjona bħala hub għall-portijiet tal-baħar ta 'Rotterdam, Antwerp u Amsterdam. Ir-RUHR, li tgħaqqad ir-Rhine f'Duisburg, illum hija xmara nadifa, grazzi għal taħlita ta 'kontrolli ambjentali aktar stretti, tranżizzjoni minn industrija tqila għal industrija ħafifa u miżuri ta' tindif, bħalma huma r-riforestazzjoni ta 'gagazza u l-kampijiet. Ir-RUHR bħalissa tipprovdi lir-reġjun bl-ilma tax-xorb. Jikkontribwixxi 70 m3 / s (2,500 cu ft / s) għar-Rhine. Xmajjar oħra fiż-żona tar-Ruhr, fuq kollox, l-Emscher, għadhom għandhom grad konsiderevoli ta 'tniġġis.</v>
      </c>
    </row>
    <row r="15953" ht="15.75" customHeight="1">
      <c r="A15953" s="2" t="s">
        <v>15953</v>
      </c>
      <c r="B15953" s="2" t="str">
        <f>IFERROR(__xludf.DUMMYFUNCTION("GOOGLETRANSLATE(A15953, ""en"", ""mt"")"),"X'sar id-dixxendenti ta 'Vendobionta?")</f>
        <v>X'sar id-dixxendenti ta 'Vendobionta?</v>
      </c>
    </row>
    <row r="15954" ht="15.75" customHeight="1">
      <c r="A15954" s="2" t="s">
        <v>15954</v>
      </c>
      <c r="B15954" s="2" t="str">
        <f>IFERROR(__xludf.DUMMYFUNCTION("GOOGLETRANSLATE(A15954, ""en"", ""mt"")"),"Komunikazzjonijiet tal-Livell 3 nedew xiex?")</f>
        <v>Komunikazzjonijiet tal-Livell 3 nedew xiex?</v>
      </c>
    </row>
    <row r="15955" ht="15.75" customHeight="1">
      <c r="A15955" s="2" t="s">
        <v>15955</v>
      </c>
      <c r="B15955" s="2" t="str">
        <f>IFERROR(__xludf.DUMMYFUNCTION("GOOGLETRANSLATE(A15955, ""en"", ""mt"")"),"maġġoranza")</f>
        <v>maġġoranza</v>
      </c>
    </row>
    <row r="15956" ht="15.75" customHeight="1">
      <c r="A15956" s="2" t="s">
        <v>15956</v>
      </c>
      <c r="B15956" s="2" t="str">
        <f>IFERROR(__xludf.DUMMYFUNCTION("GOOGLETRANSLATE(A15956, ""en"", ""mt"")"),"Min kien il-qarrej tal-Kunsill Tribali?")</f>
        <v>Min kien il-qarrej tal-Kunsill Tribali?</v>
      </c>
    </row>
    <row r="15957" ht="15.75" customHeight="1">
      <c r="A15957" s="2" t="s">
        <v>15957</v>
      </c>
      <c r="B15957" s="2" t="str">
        <f>IFERROR(__xludf.DUMMYFUNCTION("GOOGLETRANSLATE(A15957, ""en"", ""mt"")"),"X'inhi kelma oħra għat-tixrid tal-baħar?")</f>
        <v>X'inhi kelma oħra għat-tixrid tal-baħar?</v>
      </c>
    </row>
    <row r="15958" ht="15.75" customHeight="1">
      <c r="A15958" s="2" t="s">
        <v>15958</v>
      </c>
      <c r="B15958" s="2" t="str">
        <f>IFERROR(__xludf.DUMMYFUNCTION("GOOGLETRANSLATE(A15958, ""en"", ""mt"")"),"James Wolfe")</f>
        <v>James Wolfe</v>
      </c>
    </row>
    <row r="15959" ht="15.75" customHeight="1">
      <c r="A15959" s="2" t="s">
        <v>15959</v>
      </c>
      <c r="B15959" s="2" t="str">
        <f>IFERROR(__xludf.DUMMYFUNCTION("GOOGLETRANSLATE(A15959, ""en"", ""mt"")"),"X'għamlet is-sigurtà tal-enerġija fuq livell internazzjonali?")</f>
        <v>X'għamlet is-sigurtà tal-enerġija fuq livell internazzjonali?</v>
      </c>
    </row>
    <row r="15960" ht="15.75" customHeight="1">
      <c r="A15960" s="2" t="s">
        <v>15960</v>
      </c>
      <c r="B15960" s="2" t="str">
        <f>IFERROR(__xludf.DUMMYFUNCTION("GOOGLETRANSLATE(A15960, ""en"", ""mt"")"),"Min qatt ma qabad lil Fort Beausejour?")</f>
        <v>Min qatt ma qabad lil Fort Beausejour?</v>
      </c>
    </row>
    <row r="15961" ht="15.75" customHeight="1">
      <c r="A15961" s="2" t="s">
        <v>15961</v>
      </c>
      <c r="B15961" s="2" t="str">
        <f>IFERROR(__xludf.DUMMYFUNCTION("GOOGLETRANSLATE(A15961, ""en"", ""mt"")"),"Għaliex Bloc ra ħafna titjib matul l-aħħar għaxar snin?")</f>
        <v>Għaliex Bloc ra ħafna titjib matul l-aħħar għaxar snin?</v>
      </c>
    </row>
    <row r="15962" ht="15.75" customHeight="1">
      <c r="A15962" s="2" t="s">
        <v>15962</v>
      </c>
      <c r="B15962" s="2" t="str">
        <f>IFERROR(__xludf.DUMMYFUNCTION("GOOGLETRANSLATE(A15962, ""en"", ""mt"")"),"forza ta 'reazzjoni tar-rebbiegħa")</f>
        <v>forza ta 'reazzjoni tar-rebbiegħa</v>
      </c>
    </row>
    <row r="15963" ht="15.75" customHeight="1">
      <c r="A15963" s="2" t="s">
        <v>15963</v>
      </c>
      <c r="B15963" s="2" t="str">
        <f>IFERROR(__xludf.DUMMYFUNCTION("GOOGLETRANSLATE(A15963, ""en"", ""mt"")"),"L-awtorità ta 'pajjiż wieħed fuq ħadd ma jikkostitwixxi l-pajjiż oriġinali?")</f>
        <v>L-awtorità ta 'pajjiż wieħed fuq ħadd ma jikkostitwixxi l-pajjiż oriġinali?</v>
      </c>
    </row>
    <row r="15964" ht="15.75" customHeight="1">
      <c r="A15964" s="2" t="s">
        <v>15964</v>
      </c>
      <c r="B15964" s="2" t="str">
        <f>IFERROR(__xludf.DUMMYFUNCTION("GOOGLETRANSLATE(A15964, ""en"", ""mt"")"),"Meta ivaün Temür miet f'Shangdu fl-1328, Tugh Temür ġie mfakkar lil Khanbaliq mill-kmandant tal-Qipchaq El Temür. Huwa ġie installat bħala l-Imperatur (l-Imperatur Wenzong) f'Khanbaliq, filwaqt li t-tifel ta 'Yesün Temür Ragibagh irnexxielu fit-tron f'Sha"&amp;"ngdu bl-appoġġ ta' Yesün Temür's Favorit Retainer Dawlat Shah. Meta kiseb appoġġ minn prinċpijiet u uffiċjali fit-tramuntana taċ-Ċina u xi partijiet oħra tad-dinastija, Tugh Temür ibbażat fuq Khanbaliq eventwalment rebaħ il-gwerra ċivili kontra Ragibagh m"&amp;"agħrufa bħala l-gwerra taż-żewġ kapitali. Wara, Tugh Temür abdika favur lil ħuh Kusala, li kien appoġġjat minn Chagatai Khan Eljigidey, u ħabbar l-intenzjoni ta 'Khanbaliq li jilqa'h. Madankollu, Kusala miet f'daqqa erbat ijiem biss wara banquet ma 'Tugh "&amp;"Temür. Huwa allegatament inqatel bil-velenu minn El Temür, u Tugh Temür imbagħad ressaq it-tron. Tugh Temür irnexxielu wkoll jibgħat delegati lill-Khanates tal-Mongolja tal-Punent bħal Golden Horde u Ilkhanate biex jiġu aċċettati bħala s-suzerain tad-dinj"&amp;"a tal-Mongolja. Madankollu, huwa kien prinċipalment pupazz tal-uffiċjal qawwi El Temür matul ir-renju tal-aħħar tliet snin tiegħu. El Temür xejjen uffiċjali pro-Kusala u ġabu l-poter lill-kmandanti tal-gwerra, li l-ħakma despotika tagħha mmarkat b'mod ċar"&amp;" it-tnaqqis tad-dinastija.")</f>
        <v>Meta ivaün Temür miet f'Shangdu fl-1328, Tugh Temür ġie mfakkar lil Khanbaliq mill-kmandant tal-Qipchaq El Temür. Huwa ġie installat bħala l-Imperatur (l-Imperatur Wenzong) f'Khanbaliq, filwaqt li t-tifel ta 'Yesün Temür Ragibagh irnexxielu fit-tron f'Shangdu bl-appoġġ ta' Yesün Temür's Favorit Retainer Dawlat Shah. Meta kiseb appoġġ minn prinċpijiet u uffiċjali fit-tramuntana taċ-Ċina u xi partijiet oħra tad-dinastija, Tugh Temür ibbażat fuq Khanbaliq eventwalment rebaħ il-gwerra ċivili kontra Ragibagh magħrufa bħala l-gwerra taż-żewġ kapitali. Wara, Tugh Temür abdika favur lil ħuh Kusala, li kien appoġġjat minn Chagatai Khan Eljigidey, u ħabbar l-intenzjoni ta 'Khanbaliq li jilqa'h. Madankollu, Kusala miet f'daqqa erbat ijiem biss wara banquet ma 'Tugh Temür. Huwa allegatament inqatel bil-velenu minn El Temür, u Tugh Temür imbagħad ressaq it-tron. Tugh Temür irnexxielu wkoll jibgħat delegati lill-Khanates tal-Mongolja tal-Punent bħal Golden Horde u Ilkhanate biex jiġu aċċettati bħala s-suzerain tad-dinja tal-Mongolja. Madankollu, huwa kien prinċipalment pupazz tal-uffiċjal qawwi El Temür matul ir-renju tal-aħħar tliet snin tiegħu. El Temür xejjen uffiċjali pro-Kusala u ġabu l-poter lill-kmandanti tal-gwerra, li l-ħakma despotika tagħha mmarkat b'mod ċar it-tnaqqis tad-dinastija.</v>
      </c>
    </row>
    <row r="15965" ht="15.75" customHeight="1">
      <c r="A15965" s="2" t="s">
        <v>15965</v>
      </c>
      <c r="B15965" s="2" t="str">
        <f>IFERROR(__xludf.DUMMYFUNCTION("GOOGLETRANSLATE(A15965, ""en"", ""mt"")"),"Kemm sakemm il-gvern tal-Istati Uniti kien involut b'mod attiv fl-isforzi biex jiġu miġġielda l-Iżlamiżmu?")</f>
        <v>Kemm sakemm il-gvern tal-Istati Uniti kien involut b'mod attiv fl-isforzi biex jiġu miġġielda l-Iżlamiżmu?</v>
      </c>
    </row>
    <row r="15966" ht="15.75" customHeight="1">
      <c r="A15966" s="2" t="s">
        <v>15966</v>
      </c>
      <c r="B15966" s="2" t="str">
        <f>IFERROR(__xludf.DUMMYFUNCTION("GOOGLETRANSLATE(A15966, ""en"", ""mt"")"),"Fuq xiex għandu impatt kbir fuq il-livell baxx ta 'popolazzjoni?")</f>
        <v>Fuq xiex għandu impatt kbir fuq il-livell baxx ta 'popolazzjoni?</v>
      </c>
    </row>
    <row r="15967" ht="15.75" customHeight="1">
      <c r="A15967" s="2" t="s">
        <v>15967</v>
      </c>
      <c r="B15967" s="2" t="str">
        <f>IFERROR(__xludf.DUMMYFUNCTION("GOOGLETRANSLATE(A15967, ""en"", ""mt"")"),"F’Settembru 1760, u qabel ma faqqgħet xi ostilitajiet, il-Gvernatur Vaudreuil innegozja minn Montreal a kapitolazzjoni mal-Ġeneral Amherst. Amherst ingħatat it-talba ta 'Vaudreuil li kull resident Franċiż li għażel li jibqa' fil-kolonja jingħata l-libertà"&amp;" li jkompli jadura fit-tradizzjoni Kattolika Rumana tagħhom, kompla s-sjieda tal-propjetà tagħhom, u d-dritt li jibqgħu mhux disturbati fi djarhom. Il-Brittaniċi pprovdew trattament mediku għas-suldati Franċiżi morda u midruba u truppi regolari Franċiżi ġ"&amp;"ew mibgħuta lura lejn Franza abbord il-vapuri Ingliżi bi ftehim li ma kellhomx iservu mill-ġdid fil-gwerra preżenti.")</f>
        <v>F’Settembru 1760, u qabel ma faqqgħet xi ostilitajiet, il-Gvernatur Vaudreuil innegozja minn Montreal a kapitolazzjoni mal-Ġeneral Amherst. Amherst ingħatat it-talba ta 'Vaudreuil li kull resident Franċiż li għażel li jibqa' fil-kolonja jingħata l-libertà li jkompli jadura fit-tradizzjoni Kattolika Rumana tagħhom, kompla s-sjieda tal-propjetà tagħhom, u d-dritt li jibqgħu mhux disturbati fi djarhom. Il-Brittaniċi pprovdew trattament mediku għas-suldati Franċiżi morda u midruba u truppi regolari Franċiżi ġew mibgħuta lura lejn Franza abbord il-vapuri Ingliżi bi ftehim li ma kellhomx iservu mill-ġdid fil-gwerra preżenti.</v>
      </c>
    </row>
    <row r="15968" ht="15.75" customHeight="1">
      <c r="A15968" s="2" t="s">
        <v>15968</v>
      </c>
      <c r="B15968" s="2" t="str">
        <f>IFERROR(__xludf.DUMMYFUNCTION("GOOGLETRANSLATE(A15968, ""en"", ""mt"")"),"Is-Soċjetà tal-Edukazzjoni Battista Amerikana")</f>
        <v>Is-Soċjetà tal-Edukazzjoni Battista Amerikana</v>
      </c>
    </row>
    <row r="15969" ht="15.75" customHeight="1">
      <c r="A15969" s="2" t="s">
        <v>15969</v>
      </c>
      <c r="B15969" s="2" t="str">
        <f>IFERROR(__xludf.DUMMYFUNCTION("GOOGLETRANSLATE(A15969, ""en"", ""mt"")"),"Min neħħa l-liċenzja operattiva minn BSKYB?")</f>
        <v>Min neħħa l-liċenzja operattiva minn BSKYB?</v>
      </c>
    </row>
    <row r="15970" ht="15.75" customHeight="1">
      <c r="A15970" s="2" t="s">
        <v>15970</v>
      </c>
      <c r="B15970" s="2" t="str">
        <f>IFERROR(__xludf.DUMMYFUNCTION("GOOGLETRANSLATE(A15970, ""en"", ""mt"")"),"proteini")</f>
        <v>proteini</v>
      </c>
    </row>
    <row r="15971" ht="15.75" customHeight="1">
      <c r="A15971" s="2" t="s">
        <v>15971</v>
      </c>
      <c r="B15971" s="2" t="str">
        <f>IFERROR(__xludf.DUMMYFUNCTION("GOOGLETRANSLATE(A15971, ""en"", ""mt"")"),"Xi jfisser l-uffiċjal li jippresiedi jipprova jikseb bilanċ bejn il-kelliema?")</f>
        <v>Xi jfisser l-uffiċjal li jippresiedi jipprova jikseb bilanċ bejn il-kelliema?</v>
      </c>
    </row>
    <row r="15972" ht="15.75" customHeight="1">
      <c r="A15972" s="2" t="s">
        <v>15972</v>
      </c>
      <c r="B15972" s="2" t="str">
        <f>IFERROR(__xludf.DUMMYFUNCTION("GOOGLETRANSLATE(A15972, ""en"", ""mt"")"),"Iċ-Ċentru Presidenzjali Stagg għandu jkun lest f'liema sena?")</f>
        <v>Iċ-Ċentru Presidenzjali Stagg għandu jkun lest f'liema sena?</v>
      </c>
    </row>
    <row r="15973" ht="15.75" customHeight="1">
      <c r="A15973" s="2" t="s">
        <v>15973</v>
      </c>
      <c r="B15973" s="2" t="str">
        <f>IFERROR(__xludf.DUMMYFUNCTION("GOOGLETRANSLATE(A15973, ""en"", ""mt"")"),"X'tippreżenta Stiglitz fl-2009 rigward l-inugwaljanza globali?")</f>
        <v>X'tippreżenta Stiglitz fl-2009 rigward l-inugwaljanza globali?</v>
      </c>
    </row>
    <row r="15974" ht="15.75" customHeight="1">
      <c r="A15974" s="2" t="s">
        <v>15974</v>
      </c>
      <c r="B15974" s="2" t="str">
        <f>IFERROR(__xludf.DUMMYFUNCTION("GOOGLETRANSLATE(A15974, ""en"", ""mt"")"),"Għaliex hemm iktar nies foqra fl-Istati Uniti u fl-Ewropa miċ-Ċina?")</f>
        <v>Għaliex hemm iktar nies foqra fl-Istati Uniti u fl-Ewropa miċ-Ċina?</v>
      </c>
    </row>
    <row r="15975" ht="15.75" customHeight="1">
      <c r="A15975" s="2" t="s">
        <v>15975</v>
      </c>
      <c r="B15975" s="2" t="str">
        <f>IFERROR(__xludf.DUMMYFUNCTION("GOOGLETRANSLATE(A15975, ""en"", ""mt"")"),"Introduzzjoni aċċidentali ta 'Beroe")</f>
        <v>Introduzzjoni aċċidentali ta 'Beroe</v>
      </c>
    </row>
    <row r="15976" ht="15.75" customHeight="1">
      <c r="A15976" s="2" t="s">
        <v>15976</v>
      </c>
      <c r="B15976" s="2" t="str">
        <f>IFERROR(__xludf.DUMMYFUNCTION("GOOGLETRANSLATE(A15976, ""en"", ""mt"")"),"X'jista 'jnaqqas il-partiċelli qrib il-veloċità tad-dawl?")</f>
        <v>X'jista 'jnaqqas il-partiċelli qrib il-veloċità tad-dawl?</v>
      </c>
    </row>
    <row r="15977" ht="15.75" customHeight="1">
      <c r="A15977" s="2" t="s">
        <v>15977</v>
      </c>
      <c r="B15977" s="2" t="str">
        <f>IFERROR(__xludf.DUMMYFUNCTION("GOOGLETRANSLATE(A15977, ""en"", ""mt"")"),"il-kanali bażiċi")</f>
        <v>il-kanali bażiċi</v>
      </c>
    </row>
    <row r="15978" ht="15.75" customHeight="1">
      <c r="A15978" s="2" t="s">
        <v>15978</v>
      </c>
      <c r="B15978" s="2" t="str">
        <f>IFERROR(__xludf.DUMMYFUNCTION("GOOGLETRANSLATE(A15978, ""en"", ""mt"")"),"Organizzazzjoni terroristika")</f>
        <v>Organizzazzjoni terroristika</v>
      </c>
    </row>
    <row r="15979" ht="15.75" customHeight="1">
      <c r="A15979" s="2" t="s">
        <v>15979</v>
      </c>
      <c r="B15979" s="2" t="str">
        <f>IFERROR(__xludf.DUMMYFUNCTION("GOOGLETRANSLATE(A15979, ""en"", ""mt"")"),"Min hu magħruf bħala l-missier tal-atomu tal-idroġenu?")</f>
        <v>Min hu magħruf bħala l-missier tal-atomu tal-idroġenu?</v>
      </c>
    </row>
    <row r="15980" ht="15.75" customHeight="1">
      <c r="A15980" s="2" t="s">
        <v>15980</v>
      </c>
      <c r="B15980" s="2" t="str">
        <f>IFERROR(__xludf.DUMMYFUNCTION("GOOGLETRANSLATE(A15980, ""en"", ""mt"")"),"Il-Wied ta 'San Fernando")</f>
        <v>Il-Wied ta 'San Fernando</v>
      </c>
    </row>
    <row r="15981" ht="15.75" customHeight="1">
      <c r="A15981" s="2" t="s">
        <v>15981</v>
      </c>
      <c r="B15981" s="2" t="str">
        <f>IFERROR(__xludf.DUMMYFUNCTION("GOOGLETRANSLATE(A15981, ""en"", ""mt"")"),"X'tip ta 'reġim iddeċieda fuq is-Sudan għal ħafna snin?")</f>
        <v>X'tip ta 'reġim iddeċieda fuq is-Sudan għal ħafna snin?</v>
      </c>
    </row>
    <row r="15982" ht="15.75" customHeight="1">
      <c r="A15982" s="2" t="s">
        <v>15982</v>
      </c>
      <c r="B15982" s="2" t="str">
        <f>IFERROR(__xludf.DUMMYFUNCTION("GOOGLETRANSLATE(A15982, ""en"", ""mt"")"),"Meta tuża primalità probalistika, kif inhi l-probabbiltà li n-numru huwa kompost espress matematikament?")</f>
        <v>Meta tuża primalità probalistika, kif inhi l-probabbiltà li n-numru huwa kompost espress matematikament?</v>
      </c>
    </row>
    <row r="15983" ht="15.75" customHeight="1">
      <c r="A15983" s="2" t="s">
        <v>15983</v>
      </c>
      <c r="B15983" s="2" t="str">
        <f>IFERROR(__xludf.DUMMYFUNCTION("GOOGLETRANSLATE(A15983, ""en"", ""mt"")"),"Kemm kien preċiż Guo għamel il-kalendarju lunisolari riformat?")</f>
        <v>Kemm kien preċiż Guo għamel il-kalendarju lunisolari riformat?</v>
      </c>
    </row>
    <row r="15984" ht="15.75" customHeight="1">
      <c r="A15984" s="2" t="s">
        <v>15984</v>
      </c>
      <c r="B15984" s="2" t="str">
        <f>IFERROR(__xludf.DUMMYFUNCTION("GOOGLETRANSLATE(A15984, ""en"", ""mt"")"),"il-piż tal-oġġett")</f>
        <v>il-piż tal-oġġett</v>
      </c>
    </row>
    <row r="15985" ht="15.75" customHeight="1">
      <c r="A15985" s="2" t="s">
        <v>15985</v>
      </c>
      <c r="B15985" s="2" t="str">
        <f>IFERROR(__xludf.DUMMYFUNCTION("GOOGLETRANSLATE(A15985, ""en"", ""mt"")"),"Ir-Renu")</f>
        <v>Ir-Renu</v>
      </c>
    </row>
    <row r="15986" ht="15.75" customHeight="1">
      <c r="A15986" s="2" t="s">
        <v>15986</v>
      </c>
      <c r="B15986" s="2" t="str">
        <f>IFERROR(__xludf.DUMMYFUNCTION("GOOGLETRANSLATE(A15986, ""en"", ""mt"")"),"L-analiżi bir-reqqa tal-medikazzjoni kollha (preskrizzjoni, nuqqas ta 'preskrizzjoni, u herbals) bħalissa qed tittieħed minn individwu")</f>
        <v>L-analiżi bir-reqqa tal-medikazzjoni kollha (preskrizzjoni, nuqqas ta 'preskrizzjoni, u herbals) bħalissa qed tittieħed minn individwu</v>
      </c>
    </row>
    <row r="15987" ht="15.75" customHeight="1">
      <c r="A15987" s="2" t="s">
        <v>15987</v>
      </c>
      <c r="B15987" s="2" t="str">
        <f>IFERROR(__xludf.DUMMYFUNCTION("GOOGLETRANSLATE(A15987, ""en"", ""mt"")"),"Liema raġuni oħra kkawżat provvista ħażina ta 'Franza ġdida minn xitwa diffiċli?")</f>
        <v>Liema raġuni oħra kkawżat provvista ħażina ta 'Franza ġdida minn xitwa diffiċli?</v>
      </c>
    </row>
    <row r="15988" ht="15.75" customHeight="1">
      <c r="A15988" s="2" t="s">
        <v>15988</v>
      </c>
      <c r="B15988" s="2" t="str">
        <f>IFERROR(__xludf.DUMMYFUNCTION("GOOGLETRANSLATE(A15988, ""en"", ""mt"")"),"X'inhu l-isem ta 'numru sħiħ li fih huma definiti żieda, tnaqqis u multiplikazzjoni?")</f>
        <v>X'inhu l-isem ta 'numru sħiħ li fih huma definiti żieda, tnaqqis u multiplikazzjoni?</v>
      </c>
    </row>
    <row r="15989" ht="15.75" customHeight="1">
      <c r="A15989" s="2" t="s">
        <v>15989</v>
      </c>
      <c r="B15989" s="2" t="str">
        <f>IFERROR(__xludf.DUMMYFUNCTION("GOOGLETRANSLATE(A15989, ""en"", ""mt"")"),"Kull pakkett huwa ttikkettjat b'indirizz ta 'destinazzjoni, indirizz tas-sors, u numri tal-port. Jista 'jkun ukoll ittikkettat bin-numru tas-sekwenza tal-pakkett")</f>
        <v>Kull pakkett huwa ttikkettjat b'indirizz ta 'destinazzjoni, indirizz tas-sors, u numri tal-port. Jista 'jkun ukoll ittikkettat bin-numru tas-sekwenza tal-pakkett</v>
      </c>
    </row>
    <row r="15990" ht="15.75" customHeight="1">
      <c r="A15990" s="2" t="s">
        <v>15990</v>
      </c>
      <c r="B15990" s="2" t="str">
        <f>IFERROR(__xludf.DUMMYFUNCTION("GOOGLETRANSLATE(A15990, ""en"", ""mt"")"),"Ottubru 2011")</f>
        <v>Ottubru 2011</v>
      </c>
    </row>
    <row r="15991" ht="15.75" customHeight="1">
      <c r="A15991" s="2" t="s">
        <v>15991</v>
      </c>
      <c r="B15991" s="2" t="str">
        <f>IFERROR(__xludf.DUMMYFUNCTION("GOOGLETRANSLATE(A15991, ""en"", ""mt"")"),"Matul liema qafas ta 'żmien kienu limitati l-klassijiet ewlenin għal 15-il student biss?")</f>
        <v>Matul liema qafas ta 'żmien kienu limitati l-klassijiet ewlenin għal 15-il student biss?</v>
      </c>
    </row>
    <row r="15992" ht="15.75" customHeight="1">
      <c r="A15992" s="2" t="s">
        <v>15992</v>
      </c>
      <c r="B15992" s="2" t="str">
        <f>IFERROR(__xludf.DUMMYFUNCTION("GOOGLETRANSLATE(A15992, ""en"", ""mt"")"),"F'liema borough hemm viċinat imsejjaħ Huguenot?")</f>
        <v>F'liema borough hemm viċinat imsejjaħ Huguenot?</v>
      </c>
    </row>
    <row r="15993" ht="15.75" customHeight="1">
      <c r="A15993" s="2" t="s">
        <v>15993</v>
      </c>
      <c r="B15993" s="2" t="str">
        <f>IFERROR(__xludf.DUMMYFUNCTION("GOOGLETRANSLATE(A15993, ""en"", ""mt"")"),"X’tirt għall-Iskola tal-Psikoloġija ta ’Chicago?")</f>
        <v>X’tirt għall-Iskola tal-Psikoloġija ta ’Chicago?</v>
      </c>
    </row>
    <row r="15994" ht="15.75" customHeight="1">
      <c r="A15994" s="2" t="s">
        <v>15994</v>
      </c>
      <c r="B15994" s="2" t="str">
        <f>IFERROR(__xludf.DUMMYFUNCTION("GOOGLETRANSLATE(A15994, ""en"", ""mt"")"),"X’meċidiet li tuża Ghandi sabiex kulħadd ikollu l-istess ftehim?")</f>
        <v>X’meċidiet li tuża Ghandi sabiex kulħadd ikollu l-istess ftehim?</v>
      </c>
    </row>
    <row r="15995" ht="15.75" customHeight="1">
      <c r="A15995" s="2" t="s">
        <v>15995</v>
      </c>
      <c r="B15995" s="2" t="str">
        <f>IFERROR(__xludf.DUMMYFUNCTION("GOOGLETRANSLATE(A15995, ""en"", ""mt"")"),"Kemm kmamar għandhom il-Mużew Storiku ta 'Varsavja?")</f>
        <v>Kemm kmamar għandhom il-Mużew Storiku ta 'Varsavja?</v>
      </c>
    </row>
    <row r="15996" ht="15.75" customHeight="1">
      <c r="A15996" s="2" t="s">
        <v>15996</v>
      </c>
      <c r="B15996" s="2" t="str">
        <f>IFERROR(__xludf.DUMMYFUNCTION("GOOGLETRANSLATE(A15996, ""en"", ""mt"")"),"homebound")</f>
        <v>homebound</v>
      </c>
    </row>
    <row r="15997" ht="15.75" customHeight="1">
      <c r="A15997" s="2" t="s">
        <v>15997</v>
      </c>
      <c r="B15997" s="2" t="str">
        <f>IFERROR(__xludf.DUMMYFUNCTION("GOOGLETRANSLATE(A15997, ""en"", ""mt"")"),"Meta ġiet żviluppata ħafna minn Sunnside?")</f>
        <v>Meta ġiet żviluppata ħafna minn Sunnside?</v>
      </c>
    </row>
    <row r="15998" ht="15.75" customHeight="1">
      <c r="A15998" s="2" t="s">
        <v>15998</v>
      </c>
      <c r="B15998" s="2" t="str">
        <f>IFERROR(__xludf.DUMMYFUNCTION("GOOGLETRANSLATE(A15998, ""en"", ""mt"")"),"Meta nħolqot l-ewwel mappa ġeoloġika tad-dinja kollha?")</f>
        <v>Meta nħolqot l-ewwel mappa ġeoloġika tad-dinja kollha?</v>
      </c>
    </row>
    <row r="15999" ht="15.75" customHeight="1">
      <c r="A15999" s="2" t="s">
        <v>15999</v>
      </c>
      <c r="B15999" s="2" t="str">
        <f>IFERROR(__xludf.DUMMYFUNCTION("GOOGLETRANSLATE(A15999, ""en"", ""mt"")"),"In-Netwerk tal-Fondazzjoni Nazzjonali tax-Xjenza")</f>
        <v>In-Netwerk tal-Fondazzjoni Nazzjonali tax-Xjenza</v>
      </c>
    </row>
    <row r="16000" ht="15.75" customHeight="1">
      <c r="A16000" s="2" t="s">
        <v>16000</v>
      </c>
      <c r="B16000" s="2" t="str">
        <f>IFERROR(__xludf.DUMMYFUNCTION("GOOGLETRANSLATE(A16000, ""en"", ""mt"")"),"F'din l-aħħar konnessjoni, l-isem jista 'jissuġġerixxi l-inferenza derogatorja ta' qima superstizzjuża; Il-fancy popolari ddeċidiet li Huguon, il-bieb tar-Re Hugo, kien haunted mill-fatat ta 'Le Roi Huguet (meqjus mill-Kattoliċi Rumani bħala Scoundrel inf"&amp;"ami) u spirti oħra, li minflok kienu fil-Purgatorju ġew lura biex jagħmlu ħsara lill-għixien bil-lejl. Kien f'dan il-post fi tours li l-prétendus réformés (""dawn allegatament"" riformati "") inġabru b'mod abitwali bil-lejl, kemm għal skopijiet politiċi, "&amp;"kif ukoll għat-talb u l-kant tas-salmi. Spjegazzjonijiet bħal dawn ġew rintraċċati għall-kontemporanja, Reguier de la Plancha (d. 1560), li fid-de l'esta de France offra l-kont li ġej dwar l-oriġini tal-isem, kif ikkwotat mill-Cape kull xahar:")</f>
        <v>F'din l-aħħar konnessjoni, l-isem jista 'jissuġġerixxi l-inferenza derogatorja ta' qima superstizzjuża; Il-fancy popolari ddeċidiet li Huguon, il-bieb tar-Re Hugo, kien haunted mill-fatat ta 'Le Roi Huguet (meqjus mill-Kattoliċi Rumani bħala Scoundrel infami) u spirti oħra, li minflok kienu fil-Purgatorju ġew lura biex jagħmlu ħsara lill-għixien bil-lejl. Kien f'dan il-post fi tours li l-prétendus réformés ("dawn allegatament" riformati ") inġabru b'mod abitwali bil-lejl, kemm għal skopijiet politiċi, kif ukoll għat-talb u l-kant tas-salmi. Spjegazzjonijiet bħal dawn ġew rintraċċati għall-kontemporanja, Reguier de la Plancha (d. 1560), li fid-de l'esta de France offra l-kont li ġej dwar l-oriġini tal-isem, kif ikkwotat mill-Cape kull xahar:</v>
      </c>
    </row>
    <row r="16001" ht="15.75" customHeight="1">
      <c r="A16001" s="2" t="s">
        <v>16001</v>
      </c>
      <c r="B16001" s="2" t="str">
        <f>IFERROR(__xludf.DUMMYFUNCTION("GOOGLETRANSLATE(A16001, ""en"", ""mt"")"),"Xi jemmen Howard Zinn għandu jitneħħa?")</f>
        <v>Xi jemmen Howard Zinn għandu jitneħħa?</v>
      </c>
    </row>
    <row r="16002" ht="15.75" customHeight="1">
      <c r="A16002" s="2" t="s">
        <v>16002</v>
      </c>
      <c r="B16002" s="2" t="str">
        <f>IFERROR(__xludf.DUMMYFUNCTION("GOOGLETRANSLATE(A16002, ""en"", ""mt"")"),"Il-kolonisti Ingliżi ma jkunux siguri")</f>
        <v>Il-kolonisti Ingliżi ma jkunux siguri</v>
      </c>
    </row>
    <row r="16003" ht="15.75" customHeight="1">
      <c r="A16003" s="2" t="s">
        <v>16003</v>
      </c>
      <c r="B16003" s="2" t="str">
        <f>IFERROR(__xludf.DUMMYFUNCTION("GOOGLETRANSLATE(A16003, ""en"", ""mt"")"),"Liema terminu rriżulta mill-ktieb ta 'Dioscorides?")</f>
        <v>Liema terminu rriżulta mill-ktieb ta 'Dioscorides?</v>
      </c>
    </row>
    <row r="16004" ht="15.75" customHeight="1">
      <c r="A16004" s="2" t="s">
        <v>16004</v>
      </c>
      <c r="B16004" s="2" t="str">
        <f>IFERROR(__xludf.DUMMYFUNCTION("GOOGLETRANSLATE(A16004, ""en"", ""mt"")"),"Ir-riċerka promossa fl-1985 wasslet għal xiex?")</f>
        <v>Ir-riċerka promossa fl-1985 wasslet għal xiex?</v>
      </c>
    </row>
    <row r="16005" ht="15.75" customHeight="1">
      <c r="A16005" s="2" t="s">
        <v>16005</v>
      </c>
      <c r="B16005" s="2" t="str">
        <f>IFERROR(__xludf.DUMMYFUNCTION("GOOGLETRANSLATE(A16005, ""en"", ""mt"")"),"Liema perċentwali tal-popolazzjoni ta 'Pariġi mietet mill-pesta fl-1466?")</f>
        <v>Liema perċentwali tal-popolazzjoni ta 'Pariġi mietet mill-pesta fl-1466?</v>
      </c>
    </row>
    <row r="16006" ht="15.75" customHeight="1">
      <c r="A16006" s="2" t="s">
        <v>16006</v>
      </c>
      <c r="B16006" s="2" t="str">
        <f>IFERROR(__xludf.DUMMYFUNCTION("GOOGLETRANSLATE(A16006, ""en"", ""mt"")"),"X'inhu magħmul minn 21% -50% O2 bil-volum?")</f>
        <v>X'inhu magħmul minn 21% -50% O2 bil-volum?</v>
      </c>
    </row>
    <row r="16007" ht="15.75" customHeight="1">
      <c r="A16007" s="2" t="s">
        <v>16007</v>
      </c>
      <c r="B16007" s="2" t="str">
        <f>IFERROR(__xludf.DUMMYFUNCTION("GOOGLETRANSLATE(A16007, ""en"", ""mt"")"),"L-ipersensittività hija rispons immuni li jagħmel ħsara lit-tessuti tal-ġisem stess. Huma maqsuma f'erba 'klassijiet (Tip I - IV) ibbażati fuq il-mekkaniżmi involuti u l-kors tal-ħin tar-reazzjoni ipersensittiva. L-ipersensittività tat-Tip I hija reazzjon"&amp;"i immedjata jew anafilattika, ħafna drabi assoċjata ma 'allerġija. Is-sintomi jistgħu jvarjaw minn skumdità ħafifa sal-mewt. L-ipersensittività tat-Tip I hija medjata minn IgE, li tikkawża d-degranulazzjoni ta 'ċelloli mast u basophils meta tkun marbuta m"&amp;"ill-antiġen. Ipersensittività tat-Tip II isseħħ meta l-antikorpi jorbtu ma 'antiġeni fuq iċ-ċelloli tal-pazjent stess, li jimmarkawhom għall-qerda. Dan jissejjaħ ukoll sensittività eċċessiva (jew ċitotossika) li jiddependi mill-antikorpi, u huwa medjat mi"&amp;"nn antikorpi IgG u IgM. Kumplessi immuni (aggregazzjonijiet ta 'antiġeni, proteini li jikkumplimentaw, u antikorpi IgG u IgM) depożitati f'diversi tessuti li jqanqlu reazzjonijiet ta' sensittività eċċessiva tat-tip III. Ipersensittività tat-Tip IV (magħru"&amp;"fa wkoll bħala sensittività eċċessiva medjata miċ-ċelloli jew ittardjata) ġeneralment tieħu bejn jumejn u tlett ijiem biex tiżviluppa. Reazzjonijiet tat-tip IV huma involuti f'ħafna mard awtoimmuni u infettiv, iżda jistgħu jinvolvu wkoll dermatite ta 'kun"&amp;"tatt (velenu Ivy). Dawn ir-reazzjonijiet huma medjati minn ċelloli T, monokiti, u makrofaġi.")</f>
        <v>L-ipersensittività hija rispons immuni li jagħmel ħsara lit-tessuti tal-ġisem stess. Huma maqsuma f'erba 'klassijiet (Tip I - IV) ibbażati fuq il-mekkaniżmi involuti u l-kors tal-ħin tar-reazzjoni ipersensittiva. L-ipersensittività tat-Tip I hija reazzjoni immedjata jew anafilattika, ħafna drabi assoċjata ma 'allerġija. Is-sintomi jistgħu jvarjaw minn skumdità ħafifa sal-mewt. L-ipersensittività tat-Tip I hija medjata minn IgE, li tikkawża d-degranulazzjoni ta 'ċelloli mast u basophils meta tkun marbuta mill-antiġen. Ipersensittività tat-Tip II isseħħ meta l-antikorpi jorbtu ma 'antiġeni fuq iċ-ċelloli tal-pazjent stess, li jimmarkawhom għall-qerda. Dan jissejjaħ ukoll sensittività eċċessiva (jew ċitotossika) li jiddependi mill-antikorpi, u huwa medjat minn antikorpi IgG u IgM. Kumplessi immuni (aggregazzjonijiet ta 'antiġeni, proteini li jikkumplimentaw, u antikorpi IgG u IgM) depożitati f'diversi tessuti li jqanqlu reazzjonijiet ta' sensittività eċċessiva tat-tip III. Ipersensittività tat-Tip IV (magħrufa wkoll bħala sensittività eċċessiva medjata miċ-ċelloli jew ittardjata) ġeneralment tieħu bejn jumejn u tlett ijiem biex tiżviluppa. Reazzjonijiet tat-tip IV huma involuti f'ħafna mard awtoimmuni u infettiv, iżda jistgħu jinvolvu wkoll dermatite ta 'kuntatt (velenu Ivy). Dawn ir-reazzjonijiet huma medjati minn ċelloli T, monokiti, u makrofaġi.</v>
      </c>
    </row>
    <row r="16008" ht="15.75" customHeight="1">
      <c r="A16008" s="2" t="s">
        <v>16008</v>
      </c>
      <c r="B16008" s="2" t="str">
        <f>IFERROR(__xludf.DUMMYFUNCTION("GOOGLETRANSLATE(A16008, ""en"", ""mt"")"),"Liema sett ta 'pajjiżi għandhom mobilità ekonomika ogħla mill-Istati Uniti?")</f>
        <v>Liema sett ta 'pajjiżi għandhom mobilità ekonomika ogħla mill-Istati Uniti?</v>
      </c>
    </row>
    <row r="16009" ht="15.75" customHeight="1">
      <c r="A16009" s="2" t="s">
        <v>16009</v>
      </c>
      <c r="B16009" s="2" t="str">
        <f>IFERROR(__xludf.DUMMYFUNCTION("GOOGLETRANSLATE(A16009, ""en"", ""mt"")"),"L-iżvilupp tat-tektonika tal-pjanċi pprovda bażi fiżika għal ħafna osservazzjonijiet tad-Dinja Solida. Reġjuni lineari twal ta 'karatteristiċi ġeoloġiċi jistgħu jiġu spjegati bħala konfini tal-pjanċa. Xfar ta 'nofs l-oċean, reġjuni għoljin fuq il-baħar fe"&amp;"jn jeżistu ventijiet idrotermali u vulkani, ġew spjegati bħala konfini diverġenti, fejn żewġ pjanċi jiċċaqalqu. Arki ta 'vulkani u terremoti ġew spjegati bħala konfini konverġenti, fejn pjanċa waħda tissottometti taħt l-ieħor. It-trasformazzjoni tal-konfi"&amp;"ni, bħas-sistema ta 'difetti ta' San Andreas, irriżultaw f'terremoti qawwija mifruxa. Tettonika tal-pjanċa pprovdiet ukoll mekkaniżmu għat-teorija ta 'Alfred Wegener dwar id-drift kontinentali, li fiha l-kontinenti jimxu mal-wiċċ tad-dinja matul iż-żmien "&amp;"ġeoloġiku. Huma pprovdew ukoll forza li tmexxi għad-deformazzjoni tal-qoxra, u ambjent ġdid għall-osservazzjonijiet tal-ġeoloġija strutturali. Il-poter tat-teorija tat-tektonika tal-pjanċa tinsab fil-kapaċità tagħha li tgħaqqad dawn l-osservazzjonijiet ko"&amp;"llha f'eorija waħda ta 'kif il-litosfera timxi fuq il-mantell tal-konvetti.")</f>
        <v>L-iżvilupp tat-tektonika tal-pjanċi pprovda bażi fiżika għal ħafna osservazzjonijiet tad-Dinja Solida. Reġjuni lineari twal ta 'karatteristiċi ġeoloġiċi jistgħu jiġu spjegati bħala konfini tal-pjanċa. Xfar ta 'nofs l-oċean, reġjuni għoljin fuq il-baħar fejn jeżistu ventijiet idrotermali u vulkani, ġew spjegati bħala konfini diverġenti, fejn żewġ pjanċi jiċċaqalqu. Arki ta 'vulkani u terremoti ġew spjegati bħala konfini konverġenti, fejn pjanċa waħda tissottometti taħt l-ieħor. It-trasformazzjoni tal-konfini, bħas-sistema ta 'difetti ta' San Andreas, irriżultaw f'terremoti qawwija mifruxa. Tettonika tal-pjanċa pprovdiet ukoll mekkaniżmu għat-teorija ta 'Alfred Wegener dwar id-drift kontinentali, li fiha l-kontinenti jimxu mal-wiċċ tad-dinja matul iż-żmien ġeoloġiku. Huma pprovdew ukoll forza li tmexxi għad-deformazzjoni tal-qoxra, u ambjent ġdid għall-osservazzjonijiet tal-ġeoloġija strutturali. Il-poter tat-teorija tat-tektonika tal-pjanċa tinsab fil-kapaċità tagħha li tgħaqqad dawn l-osservazzjonijiet kollha f'eorija waħda ta 'kif il-litosfera timxi fuq il-mantell tal-konvetti.</v>
      </c>
    </row>
    <row r="16010" ht="15.75" customHeight="1">
      <c r="A16010" s="2" t="s">
        <v>16010</v>
      </c>
      <c r="B16010" s="2" t="str">
        <f>IFERROR(__xludf.DUMMYFUNCTION("GOOGLETRANSLATE(A16010, ""en"", ""mt"")"),"Glaċieri tal-Ħimalaja")</f>
        <v>Glaċieri tal-Ħimalaja</v>
      </c>
    </row>
    <row r="16011" ht="15.75" customHeight="1">
      <c r="A16011" s="2" t="s">
        <v>16011</v>
      </c>
      <c r="B16011" s="2" t="str">
        <f>IFERROR(__xludf.DUMMYFUNCTION("GOOGLETRANSLATE(A16011, ""en"", ""mt"")"),"X'kienet il-popolazzjoni Franċiża fl-Amerika t'Isfel?")</f>
        <v>X'kienet il-popolazzjoni Franċiża fl-Amerika t'Isfel?</v>
      </c>
    </row>
    <row r="16012" ht="15.75" customHeight="1">
      <c r="A16012" s="2" t="s">
        <v>16012</v>
      </c>
      <c r="B16012" s="2" t="str">
        <f>IFERROR(__xludf.DUMMYFUNCTION("GOOGLETRANSLATE(A16012, ""en"", ""mt"")"),"Kemm tunnellata ta 'pjanti ħajjin hemm fil-foresta tropikali?")</f>
        <v>Kemm tunnellata ta 'pjanti ħajjin hemm fil-foresta tropikali?</v>
      </c>
    </row>
    <row r="16013" ht="15.75" customHeight="1">
      <c r="A16013" s="2" t="s">
        <v>16013</v>
      </c>
      <c r="B16013" s="2" t="str">
        <f>IFERROR(__xludf.DUMMYFUNCTION("GOOGLETRANSLATE(A16013, ""en"", ""mt"")"),"Kemm kien hemm ditti fl-2011?")</f>
        <v>Kemm kien hemm ditti fl-2011?</v>
      </c>
    </row>
    <row r="16014" ht="15.75" customHeight="1">
      <c r="A16014" s="2" t="s">
        <v>16014</v>
      </c>
      <c r="B16014" s="2" t="str">
        <f>IFERROR(__xludf.DUMMYFUNCTION("GOOGLETRANSLATE(A16014, ""en"", ""mt"")"),"Fejn xi ħaddiema għamlu aktar minn $ 100,000?")</f>
        <v>Fejn xi ħaddiema għamlu aktar minn $ 100,000?</v>
      </c>
    </row>
    <row r="16015" ht="15.75" customHeight="1">
      <c r="A16015" s="2" t="s">
        <v>16015</v>
      </c>
      <c r="B16015" s="2" t="str">
        <f>IFERROR(__xludf.DUMMYFUNCTION("GOOGLETRANSLATE(A16015, ""en"", ""mt"")"),"ħadem biex jirradikalizza l-moviment Iżlamista")</f>
        <v>ħadem biex jirradikalizza l-moviment Iżlamista</v>
      </c>
    </row>
    <row r="16016" ht="15.75" customHeight="1">
      <c r="A16016" s="2" t="s">
        <v>16016</v>
      </c>
      <c r="B16016" s="2" t="str">
        <f>IFERROR(__xludf.DUMMYFUNCTION("GOOGLETRANSLATE(A16016, ""en"", ""mt"")"),"Żona ta ’Los Angeles")</f>
        <v>Żona ta ’Los Angeles</v>
      </c>
    </row>
    <row r="16017" ht="15.75" customHeight="1">
      <c r="A16017" s="2" t="s">
        <v>16017</v>
      </c>
      <c r="B16017" s="2" t="str">
        <f>IFERROR(__xludf.DUMMYFUNCTION("GOOGLETRANSLATE(A16017, ""en"", ""mt"")"),"F'liema sena l-ENR ikkompila d-dejta f'disa 'segmenti tas-suq?")</f>
        <v>F'liema sena l-ENR ikkompila d-dejta f'disa 'segmenti tas-suq?</v>
      </c>
    </row>
    <row r="16018" ht="15.75" customHeight="1">
      <c r="A16018" s="2" t="s">
        <v>16018</v>
      </c>
      <c r="B16018" s="2" t="str">
        <f>IFERROR(__xludf.DUMMYFUNCTION("GOOGLETRANSLATE(A16018, ""en"", ""mt"")"),"Min hu l-uffiċċju li jokkupaw l-istudenti fi protesta fuq il-politiki tal-kiri fl-1965?")</f>
        <v>Min hu l-uffiċċju li jokkupaw l-istudenti fi protesta fuq il-politiki tal-kiri fl-1965?</v>
      </c>
    </row>
    <row r="16019" ht="15.75" customHeight="1">
      <c r="A16019" s="2" t="s">
        <v>16019</v>
      </c>
      <c r="B16019" s="2" t="str">
        <f>IFERROR(__xludf.DUMMYFUNCTION("GOOGLETRANSLATE(A16019, ""en"", ""mt"")"),"Liema forom ta 'akkwist jiġri fl-industrija tal-kostruzzjoni?")</f>
        <v>Liema forom ta 'akkwist jiġri fl-industrija tal-kostruzzjoni?</v>
      </c>
    </row>
    <row r="16020" ht="15.75" customHeight="1">
      <c r="A16020" s="2" t="s">
        <v>16020</v>
      </c>
      <c r="B16020" s="2" t="str">
        <f>IFERROR(__xludf.DUMMYFUNCTION("GOOGLETRANSLATE(A16020, ""en"", ""mt"")"),"il-forza elettrostatika (minħabba l-kamp elettriku) u l-forza manjetika (minħabba l-kamp manjetiku).")</f>
        <v>il-forza elettrostatika (minħabba l-kamp elettriku) u l-forza manjetika (minħabba l-kamp manjetiku).</v>
      </c>
    </row>
    <row r="16021" ht="15.75" customHeight="1">
      <c r="A16021" s="2" t="s">
        <v>16021</v>
      </c>
      <c r="B16021" s="2" t="str">
        <f>IFERROR(__xludf.DUMMYFUNCTION("GOOGLETRANSLATE(A16021, ""en"", ""mt"")"),"Deformazzjonali")</f>
        <v>Deformazzjonali</v>
      </c>
    </row>
    <row r="16022" ht="15.75" customHeight="1">
      <c r="A16022" s="2" t="s">
        <v>16022</v>
      </c>
      <c r="B16022" s="2" t="str">
        <f>IFERROR(__xludf.DUMMYFUNCTION("GOOGLETRANSLATE(A16022, ""en"", ""mt"")"),"Każ tal-ħġieġ sospiż mill-għatu")</f>
        <v>Każ tal-ħġieġ sospiż mill-għatu</v>
      </c>
    </row>
    <row r="16023" ht="15.75" customHeight="1">
      <c r="A16023" s="2" t="s">
        <v>16023</v>
      </c>
      <c r="B16023" s="2" t="str">
        <f>IFERROR(__xludf.DUMMYFUNCTION("GOOGLETRANSLATE(A16023, ""en"", ""mt"")"),"Fl-1973 kif kien jismu Nixon?")</f>
        <v>Fl-1973 kif kien jismu Nixon?</v>
      </c>
    </row>
    <row r="16024" ht="15.75" customHeight="1">
      <c r="A16024" s="2" t="s">
        <v>16024</v>
      </c>
      <c r="B16024" s="2" t="str">
        <f>IFERROR(__xludf.DUMMYFUNCTION("GOOGLETRANSLATE(A16024, ""en"", ""mt"")"),"Dħul mhux mill-ħolqien tal-ġid imma billi taqbad sehem iżgħar minnu jafu lill-ekonomisti skont liema terminu?")</f>
        <v>Dħul mhux mill-ħolqien tal-ġid imma billi taqbad sehem iżgħar minnu jafu lill-ekonomisti skont liema terminu?</v>
      </c>
    </row>
    <row r="16025" ht="15.75" customHeight="1">
      <c r="A16025" s="2" t="s">
        <v>16025</v>
      </c>
      <c r="B16025" s="2" t="str">
        <f>IFERROR(__xludf.DUMMYFUNCTION("GOOGLETRANSLATE(A16025, ""en"", ""mt"")"),"devjazzjoni")</f>
        <v>devjazzjoni</v>
      </c>
    </row>
    <row r="16026" ht="15.75" customHeight="1">
      <c r="A16026" s="2" t="s">
        <v>16026</v>
      </c>
      <c r="B16026" s="2" t="str">
        <f>IFERROR(__xludf.DUMMYFUNCTION("GOOGLETRANSLATE(A16026, ""en"", ""mt"")"),"Liema bażi navali waqgħet għan-Normans?")</f>
        <v>Liema bażi navali waqgħet għan-Normans?</v>
      </c>
    </row>
    <row r="16027" ht="15.75" customHeight="1">
      <c r="A16027" s="2" t="s">
        <v>16027</v>
      </c>
      <c r="B16027" s="2" t="str">
        <f>IFERROR(__xludf.DUMMYFUNCTION("GOOGLETRANSLATE(A16027, ""en"", ""mt"")"),"X'inhu daqs 5% konsum ta 'ossiġnu?")</f>
        <v>X'inhu daqs 5% konsum ta 'ossiġnu?</v>
      </c>
    </row>
    <row r="16028" ht="15.75" customHeight="1">
      <c r="A16028" s="2" t="s">
        <v>16028</v>
      </c>
      <c r="B16028" s="2" t="str">
        <f>IFERROR(__xludf.DUMMYFUNCTION("GOOGLETRANSLATE(A16028, ""en"", ""mt"")"),"Meta l-Ġermanja bdiet tibni l-imperu kolonjali tagħha stess.")</f>
        <v>Meta l-Ġermanja bdiet tibni l-imperu kolonjali tagħha stess.</v>
      </c>
    </row>
    <row r="16029" ht="15.75" customHeight="1">
      <c r="A16029" s="2" t="s">
        <v>16029</v>
      </c>
      <c r="B16029" s="2" t="str">
        <f>IFERROR(__xludf.DUMMYFUNCTION("GOOGLETRANSLATE(A16029, ""en"", ""mt"")"),"In-Netwerk Tradizzjonali tat-Tifel Qadim")</f>
        <v>In-Netwerk Tradizzjonali tat-Tifel Qadim</v>
      </c>
    </row>
    <row r="16030" ht="15.75" customHeight="1">
      <c r="A16030" s="2" t="s">
        <v>16030</v>
      </c>
      <c r="B16030" s="2" t="str">
        <f>IFERROR(__xludf.DUMMYFUNCTION("GOOGLETRANSLATE(A16030, ""en"", ""mt"")"),"L-imperjalizmu huwa sinonimu ma 'liema terminu ieħor?")</f>
        <v>L-imperjalizmu huwa sinonimu ma 'liema terminu ieħor?</v>
      </c>
    </row>
    <row r="16031" ht="15.75" customHeight="1">
      <c r="A16031" s="2" t="s">
        <v>16031</v>
      </c>
      <c r="B16031" s="2" t="str">
        <f>IFERROR(__xludf.DUMMYFUNCTION("GOOGLETRANSLATE(A16031, ""en"", ""mt"")"),"Fejn attakka Mongke Khan id-dinastija tal-kanzunetta?")</f>
        <v>Fejn attakka Mongke Khan id-dinastija tal-kanzunetta?</v>
      </c>
    </row>
    <row r="16032" ht="15.75" customHeight="1">
      <c r="A16032" s="2" t="s">
        <v>16032</v>
      </c>
      <c r="B16032" s="2" t="str">
        <f>IFERROR(__xludf.DUMMYFUNCTION("GOOGLETRANSLATE(A16032, ""en"", ""mt"")"),"X'tip ta 'xjenzat huwa Norman Cantor?")</f>
        <v>X'tip ta 'xjenzat huwa Norman Cantor?</v>
      </c>
    </row>
    <row r="16033" ht="15.75" customHeight="1">
      <c r="A16033" s="2" t="s">
        <v>16033</v>
      </c>
      <c r="B16033" s="2" t="str">
        <f>IFERROR(__xludf.DUMMYFUNCTION("GOOGLETRANSLATE(A16033, ""en"", ""mt"")"),"Porifera")</f>
        <v>Porifera</v>
      </c>
    </row>
    <row r="16034" ht="15.75" customHeight="1">
      <c r="A16034" s="2" t="s">
        <v>16034</v>
      </c>
      <c r="B16034" s="2" t="str">
        <f>IFERROR(__xludf.DUMMYFUNCTION("GOOGLETRANSLATE(A16034, ""en"", ""mt"")"),"Aktar minn 2,")</f>
        <v>Aktar minn 2,</v>
      </c>
    </row>
    <row r="16035" ht="15.75" customHeight="1">
      <c r="A16035" s="2" t="s">
        <v>16035</v>
      </c>
      <c r="B16035" s="2" t="str">
        <f>IFERROR(__xludf.DUMMYFUNCTION("GOOGLETRANSLATE(A16035, ""en"", ""mt"")"),"350")</f>
        <v>350</v>
      </c>
    </row>
    <row r="16036" ht="15.75" customHeight="1">
      <c r="A16036" s="2" t="s">
        <v>16036</v>
      </c>
      <c r="B16036" s="2" t="str">
        <f>IFERROR(__xludf.DUMMYFUNCTION("GOOGLETRANSLATE(A16036, ""en"", ""mt"")"),"Meqrud Fort Frontenac")</f>
        <v>Meqrud Fort Frontenac</v>
      </c>
    </row>
    <row r="16037" ht="15.75" customHeight="1">
      <c r="A16037" s="2" t="s">
        <v>16037</v>
      </c>
      <c r="B16037" s="2" t="str">
        <f>IFERROR(__xludf.DUMMYFUNCTION("GOOGLETRANSLATE(A16037, ""en"", ""mt"")"),"Kif inqerdu xi inugwaljanzi ekonomiċi moderni?")</f>
        <v>Kif inqerdu xi inugwaljanzi ekonomiċi moderni?</v>
      </c>
    </row>
    <row r="16038" ht="15.75" customHeight="1">
      <c r="A16038" s="2" t="s">
        <v>16038</v>
      </c>
      <c r="B16038" s="2" t="str">
        <f>IFERROR(__xludf.DUMMYFUNCTION("GOOGLETRANSLATE(A16038, ""en"", ""mt"")"),"dikjarazzjoni")</f>
        <v>dikjarazzjoni</v>
      </c>
    </row>
    <row r="16039" ht="15.75" customHeight="1">
      <c r="A16039" s="2" t="s">
        <v>16039</v>
      </c>
      <c r="B16039" s="2" t="str">
        <f>IFERROR(__xludf.DUMMYFUNCTION("GOOGLETRANSLATE(A16039, ""en"", ""mt"")"),"Id-diżubbidjenza ċivili hija ġġustifikata biss kontra entitajiet governattivi.")</f>
        <v>Id-diżubbidjenza ċivili hija ġġustifikata biss kontra entitajiet governattivi.</v>
      </c>
    </row>
    <row r="16040" ht="15.75" customHeight="1">
      <c r="A16040" s="2" t="s">
        <v>16040</v>
      </c>
      <c r="B16040" s="2" t="str">
        <f>IFERROR(__xludf.DUMMYFUNCTION("GOOGLETRANSLATE(A16040, ""en"", ""mt"")"),"80 fil-mija")</f>
        <v>80 fil-mija</v>
      </c>
    </row>
    <row r="16041" ht="15.75" customHeight="1">
      <c r="A16041" s="2" t="s">
        <v>16041</v>
      </c>
      <c r="B16041" s="2" t="str">
        <f>IFERROR(__xludf.DUMMYFUNCTION("GOOGLETRANSLATE(A16041, ""en"", ""mt"")"),"2,400 professuri, letturi u għalliema ta 'Harvard jagħtu struzzjonijiet 7,200 studenti u 14,000 student gradwat. Il-kulur tal-iskola huwa krimżi, li huwa wkoll l-isem tat-timijiet sportivi ta ’Harvard u l-gazzetta ta’ kuljum, il-Harvard Crimson. Il-kulur "&amp;"ġie adottat b'mod mhux uffiċjali (bi preferenza għal Magenta) b'vot tal-1875 tal-korp tal-istudenti, għalkemm l-assoċjazzjoni ma 'xi forma ta' aħmar tista 'tiġi rintraċċata għall-1858, meta Charles William Eliot, student gradwat żagħżugħ li aktar tard isi"&amp;"r il-21 ta' Harvard u l-itwal president li jservi (1869–1909), xtara bandana l-ħamra għall-ekwipaġġ tiegħu sabiex ikunu jistgħu jiġu distinti aktar faċilment minn spettaturi f'regatta.")</f>
        <v>2,400 professuri, letturi u għalliema ta 'Harvard jagħtu struzzjonijiet 7,200 studenti u 14,000 student gradwat. Il-kulur tal-iskola huwa krimżi, li huwa wkoll l-isem tat-timijiet sportivi ta ’Harvard u l-gazzetta ta’ kuljum, il-Harvard Crimson. Il-kulur ġie adottat b'mod mhux uffiċjali (bi preferenza għal Magenta) b'vot tal-1875 tal-korp tal-istudenti, għalkemm l-assoċjazzjoni ma 'xi forma ta' aħmar tista 'tiġi rintraċċata għall-1858, meta Charles William Eliot, student gradwat żagħżugħ li aktar tard isir il-21 ta' Harvard u l-itwal president li jservi (1869–1909), xtara bandana l-ħamra għall-ekwipaġġ tiegħu sabiex ikunu jistgħu jiġu distinti aktar faċilment minn spettaturi f'regatta.</v>
      </c>
    </row>
    <row r="16042" ht="15.75" customHeight="1">
      <c r="A16042" s="2" t="s">
        <v>16042</v>
      </c>
      <c r="B16042" s="2" t="str">
        <f>IFERROR(__xludf.DUMMYFUNCTION("GOOGLETRANSLATE(A16042, ""en"", ""mt"")"),"figuri mill-kleru")</f>
        <v>figuri mill-kleru</v>
      </c>
    </row>
    <row r="16043" ht="15.75" customHeight="1">
      <c r="A16043" s="2" t="s">
        <v>16043</v>
      </c>
      <c r="B16043" s="2" t="str">
        <f>IFERROR(__xludf.DUMMYFUNCTION("GOOGLETRANSLATE(A16043, ""en"", ""mt"")"),"Liema sintomu relatat mal-ġilda jidher mill-pesta pnewmonika?")</f>
        <v>Liema sintomu relatat mal-ġilda jidher mill-pesta pnewmonika?</v>
      </c>
    </row>
    <row r="16044" ht="15.75" customHeight="1">
      <c r="A16044" s="2" t="s">
        <v>16044</v>
      </c>
      <c r="B16044" s="2" t="str">
        <f>IFERROR(__xludf.DUMMYFUNCTION("GOOGLETRANSLATE(A16044, ""en"", ""mt"")"),"X'tip ta 'kumpanija hija Sky UK Limited?")</f>
        <v>X'tip ta 'kumpanija hija Sky UK Limited?</v>
      </c>
    </row>
    <row r="16045" ht="15.75" customHeight="1">
      <c r="A16045" s="2" t="s">
        <v>16045</v>
      </c>
      <c r="B16045" s="2" t="str">
        <f>IFERROR(__xludf.DUMMYFUNCTION("GOOGLETRANSLATE(A16045, ""en"", ""mt"")"),"Watt x’għamel mal-magna tal-fwar fis-seklu 19?")</f>
        <v>Watt x’għamel mal-magna tal-fwar fis-seklu 19?</v>
      </c>
    </row>
    <row r="16046" ht="15.75" customHeight="1">
      <c r="A16046" s="2" t="s">
        <v>16046</v>
      </c>
      <c r="B16046" s="2" t="str">
        <f>IFERROR(__xludf.DUMMYFUNCTION("GOOGLETRANSLATE(A16046, ""en"", ""mt"")"),"Liema kwistjoni hija komuni fil-qasam tal-ippjanar finanzjarju?")</f>
        <v>Liema kwistjoni hija komuni fil-qasam tal-ippjanar finanzjarju?</v>
      </c>
    </row>
    <row r="16047" ht="15.75" customHeight="1">
      <c r="A16047" s="2" t="s">
        <v>16047</v>
      </c>
      <c r="B16047" s="2" t="str">
        <f>IFERROR(__xludf.DUMMYFUNCTION("GOOGLETRANSLATE(A16047, ""en"", ""mt"")"),"Għaliex il-moviment liberu ma kienx dejjem aktar ibbażat fuq iċ-ċittadinanza?")</f>
        <v>Għaliex il-moviment liberu ma kienx dejjem aktar ibbażat fuq iċ-ċittadinanza?</v>
      </c>
    </row>
    <row r="16048" ht="15.75" customHeight="1">
      <c r="A16048" s="2" t="s">
        <v>16048</v>
      </c>
      <c r="B16048" s="2" t="str">
        <f>IFERROR(__xludf.DUMMYFUNCTION("GOOGLETRANSLATE(A16048, ""en"", ""mt"")"),"dawl tax-xemx")</f>
        <v>dawl tax-xemx</v>
      </c>
    </row>
    <row r="16049" ht="15.75" customHeight="1">
      <c r="A16049" s="2" t="s">
        <v>16049</v>
      </c>
      <c r="B16049" s="2" t="str">
        <f>IFERROR(__xludf.DUMMYFUNCTION("GOOGLETRANSLATE(A16049, ""en"", ""mt"")"),"L-Ewwel Gwerra Dinjija")</f>
        <v>L-Ewwel Gwerra Dinjija</v>
      </c>
    </row>
    <row r="16050" ht="15.75" customHeight="1">
      <c r="A16050" s="2" t="s">
        <v>16050</v>
      </c>
      <c r="B16050" s="2" t="str">
        <f>IFERROR(__xludf.DUMMYFUNCTION("GOOGLETRANSLATE(A16050, ""en"", ""mt"")"),"Liema fluwidu tax-xogħol jintuża f'ċiklu tal-merkurju?")</f>
        <v>Liema fluwidu tax-xogħol jintuża f'ċiklu tal-merkurju?</v>
      </c>
    </row>
    <row r="16051" ht="15.75" customHeight="1">
      <c r="A16051" s="2" t="s">
        <v>16051</v>
      </c>
      <c r="B16051" s="2" t="str">
        <f>IFERROR(__xludf.DUMMYFUNCTION("GOOGLETRANSLATE(A16051, ""en"", ""mt"")"),"Fl-Amerika Latina x'inhu l-iktar kulur tal-ġilda revered?")</f>
        <v>Fl-Amerika Latina x'inhu l-iktar kulur tal-ġilda revered?</v>
      </c>
    </row>
    <row r="16052" ht="15.75" customHeight="1">
      <c r="A16052" s="2" t="s">
        <v>16052</v>
      </c>
      <c r="B16052" s="2" t="str">
        <f>IFERROR(__xludf.DUMMYFUNCTION("GOOGLETRANSLATE(A16052, ""en"", ""mt"")"),"X'kienet ix-xejra tal-popolazzjoni ta 'studenti femminili mis-snin sebgħin u Deyond?")</f>
        <v>X'kienet ix-xejra tal-popolazzjoni ta 'studenti femminili mis-snin sebgħin u Deyond?</v>
      </c>
    </row>
    <row r="16053" ht="15.75" customHeight="1">
      <c r="A16053" s="2" t="s">
        <v>16053</v>
      </c>
      <c r="B16053" s="2" t="str">
        <f>IFERROR(__xludf.DUMMYFUNCTION("GOOGLETRANSLATE(A16053, ""en"", ""mt"")"),"Problemi finanzjarji li jistgħu jiġu evitati")</f>
        <v>Problemi finanzjarji li jistgħu jiġu evitati</v>
      </c>
    </row>
    <row r="16054" ht="15.75" customHeight="1">
      <c r="A16054" s="2" t="s">
        <v>16054</v>
      </c>
      <c r="B16054" s="2" t="str">
        <f>IFERROR(__xludf.DUMMYFUNCTION("GOOGLETRANSLATE(A16054, ""en"", ""mt"")"),"Xi joħloq l-iskambju tal-boson w u z?")</f>
        <v>Xi joħloq l-iskambju tal-boson w u z?</v>
      </c>
    </row>
    <row r="16055" ht="15.75" customHeight="1">
      <c r="A16055" s="2" t="s">
        <v>16055</v>
      </c>
      <c r="B16055" s="2" t="str">
        <f>IFERROR(__xludf.DUMMYFUNCTION("GOOGLETRANSLATE(A16055, ""en"", ""mt"")"),"Liema kastell bħalissa fih iċ-Ċentru għall-Arti Kontemporanja?")</f>
        <v>Liema kastell bħalissa fih iċ-Ċentru għall-Arti Kontemporanja?</v>
      </c>
    </row>
    <row r="16056" ht="15.75" customHeight="1">
      <c r="A16056" s="2" t="s">
        <v>16056</v>
      </c>
      <c r="B16056" s="2" t="str">
        <f>IFERROR(__xludf.DUMMYFUNCTION("GOOGLETRANSLATE(A16056, ""en"", ""mt"")"),"Dornbirner Ach")</f>
        <v>Dornbirner Ach</v>
      </c>
    </row>
    <row r="16057" ht="15.75" customHeight="1">
      <c r="A16057" s="2" t="s">
        <v>16057</v>
      </c>
      <c r="B16057" s="2" t="str">
        <f>IFERROR(__xludf.DUMMYFUNCTION("GOOGLETRANSLATE(A16057, ""en"", ""mt"")"),"X'jagħmel Ctenophores differenti mill-annimali l-oħra kollha?")</f>
        <v>X'jagħmel Ctenophores differenti mill-annimali l-oħra kollha?</v>
      </c>
    </row>
    <row r="16058" ht="15.75" customHeight="1">
      <c r="A16058" s="2" t="s">
        <v>16058</v>
      </c>
      <c r="B16058" s="2" t="str">
        <f>IFERROR(__xludf.DUMMYFUNCTION("GOOGLETRANSLATE(A16058, ""en"", ""mt"")"),"Tibni 617 m tall?")</f>
        <v>Tibni 617 m tall?</v>
      </c>
    </row>
    <row r="16059" ht="15.75" customHeight="1">
      <c r="A16059" s="2" t="s">
        <v>16059</v>
      </c>
      <c r="B16059" s="2" t="str">
        <f>IFERROR(__xludf.DUMMYFUNCTION("GOOGLETRANSLATE(A16059, ""en"", ""mt"")"),"Meta beda l-moviment Huguenot?")</f>
        <v>Meta beda l-moviment Huguenot?</v>
      </c>
    </row>
    <row r="16060" ht="15.75" customHeight="1">
      <c r="A16060" s="2" t="s">
        <v>16060</v>
      </c>
      <c r="B16060" s="2" t="str">
        <f>IFERROR(__xludf.DUMMYFUNCTION("GOOGLETRANSLATE(A16060, ""en"", ""mt"")"),"Fejn Franza rebħet gwerra fil-ħamsinijiet")</f>
        <v>Fejn Franza rebħet gwerra fil-ħamsinijiet</v>
      </c>
    </row>
    <row r="16061" ht="15.75" customHeight="1">
      <c r="A16061" s="2" t="s">
        <v>16061</v>
      </c>
      <c r="B16061" s="2" t="str">
        <f>IFERROR(__xludf.DUMMYFUNCTION("GOOGLETRANSLATE(A16061, ""en"", ""mt"")"),"Minn xiex tista 'tiddependi l-elastiċità tat-tkabbir tal-faqar?")</f>
        <v>Minn xiex tista 'tiddependi l-elastiċità tat-tkabbir tal-faqar?</v>
      </c>
    </row>
    <row r="16062" ht="15.75" customHeight="1">
      <c r="A16062" s="2" t="s">
        <v>16062</v>
      </c>
      <c r="B16062" s="2" t="str">
        <f>IFERROR(__xludf.DUMMYFUNCTION("GOOGLETRANSLATE(A16062, ""en"", ""mt"")"),"Kemm hemm speċi li nstabu fis-shale Burgess?")</f>
        <v>Kemm hemm speċi li nstabu fis-shale Burgess?</v>
      </c>
    </row>
    <row r="16063" ht="15.75" customHeight="1">
      <c r="A16063" s="2" t="s">
        <v>16063</v>
      </c>
      <c r="B16063" s="2" t="str">
        <f>IFERROR(__xludf.DUMMYFUNCTION("GOOGLETRANSLATE(A16063, ""en"", ""mt"")"),"Xi tfisser CBD?")</f>
        <v>Xi tfisser CBD?</v>
      </c>
    </row>
    <row r="16064" ht="15.75" customHeight="1">
      <c r="A16064" s="2" t="s">
        <v>16064</v>
      </c>
      <c r="B16064" s="2" t="str">
        <f>IFERROR(__xludf.DUMMYFUNCTION("GOOGLETRANSLATE(A16064, ""en"", ""mt"")"),"Din espandiet")</f>
        <v>Din espandiet</v>
      </c>
    </row>
    <row r="16065" ht="15.75" customHeight="1">
      <c r="A16065" s="2" t="s">
        <v>16065</v>
      </c>
      <c r="B16065" s="2" t="str">
        <f>IFERROR(__xludf.DUMMYFUNCTION("GOOGLETRANSLATE(A16065, ""en"", ""mt"")"),"X'inhi l-banda universali li r-riċevituri diġitali jirċievu l-istazzjonijiet bla ħlas fuq l-ajru?")</f>
        <v>X'inhi l-banda universali li r-riċevituri diġitali jirċievu l-istazzjonijiet bla ħlas fuq l-ajru?</v>
      </c>
    </row>
    <row r="16066" ht="15.75" customHeight="1">
      <c r="A16066" s="2" t="s">
        <v>16066</v>
      </c>
      <c r="B16066" s="2" t="str">
        <f>IFERROR(__xludf.DUMMYFUNCTION("GOOGLETRANSLATE(A16066, ""en"", ""mt"")"),"Kien il-pjan għall-missjoni Langlades?")</f>
        <v>Kien il-pjan għall-missjoni Langlades?</v>
      </c>
    </row>
    <row r="16067" ht="15.75" customHeight="1">
      <c r="A16067" s="2" t="s">
        <v>16067</v>
      </c>
      <c r="B16067" s="2" t="str">
        <f>IFERROR(__xludf.DUMMYFUNCTION("GOOGLETRANSLATE(A16067, ""en"", ""mt"")"),"Għal liema pajjiżi r-rivoluzzjoni tal-1919 riedet iġġib l-indipendenza mir-Russja?")</f>
        <v>Għal liema pajjiżi r-rivoluzzjoni tal-1919 riedet iġġib l-indipendenza mir-Russja?</v>
      </c>
    </row>
    <row r="16068" ht="15.75" customHeight="1">
      <c r="A16068" s="2" t="s">
        <v>16068</v>
      </c>
      <c r="B16068" s="2" t="str">
        <f>IFERROR(__xludf.DUMMYFUNCTION("GOOGLETRANSLATE(A16068, ""en"", ""mt"")"),"Tnaqqis wieqaf u kostanti")</f>
        <v>Tnaqqis wieqaf u kostanti</v>
      </c>
    </row>
    <row r="16069" ht="15.75" customHeight="1">
      <c r="A16069" s="2" t="s">
        <v>16069</v>
      </c>
      <c r="B16069" s="2" t="str">
        <f>IFERROR(__xludf.DUMMYFUNCTION("GOOGLETRANSLATE(A16069, ""en"", ""mt"")"),"ramel")</f>
        <v>ramel</v>
      </c>
    </row>
    <row r="16070" ht="15.75" customHeight="1">
      <c r="A16070" s="2" t="s">
        <v>16070</v>
      </c>
      <c r="B16070" s="2" t="str">
        <f>IFERROR(__xludf.DUMMYFUNCTION("GOOGLETRANSLATE(A16070, ""en"", ""mt"")"),"Kif tissejjaħ l-aħħar liwja ewlenija fir-Renu?")</f>
        <v>Kif tissejjaħ l-aħħar liwja ewlenija fir-Renu?</v>
      </c>
    </row>
    <row r="16071" ht="15.75" customHeight="1">
      <c r="A16071" s="2" t="s">
        <v>16071</v>
      </c>
      <c r="B16071" s="2" t="str">
        <f>IFERROR(__xludf.DUMMYFUNCTION("GOOGLETRANSLATE(A16071, ""en"", ""mt"")"),"l-akbar")</f>
        <v>l-akbar</v>
      </c>
    </row>
    <row r="16072" ht="15.75" customHeight="1">
      <c r="A16072" s="2" t="s">
        <v>16072</v>
      </c>
      <c r="B16072" s="2" t="str">
        <f>IFERROR(__xludf.DUMMYFUNCTION("GOOGLETRANSLATE(A16072, ""en"", ""mt"")"),"Giovanni Branca")</f>
        <v>Giovanni Branca</v>
      </c>
    </row>
    <row r="16073" ht="15.75" customHeight="1">
      <c r="A16073" s="2" t="s">
        <v>16073</v>
      </c>
      <c r="B16073" s="2" t="str">
        <f>IFERROR(__xludf.DUMMYFUNCTION("GOOGLETRANSLATE(A16073, ""en"", ""mt"")"),"X'jiġri jekk Direttiva Doe Snot tagħti espressjoni lil ""prinċipju ġenerali"" tal-liġi tal-UE?")</f>
        <v>X'jiġri jekk Direttiva Doe Snot tagħti espressjoni lil "prinċipju ġenerali" tal-liġi tal-UE?</v>
      </c>
    </row>
    <row r="16074" ht="15.75" customHeight="1">
      <c r="A16074" s="2" t="s">
        <v>16074</v>
      </c>
      <c r="B16074" s="2" t="str">
        <f>IFERROR(__xludf.DUMMYFUNCTION("GOOGLETRANSLATE(A16074, ""en"", ""mt"")"),"Liema xogħol ma jeħtieġx li l-membru jkun ċittadin tar-Renju Unit?")</f>
        <v>Liema xogħol ma jeħtieġx li l-membru jkun ċittadin tar-Renju Unit?</v>
      </c>
    </row>
    <row r="16075" ht="15.75" customHeight="1">
      <c r="A16075" s="2" t="s">
        <v>16075</v>
      </c>
      <c r="B16075" s="2" t="str">
        <f>IFERROR(__xludf.DUMMYFUNCTION("GOOGLETRANSLATE(A16075, ""en"", ""mt"")"),"innifsu")</f>
        <v>innifsu</v>
      </c>
    </row>
    <row r="16076" ht="15.75" customHeight="1">
      <c r="A16076" s="2" t="s">
        <v>16076</v>
      </c>
      <c r="B16076" s="2" t="str">
        <f>IFERROR(__xludf.DUMMYFUNCTION("GOOGLETRANSLATE(A16076, ""en"", ""mt"")"),"X'togot il-kriżi taż-żejt ġewwa?")</f>
        <v>X'togot il-kriżi taż-żejt ġewwa?</v>
      </c>
    </row>
    <row r="16077" ht="15.75" customHeight="1">
      <c r="A16077" s="2" t="s">
        <v>16077</v>
      </c>
      <c r="B16077" s="2" t="str">
        <f>IFERROR(__xludf.DUMMYFUNCTION("GOOGLETRANSLATE(A16077, ""en"", ""mt"")"),"Singlet Oxygen")</f>
        <v>Singlet Oxygen</v>
      </c>
    </row>
    <row r="16078" ht="15.75" customHeight="1">
      <c r="A16078" s="2" t="s">
        <v>16078</v>
      </c>
      <c r="B16078" s="2" t="str">
        <f>IFERROR(__xludf.DUMMYFUNCTION("GOOGLETRANSLATE(A16078, ""en"", ""mt"")"),"jekk hux se jinvoka ħati jew le.")</f>
        <v>jekk hux se jinvoka ħati jew le.</v>
      </c>
    </row>
    <row r="16079" ht="15.75" customHeight="1">
      <c r="A16079" s="2" t="s">
        <v>16079</v>
      </c>
      <c r="B16079" s="2" t="str">
        <f>IFERROR(__xludf.DUMMYFUNCTION("GOOGLETRANSLATE(A16079, ""en"", ""mt"")"),"Bizzilla Ingliża")</f>
        <v>Bizzilla Ingliża</v>
      </c>
    </row>
    <row r="16080" ht="15.75" customHeight="1">
      <c r="A16080" s="2" t="s">
        <v>16080</v>
      </c>
      <c r="B16080" s="2" t="str">
        <f>IFERROR(__xludf.DUMMYFUNCTION("GOOGLETRANSLATE(A16080, ""en"", ""mt"")"),"differenzi fil-valur")</f>
        <v>differenzi fil-valur</v>
      </c>
    </row>
    <row r="16081" ht="15.75" customHeight="1">
      <c r="A16081" s="2" t="s">
        <v>16081</v>
      </c>
      <c r="B16081" s="2" t="str">
        <f>IFERROR(__xludf.DUMMYFUNCTION("GOOGLETRANSLATE(A16081, ""en"", ""mt"")"),"X'kien imsejjaħ l-inċident fuq it-taxxi fil-Ballarat?")</f>
        <v>X'kien imsejjaħ l-inċident fuq it-taxxi fil-Ballarat?</v>
      </c>
    </row>
    <row r="16082" ht="15.75" customHeight="1">
      <c r="A16082" s="2" t="s">
        <v>16082</v>
      </c>
      <c r="B16082" s="2" t="str">
        <f>IFERROR(__xludf.DUMMYFUNCTION("GOOGLETRANSLATE(A16082, ""en"", ""mt"")"),"Kemm nies mietu mill-mewt sewda fl-Afrika ta ’Fuq?")</f>
        <v>Kemm nies mietu mill-mewt sewda fl-Afrika ta ’Fuq?</v>
      </c>
    </row>
    <row r="16083" ht="15.75" customHeight="1">
      <c r="A16083" s="2" t="s">
        <v>16083</v>
      </c>
      <c r="B16083" s="2" t="str">
        <f>IFERROR(__xludf.DUMMYFUNCTION("GOOGLETRANSLATE(A16083, ""en"", ""mt"")"),"kumplessità tal-ħin")</f>
        <v>kumplessità tal-ħin</v>
      </c>
    </row>
    <row r="16084" ht="15.75" customHeight="1">
      <c r="A16084" s="2" t="s">
        <v>16084</v>
      </c>
      <c r="B16084" s="2" t="str">
        <f>IFERROR(__xludf.DUMMYFUNCTION("GOOGLETRANSLATE(A16084, ""en"", ""mt"")"),"X'inhu isem ieħor għal avveniment deformazzjonali?")</f>
        <v>X'inhu isem ieħor għal avveniment deformazzjonali?</v>
      </c>
    </row>
    <row r="16085" ht="15.75" customHeight="1">
      <c r="A16085" s="2" t="s">
        <v>16085</v>
      </c>
      <c r="B16085" s="2" t="str">
        <f>IFERROR(__xludf.DUMMYFUNCTION("GOOGLETRANSLATE(A16085, ""en"", ""mt"")"),"l-Ingliżi")</f>
        <v>l-Ingliżi</v>
      </c>
    </row>
    <row r="16086" ht="15.75" customHeight="1">
      <c r="A16086" s="2" t="s">
        <v>16086</v>
      </c>
      <c r="B16086" s="2" t="str">
        <f>IFERROR(__xludf.DUMMYFUNCTION("GOOGLETRANSLATE(A16086, ""en"", ""mt"")"),"Kemm id-Danimarka ma teħtieġx li tibda kumpanija?")</f>
        <v>Kemm id-Danimarka ma teħtieġx li tibda kumpanija?</v>
      </c>
    </row>
    <row r="16087" ht="15.75" customHeight="1">
      <c r="A16087" s="2" t="s">
        <v>16087</v>
      </c>
      <c r="B16087" s="2" t="str">
        <f>IFERROR(__xludf.DUMMYFUNCTION("GOOGLETRANSLATE(A16087, ""en"", ""mt"")"),"superjorità teknoloġika,")</f>
        <v>superjorità teknoloġika,</v>
      </c>
    </row>
    <row r="16088" ht="15.75" customHeight="1">
      <c r="A16088" s="2" t="s">
        <v>16088</v>
      </c>
      <c r="B16088" s="2" t="str">
        <f>IFERROR(__xludf.DUMMYFUNCTION("GOOGLETRANSLATE(A16088, ""en"", ""mt"")"),"L-Iskandinavja u l-Ewropa tat-Tramuntana,")</f>
        <v>L-Iskandinavja u l-Ewropa tat-Tramuntana,</v>
      </c>
    </row>
    <row r="16089" ht="15.75" customHeight="1">
      <c r="A16089" s="2" t="s">
        <v>16089</v>
      </c>
      <c r="B16089" s="2" t="str">
        <f>IFERROR(__xludf.DUMMYFUNCTION("GOOGLETRANSLATE(A16089, ""en"", ""mt"")"),"Honeyeater elmu")</f>
        <v>Honeyeater elmu</v>
      </c>
    </row>
    <row r="16090" ht="15.75" customHeight="1">
      <c r="A16090" s="2" t="s">
        <v>16090</v>
      </c>
      <c r="B16090" s="2" t="str">
        <f>IFERROR(__xludf.DUMMYFUNCTION("GOOGLETRANSLATE(A16090, ""en"", ""mt"")"),"aggressività")</f>
        <v>aggressività</v>
      </c>
    </row>
    <row r="16091" ht="15.75" customHeight="1">
      <c r="A16091" s="2" t="s">
        <v>16091</v>
      </c>
      <c r="B16091" s="2" t="str">
        <f>IFERROR(__xludf.DUMMYFUNCTION("GOOGLETRANSLATE(A16091, ""en"", ""mt"")"),"Bi protesta kontra l-okkupazzjoni tal-Prussja minn Napuljun")</f>
        <v>Bi protesta kontra l-okkupazzjoni tal-Prussja minn Napuljun</v>
      </c>
    </row>
    <row r="16092" ht="15.75" customHeight="1">
      <c r="A16092" s="2" t="s">
        <v>16092</v>
      </c>
      <c r="B16092" s="2" t="str">
        <f>IFERROR(__xludf.DUMMYFUNCTION("GOOGLETRANSLATE(A16092, ""en"", ""mt"")"),"L-SNP taw tmien siġġijiet lil min hu liberali?")</f>
        <v>L-SNP taw tmien siġġijiet lil min hu liberali?</v>
      </c>
    </row>
    <row r="16093" ht="15.75" customHeight="1">
      <c r="A16093" s="2" t="s">
        <v>16093</v>
      </c>
      <c r="B16093" s="2" t="str">
        <f>IFERROR(__xludf.DUMMYFUNCTION("GOOGLETRANSLATE(A16093, ""en"", ""mt"")"),"Datagrammi mhux affidabbli u mekkaniżmi ta 'protokoll end-to-end assoċjati")</f>
        <v>Datagrammi mhux affidabbli u mekkaniżmi ta 'protokoll end-to-end assoċjati</v>
      </c>
    </row>
    <row r="16094" ht="15.75" customHeight="1">
      <c r="A16094" s="2" t="s">
        <v>16094</v>
      </c>
      <c r="B16094" s="2" t="str">
        <f>IFERROR(__xludf.DUMMYFUNCTION("GOOGLETRANSLATE(A16094, ""en"", ""mt"")"),"Il-fotosintesi tuża liema enerġija għandha għall-ossiġnu mill-ilma?")</f>
        <v>Il-fotosintesi tuża liema enerġija għandha għall-ossiġnu mill-ilma?</v>
      </c>
    </row>
    <row r="16095" ht="15.75" customHeight="1">
      <c r="A16095" s="2" t="s">
        <v>16095</v>
      </c>
      <c r="B16095" s="2" t="str">
        <f>IFERROR(__xludf.DUMMYFUNCTION("GOOGLETRANSLATE(A16095, ""en"", ""mt"")"),"Liema ktieb iddiskuta t-teorija dwar popolazzjonijiet baxxi fil-foresta tropikali tal-Amażonja?")</f>
        <v>Liema ktieb iddiskuta t-teorija dwar popolazzjonijiet baxxi fil-foresta tropikali tal-Amażonja?</v>
      </c>
    </row>
    <row r="16096" ht="15.75" customHeight="1">
      <c r="A16096" s="2" t="s">
        <v>16096</v>
      </c>
      <c r="B16096" s="2" t="str">
        <f>IFERROR(__xludf.DUMMYFUNCTION("GOOGLETRANSLATE(A16096, ""en"", ""mt"")"),"Iċ-ċelloli T qattiel huma sotto-grupp ta 'ċelloli T li joqtlu ċelloli li huma infettati bil-viruses (u patoġeni oħra), jew li huma bil-ħsara mod ieħor jew disfunzjonali. Bħal fiċ-ċelloli B, kull tip ta 'ċellula T jirrikonoxxi antiġen differenti. Iċ-ċellol"&amp;"i T qattiel huma attivati ​​meta r-riċettur taċ-ċelloli T tagħhom (TCR) jeħel ma 'dan l-antiġen speċifiku f'kumpless mar-riċettur tal-klassi I MHC ta' ċellula oħra. Ir-rikonoxximent ta 'dan l-MHC: kumpless antiġen huwa megħjun minn ko-riċettur fuq iċ-ċell"&amp;"ula T, imsejjaħ CD8. Iċ-ċellula T imbagħad tivvjaġġa madwar il-ġisem fit-tfittxija ta 'ċelloli fejn ir-riċetturi MHC I għandhom dan l-antiġen. Meta ċelloli T attivati ​​jikkuntattjaw tali ċelloli, jirrilaxxa ċitotossini, bħal perforin, li jiffurmaw pori f"&amp;"il-membrana tal-plażma taċ-ċellula fil-mira, li jippermettu joni, ilma u tossini biex jidħlu. Id-dħul ta 'tossina oħra msejħa granulysin (protease) tinduċi ċ-ċellula fil-mira biex tgħaddi minn apoptożi. Il-qtil taċ-ċelloli T taċ-ċelloli ospitanti huwa par"&amp;"tikolarment importanti fil-prevenzjoni tar-replikazzjoni tal-viruses. L-attivazzjoni taċ-ċelloli T hija kkontrollata sewwa u ġeneralment teħtieġ sinjal ta 'attivazzjoni ta' Antigen MHC / antigen qawwi ħafna, jew sinjali ta 'attivazzjoni addizzjonali pprov"&amp;"duti minn ċelloli T ""helper"" (ara hawn taħt).")</f>
        <v>Iċ-ċelloli T qattiel huma sotto-grupp ta 'ċelloli T li joqtlu ċelloli li huma infettati bil-viruses (u patoġeni oħra), jew li huma bil-ħsara mod ieħor jew disfunzjonali. Bħal fiċ-ċelloli B, kull tip ta 'ċellula T jirrikonoxxi antiġen differenti. Iċ-ċelloli T qattiel huma attivati ​​meta r-riċettur taċ-ċelloli T tagħhom (TCR) jeħel ma 'dan l-antiġen speċifiku f'kumpless mar-riċettur tal-klassi I MHC ta' ċellula oħra. Ir-rikonoxximent ta 'dan l-MHC: kumpless antiġen huwa megħjun minn ko-riċettur fuq iċ-ċellula T, imsejjaħ CD8. Iċ-ċellula T imbagħad tivvjaġġa madwar il-ġisem fit-tfittxija ta 'ċelloli fejn ir-riċetturi MHC I għandhom dan l-antiġen. Meta ċelloli T attivati ​​jikkuntattjaw tali ċelloli, jirrilaxxa ċitotossini, bħal perforin, li jiffurmaw pori fil-membrana tal-plażma taċ-ċellula fil-mira, li jippermettu joni, ilma u tossini biex jidħlu. Id-dħul ta 'tossina oħra msejħa granulysin (protease) tinduċi ċ-ċellula fil-mira biex tgħaddi minn apoptożi. Il-qtil taċ-ċelloli T taċ-ċelloli ospitanti huwa partikolarment importanti fil-prevenzjoni tar-replikazzjoni tal-viruses. L-attivazzjoni taċ-ċelloli T hija kkontrollata sewwa u ġeneralment teħtieġ sinjal ta 'attivazzjoni ta' Antigen MHC / antigen qawwi ħafna, jew sinjali ta 'attivazzjoni addizzjonali pprovduti minn ċelloli T "helper" (ara hawn taħt).</v>
      </c>
    </row>
    <row r="16097" ht="15.75" customHeight="1">
      <c r="A16097" s="2" t="s">
        <v>16097</v>
      </c>
      <c r="B16097" s="2" t="str">
        <f>IFERROR(__xludf.DUMMYFUNCTION("GOOGLETRANSLATE(A16097, ""en"", ""mt"")"),"$ 57,000")</f>
        <v>$ 57,000</v>
      </c>
    </row>
    <row r="16098" ht="15.75" customHeight="1">
      <c r="A16098" s="2" t="s">
        <v>16098</v>
      </c>
      <c r="B16098" s="2" t="str">
        <f>IFERROR(__xludf.DUMMYFUNCTION("GOOGLETRANSLATE(A16098, ""en"", ""mt"")"),"Kif ġew modifikati TransPac u Tymnet?")</f>
        <v>Kif ġew modifikati TransPac u Tymnet?</v>
      </c>
    </row>
    <row r="16099" ht="15.75" customHeight="1">
      <c r="A16099" s="2" t="s">
        <v>16099</v>
      </c>
      <c r="B16099" s="2" t="str">
        <f>IFERROR(__xludf.DUMMYFUNCTION("GOOGLETRANSLATE(A16099, ""en"", ""mt"")"),"Liema attur stilla fl-irġiel bl-iswed?")</f>
        <v>Liema attur stilla fl-irġiel bl-iswed?</v>
      </c>
    </row>
    <row r="16100" ht="15.75" customHeight="1">
      <c r="A16100" s="2" t="s">
        <v>16100</v>
      </c>
      <c r="B16100" s="2" t="str">
        <f>IFERROR(__xludf.DUMMYFUNCTION("GOOGLETRANSLATE(A16100, ""en"", ""mt"")"),"F'liema proċess ġeneralment ikun iffurmat l-ossiġnu singlet?")</f>
        <v>F'liema proċess ġeneralment ikun iffurmat l-ossiġnu singlet?</v>
      </c>
    </row>
    <row r="16101" ht="15.75" customHeight="1">
      <c r="A16101" s="2" t="s">
        <v>16101</v>
      </c>
      <c r="B16101" s="2" t="str">
        <f>IFERROR(__xludf.DUMMYFUNCTION("GOOGLETRANSLATE(A16101, ""en"", ""mt"")"),"X'ikUan il-Yuan biex jistampa l-flus tiegħu qabel il-pjanċi tal-bronż?")</f>
        <v>X'ikUan il-Yuan biex jistampa l-flus tiegħu qabel il-pjanċi tal-bronż?</v>
      </c>
    </row>
    <row r="16102" ht="15.75" customHeight="1">
      <c r="A16102" s="2" t="s">
        <v>16102</v>
      </c>
      <c r="B16102" s="2" t="str">
        <f>IFERROR(__xludf.DUMMYFUNCTION("GOOGLETRANSLATE(A16102, ""en"", ""mt"")"),"Wara l-prinċipju utilitarju li jfittex l-akbar ġid għall-akbar numru - l-inugwaljanza ekonomika hija problematika. Dar li tipprovdi inqas utilità lil miljunarju bħala dar tas-sajf milli kienet għal familja bla dar ta 'ħamsa, hija eżempju ta' ""effiċjenza "&amp;"distributtiva"" mnaqqsa fis-soċjetà, li tnaqqas l-utilità marġinali tal-ġid u b'hekk is-somma totali ta 'utilità personali. Dollaru addizzjonali minfuq minn persuna fqira se jmur għal affarijiet li jipprovdu ħafna utilità lil dik il-persuna, bħal ħtiġijie"&amp;"t bażiċi bħall-ikel, l-ilma, u l-kura tas-saħħa; Filwaqt li, dollaru addizzjonali li jintefaq minn persuna ferm iktar sinjura x'aktarx imur għal oġġetti ta 'lussu li jipprovdi relattivament inqas utilità lil dik il-persuna. Għalhekk, l-utilità marġinali t"&amp;"al-ġid għal kull persuna (""id-dollaru addizzjonali"") tonqos hekk kif persuna ssir iktar sinjura. Minn dan il-lat, għal kwalunkwe ammont ta 'ġid partikolari fis-soċjetà, soċjetà b'aktar ugwaljanza se jkollha utilità aggregata ogħla. Xi studji sabu eviden"&amp;"za għal din it-teorija, filwaqt li nnotaw li f'soċjetajiet fejn l-inugwaljanza hija aktar baxxa, is-sodisfazzjon u l-kuntentizza tal-popolazzjoni għandhom it-tendenza li jkunu ogħla.")</f>
        <v>Wara l-prinċipju utilitarju li jfittex l-akbar ġid għall-akbar numru - l-inugwaljanza ekonomika hija problematika. Dar li tipprovdi inqas utilità lil miljunarju bħala dar tas-sajf milli kienet għal familja bla dar ta 'ħamsa, hija eżempju ta' "effiċjenza distributtiva" mnaqqsa fis-soċjetà, li tnaqqas l-utilità marġinali tal-ġid u b'hekk is-somma totali ta 'utilità personali. Dollaru addizzjonali minfuq minn persuna fqira se jmur għal affarijiet li jipprovdu ħafna utilità lil dik il-persuna, bħal ħtiġijiet bażiċi bħall-ikel, l-ilma, u l-kura tas-saħħa; Filwaqt li, dollaru addizzjonali li jintefaq minn persuna ferm iktar sinjura x'aktarx imur għal oġġetti ta 'lussu li jipprovdi relattivament inqas utilità lil dik il-persuna. Għalhekk, l-utilità marġinali tal-ġid għal kull persuna ("id-dollaru addizzjonali") tonqos hekk kif persuna ssir iktar sinjura. Minn dan il-lat, għal kwalunkwe ammont ta 'ġid partikolari fis-soċjetà, soċjetà b'aktar ugwaljanza se jkollha utilità aggregata ogħla. Xi studji sabu evidenza għal din it-teorija, filwaqt li nnotaw li f'soċjetajiet fejn l-inugwaljanza hija aktar baxxa, is-sodisfazzjon u l-kuntentizza tal-popolazzjoni għandhom it-tendenza li jkunu ogħla.</v>
      </c>
    </row>
    <row r="16103" ht="15.75" customHeight="1">
      <c r="A16103" s="2" t="s">
        <v>16103</v>
      </c>
      <c r="B16103" s="2" t="str">
        <f>IFERROR(__xludf.DUMMYFUNCTION("GOOGLETRANSLATE(A16103, ""en"", ""mt"")"),"maqtula")</f>
        <v>maqtula</v>
      </c>
    </row>
    <row r="16104" ht="15.75" customHeight="1">
      <c r="A16104" s="2" t="s">
        <v>16104</v>
      </c>
      <c r="B16104" s="2" t="str">
        <f>IFERROR(__xludf.DUMMYFUNCTION("GOOGLETRANSLATE(A16104, ""en"", ""mt"")"),"unions")</f>
        <v>unions</v>
      </c>
    </row>
    <row r="16105" ht="15.75" customHeight="1">
      <c r="A16105" s="2" t="s">
        <v>16105</v>
      </c>
      <c r="B16105" s="2" t="str">
        <f>IFERROR(__xludf.DUMMYFUNCTION("GOOGLETRANSLATE(A16105, ""en"", ""mt"")"),"Decnet tfisser għal xiex?")</f>
        <v>Decnet tfisser għal xiex?</v>
      </c>
    </row>
    <row r="16106" ht="15.75" customHeight="1">
      <c r="A16106" s="2" t="s">
        <v>16106</v>
      </c>
      <c r="B16106" s="2" t="str">
        <f>IFERROR(__xludf.DUMMYFUNCTION("GOOGLETRANSLATE(A16106, ""en"", ""mt"")"),"Liema sħubija tal-grupp ma tirriflettix il-bilanċ tal-partijiet fil-Parlament?")</f>
        <v>Liema sħubija tal-grupp ma tirriflettix il-bilanċ tal-partijiet fil-Parlament?</v>
      </c>
    </row>
    <row r="16107" ht="15.75" customHeight="1">
      <c r="A16107" s="2" t="s">
        <v>16107</v>
      </c>
      <c r="B16107" s="2" t="str">
        <f>IFERROR(__xludf.DUMMYFUNCTION("GOOGLETRANSLATE(A16107, ""en"", ""mt"")"),"X'inhuma xi kumpaniji kbar tal-ġestjoni tal-ispiżerija?")</f>
        <v>X'inhuma xi kumpaniji kbar tal-ġestjoni tal-ispiżerija?</v>
      </c>
    </row>
    <row r="16108" ht="15.75" customHeight="1">
      <c r="A16108" s="2" t="s">
        <v>16108</v>
      </c>
      <c r="B16108" s="2" t="str">
        <f>IFERROR(__xludf.DUMMYFUNCTION("GOOGLETRANSLATE(A16108, ""en"", ""mt"")"),"X'inhuma l-impenn tal-gvern inkompetenti għall-ġustizzja soċjali mhux limitati?")</f>
        <v>X'inhuma l-impenn tal-gvern inkompetenti għall-ġustizzja soċjali mhux limitati?</v>
      </c>
    </row>
    <row r="16109" ht="15.75" customHeight="1">
      <c r="A16109" s="2" t="s">
        <v>16109</v>
      </c>
      <c r="B16109" s="2" t="str">
        <f>IFERROR(__xludf.DUMMYFUNCTION("GOOGLETRANSLATE(A16109, ""en"", ""mt"")"),"raġonevolment tajjeb")</f>
        <v>raġonevolment tajjeb</v>
      </c>
    </row>
    <row r="16110" ht="15.75" customHeight="1">
      <c r="A16110" s="2" t="s">
        <v>16110</v>
      </c>
      <c r="B16110" s="2" t="str">
        <f>IFERROR(__xludf.DUMMYFUNCTION("GOOGLETRANSLATE(A16110, ""en"", ""mt"")"),"X'inhu l-istatus attwali tal-istudju Haensch?")</f>
        <v>X'inhu l-istatus attwali tal-istudju Haensch?</v>
      </c>
    </row>
    <row r="16111" ht="15.75" customHeight="1">
      <c r="A16111" s="2" t="s">
        <v>16111</v>
      </c>
      <c r="B16111" s="2" t="str">
        <f>IFERROR(__xludf.DUMMYFUNCTION("GOOGLETRANSLATE(A16111, ""en"", ""mt"")"),"Min kien it-tieni l-akbar produttur taż-żejt fid-dinja?")</f>
        <v>Min kien it-tieni l-akbar produttur taż-żejt fid-dinja?</v>
      </c>
    </row>
    <row r="16112" ht="15.75" customHeight="1">
      <c r="A16112" s="2" t="s">
        <v>16112</v>
      </c>
      <c r="B16112" s="2" t="str">
        <f>IFERROR(__xludf.DUMMYFUNCTION("GOOGLETRANSLATE(A16112, ""en"", ""mt"")"),"pakketti")</f>
        <v>pakketti</v>
      </c>
    </row>
    <row r="16113" ht="15.75" customHeight="1">
      <c r="A16113" s="2" t="s">
        <v>16113</v>
      </c>
      <c r="B16113" s="2" t="str">
        <f>IFERROR(__xludf.DUMMYFUNCTION("GOOGLETRANSLATE(A16113, ""en"", ""mt"")"),"Flora commensali")</f>
        <v>Flora commensali</v>
      </c>
    </row>
    <row r="16114" ht="15.75" customHeight="1">
      <c r="A16114" s="2" t="s">
        <v>16114</v>
      </c>
      <c r="B16114" s="2" t="str">
        <f>IFERROR(__xludf.DUMMYFUNCTION("GOOGLETRANSLATE(A16114, ""en"", ""mt"")"),"Miftuħ ħażin ħafna lejn il-Franċiżi, u huma kompletament iddedikati għall-Ingliż")</f>
        <v>Miftuħ ħażin ħafna lejn il-Franċiżi, u huma kompletament iddedikati għall-Ingliż</v>
      </c>
    </row>
    <row r="16115" ht="15.75" customHeight="1">
      <c r="A16115" s="2" t="s">
        <v>16115</v>
      </c>
      <c r="B16115" s="2" t="str">
        <f>IFERROR(__xludf.DUMMYFUNCTION("GOOGLETRANSLATE(A16115, ""en"", ""mt"")"),"Kif hija l-fergħa ġudizzjarja tal-UE fattur importanti fl-iżvilupp tal-liġi tal-UE?")</f>
        <v>Kif hija l-fergħa ġudizzjarja tal-UE fattur importanti fl-iżvilupp tal-liġi tal-UE?</v>
      </c>
    </row>
    <row r="16116" ht="15.75" customHeight="1">
      <c r="A16116" s="2" t="s">
        <v>16116</v>
      </c>
      <c r="B16116" s="2" t="str">
        <f>IFERROR(__xludf.DUMMYFUNCTION("GOOGLETRANSLATE(A16116, ""en"", ""mt"")"),"arkitettoniku")</f>
        <v>arkitettoniku</v>
      </c>
    </row>
    <row r="16117" ht="15.75" customHeight="1">
      <c r="A16117" s="2" t="s">
        <v>16117</v>
      </c>
      <c r="B16117" s="2" t="str">
        <f>IFERROR(__xludf.DUMMYFUNCTION("GOOGLETRANSLATE(A16117, ""en"", ""mt"")"),"Maurus Servius onoratus")</f>
        <v>Maurus Servius onoratus</v>
      </c>
    </row>
    <row r="16118" ht="15.75" customHeight="1">
      <c r="A16118" s="2" t="s">
        <v>16118</v>
      </c>
      <c r="B16118" s="2" t="str">
        <f>IFERROR(__xludf.DUMMYFUNCTION("GOOGLETRANSLATE(A16118, ""en"", ""mt"")"),"X'tip ta 'magna tat-Turing tista' tkun ikkaratterizzata billi tiċċekkja possibbiltajiet multipli fl-istess ħin?")</f>
        <v>X'tip ta 'magna tat-Turing tista' tkun ikkaratterizzata billi tiċċekkja possibbiltajiet multipli fl-istess ħin?</v>
      </c>
    </row>
    <row r="16119" ht="15.75" customHeight="1">
      <c r="A16119" s="2" t="s">
        <v>16119</v>
      </c>
      <c r="B16119" s="2" t="str">
        <f>IFERROR(__xludf.DUMMYFUNCTION("GOOGLETRANSLATE(A16119, ""en"", ""mt"")"),"Għaliex il-korpi tal-ilma polari jappoġġjaw ammont ogħla ta 'ħajja?")</f>
        <v>Għaliex il-korpi tal-ilma polari jappoġġjaw ammont ogħla ta 'ħajja?</v>
      </c>
    </row>
    <row r="16120" ht="15.75" customHeight="1">
      <c r="A16120" s="2" t="s">
        <v>16120</v>
      </c>
      <c r="B16120" s="2" t="str">
        <f>IFERROR(__xludf.DUMMYFUNCTION("GOOGLETRANSLATE(A16120, ""en"", ""mt"")"),"X’għamel Dalton dwar Oh?")</f>
        <v>X’għamel Dalton dwar Oh?</v>
      </c>
    </row>
    <row r="16121" ht="15.75" customHeight="1">
      <c r="A16121" s="2" t="s">
        <v>16121</v>
      </c>
      <c r="B16121" s="2" t="str">
        <f>IFERROR(__xludf.DUMMYFUNCTION("GOOGLETRANSLATE(A16121, ""en"", ""mt"")"),"Il-proporzjonalità hija rikonoxxuta waħda mill-prinċipji ġenerali tal-liġi tal-Unjoni Ewropea mill-Qorti Ewropea tal-Ġustizzja mill-ħamsinijiet. Skond il-prinċipju ġenerali ta 'proporzjonalità, il-legalità ta' azzjoni tiddependi fuq jekk kienx xieraq u ne"&amp;"ċessarju li jinkisbu l-għanijiet leġittimament segwiti. Meta jkun hemm għażla bejn diversi miżuri xierqa, l-inqas onerużi għandhom jiġu adottati, u kwalunkwe żvantaġġ ikkawżat m'għandux ikun sproporzjonat għall-għanijiet segwiti. Il-prinċipju tal-proporzj"&amp;"onalità huwa rikonoxxut ukoll fl-Artikolu 5 tat-Trattat tal-KE, li jiddikjara li ""kwalunkwe azzjoni mill-komunità m'għandhiex tmur lil hinn minn dak li hu meħtieġ biex jinkisbu l-għanijiet ta 'dan it-trattat"".")</f>
        <v>Il-proporzjonalità hija rikonoxxuta waħda mill-prinċipji ġenerali tal-liġi tal-Unjoni Ewropea mill-Qorti Ewropea tal-Ġustizzja mill-ħamsinijiet. Skond il-prinċipju ġenerali ta 'proporzjonalità, il-legalità ta' azzjoni tiddependi fuq jekk kienx xieraq u neċessarju li jinkisbu l-għanijiet leġittimament segwiti. Meta jkun hemm għażla bejn diversi miżuri xierqa, l-inqas onerużi għandhom jiġu adottati, u kwalunkwe żvantaġġ ikkawżat m'għandux ikun sproporzjonat għall-għanijiet segwiti. Il-prinċipju tal-proporzjonalità huwa rikonoxxut ukoll fl-Artikolu 5 tat-Trattat tal-KE, li jiddikjara li "kwalunkwe azzjoni mill-komunità m'għandhiex tmur lil hinn minn dak li hu meħtieġ biex jinkisbu l-għanijiet ta 'dan it-trattat".</v>
      </c>
    </row>
    <row r="16122" ht="15.75" customHeight="1">
      <c r="A16122" s="2" t="s">
        <v>16122</v>
      </c>
      <c r="B16122" s="2" t="str">
        <f>IFERROR(__xludf.DUMMYFUNCTION("GOOGLETRANSLATE(A16122, ""en"", ""mt"")"),"Meta ma jiċċirkolawx l-antikorpi?")</f>
        <v>Meta ma jiċċirkolawx l-antikorpi?</v>
      </c>
    </row>
    <row r="16123" ht="15.75" customHeight="1">
      <c r="A16123" s="2" t="s">
        <v>16123</v>
      </c>
      <c r="B16123" s="2" t="str">
        <f>IFERROR(__xludf.DUMMYFUNCTION("GOOGLETRANSLATE(A16123, ""en"", ""mt"")"),"Kemm-il linji jispiċċaw mill-belt ta ’Los Angeles?")</f>
        <v>Kemm-il linji jispiċċaw mill-belt ta ’Los Angeles?</v>
      </c>
    </row>
    <row r="16124" ht="15.75" customHeight="1">
      <c r="A16124" s="2" t="s">
        <v>16124</v>
      </c>
      <c r="B16124" s="2" t="str">
        <f>IFERROR(__xludf.DUMMYFUNCTION("GOOGLETRANSLATE(A16124, ""en"", ""mt"")"),"Kif jinġabru l-akbar ditti globali għall-aqwa-40 lista?")</f>
        <v>Kif jinġabru l-akbar ditti globali għall-aqwa-40 lista?</v>
      </c>
    </row>
    <row r="16125" ht="15.75" customHeight="1">
      <c r="A16125" s="2" t="s">
        <v>16125</v>
      </c>
      <c r="B16125" s="2" t="str">
        <f>IFERROR(__xludf.DUMMYFUNCTION("GOOGLETRANSLATE(A16125, ""en"", ""mt"")"),"Minn xiex hija magħmula l-leġiżlatur tal-Unjoni Ewropea?")</f>
        <v>Minn xiex hija magħmula l-leġiżlatur tal-Unjoni Ewropea?</v>
      </c>
    </row>
    <row r="16126" ht="15.75" customHeight="1">
      <c r="A16126" s="2" t="s">
        <v>16126</v>
      </c>
      <c r="B16126" s="2" t="str">
        <f>IFERROR(__xludf.DUMMYFUNCTION("GOOGLETRANSLATE(A16126, ""en"", ""mt"")"),"il-bażi tal-metodoloġija użata")</f>
        <v>il-bażi tal-metodoloġija użata</v>
      </c>
    </row>
    <row r="16127" ht="15.75" customHeight="1">
      <c r="A16127" s="2" t="s">
        <v>16127</v>
      </c>
      <c r="B16127" s="2" t="str">
        <f>IFERROR(__xludf.DUMMYFUNCTION("GOOGLETRANSLATE(A16127, ""en"", ""mt"")"),"Madwar erba 'rġiel li jattendu l-Kulleġġ ta' Harvard għal kull mara li tistudja f'Radcliffe")</f>
        <v>Madwar erba 'rġiel li jattendu l-Kulleġġ ta' Harvard għal kull mara li tistudja f'Radcliffe</v>
      </c>
    </row>
    <row r="16128" ht="15.75" customHeight="1">
      <c r="A16128" s="2" t="s">
        <v>16128</v>
      </c>
      <c r="B16128" s="2" t="str">
        <f>IFERROR(__xludf.DUMMYFUNCTION("GOOGLETRANSLATE(A16128, ""en"", ""mt"")"),"X'jista 'x-xiri tal-Programm ta' Assistenza Nutrizzjonali Supplimentari?")</f>
        <v>X'jista 'x-xiri tal-Programm ta' Assistenza Nutrizzjonali Supplimentari?</v>
      </c>
    </row>
    <row r="16129" ht="15.75" customHeight="1">
      <c r="A16129" s="2" t="s">
        <v>16129</v>
      </c>
      <c r="B16129" s="2" t="str">
        <f>IFERROR(__xludf.DUMMYFUNCTION("GOOGLETRANSLATE(A16129, ""en"", ""mt"")"),"Id-domanda għal Parlament Skoċċiż naqset f'liema sena?")</f>
        <v>Id-domanda għal Parlament Skoċċiż naqset f'liema sena?</v>
      </c>
    </row>
    <row r="16130" ht="15.75" customHeight="1">
      <c r="A16130" s="2" t="s">
        <v>16130</v>
      </c>
      <c r="B16130" s="2" t="str">
        <f>IFERROR(__xludf.DUMMYFUNCTION("GOOGLETRANSLATE(A16130, ""en"", ""mt"")"),"Liema pajjiż huwa l-iktar dipendenti fuq iż-żejt Għarbi?")</f>
        <v>Liema pajjiż huwa l-iktar dipendenti fuq iż-żejt Għarbi?</v>
      </c>
    </row>
    <row r="16131" ht="15.75" customHeight="1">
      <c r="A16131" s="2" t="s">
        <v>16131</v>
      </c>
      <c r="B16131" s="2" t="str">
        <f>IFERROR(__xludf.DUMMYFUNCTION("GOOGLETRANSLATE(A16131, ""en"", ""mt"")"),"Liema persuna targumenta li d-diżubbidjenza ċivili tintuża biex tiddeskrivi kollox?")</f>
        <v>Liema persuna targumenta li d-diżubbidjenza ċivili tintuża biex tiddeskrivi kollox?</v>
      </c>
    </row>
    <row r="16132" ht="15.75" customHeight="1">
      <c r="A16132" s="2" t="s">
        <v>16132</v>
      </c>
      <c r="B16132" s="2" t="str">
        <f>IFERROR(__xludf.DUMMYFUNCTION("GOOGLETRANSLATE(A16132, ""en"", ""mt"")"),"Grieg")</f>
        <v>Grieg</v>
      </c>
    </row>
    <row r="16133" ht="15.75" customHeight="1">
      <c r="A16133" s="2" t="s">
        <v>16133</v>
      </c>
      <c r="B16133" s="2" t="str">
        <f>IFERROR(__xludf.DUMMYFUNCTION("GOOGLETRANSLATE(A16133, ""en"", ""mt"")"),"X’għamel Kent-Brown biex jinterrompi diskors minn Harvard?")</f>
        <v>X’għamel Kent-Brown biex jinterrompi diskors minn Harvard?</v>
      </c>
    </row>
    <row r="16134" ht="15.75" customHeight="1">
      <c r="A16134" s="2" t="s">
        <v>16134</v>
      </c>
      <c r="B16134" s="2" t="str">
        <f>IFERROR(__xludf.DUMMYFUNCTION("GOOGLETRANSLATE(A16134, ""en"", ""mt"")"),"Magna tat-Turing Deterministika")</f>
        <v>Magna tat-Turing Deterministika</v>
      </c>
    </row>
    <row r="16135" ht="15.75" customHeight="1">
      <c r="A16135" s="2" t="s">
        <v>16135</v>
      </c>
      <c r="B16135" s="2" t="str">
        <f>IFERROR(__xludf.DUMMYFUNCTION("GOOGLETRANSLATE(A16135, ""en"", ""mt"")"),"F’liema sena ġiet stabbilita l-Knisja Riformata ta ’Franza?")</f>
        <v>F’liema sena ġiet stabbilita l-Knisja Riformata ta ’Franza?</v>
      </c>
    </row>
    <row r="16136" ht="15.75" customHeight="1">
      <c r="A16136" s="2" t="s">
        <v>16136</v>
      </c>
      <c r="B16136" s="2" t="str">
        <f>IFERROR(__xludf.DUMMYFUNCTION("GOOGLETRANSLATE(A16136, ""en"", ""mt"")"),"orjentat lejn il-kisba")</f>
        <v>orjentat lejn il-kisba</v>
      </c>
    </row>
    <row r="16137" ht="15.75" customHeight="1">
      <c r="A16137" s="2" t="s">
        <v>16137</v>
      </c>
      <c r="B16137" s="2" t="str">
        <f>IFERROR(__xludf.DUMMYFUNCTION("GOOGLETRANSLATE(A16137, ""en"", ""mt"")"),"X'inhu l-mewt stmat għal persuni ċivili Pollakki?")</f>
        <v>X'inhu l-mewt stmat għal persuni ċivili Pollakki?</v>
      </c>
    </row>
    <row r="16138" ht="15.75" customHeight="1">
      <c r="A16138" s="2" t="s">
        <v>16138</v>
      </c>
      <c r="B16138" s="2" t="str">
        <f>IFERROR(__xludf.DUMMYFUNCTION("GOOGLETRANSLATE(A16138, ""en"", ""mt"")"),"F'liema jikkonsistu l-korpi akkademiċi taċ-Ċentru Mediku tal-Università ta 'Chicago?")</f>
        <v>F'liema jikkonsistu l-korpi akkademiċi taċ-Ċentru Mediku tal-Università ta 'Chicago?</v>
      </c>
    </row>
    <row r="16139" ht="15.75" customHeight="1">
      <c r="A16139" s="2" t="s">
        <v>16139</v>
      </c>
      <c r="B16139" s="2" t="str">
        <f>IFERROR(__xludf.DUMMYFUNCTION("GOOGLETRANSLATE(A16139, ""en"", ""mt"")"),"Dwar kemm wallons u Huguenots emigraw lejn l-Ingilterra u l-Irlanda f'din l-era?")</f>
        <v>Dwar kemm wallons u Huguenots emigraw lejn l-Ingilterra u l-Irlanda f'din l-era?</v>
      </c>
    </row>
    <row r="16140" ht="15.75" customHeight="1">
      <c r="A16140" s="2" t="s">
        <v>16140</v>
      </c>
      <c r="B16140" s="2" t="str">
        <f>IFERROR(__xludf.DUMMYFUNCTION("GOOGLETRANSLATE(A16140, ""en"", ""mt"")"),"Meta kien Zhu Shijie Ruler?")</f>
        <v>Meta kien Zhu Shijie Ruler?</v>
      </c>
    </row>
    <row r="16141" ht="15.75" customHeight="1">
      <c r="A16141" s="2" t="s">
        <v>16141</v>
      </c>
      <c r="B16141" s="2" t="str">
        <f>IFERROR(__xludf.DUMMYFUNCTION("GOOGLETRANSLATE(A16141, ""en"", ""mt"")"),"Imperjalizmu")</f>
        <v>Imperjalizmu</v>
      </c>
    </row>
    <row r="16142" ht="15.75" customHeight="1">
      <c r="A16142" s="2" t="s">
        <v>16142</v>
      </c>
      <c r="B16142" s="2" t="str">
        <f>IFERROR(__xludf.DUMMYFUNCTION("GOOGLETRANSLATE(A16142, ""en"", ""mt"")"),"X'inhu esperiment xjentifiku li jista 'jsolvi problema permezz ta' algoritmi?")</f>
        <v>X'inhu esperiment xjentifiku li jista 'jsolvi problema permezz ta' algoritmi?</v>
      </c>
    </row>
    <row r="16143" ht="15.75" customHeight="1">
      <c r="A16143" s="2" t="s">
        <v>16143</v>
      </c>
      <c r="B16143" s="2" t="str">
        <f>IFERROR(__xludf.DUMMYFUNCTION("GOOGLETRANSLATE(A16143, ""en"", ""mt"")"),"Min hu raġel li jistudja l-applikanti mediċinali tal-pjanti fil-Greċja moderna?")</f>
        <v>Min hu raġel li jistudja l-applikanti mediċinali tal-pjanti fil-Greċja moderna?</v>
      </c>
    </row>
    <row r="16144" ht="15.75" customHeight="1">
      <c r="A16144" s="2" t="s">
        <v>16144</v>
      </c>
      <c r="B16144" s="2" t="str">
        <f>IFERROR(__xludf.DUMMYFUNCTION("GOOGLETRANSLATE(A16144, ""en"", ""mt"")"),"Liema riċerkaturi tal-kanċer kienu wkoll apparti l-fakultà tal-università?")</f>
        <v>Liema riċerkaturi tal-kanċer kienu wkoll apparti l-fakultà tal-università?</v>
      </c>
    </row>
    <row r="16145" ht="15.75" customHeight="1">
      <c r="A16145" s="2" t="s">
        <v>16145</v>
      </c>
      <c r="B16145" s="2" t="str">
        <f>IFERROR(__xludf.DUMMYFUNCTION("GOOGLETRANSLATE(A16145, ""en"", ""mt"")"),"X'tiktiet Legrande dwar in-niceties grammatikali?")</f>
        <v>X'tiktiet Legrande dwar in-niceties grammatikali?</v>
      </c>
    </row>
    <row r="16146" ht="15.75" customHeight="1">
      <c r="A16146" s="2" t="s">
        <v>16146</v>
      </c>
      <c r="B16146" s="2" t="str">
        <f>IFERROR(__xludf.DUMMYFUNCTION("GOOGLETRANSLATE(A16146, ""en"", ""mt"")"),"waħda")</f>
        <v>waħda</v>
      </c>
    </row>
    <row r="16147" ht="15.75" customHeight="1">
      <c r="A16147" s="2" t="s">
        <v>16147</v>
      </c>
      <c r="B16147" s="2" t="str">
        <f>IFERROR(__xludf.DUMMYFUNCTION("GOOGLETRANSLATE(A16147, ""en"", ""mt"")"),"X'għandu l-Istat Iżlamiku li għandu surplus mill-komunità internazzjonali?")</f>
        <v>X'għandu l-Istat Iżlamiku li għandu surplus mill-komunità internazzjonali?</v>
      </c>
    </row>
    <row r="16148" ht="15.75" customHeight="1">
      <c r="A16148" s="2" t="s">
        <v>16148</v>
      </c>
      <c r="B16148" s="2" t="str">
        <f>IFERROR(__xludf.DUMMYFUNCTION("GOOGLETRANSLATE(A16148, ""en"", ""mt"")"),"Huwa t-tentazzjoni li wieħed jaħseb li l-kunċett ta 'problemi ta' funzjoni huwa ħafna iktar sinjur mill-kunċett ta 'problemi ta' deċiżjoni. Madankollu, dan mhuwiex verament il-każ, peress li l-problemi tal-funzjoni jistgħu jerġgħu jinġabru bħala problemi "&amp;"ta 'deċiżjoni. Pereżempju, il-multiplikazzjoni ta 'żewġ numri interi tista' tiġi espressa bħala s-sett ta 'trippli (a, b, c) tali li r-relazzjoni a × b = c iżżomm. Jiddeċiedi jekk trippla partikolari hijiex membru ta 'dan is-sett tikkorrispondix biex isso"&amp;"lvi l-problema ta' l-immultiplikazzjoni ta 'żewġ numri.")</f>
        <v>Huwa t-tentazzjoni li wieħed jaħseb li l-kunċett ta 'problemi ta' funzjoni huwa ħafna iktar sinjur mill-kunċett ta 'problemi ta' deċiżjoni. Madankollu, dan mhuwiex verament il-każ, peress li l-problemi tal-funzjoni jistgħu jerġgħu jinġabru bħala problemi ta 'deċiżjoni. Pereżempju, il-multiplikazzjoni ta 'żewġ numri interi tista' tiġi espressa bħala s-sett ta 'trippli (a, b, c) tali li r-relazzjoni a × b = c iżżomm. Jiddeċiedi jekk trippla partikolari hijiex membru ta 'dan is-sett tikkorrispondix biex issolvi l-problema ta' l-immultiplikazzjoni ta 'żewġ numri.</v>
      </c>
    </row>
    <row r="16149" ht="15.75" customHeight="1">
      <c r="A16149" s="2" t="s">
        <v>16149</v>
      </c>
      <c r="B16149" s="2" t="str">
        <f>IFERROR(__xludf.DUMMYFUNCTION("GOOGLETRANSLATE(A16149, ""en"", ""mt"")"),"qabdet il-sirena")</f>
        <v>qabdet il-sirena</v>
      </c>
    </row>
    <row r="16150" ht="15.75" customHeight="1">
      <c r="A16150" s="2" t="s">
        <v>16150</v>
      </c>
      <c r="B16150" s="2" t="str">
        <f>IFERROR(__xludf.DUMMYFUNCTION("GOOGLETRANSLATE(A16150, ""en"", ""mt"")"),"Meta ġew introdotti l-larva tal-ħut fil-Baħar l-Iswed aċċidentalment?")</f>
        <v>Meta ġew introdotti l-larva tal-ħut fil-Baħar l-Iswed aċċidentalment?</v>
      </c>
    </row>
    <row r="16151" ht="15.75" customHeight="1">
      <c r="A16151" s="2" t="s">
        <v>16151</v>
      </c>
      <c r="B16151" s="2" t="str">
        <f>IFERROR(__xludf.DUMMYFUNCTION("GOOGLETRANSLATE(A16151, ""en"", ""mt"")"),"X'kien l-isem tal-ewwel knisja tal-injam mibnija fi New Rochelle?")</f>
        <v>X'kien l-isem tal-ewwel knisja tal-injam mibnija fi New Rochelle?</v>
      </c>
    </row>
    <row r="16152" ht="15.75" customHeight="1">
      <c r="A16152" s="2" t="s">
        <v>16152</v>
      </c>
      <c r="B16152" s="2" t="str">
        <f>IFERROR(__xludf.DUMMYFUNCTION("GOOGLETRANSLATE(A16152, ""en"", ""mt"")"),"X'inhi waħda mill-aktar okkupazzjonijiet perikolużi fid-dinja?")</f>
        <v>X'inhi waħda mill-aktar okkupazzjonijiet perikolużi fid-dinja?</v>
      </c>
    </row>
    <row r="16153" ht="15.75" customHeight="1">
      <c r="A16153" s="2" t="s">
        <v>16153</v>
      </c>
      <c r="B16153" s="2" t="str">
        <f>IFERROR(__xludf.DUMMYFUNCTION("GOOGLETRANSLATE(A16153, ""en"", ""mt"")"),"Huma rranġaw biex l-Iżrael jiġbed lura mill-Peniżola tas-Sinaj u l-Golan Heights")</f>
        <v>Huma rranġaw biex l-Iżrael jiġbed lura mill-Peniżola tas-Sinaj u l-Golan Heights</v>
      </c>
    </row>
    <row r="16154" ht="15.75" customHeight="1">
      <c r="A16154" s="2" t="s">
        <v>16154</v>
      </c>
      <c r="B16154" s="2" t="str">
        <f>IFERROR(__xludf.DUMMYFUNCTION("GOOGLETRANSLATE(A16154, ""en"", ""mt"")"),"Kemm għandu l-Baħar tat-Tramuntana?")</f>
        <v>Kemm għandu l-Baħar tat-Tramuntana?</v>
      </c>
    </row>
    <row r="16155" ht="15.75" customHeight="1">
      <c r="A16155" s="2" t="s">
        <v>16155</v>
      </c>
      <c r="B16155" s="2" t="str">
        <f>IFERROR(__xludf.DUMMYFUNCTION("GOOGLETRANSLATE(A16155, ""en"", ""mt"")"),"Kif jiġġieldu r-reġimi kontra l-imperjalizmu kulturali?")</f>
        <v>Kif jiġġieldu r-reġimi kontra l-imperjalizmu kulturali?</v>
      </c>
    </row>
    <row r="16156" ht="15.75" customHeight="1">
      <c r="A16156" s="2" t="s">
        <v>16156</v>
      </c>
      <c r="B16156" s="2" t="str">
        <f>IFERROR(__xludf.DUMMYFUNCTION("GOOGLETRANSLATE(A16156, ""en"", ""mt"")"),"Ir-rata tal-kriminalità ntweriet ukoll li hija korrelata mal-inugwaljanza fis-soċjetà. Ħafna studji li qed ifittxu r-relazzjoni kkonċentraw fuq l-omiċidi - billi l-omiċidi huma kważi definiti b'mod identiku bejn in-nazzjonijiet u l-ġurisdizzjonijiet kollh"&amp;"a. Kien hemm aktar minn ħamsin studju li juru tendenzi biex il-vjolenza tkun aktar komuni f'soċjetajiet fejn id-differenzi fid-dħul huma akbar. Twettqet riċerka meta tqabbel pajjiżi żviluppati ma 'pajjiżi mhux żviluppati, kif ukoll studju ta' żoni f'pajji"&amp;"żi. Daly et al. L-2001 sab li fost l-istati tal-Istati Uniti u l-provinċji Kanadiżi hemm differenza b'għaxar darbiet fir-rati ta 'omiċidji relatati ma' l-inugwaljanza. Huma stmaw li madwar nofs il-varjazzjoni kollha fir-rati ta 'omiċidji jistgħu jiġu kkon"&amp;"tabilizzati minn differenzi fl-ammont ta' inugwaljanza f'kull provinċja jew stat. Fajnzylber et al. (2002) sab relazzjoni simili mad-dinja kollha. Fost kummenti fil-letteratura akkademika dwar ir-relazzjoni bejn l-omiċidi u l-inugwaljanza hemm:")</f>
        <v>Ir-rata tal-kriminalità ntweriet ukoll li hija korrelata mal-inugwaljanza fis-soċjetà. Ħafna studji li qed ifittxu r-relazzjoni kkonċentraw fuq l-omiċidi - billi l-omiċidi huma kważi definiti b'mod identiku bejn in-nazzjonijiet u l-ġurisdizzjonijiet kollha. Kien hemm aktar minn ħamsin studju li juru tendenzi biex il-vjolenza tkun aktar komuni f'soċjetajiet fejn id-differenzi fid-dħul huma akbar. Twettqet riċerka meta tqabbel pajjiżi żviluppati ma 'pajjiżi mhux żviluppati, kif ukoll studju ta' żoni f'pajjiżi. Daly et al. L-2001 sab li fost l-istati tal-Istati Uniti u l-provinċji Kanadiżi hemm differenza b'għaxar darbiet fir-rati ta 'omiċidji relatati ma' l-inugwaljanza. Huma stmaw li madwar nofs il-varjazzjoni kollha fir-rati ta 'omiċidji jistgħu jiġu kkontabilizzati minn differenzi fl-ammont ta' inugwaljanza f'kull provinċja jew stat. Fajnzylber et al. (2002) sab relazzjoni simili mad-dinja kollha. Fost kummenti fil-letteratura akkademika dwar ir-relazzjoni bejn l-omiċidi u l-inugwaljanza hemm:</v>
      </c>
    </row>
    <row r="16157" ht="15.75" customHeight="1">
      <c r="A16157" s="2" t="s">
        <v>16157</v>
      </c>
      <c r="B16157" s="2" t="str">
        <f>IFERROR(__xludf.DUMMYFUNCTION("GOOGLETRANSLATE(A16157, ""en"", ""mt"")"),"X'inhu rappreżentat minn notazzjoni mhux binarja fil-kodifikazzjoni ta 'oġġetti matematiċi?")</f>
        <v>X'inhu rappreżentat minn notazzjoni mhux binarja fil-kodifikazzjoni ta 'oġġetti matematiċi?</v>
      </c>
    </row>
    <row r="16158" ht="15.75" customHeight="1">
      <c r="A16158" s="2" t="s">
        <v>16158</v>
      </c>
      <c r="B16158" s="2" t="str">
        <f>IFERROR(__xludf.DUMMYFUNCTION("GOOGLETRANSLATE(A16158, ""en"", ""mt"")"),"Is-soċjalisti jattribwixxu d-differenzi kbar fil-ġid lill-pussess privat tal-mezzi ta 'produzzjoni minn klassi ta' sidien, li joħolqu sitwazzjoni fejn porzjon żgħir tal-popolazzjoni jgħix dħul mill-propjetà mhux mistħoqq bis-saħħa ta 'titli ta' sjieda f't"&amp;"agħmir kapitali, assi finanzjarji u korporattivi stokk. B'kuntrast, il-maġġoranza l-kbira tal-popolazzjoni tiddependi fuq id-dħul fil-forma ta 'paga jew salarju. Sabiex jiġu rranġati din is-sitwazzjoni, is-soċjalisti jargumentaw li l-mezzi ta 'produzzjoni"&amp;" għandhom ikunu proprjetà soċjalment sabiex id-differenzjali tad-dħul jirriflettu l-kontribuzzjonijiet individwali għall-prodott soċjali.")</f>
        <v>Is-soċjalisti jattribwixxu d-differenzi kbar fil-ġid lill-pussess privat tal-mezzi ta 'produzzjoni minn klassi ta' sidien, li joħolqu sitwazzjoni fejn porzjon żgħir tal-popolazzjoni jgħix dħul mill-propjetà mhux mistħoqq bis-saħħa ta 'titli ta' sjieda f'tagħmir kapitali, assi finanzjarji u korporattivi stokk. B'kuntrast, il-maġġoranza l-kbira tal-popolazzjoni tiddependi fuq id-dħul fil-forma ta 'paga jew salarju. Sabiex jiġu rranġati din is-sitwazzjoni, is-soċjalisti jargumentaw li l-mezzi ta 'produzzjoni għandhom ikunu proprjetà soċjalment sabiex id-differenzjali tad-dħul jirriflettu l-kontribuzzjonijiet individwali għall-prodott soċjali.</v>
      </c>
    </row>
    <row r="16159" ht="15.75" customHeight="1">
      <c r="A16159" s="2" t="s">
        <v>16159</v>
      </c>
      <c r="B16159" s="2" t="str">
        <f>IFERROR(__xludf.DUMMYFUNCTION("GOOGLETRANSLATE(A16159, ""en"", ""mt"")"),"Manifattura FMCG, proċessar tal-metall, azzar u manifattura elettronika u proċessar tal-ikel")</f>
        <v>Manifattura FMCG, proċessar tal-metall, azzar u manifattura elettronika u proċessar tal-ikel</v>
      </c>
    </row>
    <row r="16160" ht="15.75" customHeight="1">
      <c r="A16160" s="2" t="s">
        <v>16160</v>
      </c>
      <c r="B16160" s="2" t="str">
        <f>IFERROR(__xludf.DUMMYFUNCTION("GOOGLETRANSLATE(A16160, ""en"", ""mt"")"),"Min kien il-Prim Ministru finali tal-Ġermanja tal-Lvant?")</f>
        <v>Min kien il-Prim Ministru finali tal-Ġermanja tal-Lvant?</v>
      </c>
    </row>
    <row r="16161" ht="15.75" customHeight="1">
      <c r="A16161" s="2" t="s">
        <v>16161</v>
      </c>
      <c r="B16161" s="2" t="str">
        <f>IFERROR(__xludf.DUMMYFUNCTION("GOOGLETRANSLATE(A16161, ""en"", ""mt"")"),"Liema użu ġie ssuġġerit għas-sistema")</f>
        <v>Liema użu ġie ssuġġerit għas-sistema</v>
      </c>
    </row>
    <row r="16162" ht="15.75" customHeight="1">
      <c r="A16162" s="2" t="s">
        <v>16162</v>
      </c>
      <c r="B16162" s="2" t="str">
        <f>IFERROR(__xludf.DUMMYFUNCTION("GOOGLETRANSLATE(A16162, ""en"", ""mt"")"),"Minkejja l-problema ta 'Presburger, u fid-dawl tal-intrattabilità, x'sar biex jiġu stabbiliti soluzzjonijiet f'perijodi ta' żmien raġonevoli?")</f>
        <v>Minkejja l-problema ta 'Presburger, u fid-dawl tal-intrattabilità, x'sar biex jiġu stabbiliti soluzzjonijiet f'perijodi ta' żmien raġonevoli?</v>
      </c>
    </row>
    <row r="16163" ht="15.75" customHeight="1">
      <c r="A16163" s="2" t="s">
        <v>16163</v>
      </c>
      <c r="B16163" s="2" t="str">
        <f>IFERROR(__xludf.DUMMYFUNCTION("GOOGLETRANSLATE(A16163, ""en"", ""mt"")"),"Kif huma rikonoxxuti d-differenzi fl-inġinerija?")</f>
        <v>Kif huma rikonoxxuti d-differenzi fl-inġinerija?</v>
      </c>
    </row>
    <row r="16164" ht="15.75" customHeight="1">
      <c r="A16164" s="2" t="s">
        <v>16164</v>
      </c>
      <c r="B16164" s="2" t="str">
        <f>IFERROR(__xludf.DUMMYFUNCTION("GOOGLETRANSLATE(A16164, ""en"", ""mt"")"),"28 'Id-daqs minimu ta' xiex?")</f>
        <v>28 'Id-daqs minimu ta' xiex?</v>
      </c>
    </row>
    <row r="16165" ht="15.75" customHeight="1">
      <c r="A16165" s="2" t="s">
        <v>16165</v>
      </c>
      <c r="B16165" s="2" t="str">
        <f>IFERROR(__xludf.DUMMYFUNCTION("GOOGLETRANSLATE(A16165, ""en"", ""mt"")"),"X'inhu l-livell tal-baħar tal-kanal Irlandiż?")</f>
        <v>X'inhu l-livell tal-baħar tal-kanal Irlandiż?</v>
      </c>
    </row>
    <row r="16166" ht="15.75" customHeight="1">
      <c r="A16166" s="2" t="s">
        <v>16166</v>
      </c>
      <c r="B16166" s="2" t="str">
        <f>IFERROR(__xludf.DUMMYFUNCTION("GOOGLETRANSLATE(A16166, ""en"", ""mt"")"),"Kemm ilha ċ-ċaqliq u l-kummerċ liberu għall-iżvilupp Ewropew?")</f>
        <v>Kemm ilha ċ-ċaqliq u l-kummerċ liberu għall-iżvilupp Ewropew?</v>
      </c>
    </row>
    <row r="16167" ht="15.75" customHeight="1">
      <c r="A16167" s="2" t="s">
        <v>16167</v>
      </c>
      <c r="B16167" s="2" t="str">
        <f>IFERROR(__xludf.DUMMYFUNCTION("GOOGLETRANSLATE(A16167, ""en"", ""mt"")"),"X’kienu saru talbiet lill-Ingliżi?")</f>
        <v>X’kienu saru talbiet lill-Ingliżi?</v>
      </c>
    </row>
    <row r="16168" ht="15.75" customHeight="1">
      <c r="A16168" s="2" t="s">
        <v>16168</v>
      </c>
      <c r="B16168" s="2" t="str">
        <f>IFERROR(__xludf.DUMMYFUNCTION("GOOGLETRANSLATE(A16168, ""en"", ""mt"")"),"X'kien l-isem Iroquois ta 'William Johnson?")</f>
        <v>X'kien l-isem Iroquois ta 'William Johnson?</v>
      </c>
    </row>
    <row r="16169" ht="15.75" customHeight="1">
      <c r="A16169" s="2" t="s">
        <v>16169</v>
      </c>
      <c r="B16169" s="2" t="str">
        <f>IFERROR(__xludf.DUMMYFUNCTION("GOOGLETRANSLATE(A16169, ""en"", ""mt"")"),"X'inhu eżempju wieħed ta 'eżempju li r-risposta kwalitattiva għall-bejjiegħ li jivvjaġġa tonqos milli twieġeb?")</f>
        <v>X'inhu eżempju wieħed ta 'eżempju li r-risposta kwalitattiva għall-bejjiegħ li jivvjaġġa tonqos milli twieġeb?</v>
      </c>
    </row>
    <row r="16170" ht="15.75" customHeight="1">
      <c r="A16170" s="2" t="s">
        <v>16170</v>
      </c>
      <c r="B16170" s="2" t="str">
        <f>IFERROR(__xludf.DUMMYFUNCTION("GOOGLETRANSLATE(A16170, ""en"", ""mt"")"),"estinzjoni tad-dinosawri u l-klima aktar mxarrba")</f>
        <v>estinzjoni tad-dinosawri u l-klima aktar mxarrba</v>
      </c>
    </row>
    <row r="16171" ht="15.75" customHeight="1">
      <c r="A16171" s="2" t="s">
        <v>16171</v>
      </c>
      <c r="B16171" s="2" t="str">
        <f>IFERROR(__xludf.DUMMYFUNCTION("GOOGLETRANSLATE(A16171, ""en"", ""mt"")"),"billejl")</f>
        <v>billejl</v>
      </c>
    </row>
    <row r="16172" ht="15.75" customHeight="1">
      <c r="A16172" s="2" t="s">
        <v>16172</v>
      </c>
      <c r="B16172" s="2" t="str">
        <f>IFERROR(__xludf.DUMMYFUNCTION("GOOGLETRANSLATE(A16172, ""en"", ""mt"")"),"X'tip ta 'regoli huma previsti espressament fit-trattati?")</f>
        <v>X'tip ta 'regoli huma previsti espressament fit-trattati?</v>
      </c>
    </row>
    <row r="16173" ht="15.75" customHeight="1">
      <c r="A16173" s="2" t="s">
        <v>16173</v>
      </c>
      <c r="B16173" s="2" t="str">
        <f>IFERROR(__xludf.DUMMYFUNCTION("GOOGLETRANSLATE(A16173, ""en"", ""mt"")"),"X'suġġeriet ir-rapport tal-IPCC tal-2007 li kien qed jonqos?")</f>
        <v>X'suġġeriet ir-rapport tal-IPCC tal-2007 li kien qed jonqos?</v>
      </c>
    </row>
    <row r="16174" ht="15.75" customHeight="1">
      <c r="A16174" s="2" t="s">
        <v>16174</v>
      </c>
      <c r="B16174" s="2" t="str">
        <f>IFERROR(__xludf.DUMMYFUNCTION("GOOGLETRANSLATE(A16174, ""en"", ""mt"")"),"Liema funzjoni jagħmlu komposti bħall-fenol u l-aċetun iservu fil-manifattura ta 'ħafna sustanzi oħra?")</f>
        <v>Liema funzjoni jagħmlu komposti bħall-fenol u l-aċetun iservu fil-manifattura ta 'ħafna sustanzi oħra?</v>
      </c>
    </row>
    <row r="16175" ht="15.75" customHeight="1">
      <c r="A16175" s="2" t="s">
        <v>16175</v>
      </c>
      <c r="B16175" s="2" t="str">
        <f>IFERROR(__xludf.DUMMYFUNCTION("GOOGLETRANSLATE(A16175, ""en"", ""mt"")"),"F’liema sena Priestley ippubblika s-sejbiet tal-esperimenti tiegħu?")</f>
        <v>F’liema sena Priestley ippubblika s-sejbiet tal-esperimenti tiegħu?</v>
      </c>
    </row>
    <row r="16176" ht="15.75" customHeight="1">
      <c r="A16176" s="2" t="s">
        <v>16176</v>
      </c>
      <c r="B16176" s="2" t="str">
        <f>IFERROR(__xludf.DUMMYFUNCTION("GOOGLETRANSLATE(A16176, ""en"", ""mt"")"),"Southern_California")</f>
        <v>Southern_California</v>
      </c>
    </row>
    <row r="16177" ht="15.75" customHeight="1">
      <c r="A16177" s="2" t="s">
        <v>16177</v>
      </c>
      <c r="B16177" s="2" t="str">
        <f>IFERROR(__xludf.DUMMYFUNCTION("GOOGLETRANSLATE(A16177, ""en"", ""mt"")"),"Vinogradov's")</f>
        <v>Vinogradov's</v>
      </c>
    </row>
    <row r="16178" ht="15.75" customHeight="1">
      <c r="A16178" s="2" t="s">
        <v>16178</v>
      </c>
      <c r="B16178" s="2" t="str">
        <f>IFERROR(__xludf.DUMMYFUNCTION("GOOGLETRANSLATE(A16178, ""en"", ""mt"")"),"Qlib tal-pakketti")</f>
        <v>Qlib tal-pakketti</v>
      </c>
    </row>
    <row r="16179" ht="15.75" customHeight="1">
      <c r="A16179" s="2" t="s">
        <v>16179</v>
      </c>
      <c r="B16179" s="2" t="str">
        <f>IFERROR(__xludf.DUMMYFUNCTION("GOOGLETRANSLATE(A16179, ""en"", ""mt"")"),"Min afferma d-dritt tar-Russja għal ""awtodeterminazzjoni?""")</f>
        <v>Min afferma d-dritt tar-Russja għal "awtodeterminazzjoni?"</v>
      </c>
    </row>
    <row r="16180" ht="15.75" customHeight="1">
      <c r="A16180" s="2" t="s">
        <v>16180</v>
      </c>
      <c r="B16180" s="2" t="str">
        <f>IFERROR(__xludf.DUMMYFUNCTION("GOOGLETRANSLATE(A16180, ""en"", ""mt"")"),"Kemm skejjel pubbliċi charter tmexxi l-università?")</f>
        <v>Kemm skejjel pubbliċi charter tmexxi l-università?</v>
      </c>
    </row>
    <row r="16181" ht="15.75" customHeight="1">
      <c r="A16181" s="2" t="s">
        <v>16181</v>
      </c>
      <c r="B16181" s="2" t="str">
        <f>IFERROR(__xludf.DUMMYFUNCTION("GOOGLETRANSLATE(A16181, ""en"", ""mt"")"),"n = 2")</f>
        <v>n = 2</v>
      </c>
    </row>
    <row r="16182" ht="15.75" customHeight="1">
      <c r="A16182" s="2" t="s">
        <v>16182</v>
      </c>
      <c r="B16182" s="2" t="str">
        <f>IFERROR(__xludf.DUMMYFUNCTION("GOOGLETRANSLATE(A16182, ""en"", ""mt"")"),"Min kien il-5 President tal-Università?")</f>
        <v>Min kien il-5 President tal-Università?</v>
      </c>
    </row>
    <row r="16183" ht="15.75" customHeight="1">
      <c r="A16183" s="2" t="s">
        <v>16183</v>
      </c>
      <c r="B16183" s="2" t="str">
        <f>IFERROR(__xludf.DUMMYFUNCTION("GOOGLETRANSLATE(A16183, ""en"", ""mt"")"),"Fejn eżerċita l-iktar impatt?")</f>
        <v>Fejn eżerċita l-iktar impatt?</v>
      </c>
    </row>
    <row r="16184" ht="15.75" customHeight="1">
      <c r="A16184" s="2" t="s">
        <v>16184</v>
      </c>
      <c r="B16184" s="2" t="str">
        <f>IFERROR(__xludf.DUMMYFUNCTION("GOOGLETRANSLATE(A16184, ""en"", ""mt"")"),"X'għandu jkollu l-istess valur legali bħat-trattati?")</f>
        <v>X'għandu jkollu l-istess valur legali bħat-trattati?</v>
      </c>
    </row>
    <row r="16185" ht="15.75" customHeight="1">
      <c r="A16185" s="2" t="s">
        <v>16185</v>
      </c>
      <c r="B16185" s="2" t="str">
        <f>IFERROR(__xludf.DUMMYFUNCTION("GOOGLETRANSLATE(A16185, ""en"", ""mt"")"),"X'inhu l-fluwidu tipiku tax-xogħol f'magna tal-fwar?")</f>
        <v>X'inhu l-fluwidu tipiku tax-xogħol f'magna tal-fwar?</v>
      </c>
    </row>
    <row r="16186" ht="15.75" customHeight="1">
      <c r="A16186" s="2" t="s">
        <v>16186</v>
      </c>
      <c r="B16186" s="2" t="str">
        <f>IFERROR(__xludf.DUMMYFUNCTION("GOOGLETRANSLATE(A16186, ""en"", ""mt"")"),"Minn nofs is-snin 2000, l-università bdiet numru ta 'proġetti ta' espansjoni ta 'diversi miljun dollaru. Fl-2008, l-Università ta 'Chicago ħabbret pjanijiet biex tistabbilixxi l-Istitut Milton Friedman li ġibed kemm appoġġ kif ukoll kontroversja minn memb"&amp;"ri tal-fakultà u studenti. L-istitut se jiswa madwar $ 200 miljun u jokkupa l-bini tas-Seminarju Teoloġiku ta 'Chicago. Matul l-istess sena, l-investitur David G. Booth ta donazzjoni ta '$ 300 miljun lill-Iskola tan-Negozju tal-Università, li huwa l-akbar"&amp;" rigal fl-istorja tal-università u l-akbar rigal li qatt kien għal kwalunkwe skola tan-negozju. Fl-2009, l-ippjanar jew il-kostruzzjoni fuq bosta bini ġdid, li nofshom jiswew $ 100 miljun jew aktar, kien għaddej. Mill-2011, proġetti ta 'kostruzzjoni ewlen"&amp;"in inkludew iċ-Ċentru Jules u Gwen Knapp għall-iskoperta bijomedika, ċentru ta' riċerka medika ta 'għaxar sulari, u żidiet oħra fil-kampus mediku tal-Università ta' Chicago Medical Centre. Fl-2014 l-università nediet il-fażi pubblika ta 'kampanja ta' ġbir"&amp;" ta 'fondi ta' $ 4.5 biljun. F’Settembru 2015, l-università rċeviet $ 100 miljun mill-Fondazzjoni tal-Familja Pearson biex tistabbilixxi l-Istitut Pearson għall-Istudju u r-Riżoluzzjoni tal-Kunflitti Globali u l-Forum Globali Pearson fl-Iskola Harris tal-"&amp;"Istudji tal-Politika Pubblika.")</f>
        <v>Minn nofs is-snin 2000, l-università bdiet numru ta 'proġetti ta' espansjoni ta 'diversi miljun dollaru. Fl-2008, l-Università ta 'Chicago ħabbret pjanijiet biex tistabbilixxi l-Istitut Milton Friedman li ġibed kemm appoġġ kif ukoll kontroversja minn membri tal-fakultà u studenti. L-istitut se jiswa madwar $ 200 miljun u jokkupa l-bini tas-Seminarju Teoloġiku ta 'Chicago. Matul l-istess sena, l-investitur David G. Booth ta donazzjoni ta '$ 300 miljun lill-Iskola tan-Negozju tal-Università, li huwa l-akbar rigal fl-istorja tal-università u l-akbar rigal li qatt kien għal kwalunkwe skola tan-negozju. Fl-2009, l-ippjanar jew il-kostruzzjoni fuq bosta bini ġdid, li nofshom jiswew $ 100 miljun jew aktar, kien għaddej. Mill-2011, proġetti ta 'kostruzzjoni ewlenin inkludew iċ-Ċentru Jules u Gwen Knapp għall-iskoperta bijomedika, ċentru ta' riċerka medika ta 'għaxar sulari, u żidiet oħra fil-kampus mediku tal-Università ta' Chicago Medical Centre. Fl-2014 l-università nediet il-fażi pubblika ta 'kampanja ta' ġbir ta 'fondi ta' $ 4.5 biljun. F’Settembru 2015, l-università rċeviet $ 100 miljun mill-Fondazzjoni tal-Familja Pearson biex tistabbilixxi l-Istitut Pearson għall-Istudju u r-Riżoluzzjoni tal-Kunflitti Globali u l-Forum Globali Pearson fl-Iskola Harris tal-Istudji tal-Politika Pubblika.</v>
      </c>
    </row>
    <row r="16187" ht="15.75" customHeight="1">
      <c r="A16187" s="2" t="s">
        <v>16187</v>
      </c>
      <c r="B16187" s="2" t="str">
        <f>IFERROR(__xludf.DUMMYFUNCTION("GOOGLETRANSLATE(A16187, ""en"", ""mt"")"),"Min kien figura bikrija importanti fil-qawmien mill-ġdid Iżlamiku fl-Indja?")</f>
        <v>Min kien figura bikrija importanti fil-qawmien mill-ġdid Iżlamiku fl-Indja?</v>
      </c>
    </row>
    <row r="16188" ht="15.75" customHeight="1">
      <c r="A16188" s="2" t="s">
        <v>16188</v>
      </c>
      <c r="B16188" s="2" t="str">
        <f>IFERROR(__xludf.DUMMYFUNCTION("GOOGLETRANSLATE(A16188, ""en"", ""mt"")"),"Min kien missier il-Konti Ludwig von Nassau-Saarbucken?")</f>
        <v>Min kien missier il-Konti Ludwig von Nassau-Saarbucken?</v>
      </c>
    </row>
    <row r="16189" ht="15.75" customHeight="1">
      <c r="A16189" s="2" t="s">
        <v>16189</v>
      </c>
      <c r="B16189" s="2" t="str">
        <f>IFERROR(__xludf.DUMMYFUNCTION("GOOGLETRANSLATE(A16189, ""en"", ""mt"")"),"8,646 sq mi")</f>
        <v>8,646 sq mi</v>
      </c>
    </row>
    <row r="16190" ht="15.75" customHeight="1">
      <c r="A16190" s="2" t="s">
        <v>16190</v>
      </c>
      <c r="B16190" s="2" t="str">
        <f>IFERROR(__xludf.DUMMYFUNCTION("GOOGLETRANSLATE(A16190, ""en"", ""mt"")"),"X'inhuma żewġ raġunijiet li student ikun jista 'jikseb borża ta' studju għal skola pubblika?")</f>
        <v>X'inhuma żewġ raġunijiet li student ikun jista 'jikseb borża ta' studju għal skola pubblika?</v>
      </c>
    </row>
    <row r="16191" ht="15.75" customHeight="1">
      <c r="A16191" s="2" t="s">
        <v>16191</v>
      </c>
      <c r="B16191" s="2" t="str">
        <f>IFERROR(__xludf.DUMMYFUNCTION("GOOGLETRANSLATE(A16191, ""en"", ""mt"")"),"id-differenza fl-enerġija potenzjali")</f>
        <v>id-differenza fl-enerġija potenzjali</v>
      </c>
    </row>
    <row r="16192" ht="15.75" customHeight="1">
      <c r="A16192" s="2" t="s">
        <v>16192</v>
      </c>
      <c r="B16192" s="2" t="str">
        <f>IFERROR(__xludf.DUMMYFUNCTION("GOOGLETRANSLATE(A16192, ""en"", ""mt"")"),"Evita l- ""inkonvenjent"" li żżur tabib jew li tikseb mediċini li t-tobba tagħhom ma riedux jippreskrivu")</f>
        <v>Evita l- "inkonvenjent" li żżur tabib jew li tikseb mediċini li t-tobba tagħhom ma riedux jippreskrivu</v>
      </c>
    </row>
    <row r="16193" ht="15.75" customHeight="1">
      <c r="A16193" s="2" t="s">
        <v>16193</v>
      </c>
      <c r="B16193" s="2" t="str">
        <f>IFERROR(__xludf.DUMMYFUNCTION("GOOGLETRANSLATE(A16193, ""en"", ""mt"")")," Kemm idum wara banquet ma 'Tugh Temur Kusala kellu tifel?")</f>
        <v> Kemm idum wara banquet ma 'Tugh Temur Kusala kellu tifel?</v>
      </c>
    </row>
    <row r="16194" ht="15.75" customHeight="1">
      <c r="A16194" s="2" t="s">
        <v>16194</v>
      </c>
      <c r="B16194" s="2" t="str">
        <f>IFERROR(__xludf.DUMMYFUNCTION("GOOGLETRANSLATE(A16194, ""en"", ""mt"")"),"Dawk involuti fid-disinn u l-eżekuzzjoni tal-infrastruttura")</f>
        <v>Dawk involuti fid-disinn u l-eżekuzzjoni tal-infrastruttura</v>
      </c>
    </row>
    <row r="16195" ht="15.75" customHeight="1">
      <c r="A16195" s="2" t="s">
        <v>16195</v>
      </c>
      <c r="B16195" s="2" t="str">
        <f>IFERROR(__xludf.DUMMYFUNCTION("GOOGLETRANSLATE(A16195, ""en"", ""mt"")"),"F'liema sena esperimenta Dewar fuq ossiġnu likwidu?")</f>
        <v>F'liema sena esperimenta Dewar fuq ossiġnu likwidu?</v>
      </c>
    </row>
    <row r="16196" ht="15.75" customHeight="1">
      <c r="A16196" s="2" t="s">
        <v>16196</v>
      </c>
      <c r="B16196" s="2" t="str">
        <f>IFERROR(__xludf.DUMMYFUNCTION("GOOGLETRANSLATE(A16196, ""en"", ""mt"")"),"jibnu n-netwerks iddedikati tagħhom stess")</f>
        <v>jibnu n-netwerks iddedikati tagħhom stess</v>
      </c>
    </row>
    <row r="16197" ht="15.75" customHeight="1">
      <c r="A16197" s="2" t="s">
        <v>16197</v>
      </c>
      <c r="B16197" s="2" t="str">
        <f>IFERROR(__xludf.DUMMYFUNCTION("GOOGLETRANSLATE(A16197, ""en"", ""mt"")"),"In-netwerk kien imsaħħaħ")</f>
        <v>In-netwerk kien imsaħħaħ</v>
      </c>
    </row>
    <row r="16198" ht="15.75" customHeight="1">
      <c r="A16198" s="2" t="s">
        <v>16198</v>
      </c>
      <c r="B16198" s="2" t="str">
        <f>IFERROR(__xludf.DUMMYFUNCTION("GOOGLETRANSLATE(A16198, ""en"", ""mt"")"),"Mudell tal-kompjuter ta 'bidla fil-klima futura kkawżata mill-emissjonijiet ta' gass b'effett serra juri li l-foresta tropikali tal-Amażonja tista 'ssir insostenibbli f'kundizzjonijiet ta' xita mnaqqsa severament u żieda fit-temperaturi, li twassal għal t"&amp;"elf kważi komplet ta 'kopertura tal-foresta tropikali fil-baċin b'2100. Madankollu, simulazzjonijiet ta' Amazon It-tibdil fil-klima tal-baċin f'ħafna mudelli differenti mhumiex konsistenti fl-istima tagħhom ta 'xi rispons ta' xita, li jvarja minn żidiet d"&amp;"għajfa għal tnaqqis qawwi. Ir-riżultat jindika li l-foresta tropikali tista 'tkun mhedda għalkemm is-seklu 21 permezz tal-bidla fil-klima minbarra d-deforestazzjoni.")</f>
        <v>Mudell tal-kompjuter ta 'bidla fil-klima futura kkawżata mill-emissjonijiet ta' gass b'effett serra juri li l-foresta tropikali tal-Amażonja tista 'ssir insostenibbli f'kundizzjonijiet ta' xita mnaqqsa severament u żieda fit-temperaturi, li twassal għal telf kważi komplet ta 'kopertura tal-foresta tropikali fil-baċin b'2100. Madankollu, simulazzjonijiet ta' Amazon It-tibdil fil-klima tal-baċin f'ħafna mudelli differenti mhumiex konsistenti fl-istima tagħhom ta 'xi rispons ta' xita, li jvarja minn żidiet dgħajfa għal tnaqqis qawwi. Ir-riżultat jindika li l-foresta tropikali tista 'tkun mhedda għalkemm is-seklu 21 permezz tal-bidla fil-klima minbarra d-deforestazzjoni.</v>
      </c>
    </row>
    <row r="16199" ht="15.75" customHeight="1">
      <c r="A16199" s="2" t="s">
        <v>16199</v>
      </c>
      <c r="B16199" s="2" t="str">
        <f>IFERROR(__xludf.DUMMYFUNCTION("GOOGLETRANSLATE(A16199, ""en"", ""mt"")"),"Ir-residwu ta 'x'jista' jidher quddiem il-hadrons?")</f>
        <v>Ir-residwu ta 'x'jista' jidher quddiem il-hadrons?</v>
      </c>
    </row>
    <row r="16200" ht="15.75" customHeight="1">
      <c r="A16200" s="2" t="s">
        <v>16200</v>
      </c>
      <c r="B16200" s="2" t="str">
        <f>IFERROR(__xludf.DUMMYFUNCTION("GOOGLETRANSLATE(A16200, ""en"", ""mt"")"),"Fuq liema horsepower huma turbini tal-fwar ġeneralment aktar effiċjenti mill-magni tal-fwar li jużaw pistuni reċiprokanti?")</f>
        <v>Fuq liema horsepower huma turbini tal-fwar ġeneralment aktar effiċjenti mill-magni tal-fwar li jużaw pistuni reċiprokanti?</v>
      </c>
    </row>
    <row r="16201" ht="15.75" customHeight="1">
      <c r="A16201" s="2" t="s">
        <v>16201</v>
      </c>
      <c r="B16201" s="2" t="str">
        <f>IFERROR(__xludf.DUMMYFUNCTION("GOOGLETRANSLATE(A16201, ""en"", ""mt"")"),"Céloron")</f>
        <v>Céloron</v>
      </c>
    </row>
    <row r="16202" ht="15.75" customHeight="1">
      <c r="A16202" s="2" t="s">
        <v>16202</v>
      </c>
      <c r="B16202" s="2" t="str">
        <f>IFERROR(__xludf.DUMMYFUNCTION("GOOGLETRANSLATE(A16202, ""en"", ""mt"")"),"Liema nies ġabu wieħed mill-ewwel eżempji ta 'diżubbidjenza ċivili?")</f>
        <v>Liema nies ġabu wieħed mill-ewwel eżempji ta 'diżubbidjenza ċivili?</v>
      </c>
    </row>
    <row r="16203" ht="15.75" customHeight="1">
      <c r="A16203" s="2" t="s">
        <v>16203</v>
      </c>
      <c r="B16203" s="2" t="str">
        <f>IFERROR(__xludf.DUMMYFUNCTION("GOOGLETRANSLATE(A16203, ""en"", ""mt"")"),"Liema tribù tuża apparati tal-GPS biex tpinġi artijiet?")</f>
        <v>Liema tribù tuża apparati tal-GPS biex tpinġi artijiet?</v>
      </c>
    </row>
    <row r="16204" ht="15.75" customHeight="1">
      <c r="A16204" s="2" t="s">
        <v>16204</v>
      </c>
      <c r="B16204" s="2" t="str">
        <f>IFERROR(__xludf.DUMMYFUNCTION("GOOGLETRANSLATE(A16204, ""en"", ""mt"")"),"Wara li l-operaturi jiġu mwissija bil-ħarba tal-firebox, x'jistgħu jagħmlu?")</f>
        <v>Wara li l-operaturi jiġu mwissija bil-ħarba tal-firebox, x'jistgħu jagħmlu?</v>
      </c>
    </row>
    <row r="16205" ht="15.75" customHeight="1">
      <c r="A16205" s="2" t="s">
        <v>16205</v>
      </c>
      <c r="B16205" s="2" t="str">
        <f>IFERROR(__xludf.DUMMYFUNCTION("GOOGLETRANSLATE(A16205, ""en"", ""mt"")"),"Lewkoċiti (ċelloli bojod tad-demm)")</f>
        <v>Lewkoċiti (ċelloli bojod tad-demm)</v>
      </c>
    </row>
    <row r="16206" ht="15.75" customHeight="1">
      <c r="A16206" s="2" t="s">
        <v>16206</v>
      </c>
      <c r="B16206" s="2" t="str">
        <f>IFERROR(__xludf.DUMMYFUNCTION("GOOGLETRANSLATE(A16206, ""en"", ""mt"")"),"Kif jissejjaħ ir-reġjun li huwa l-ikbar konurbazzjoni tar-Renu?")</f>
        <v>Kif jissejjaħ ir-reġjun li huwa l-ikbar konurbazzjoni tar-Renu?</v>
      </c>
    </row>
    <row r="16207" ht="15.75" customHeight="1">
      <c r="A16207" s="2" t="s">
        <v>16207</v>
      </c>
      <c r="B16207" s="2" t="str">
        <f>IFERROR(__xludf.DUMMYFUNCTION("GOOGLETRANSLATE(A16207, ""en"", ""mt"")"),"X'inhu l-isem tar-reġjun li mhux definit mit-tmien jew 10 definizzjonijiet tal-kontea?")</f>
        <v>X'inhu l-isem tar-reġjun li mhux definit mit-tmien jew 10 definizzjonijiet tal-kontea?</v>
      </c>
    </row>
    <row r="16208" ht="15.75" customHeight="1">
      <c r="A16208" s="2" t="s">
        <v>16208</v>
      </c>
      <c r="B16208" s="2" t="str">
        <f>IFERROR(__xludf.DUMMYFUNCTION("GOOGLETRANSLATE(A16208, ""en"", ""mt"")"),"Qlib ta 'blokka ta' messaġġi adattivi distribwiti")</f>
        <v>Qlib ta 'blokka ta' messaġġi adattivi distribwiti</v>
      </c>
    </row>
    <row r="16209" ht="15.75" customHeight="1">
      <c r="A16209" s="2" t="s">
        <v>16209</v>
      </c>
      <c r="B16209" s="2" t="str">
        <f>IFERROR(__xludf.DUMMYFUNCTION("GOOGLETRANSLATE(A16209, ""en"", ""mt"")"),"Dollaru minfuq minn persuna fqira x'aktarx jipprovdi dak għalihom?")</f>
        <v>Dollaru minfuq minn persuna fqira x'aktarx jipprovdi dak għalihom?</v>
      </c>
    </row>
    <row r="16210" ht="15.75" customHeight="1">
      <c r="A16210" s="2" t="s">
        <v>16210</v>
      </c>
      <c r="B16210" s="2" t="str">
        <f>IFERROR(__xludf.DUMMYFUNCTION("GOOGLETRANSLATE(A16210, ""en"", ""mt"")"),"Liema gwerra seħħet fis-seklu 1?")</f>
        <v>Liema gwerra seħħet fis-seklu 1?</v>
      </c>
    </row>
    <row r="16211" ht="15.75" customHeight="1">
      <c r="A16211" s="2" t="s">
        <v>16211</v>
      </c>
      <c r="B16211" s="2" t="str">
        <f>IFERROR(__xludf.DUMMYFUNCTION("GOOGLETRANSLATE(A16211, ""en"", ""mt"")"),"L-ewwel nofs tas-seklu tmintax")</f>
        <v>L-ewwel nofs tas-seklu tmintax</v>
      </c>
    </row>
    <row r="16212" ht="15.75" customHeight="1">
      <c r="A16212" s="2" t="s">
        <v>16212</v>
      </c>
      <c r="B16212" s="2" t="str">
        <f>IFERROR(__xludf.DUMMYFUNCTION("GOOGLETRANSLATE(A16212, ""en"", ""mt"")"),"Umdità baxxa u x’wassal għall-maltempati ta ’Jacksonville?")</f>
        <v>Umdità baxxa u x’wassal għall-maltempati ta ’Jacksonville?</v>
      </c>
    </row>
    <row r="16213" ht="15.75" customHeight="1">
      <c r="A16213" s="2" t="s">
        <v>16213</v>
      </c>
      <c r="B16213" s="2" t="str">
        <f>IFERROR(__xludf.DUMMYFUNCTION("GOOGLETRANSLATE(A16213, ""en"", ""mt"")"),"Kemm ġew iffurmati ekwazzjonijiet skalari f'sett minn James Maxwell?")</f>
        <v>Kemm ġew iffurmati ekwazzjonijiet skalari f'sett minn James Maxwell?</v>
      </c>
    </row>
    <row r="16214" ht="15.75" customHeight="1">
      <c r="A16214" s="2" t="s">
        <v>16214</v>
      </c>
      <c r="B16214" s="2" t="str">
        <f>IFERROR(__xludf.DUMMYFUNCTION("GOOGLETRANSLATE(A16214, ""en"", ""mt"")"),"X'tip ta 'stazzjonijiet għandu Chico?")</f>
        <v>X'tip ta 'stazzjonijiet għandu Chico?</v>
      </c>
    </row>
    <row r="16215" ht="15.75" customHeight="1">
      <c r="A16215" s="2" t="s">
        <v>16215</v>
      </c>
      <c r="B16215" s="2" t="str">
        <f>IFERROR(__xludf.DUMMYFUNCTION("GOOGLETRANSLATE(A16215, ""en"", ""mt"")"),"Il-kunċett ta ’ċertezza legali huwa rikonoxxut wieħed mill-prinċipji ġenerali tal-liġi tal-Unjoni Ewropea mill-Qorti Ewropea tal-Ġustizzja mill-1960s. Huwa prinċipju ġenerali importanti tal-liġi internazzjonali u l-liġi pubblika, li qabel il-liġi tal-Unjo"&amp;"ni Ewropea. Bħala prinċipju ġenerali fil-liġi tal-Unjoni Ewropea jfisser li l-liġi għandha tkun ċerta, billi hija ċara u preċiża, u l-implikazzjonijiet legali tagħha prevedibbli, speċjalment meta jiġu applikati għal obbligi finanzjarji. L-adozzjoni ta 'li"&amp;"ġijiet li se jkollhom effett legali fl-Unjoni Ewropea għandu jkollhom bażi legali xierqa. Il-leġislazzjoni fl-Istati Membri li timplimenta l-liġi tal-Unjoni Ewropea għandha tkun miktuba sabiex tkun tinftiehem b'mod ċar minn dawk li huma soġġetti għal-liġi"&amp;". Fil-liġi tal-Unjoni Ewropea, il-prinċipju ġenerali taċ-ċertezza legali jipprojbixxi l-liġijiet ex post facto, i.e. il-liġijiet m'għandhomx jidħlu fis-seħħ qabel ma jiġu ppubblikati. Id-duttrina tal-aspettattiva leġittima, li għandha l-għeruq tagħha fil-"&amp;"prinċipji taċ-ċertezza legali u l-fidi tajba, hija wkoll element ċentrali tal-prinċipju ġenerali taċ-ċertezza legali fil-liġi tal-Unjoni Ewropea. Id-duttrina leġittima ta 'l-istennija żżomm dik u li ""dawk li jaġixxu b'rieda tajba fuq il-bażi tal-liġi kif"&amp;" inhi jew jidher li m'għandhomx ikunu frustrati fl-aspettattivi tagħhom"".")</f>
        <v>Il-kunċett ta ’ċertezza legali huwa rikonoxxut wieħed mill-prinċipji ġenerali tal-liġi tal-Unjoni Ewropea mill-Qorti Ewropea tal-Ġustizzja mill-1960s. Huwa prinċipju ġenerali importanti tal-liġi internazzjonali u l-liġi pubblika, li qabel il-liġi tal-Unjoni Ewropea. Bħala prinċipju ġenerali fil-liġi tal-Unjoni Ewropea jfisser li l-liġi għandha tkun ċerta, billi hija ċara u preċiża, u l-implikazzjonijiet legali tagħha prevedibbli, speċjalment meta jiġu applikati għal obbligi finanzjarji. L-adozzjoni ta 'liġijiet li se jkollhom effett legali fl-Unjoni Ewropea għandu jkollhom bażi legali xierqa. Il-leġislazzjoni fl-Istati Membri li timplimenta l-liġi tal-Unjoni Ewropea għandha tkun miktuba sabiex tkun tinftiehem b'mod ċar minn dawk li huma soġġetti għal-liġi. Fil-liġi tal-Unjoni Ewropea, il-prinċipju ġenerali taċ-ċertezza legali jipprojbixxi l-liġijiet ex post facto, i.e. il-liġijiet m'għandhomx jidħlu fis-seħħ qabel ma jiġu ppubblikati. Id-duttrina tal-aspettattiva leġittima, li għandha l-għeruq tagħha fil-prinċipji taċ-ċertezza legali u l-fidi tajba, hija wkoll element ċentrali tal-prinċipju ġenerali taċ-ċertezza legali fil-liġi tal-Unjoni Ewropea. Id-duttrina leġittima ta 'l-istennija żżomm dik u li "dawk li jaġixxu b'rieda tajba fuq il-bażi tal-liġi kif inhi jew jidher li m'għandhomx ikunu frustrati fl-aspettattivi tagħhom".</v>
      </c>
    </row>
    <row r="16216" ht="15.75" customHeight="1">
      <c r="A16216" s="2" t="s">
        <v>16216</v>
      </c>
      <c r="B16216" s="2" t="str">
        <f>IFERROR(__xludf.DUMMYFUNCTION("GOOGLETRANSLATE(A16216, ""en"", ""mt"")"),"University_of_chicago")</f>
        <v>University_of_chicago</v>
      </c>
    </row>
    <row r="16217" ht="15.75" customHeight="1">
      <c r="A16217" s="2" t="s">
        <v>16217</v>
      </c>
      <c r="B16217" s="2" t="str">
        <f>IFERROR(__xludf.DUMMYFUNCTION("GOOGLETRANSLATE(A16217, ""en"", ""mt"")"),"Għaliex O molekuli huma paramagnetiċi?")</f>
        <v>Għaliex O molekuli huma paramagnetiċi?</v>
      </c>
    </row>
    <row r="16218" ht="15.75" customHeight="1">
      <c r="A16218" s="2" t="s">
        <v>16218</v>
      </c>
      <c r="B16218" s="2" t="str">
        <f>IFERROR(__xludf.DUMMYFUNCTION("GOOGLETRANSLATE(A16218, ""en"", ""mt"")"),"ċiklu tal-karbonju")</f>
        <v>ċiklu tal-karbonju</v>
      </c>
    </row>
    <row r="16219" ht="15.75" customHeight="1">
      <c r="A16219" s="2" t="s">
        <v>16219</v>
      </c>
      <c r="B16219" s="2" t="str">
        <f>IFERROR(__xludf.DUMMYFUNCTION("GOOGLETRANSLATE(A16219, ""en"", ""mt"")")," X’kien qed ifittex Sadat billi jeħles lill-Iżlamisti mill-ħabs?")</f>
        <v> X’kien qed ifittex Sadat billi jeħles lill-Iżlamisti mill-ħabs?</v>
      </c>
    </row>
    <row r="16220" ht="15.75" customHeight="1">
      <c r="A16220" s="2" t="s">
        <v>16220</v>
      </c>
      <c r="B16220" s="2" t="str">
        <f>IFERROR(__xludf.DUMMYFUNCTION("GOOGLETRANSLATE(A16220, ""en"", ""mt"")"),"Il-politiki ta 'kiri ta' kampus barra mill-kampus tal-università")</f>
        <v>Il-politiki ta 'kiri ta' kampus barra mill-kampus tal-università</v>
      </c>
    </row>
    <row r="16221" ht="15.75" customHeight="1">
      <c r="A16221" s="2" t="s">
        <v>16221</v>
      </c>
      <c r="B16221" s="2" t="str">
        <f>IFERROR(__xludf.DUMMYFUNCTION("GOOGLETRANSLATE(A16221, ""en"", ""mt"")"),"Minbarra x-xaħmijiet, l-aċidi grassi, u l-aċidi amminiċi, liema komposti organiċi oħra fihom ossiġnu?")</f>
        <v>Minbarra x-xaħmijiet, l-aċidi grassi, u l-aċidi amminiċi, liema komposti organiċi oħra fihom ossiġnu?</v>
      </c>
    </row>
    <row r="16222" ht="15.75" customHeight="1">
      <c r="A16222" s="2" t="s">
        <v>16222</v>
      </c>
      <c r="B16222" s="2" t="str">
        <f>IFERROR(__xludf.DUMMYFUNCTION("GOOGLETRANSLATE(A16222, ""en"", ""mt"")"),"1,100")</f>
        <v>1,100</v>
      </c>
    </row>
    <row r="16223" ht="15.75" customHeight="1">
      <c r="A16223" s="2" t="s">
        <v>16223</v>
      </c>
      <c r="B16223" s="2" t="str">
        <f>IFERROR(__xludf.DUMMYFUNCTION("GOOGLETRANSLATE(A16223, ""en"", ""mt"")"),"Dawn il-ħames ċentri tal-bejgħ u tas-servizz tal-kompjuter huma meqjusa bħala xiex?")</f>
        <v>Dawn il-ħames ċentri tal-bejgħ u tas-servizz tal-kompjuter huma meqjusa bħala xiex?</v>
      </c>
    </row>
    <row r="16224" ht="15.75" customHeight="1">
      <c r="A16224" s="2" t="s">
        <v>16224</v>
      </c>
      <c r="B16224" s="2" t="str">
        <f>IFERROR(__xludf.DUMMYFUNCTION("GOOGLETRANSLATE(A16224, ""en"", ""mt"")"),"Amherst")</f>
        <v>Amherst</v>
      </c>
    </row>
    <row r="16225" ht="15.75" customHeight="1">
      <c r="A16225" s="2" t="s">
        <v>16225</v>
      </c>
      <c r="B16225" s="2" t="str">
        <f>IFERROR(__xludf.DUMMYFUNCTION("GOOGLETRANSLATE(A16225, ""en"", ""mt"")"),"Liema referendums ta 'żewġ pajjiżi waqqgħu kostituzzjoni għall-Ewropa?")</f>
        <v>Liema referendums ta 'żewġ pajjiżi waqqgħu kostituzzjoni għall-Ewropa?</v>
      </c>
    </row>
    <row r="16226" ht="15.75" customHeight="1">
      <c r="A16226" s="2" t="s">
        <v>16226</v>
      </c>
      <c r="B16226" s="2" t="str">
        <f>IFERROR(__xludf.DUMMYFUNCTION("GOOGLETRANSLATE(A16226, ""en"", ""mt"")"),"Fejn jibda l-kejl tax-Xmara Rhine?")</f>
        <v>Fejn jibda l-kejl tax-Xmara Rhine?</v>
      </c>
    </row>
    <row r="16227" ht="15.75" customHeight="1">
      <c r="A16227" s="2" t="s">
        <v>16227</v>
      </c>
      <c r="B16227" s="2" t="str">
        <f>IFERROR(__xludf.DUMMYFUNCTION("GOOGLETRANSLATE(A16227, ""en"", ""mt"")"),"Impetu")</f>
        <v>Impetu</v>
      </c>
    </row>
    <row r="16228" ht="15.75" customHeight="1">
      <c r="A16228" s="2" t="s">
        <v>16228</v>
      </c>
      <c r="B16228" s="2" t="str">
        <f>IFERROR(__xludf.DUMMYFUNCTION("GOOGLETRANSLATE(A16228, ""en"", ""mt"")"),"fir-respirazzjoni ċellulari")</f>
        <v>fir-respirazzjoni ċellulari</v>
      </c>
    </row>
    <row r="16229" ht="15.75" customHeight="1">
      <c r="A16229" s="2" t="s">
        <v>16229</v>
      </c>
      <c r="B16229" s="2" t="str">
        <f>IFERROR(__xludf.DUMMYFUNCTION("GOOGLETRANSLATE(A16229, ""en"", ""mt"")"),"Ipproponi firxa ta 'figuri tal-popolazzjoni preinententi")</f>
        <v>Ipproponi firxa ta 'figuri tal-popolazzjoni preinententi</v>
      </c>
    </row>
    <row r="16230" ht="15.75" customHeight="1">
      <c r="A16230" s="2" t="s">
        <v>16230</v>
      </c>
      <c r="B16230" s="2" t="str">
        <f>IFERROR(__xludf.DUMMYFUNCTION("GOOGLETRANSLATE(A16230, ""en"", ""mt"")"),"Kif it-tweġibiet iva / le ta 'problema inkompatibbli ta' tidher?")</f>
        <v>Kif it-tweġibiet iva / le ta 'problema inkompatibbli ta' tidher?</v>
      </c>
    </row>
    <row r="16231" ht="15.75" customHeight="1">
      <c r="A16231" s="2" t="s">
        <v>16231</v>
      </c>
      <c r="B16231" s="2" t="str">
        <f>IFERROR(__xludf.DUMMYFUNCTION("GOOGLETRANSLATE(A16231, ""en"", ""mt"")"),"Fejn hu ospitat il-jamboree tal-ħarifa?")</f>
        <v>Fejn hu ospitat il-jamboree tal-ħarifa?</v>
      </c>
    </row>
    <row r="16232" ht="15.75" customHeight="1">
      <c r="A16232" s="2" t="s">
        <v>16232</v>
      </c>
      <c r="B16232" s="2" t="str">
        <f>IFERROR(__xludf.DUMMYFUNCTION("GOOGLETRANSLATE(A16232, ""en"", ""mt"")"),"In-Nazzjonijiet Uniti")</f>
        <v>In-Nazzjonijiet Uniti</v>
      </c>
    </row>
    <row r="16233" ht="15.75" customHeight="1">
      <c r="A16233" s="2" t="s">
        <v>16233</v>
      </c>
      <c r="B16233" s="2" t="str">
        <f>IFERROR(__xludf.DUMMYFUNCTION("GOOGLETRANSLATE(A16233, ""en"", ""mt"")"),"Sport (inkluż il-futbol Ingliż tal-Premier League), films, divertiment u aħbarijiet")</f>
        <v>Sport (inkluż il-futbol Ingliż tal-Premier League), films, divertiment u aħbarijiet</v>
      </c>
    </row>
    <row r="16234" ht="15.75" customHeight="1">
      <c r="A16234" s="2" t="s">
        <v>16234</v>
      </c>
      <c r="B16234" s="2" t="str">
        <f>IFERROR(__xludf.DUMMYFUNCTION("GOOGLETRANSLATE(A16234, ""en"", ""mt"")"),"Fejn kienu kkonċentrati l-Kattoliċi Franċiżi fi Franza?")</f>
        <v>Fejn kienu kkonċentrati l-Kattoliċi Franċiżi fi Franza?</v>
      </c>
    </row>
    <row r="16235" ht="15.75" customHeight="1">
      <c r="A16235" s="2" t="s">
        <v>16235</v>
      </c>
      <c r="B16235" s="2" t="str">
        <f>IFERROR(__xludf.DUMMYFUNCTION("GOOGLETRANSLATE(A16235, ""en"", ""mt"")"),"Kemm saffi ta 'ċelloli b'saff ta' ġelatina sandwiched għandhom annimali kumplessi?")</f>
        <v>Kemm saffi ta 'ċelloli b'saff ta' ġelatina sandwiched għandhom annimali kumplessi?</v>
      </c>
    </row>
    <row r="16236" ht="15.75" customHeight="1">
      <c r="A16236" s="2" t="s">
        <v>16236</v>
      </c>
      <c r="B16236" s="2" t="str">
        <f>IFERROR(__xludf.DUMMYFUNCTION("GOOGLETRANSLATE(A16236, ""en"", ""mt"")"),"L-Iskola tal-Għarfien")</f>
        <v>L-Iskola tal-Għarfien</v>
      </c>
    </row>
    <row r="16237" ht="15.75" customHeight="1">
      <c r="A16237" s="2" t="s">
        <v>16237</v>
      </c>
      <c r="B16237" s="2" t="str">
        <f>IFERROR(__xludf.DUMMYFUNCTION("GOOGLETRANSLATE(A16237, ""en"", ""mt"")"),"il- ""Kapitolu Soċjali""")</f>
        <v>il- "Kapitolu Soċjali"</v>
      </c>
    </row>
    <row r="16238" ht="15.75" customHeight="1">
      <c r="A16238" s="2" t="s">
        <v>16238</v>
      </c>
      <c r="B16238" s="2" t="str">
        <f>IFERROR(__xludf.DUMMYFUNCTION("GOOGLETRANSLATE(A16238, ""en"", ""mt"")"),"F'liema uffiċċju Barack Obama riċentement serva l-aħħar mandat tiegħu?")</f>
        <v>F'liema uffiċċju Barack Obama riċentement serva l-aħħar mandat tiegħu?</v>
      </c>
    </row>
    <row r="16239" ht="15.75" customHeight="1">
      <c r="A16239" s="2" t="s">
        <v>16239</v>
      </c>
      <c r="B16239" s="2" t="str">
        <f>IFERROR(__xludf.DUMMYFUNCTION("GOOGLETRANSLATE(A16239, ""en"", ""mt"")"),"Għalkemm il-biċċa l-kbira mhumiex allinjati, uħud mill-iskejjel indipendenti l-aktar magħrufa jappartjenu wkoll għall-pedamenti reliġjużi l-kbar li ilhom stabbiliti, bħall-Knisja Anglikana, l-għaqda tal-Knisja u l-Knisja Presbiterjana, iżda f'ħafna każiji"&amp;"et, ma jinsistux fuq l-istudenti tagħhom 'lealtà reliġjuża. Dawn l-iskejjel huma tipikament meqjusa bħala 'skejjel elite'. Ħafna mill- ""iskejjel tal-grammatika"" jaqgħu wkoll f'din il-kategorija. Normalment huma skejjel għaljin li għandhom it-tendenza li"&amp;" jkunu fis-suq u fl-istil tradizzjonali, xi skejjel Kattoliċi jaqgħu f'din il-kategorija wkoll, p.e. St Joseph's College, Gregory Terrace, Saint Injatius 'College, Riverview, St Gregory's College, Campbelltown, St Aloysius' College (Sydney) u St Joseph's "&amp;"College, Hunters Hill, kif ukoll Loreto Kirribilli, Monte Sant Angelo Mercy College, St Ursula College, College's u Loreto Normanhurst għall-bniet.")</f>
        <v>Għalkemm il-biċċa l-kbira mhumiex allinjati, uħud mill-iskejjel indipendenti l-aktar magħrufa jappartjenu wkoll għall-pedamenti reliġjużi l-kbar li ilhom stabbiliti, bħall-Knisja Anglikana, l-għaqda tal-Knisja u l-Knisja Presbiterjana, iżda f'ħafna każijiet, ma jinsistux fuq l-istudenti tagħhom 'lealtà reliġjuża. Dawn l-iskejjel huma tipikament meqjusa bħala 'skejjel elite'. Ħafna mill- "iskejjel tal-grammatika" jaqgħu wkoll f'din il-kategorija. Normalment huma skejjel għaljin li għandhom it-tendenza li jkunu fis-suq u fl-istil tradizzjonali, xi skejjel Kattoliċi jaqgħu f'din il-kategorija wkoll, p.e. St Joseph's College, Gregory Terrace, Saint Injatius 'College, Riverview, St Gregory's College, Campbelltown, St Aloysius' College (Sydney) u St Joseph's College, Hunters Hill, kif ukoll Loreto Kirribilli, Monte Sant Angelo Mercy College, St Ursula College, College's u Loreto Normanhurst għall-bniet.</v>
      </c>
    </row>
    <row r="16240" ht="15.75" customHeight="1">
      <c r="A16240" s="2" t="s">
        <v>16240</v>
      </c>
      <c r="B16240" s="2" t="str">
        <f>IFERROR(__xludf.DUMMYFUNCTION("GOOGLETRANSLATE(A16240, ""en"", ""mt"")"),"Il-Ġermanja u l-Awstrija")</f>
        <v>Il-Ġermanja u l-Awstrija</v>
      </c>
    </row>
    <row r="16241" ht="15.75" customHeight="1">
      <c r="A16241" s="2" t="s">
        <v>16241</v>
      </c>
      <c r="B16241" s="2" t="str">
        <f>IFERROR(__xludf.DUMMYFUNCTION("GOOGLETRANSLATE(A16241, ""en"", ""mt"")"),"Liema liġi nħolqot fl-1805?")</f>
        <v>Liema liġi nħolqot fl-1805?</v>
      </c>
    </row>
    <row r="16242" ht="15.75" customHeight="1">
      <c r="A16242" s="2" t="s">
        <v>16242</v>
      </c>
      <c r="B16242" s="2" t="str">
        <f>IFERROR(__xludf.DUMMYFUNCTION("GOOGLETRANSLATE(A16242, ""en"", ""mt"")"),"1275")</f>
        <v>1275</v>
      </c>
    </row>
    <row r="16243" ht="15.75" customHeight="1">
      <c r="A16243" s="2" t="s">
        <v>16243</v>
      </c>
      <c r="B16243" s="2" t="str">
        <f>IFERROR(__xludf.DUMMYFUNCTION("GOOGLETRANSLATE(A16243, ""en"", ""mt"")"),"Liema gżejjer jikkompetu numru akbar ta 'eletturi?")</f>
        <v>Liema gżejjer jikkompetu numru akbar ta 'eletturi?</v>
      </c>
    </row>
    <row r="16244" ht="15.75" customHeight="1">
      <c r="A16244" s="2" t="s">
        <v>16244</v>
      </c>
      <c r="B16244" s="2" t="str">
        <f>IFERROR(__xludf.DUMMYFUNCTION("GOOGLETRANSLATE(A16244, ""en"", ""mt"")"),"Struttura u forzi estiżi li jaġixxu fuq parti waħda ta 'oġġett jistgħu jaffettwaw partijiet oħra ta' oġġett")</f>
        <v>Struttura u forzi estiżi li jaġixxu fuq parti waħda ta 'oġġett jistgħu jaffettwaw partijiet oħra ta' oġġett</v>
      </c>
    </row>
    <row r="16245" ht="15.75" customHeight="1">
      <c r="A16245" s="2" t="s">
        <v>16245</v>
      </c>
      <c r="B16245" s="2" t="str">
        <f>IFERROR(__xludf.DUMMYFUNCTION("GOOGLETRANSLATE(A16245, ""en"", ""mt"")"),"Numru kemmxejn ikbar")</f>
        <v>Numru kemmxejn ikbar</v>
      </c>
    </row>
    <row r="16246" ht="15.75" customHeight="1">
      <c r="A16246" s="2" t="s">
        <v>16246</v>
      </c>
      <c r="B16246" s="2" t="str">
        <f>IFERROR(__xludf.DUMMYFUNCTION("GOOGLETRANSLATE(A16246, ""en"", ""mt"")"),"Perjodu Triassiku")</f>
        <v>Perjodu Triassiku</v>
      </c>
    </row>
    <row r="16247" ht="15.75" customHeight="1">
      <c r="A16247" s="2" t="s">
        <v>16247</v>
      </c>
      <c r="B16247" s="2" t="str">
        <f>IFERROR(__xludf.DUMMYFUNCTION("GOOGLETRANSLATE(A16247, ""en"", ""mt"")"),"Basel,")</f>
        <v>Basel,</v>
      </c>
    </row>
    <row r="16248" ht="15.75" customHeight="1">
      <c r="A16248" s="2" t="s">
        <v>16248</v>
      </c>
      <c r="B16248" s="2" t="str">
        <f>IFERROR(__xludf.DUMMYFUNCTION("GOOGLETRANSLATE(A16248, ""en"", ""mt"")"),"Liechtenstein")</f>
        <v>Liechtenstein</v>
      </c>
    </row>
    <row r="16249" ht="15.75" customHeight="1">
      <c r="A16249" s="2" t="s">
        <v>16249</v>
      </c>
      <c r="B16249" s="2" t="str">
        <f>IFERROR(__xludf.DUMMYFUNCTION("GOOGLETRANSLATE(A16249, ""en"", ""mt"")"),"Liema dmir xi nies jemmnu li għandhom id-diżubbidjenti ċivili?")</f>
        <v>Liema dmir xi nies jemmnu li għandhom id-diżubbidjenti ċivili?</v>
      </c>
    </row>
    <row r="16250" ht="15.75" customHeight="1">
      <c r="A16250" s="2" t="s">
        <v>16250</v>
      </c>
      <c r="B16250" s="2" t="str">
        <f>IFERROR(__xludf.DUMMYFUNCTION("GOOGLETRANSLATE(A16250, ""en"", ""mt"")"),"X'kien l-isem tas-sieħeb ta 'Watt?")</f>
        <v>X'kien l-isem tas-sieħeb ta 'Watt?</v>
      </c>
    </row>
    <row r="16251" ht="15.75" customHeight="1">
      <c r="A16251" s="2" t="s">
        <v>16251</v>
      </c>
      <c r="B16251" s="2" t="str">
        <f>IFERROR(__xludf.DUMMYFUNCTION("GOOGLETRANSLATE(A16251, ""en"", ""mt"")"),"F'liema distretti huma n-numri tar-reġistrazzjoni għall-karozzi kollha tal-istess tip?")</f>
        <v>F'liema distretti huma n-numri tar-reġistrazzjoni għall-karozzi kollha tal-istess tip?</v>
      </c>
    </row>
    <row r="16252" ht="15.75" customHeight="1">
      <c r="A16252" s="2" t="s">
        <v>16252</v>
      </c>
      <c r="B16252" s="2" t="str">
        <f>IFERROR(__xludf.DUMMYFUNCTION("GOOGLETRANSLATE(A16252, ""en"", ""mt"")"),"Motivazzjonijiet orjentati lejn il-kisba (""Iġbed"")")</f>
        <v>Motivazzjonijiet orjentati lejn il-kisba ("Iġbed")</v>
      </c>
    </row>
    <row r="16253" ht="15.75" customHeight="1">
      <c r="A16253" s="2" t="s">
        <v>16253</v>
      </c>
      <c r="B16253" s="2" t="str">
        <f>IFERROR(__xludf.DUMMYFUNCTION("GOOGLETRANSLATE(A16253, ""en"", ""mt"")"),"Kunsill Privat")</f>
        <v>Kunsill Privat</v>
      </c>
    </row>
    <row r="16254" ht="15.75" customHeight="1">
      <c r="A16254" s="2" t="s">
        <v>16254</v>
      </c>
      <c r="B16254" s="2" t="str">
        <f>IFERROR(__xludf.DUMMYFUNCTION("GOOGLETRANSLATE(A16254, ""en"", ""mt"")"),"Minn xiex ġej l-isem tar-Rhine?")</f>
        <v>Minn xiex ġej l-isem tar-Rhine?</v>
      </c>
    </row>
    <row r="16255" ht="15.75" customHeight="1">
      <c r="A16255" s="2" t="s">
        <v>16255</v>
      </c>
      <c r="B16255" s="2" t="str">
        <f>IFERROR(__xludf.DUMMYFUNCTION("GOOGLETRANSLATE(A16255, ""en"", ""mt"")"),"element ta 'tisħin elettriku")</f>
        <v>element ta 'tisħin elettriku</v>
      </c>
    </row>
    <row r="16256" ht="15.75" customHeight="1">
      <c r="A16256" s="2" t="s">
        <v>16256</v>
      </c>
      <c r="B16256" s="2" t="str">
        <f>IFERROR(__xludf.DUMMYFUNCTION("GOOGLETRANSLATE(A16256, ""en"", ""mt"")"),"X'tip ta 'diżubbidjenza ċivili hija aċċettata b'mod komuni?")</f>
        <v>X'tip ta 'diżubbidjenza ċivili hija aċċettata b'mod komuni?</v>
      </c>
    </row>
    <row r="16257" ht="15.75" customHeight="1">
      <c r="A16257" s="2" t="s">
        <v>16257</v>
      </c>
      <c r="B16257" s="2" t="str">
        <f>IFERROR(__xludf.DUMMYFUNCTION("GOOGLETRANSLATE(A16257, ""en"", ""mt"")"),"Il-pesta kif infiltrat Lixandra?")</f>
        <v>Il-pesta kif infiltrat Lixandra?</v>
      </c>
    </row>
    <row r="16258" ht="15.75" customHeight="1">
      <c r="A16258" s="2" t="s">
        <v>16258</v>
      </c>
      <c r="B16258" s="2" t="str">
        <f>IFERROR(__xludf.DUMMYFUNCTION("GOOGLETRANSLATE(A16258, ""en"", ""mt"")"),"Liema bini huwa l-iktar interessanti tal-arkitettura tard tas-seklu 19?")</f>
        <v>Liema bini huwa l-iktar interessanti tal-arkitettura tard tas-seklu 19?</v>
      </c>
    </row>
    <row r="16259" ht="15.75" customHeight="1">
      <c r="A16259" s="2" t="s">
        <v>16259</v>
      </c>
      <c r="B16259" s="2" t="str">
        <f>IFERROR(__xludf.DUMMYFUNCTION("GOOGLETRANSLATE(A16259, ""en"", ""mt"")"),"X'inhi l-unika forma ta 'enerġija kinetika li tista' tinbidel?")</f>
        <v>X'inhi l-unika forma ta 'enerġija kinetika li tista' tinbidel?</v>
      </c>
    </row>
    <row r="16260" ht="15.75" customHeight="1">
      <c r="A16260" s="2" t="s">
        <v>16260</v>
      </c>
      <c r="B16260" s="2" t="str">
        <f>IFERROR(__xludf.DUMMYFUNCTION("GOOGLETRANSLATE(A16260, ""en"", ""mt"")"),"tolleranza")</f>
        <v>tolleranza</v>
      </c>
    </row>
    <row r="16261" ht="15.75" customHeight="1">
      <c r="A16261" s="2" t="s">
        <v>16261</v>
      </c>
      <c r="B16261" s="2" t="str">
        <f>IFERROR(__xludf.DUMMYFUNCTION("GOOGLETRANSLATE(A16261, ""en"", ""mt"")"),"regoli komuni għall-faħam u l-azzar, u mbagħad l-enerġija atomika")</f>
        <v>regoli komuni għall-faħam u l-azzar, u mbagħad l-enerġija atomika</v>
      </c>
    </row>
    <row r="16262" ht="15.75" customHeight="1">
      <c r="A16262" s="2" t="s">
        <v>16262</v>
      </c>
      <c r="B16262" s="2" t="str">
        <f>IFERROR(__xludf.DUMMYFUNCTION("GOOGLETRANSLATE(A16262, ""en"", ""mt"")"),"April sa Ottubru")</f>
        <v>April sa Ottubru</v>
      </c>
    </row>
    <row r="16263" ht="15.75" customHeight="1">
      <c r="A16263" s="2" t="s">
        <v>16263</v>
      </c>
      <c r="B16263" s="2" t="str">
        <f>IFERROR(__xludf.DUMMYFUNCTION("GOOGLETRANSLATE(A16263, ""en"", ""mt"")"),"diżastru; Huwa ġie megħlub fil-Battalja tal-Monongahela")</f>
        <v>diżastru; Huwa ġie megħlub fil-Battalja tal-Monongahela</v>
      </c>
    </row>
    <row r="16264" ht="15.75" customHeight="1">
      <c r="A16264" s="2" t="s">
        <v>16264</v>
      </c>
      <c r="B16264" s="2" t="str">
        <f>IFERROR(__xludf.DUMMYFUNCTION("GOOGLETRANSLATE(A16264, ""en"", ""mt"")"),"In-numru ta 'kolonisti ġodda Huguenot naqas wara liema sena?")</f>
        <v>In-numru ta 'kolonisti ġodda Huguenot naqas wara liema sena?</v>
      </c>
    </row>
    <row r="16265" ht="15.75" customHeight="1">
      <c r="A16265" s="2" t="s">
        <v>16265</v>
      </c>
      <c r="B16265" s="2" t="str">
        <f>IFERROR(__xludf.DUMMYFUNCTION("GOOGLETRANSLATE(A16265, ""en"", ""mt"")"),"Hemm ukoll bosta operaturi tal-merkanzija iżgħar u bosta ferroviji turistiċi li joperaw fuq linji li darba kienu partijiet ta 'sistema ta' l-istat. Linji Vittorjani jużaw prinċipalment il-kejl wiesa 'ta' 1,600 mm (5 ft 3 in). Madankollu, ir-rotot ta 'zokk"&amp;" bejn l-istati, kif ukoll numru ta' linji tal-fergħat fil-punent ta 'l-istat ġew konvertiti għal 1,435 mm (4 ft 8 1⁄2 in) gauge standard. Żewġ ferroviji turistiċi joperaw aktar minn 760 mm (2 ft 6 in) linji ta 'gauge dojoq, li huma l-fdalijiet ta' ħames l"&amp;"inji li qabel kienu proprjetà tal-gvern li kienu mibnija f'żoni muntanjużi.")</f>
        <v>Hemm ukoll bosta operaturi tal-merkanzija iżgħar u bosta ferroviji turistiċi li joperaw fuq linji li darba kienu partijiet ta 'sistema ta' l-istat. Linji Vittorjani jużaw prinċipalment il-kejl wiesa 'ta' 1,600 mm (5 ft 3 in). Madankollu, ir-rotot ta 'zokk bejn l-istati, kif ukoll numru ta' linji tal-fergħat fil-punent ta 'l-istat ġew konvertiti għal 1,435 mm (4 ft 8 1⁄2 in) gauge standard. Żewġ ferroviji turistiċi joperaw aktar minn 760 mm (2 ft 6 in) linji ta 'gauge dojoq, li huma l-fdalijiet ta' ħames linji li qabel kienu proprjetà tal-gvern li kienu mibnija f'żoni muntanjużi.</v>
      </c>
    </row>
    <row r="16266" ht="15.75" customHeight="1">
      <c r="A16266" s="2" t="s">
        <v>16266</v>
      </c>
      <c r="B16266" s="2" t="str">
        <f>IFERROR(__xludf.DUMMYFUNCTION("GOOGLETRANSLATE(A16266, ""en"", ""mt"")"),"is-seklu 16")</f>
        <v>is-seklu 16</v>
      </c>
    </row>
    <row r="16267" ht="15.75" customHeight="1">
      <c r="A16267" s="2" t="s">
        <v>16267</v>
      </c>
      <c r="B16267" s="2" t="str">
        <f>IFERROR(__xludf.DUMMYFUNCTION("GOOGLETRANSLATE(A16267, ""en"", ""mt"")"),"Min brevettat iċ-ċilindru tat-tkessiħ tas-suf?")</f>
        <v>Min brevettat iċ-ċilindru tat-tkessiħ tas-suf?</v>
      </c>
    </row>
    <row r="16268" ht="15.75" customHeight="1">
      <c r="A16268" s="2" t="s">
        <v>16268</v>
      </c>
      <c r="B16268" s="2" t="str">
        <f>IFERROR(__xludf.DUMMYFUNCTION("GOOGLETRANSLATE(A16268, ""en"", ""mt"")"),"Tim ta 'disinn formali jista' jkun immuntat biex jagħmel xiex?")</f>
        <v>Tim ta 'disinn formali jista' jkun immuntat biex jagħmel xiex?</v>
      </c>
    </row>
    <row r="16269" ht="15.75" customHeight="1">
      <c r="A16269" s="2" t="s">
        <v>16269</v>
      </c>
      <c r="B16269" s="2" t="str">
        <f>IFERROR(__xludf.DUMMYFUNCTION("GOOGLETRANSLATE(A16269, ""en"", ""mt"")"),"Il-bini huwa lest biex jokkupa")</f>
        <v>Il-bini huwa lest biex jokkupa</v>
      </c>
    </row>
    <row r="16270" ht="15.75" customHeight="1">
      <c r="A16270" s="2" t="s">
        <v>16270</v>
      </c>
      <c r="B16270" s="2" t="str">
        <f>IFERROR(__xludf.DUMMYFUNCTION("GOOGLETRANSLATE(A16270, ""en"", ""mt"")"),"Kemm iddum il-minjieri tal-pit miż-żminijiet Rumani?")</f>
        <v>Kemm iddum il-minjieri tal-pit miż-żminijiet Rumani?</v>
      </c>
    </row>
    <row r="16271" ht="15.75" customHeight="1">
      <c r="A16271" s="2" t="s">
        <v>16271</v>
      </c>
      <c r="B16271" s="2" t="str">
        <f>IFERROR(__xludf.DUMMYFUNCTION("GOOGLETRANSLATE(A16271, ""en"", ""mt"")"),"X'inhi problema waħda bl-ispiżeriji tal-internet?")</f>
        <v>X'inhi problema waħda bl-ispiżeriji tal-internet?</v>
      </c>
    </row>
    <row r="16272" ht="15.75" customHeight="1">
      <c r="A16272" s="2" t="s">
        <v>16272</v>
      </c>
      <c r="B16272" s="2" t="str">
        <f>IFERROR(__xludf.DUMMYFUNCTION("GOOGLETRANSLATE(A16272, ""en"", ""mt"")"),"proċessi metamorfiċi")</f>
        <v>proċessi metamorfiċi</v>
      </c>
    </row>
    <row r="16273" ht="15.75" customHeight="1">
      <c r="A16273" s="2" t="s">
        <v>16273</v>
      </c>
      <c r="B16273" s="2" t="str">
        <f>IFERROR(__xludf.DUMMYFUNCTION("GOOGLETRANSLATE(A16273, ""en"", ""mt"")"),"Sedimentazzjoni qawwija")</f>
        <v>Sedimentazzjoni qawwija</v>
      </c>
    </row>
    <row r="16274" ht="15.75" customHeight="1">
      <c r="A16274" s="2" t="s">
        <v>16274</v>
      </c>
      <c r="B16274" s="2" t="str">
        <f>IFERROR(__xludf.DUMMYFUNCTION("GOOGLETRANSLATE(A16274, ""en"", ""mt"")"),"Knaurs Lexikon")</f>
        <v>Knaurs Lexikon</v>
      </c>
    </row>
    <row r="16275" ht="15.75" customHeight="1">
      <c r="A16275" s="2" t="s">
        <v>16275</v>
      </c>
      <c r="B16275" s="2" t="str">
        <f>IFERROR(__xludf.DUMMYFUNCTION("GOOGLETRANSLATE(A16275, ""en"", ""mt"")"),"It-tieni oġġett ta 'negozju nhar ta' Erbgħa normalment huwa x'inhu?")</f>
        <v>It-tieni oġġett ta 'negozju nhar ta' Erbgħa normalment huwa x'inhu?</v>
      </c>
    </row>
    <row r="16276" ht="15.75" customHeight="1">
      <c r="A16276" s="2" t="s">
        <v>16276</v>
      </c>
      <c r="B16276" s="2" t="str">
        <f>IFERROR(__xludf.DUMMYFUNCTION("GOOGLETRANSLATE(A16276, ""en"", ""mt"")"),"Anke qabel il-konkwista Norman tal-Ingilterra, in-Normanni ġew f'kuntatt ma 'Wales. Edward il-konfessur waqqaf lil Ralph imsemmi hawn fuq bħala Earl of Hereford u akkużah li jiddefendi l-marċi u jiġġieled mal-Welsh. F’dawn l-impriżi oriġinali, in-Normanni"&amp;" naqsu milli jagħmlu l-ebda pass f’Wales.")</f>
        <v>Anke qabel il-konkwista Norman tal-Ingilterra, in-Normanni ġew f'kuntatt ma 'Wales. Edward il-konfessur waqqaf lil Ralph imsemmi hawn fuq bħala Earl of Hereford u akkużah li jiddefendi l-marċi u jiġġieled mal-Welsh. F’dawn l-impriżi oriġinali, in-Normanni naqsu milli jagħmlu l-ebda pass f’Wales.</v>
      </c>
    </row>
    <row r="16277" ht="15.75" customHeight="1">
      <c r="A16277" s="2" t="s">
        <v>16277</v>
      </c>
      <c r="B16277" s="2" t="str">
        <f>IFERROR(__xludf.DUMMYFUNCTION("GOOGLETRANSLATE(A16277, ""en"", ""mt"")"),"Staġnar ekonomiku")</f>
        <v>Staġnar ekonomiku</v>
      </c>
    </row>
    <row r="16278" ht="15.75" customHeight="1">
      <c r="A16278" s="2" t="s">
        <v>16278</v>
      </c>
      <c r="B16278" s="2" t="str">
        <f>IFERROR(__xludf.DUMMYFUNCTION("GOOGLETRANSLATE(A16278, ""en"", ""mt"")"),"Ktieb tal-Eżodu,")</f>
        <v>Ktieb tal-Eżodu,</v>
      </c>
    </row>
    <row r="16279" ht="15.75" customHeight="1">
      <c r="A16279" s="2" t="s">
        <v>16279</v>
      </c>
      <c r="B16279" s="2" t="str">
        <f>IFERROR(__xludf.DUMMYFUNCTION("GOOGLETRANSLATE(A16279, ""en"", ""mt"")"),"John W. Weeks Bridge")</f>
        <v>John W. Weeks Bridge</v>
      </c>
    </row>
    <row r="16280" ht="15.75" customHeight="1">
      <c r="A16280" s="2" t="s">
        <v>16280</v>
      </c>
      <c r="B16280" s="2" t="str">
        <f>IFERROR(__xludf.DUMMYFUNCTION("GOOGLETRANSLATE(A16280, ""en"", ""mt"")"),"Kwaternarju")</f>
        <v>Kwaternarju</v>
      </c>
    </row>
    <row r="16281" ht="15.75" customHeight="1">
      <c r="A16281" s="2" t="s">
        <v>16281</v>
      </c>
      <c r="B16281" s="2" t="str">
        <f>IFERROR(__xludf.DUMMYFUNCTION("GOOGLETRANSLATE(A16281, ""en"", ""mt"")"),"Meta BSKYB naqas it-tnedija tas-servizz HDTV tiegħu?")</f>
        <v>Meta BSKYB naqas it-tnedija tas-servizz HDTV tiegħu?</v>
      </c>
    </row>
    <row r="16282" ht="15.75" customHeight="1">
      <c r="A16282" s="2" t="s">
        <v>16282</v>
      </c>
      <c r="B16282" s="2" t="str">
        <f>IFERROR(__xludf.DUMMYFUNCTION("GOOGLETRANSLATE(A16282, ""en"", ""mt"")"),"X'kienet l-eroj taċ-ċittadinanza ta 'Lixandra?")</f>
        <v>X'kienet l-eroj taċ-ċittadinanza ta 'Lixandra?</v>
      </c>
    </row>
    <row r="16283" ht="15.75" customHeight="1">
      <c r="A16283" s="2" t="s">
        <v>16283</v>
      </c>
      <c r="B16283" s="2" t="str">
        <f>IFERROR(__xludf.DUMMYFUNCTION("GOOGLETRANSLATE(A16283, ""en"", ""mt"")"),"Liema żewġ importaturi ma talbux li skont il-liġi tal-kompetizzjoni Franċiża, ma tħallewx ibigħu birra picon taħt prezz bl-ingrossa?")</f>
        <v>Liema żewġ importaturi ma talbux li skont il-liġi tal-kompetizzjoni Franċiża, ma tħallewx ibigħu birra picon taħt prezz bl-ingrossa?</v>
      </c>
    </row>
    <row r="16284" ht="15.75" customHeight="1">
      <c r="A16284" s="2" t="s">
        <v>16284</v>
      </c>
      <c r="B16284" s="2" t="str">
        <f>IFERROR(__xludf.DUMMYFUNCTION("GOOGLETRANSLATE(A16284, ""en"", ""mt"")"),"Formalizza front unifikat fil-kummerċ u n-negozjati ma 'diversi Indjani, peress li l-lealtà tad-diversi tribujiet u nazzjonijiet kienet meqjusa bħala kruċjali")</f>
        <v>Formalizza front unifikat fil-kummerċ u n-negozjati ma 'diversi Indjani, peress li l-lealtà tad-diversi tribujiet u nazzjonijiet kienet meqjusa bħala kruċjali</v>
      </c>
    </row>
    <row r="16285" ht="15.75" customHeight="1">
      <c r="A16285" s="2" t="s">
        <v>16285</v>
      </c>
      <c r="B16285" s="2" t="str">
        <f>IFERROR(__xludf.DUMMYFUNCTION("GOOGLETRANSLATE(A16285, ""en"", ""mt"")"),"Ideali ewlenin")</f>
        <v>Ideali ewlenin</v>
      </c>
    </row>
    <row r="16286" ht="15.75" customHeight="1">
      <c r="A16286" s="2" t="s">
        <v>16286</v>
      </c>
      <c r="B16286" s="2" t="str">
        <f>IFERROR(__xludf.DUMMYFUNCTION("GOOGLETRANSLATE(A16286, ""en"", ""mt"")"),"Allan Bloom")</f>
        <v>Allan Bloom</v>
      </c>
    </row>
    <row r="16287" ht="15.75" customHeight="1">
      <c r="A16287" s="2" t="s">
        <v>16287</v>
      </c>
      <c r="B16287" s="2" t="str">
        <f>IFERROR(__xludf.DUMMYFUNCTION("GOOGLETRANSLATE(A16287, ""en"", ""mt"")"),"Relazzjonijiet kummerċjali iżgħar mal-ġirien tagħhom")</f>
        <v>Relazzjonijiet kummerċjali iżgħar mal-ġirien tagħhom</v>
      </c>
    </row>
    <row r="16288" ht="15.75" customHeight="1">
      <c r="A16288" s="2" t="s">
        <v>16288</v>
      </c>
      <c r="B16288" s="2" t="str">
        <f>IFERROR(__xludf.DUMMYFUNCTION("GOOGLETRANSLATE(A16288, ""en"", ""mt"")"),"Skejjel tal-Karta Pubblika fuq in-naħa tan-Nofsinhar ta ’Chicago")</f>
        <v>Skejjel tal-Karta Pubblika fuq in-naħa tan-Nofsinhar ta ’Chicago</v>
      </c>
    </row>
    <row r="16289" ht="15.75" customHeight="1">
      <c r="A16289" s="2" t="s">
        <v>16289</v>
      </c>
      <c r="B16289" s="2" t="str">
        <f>IFERROR(__xludf.DUMMYFUNCTION("GOOGLETRANSLATE(A16289, ""en"", ""mt"")"),"X'kien il-proporzjon ta 'kolonizzatur Brittaniku għall-Ingliż?")</f>
        <v>X'kien il-proporzjon ta 'kolonizzatur Brittaniku għall-Ingliż?</v>
      </c>
    </row>
    <row r="16290" ht="15.75" customHeight="1">
      <c r="A16290" s="2" t="s">
        <v>16290</v>
      </c>
      <c r="B16290" s="2" t="str">
        <f>IFERROR(__xludf.DUMMYFUNCTION("GOOGLETRANSLATE(A16290, ""en"", ""mt"")"),"Meta BSKYB l-ewwel ħabbar l-għan fil-mira tagħhom?")</f>
        <v>Meta BSKYB l-ewwel ħabbar l-għan fil-mira tagħhom?</v>
      </c>
    </row>
    <row r="16291" ht="15.75" customHeight="1">
      <c r="A16291" s="2" t="s">
        <v>16291</v>
      </c>
      <c r="B16291" s="2" t="str">
        <f>IFERROR(__xludf.DUMMYFUNCTION("GOOGLETRANSLATE(A16291, ""en"", ""mt"")"),"Fl-1755, sitt gvernaturi kolonjali fl-Amerika ta ’Fuq iltaqgħu mal-Ġeneral Edward Braddock, il-kmandant tal-Armata Brittanika li għadu kif wasal, u ppjanaw attakk b’erba’ direzzjonijiet fuq il-Franċiżi. Xejn ma rnexxielu u l-isforz ewlieni minn Braddock k"&amp;"ien diżastru; Huwa ġie megħlub fil-battalja tal-Monongahela fid-9 ta 'Lulju, 1755 u miet ftit jiem wara. Operazzjonijiet Ingliżi fl-1755, 1756 u 1757 fiż-żoni tal-fruntiera ta ’Pennsylvania u New York kollha fallew, minħabba taħlita ta’ ġestjoni fqira, di"&amp;"viżjonijiet interni, u scouts Kanadiżi effettivi, forzi regolari Franċiżi, u alleati tal-gwerriera Indjani. Fl-1755, il-Brittaniċi qabdu Fort Beauséjour fuq il-fruntiera li jifred in-Nova Scotia minn Acadia; Ftit wara huma ordnaw it-tkeċċija tal-Akkadjani"&amp;". L-ordnijiet għad-deportazzjoni ngħataw minn William Shirley, Kmandant fil-Kap, l-Amerika ta ’Fuq, mingħajr direzzjoni mill-Gran Brittanja. L-Akkadjani, kemm dawk maqbuda fl-armi kif ukoll dawk li ħalef il-ġurament tal-lealtà lejn il-maestà Britannika ti"&amp;"egħu, ġew imkeċċija. L-Amerikani Nattivi kienu wkoll misjuqa mill-art tagħhom biex jagħmlu triq għall-kolonizzaturi minn New England.")</f>
        <v>Fl-1755, sitt gvernaturi kolonjali fl-Amerika ta ’Fuq iltaqgħu mal-Ġeneral Edward Braddock, il-kmandant tal-Armata Brittanika li għadu kif wasal, u ppjanaw attakk b’erba’ direzzjonijiet fuq il-Franċiżi. Xejn ma rnexxielu u l-isforz ewlieni minn Braddock kien diżastru; Huwa ġie megħlub fil-battalja tal-Monongahela fid-9 ta 'Lulju, 1755 u miet ftit jiem wara. Operazzjonijiet Ingliżi fl-1755, 1756 u 1757 fiż-żoni tal-fruntiera ta ’Pennsylvania u New York kollha fallew, minħabba taħlita ta’ ġestjoni fqira, diviżjonijiet interni, u scouts Kanadiżi effettivi, forzi regolari Franċiżi, u alleati tal-gwerriera Indjani. Fl-1755, il-Brittaniċi qabdu Fort Beauséjour fuq il-fruntiera li jifred in-Nova Scotia minn Acadia; Ftit wara huma ordnaw it-tkeċċija tal-Akkadjani. L-ordnijiet għad-deportazzjoni ngħataw minn William Shirley, Kmandant fil-Kap, l-Amerika ta ’Fuq, mingħajr direzzjoni mill-Gran Brittanja. L-Akkadjani, kemm dawk maqbuda fl-armi kif ukoll dawk li ħalef il-ġurament tal-lealtà lejn il-maestà Britannika tiegħu, ġew imkeċċija. L-Amerikani Nattivi kienu wkoll misjuqa mill-art tagħhom biex jagħmlu triq għall-kolonizzaturi minn New England.</v>
      </c>
    </row>
    <row r="16292" ht="15.75" customHeight="1">
      <c r="A16292" s="2" t="s">
        <v>16292</v>
      </c>
      <c r="B16292" s="2" t="str">
        <f>IFERROR(__xludf.DUMMYFUNCTION("GOOGLETRANSLATE(A16292, ""en"", ""mt"")"),"X'kienet it-tieni tifsira ta 'kelma Ċiniża għal ""kwartieri""?")</f>
        <v>X'kienet it-tieni tifsira ta 'kelma Ċiniża għal "kwartieri"?</v>
      </c>
    </row>
    <row r="16293" ht="15.75" customHeight="1">
      <c r="A16293" s="2" t="s">
        <v>16293</v>
      </c>
      <c r="B16293" s="2" t="str">
        <f>IFERROR(__xludf.DUMMYFUNCTION("GOOGLETRANSLATE(A16293, ""en"", ""mt"")"),"pori fl-epidermide")</f>
        <v>pori fl-epidermide</v>
      </c>
    </row>
    <row r="16294" ht="15.75" customHeight="1">
      <c r="A16294" s="2" t="s">
        <v>16294</v>
      </c>
      <c r="B16294" s="2" t="str">
        <f>IFERROR(__xludf.DUMMYFUNCTION("GOOGLETRANSLATE(A16294, ""en"", ""mt"")"),"X'inhuma ż-żewġ korpi li jiffurmaw il-leġiżlatura tal-Unjoni Ewropea?")</f>
        <v>X'inhuma ż-żewġ korpi li jiffurmaw il-leġiżlatura tal-Unjoni Ewropea?</v>
      </c>
    </row>
    <row r="16295" ht="15.75" customHeight="1">
      <c r="A16295" s="2" t="s">
        <v>16295</v>
      </c>
      <c r="B16295" s="2" t="str">
        <f>IFERROR(__xludf.DUMMYFUNCTION("GOOGLETRANSLATE(A16295, ""en"", ""mt"")"),"żviluppa f'parti ewlenija tas-sinsla tal-internet")</f>
        <v>żviluppa f'parti ewlenija tas-sinsla tal-internet</v>
      </c>
    </row>
    <row r="16296" ht="15.75" customHeight="1">
      <c r="A16296" s="2" t="s">
        <v>16296</v>
      </c>
      <c r="B16296" s="2" t="str">
        <f>IFERROR(__xludf.DUMMYFUNCTION("GOOGLETRANSLATE(A16296, ""en"", ""mt"")"),"Liema karattru fid-dramm juri diżubbidjenza ċivili?")</f>
        <v>Liema karattru fid-dramm juri diżubbidjenza ċivili?</v>
      </c>
    </row>
    <row r="16297" ht="15.75" customHeight="1">
      <c r="A16297" s="2" t="s">
        <v>16297</v>
      </c>
      <c r="B16297" s="2" t="str">
        <f>IFERROR(__xludf.DUMMYFUNCTION("GOOGLETRANSLATE(A16297, ""en"", ""mt"")"),"Cestida")</f>
        <v>Cestida</v>
      </c>
    </row>
    <row r="16298" ht="15.75" customHeight="1">
      <c r="A16298" s="2" t="s">
        <v>16298</v>
      </c>
      <c r="B16298" s="2" t="str">
        <f>IFERROR(__xludf.DUMMYFUNCTION("GOOGLETRANSLATE(A16298, ""en"", ""mt"")"),"X'tagħmel it-terapija bl-ossiġnu tippromwovi l-ġisem biex jieħu?")</f>
        <v>X'tagħmel it-terapija bl-ossiġnu tippromwovi l-ġisem biex jieħu?</v>
      </c>
    </row>
    <row r="16299" ht="15.75" customHeight="1">
      <c r="A16299" s="2" t="s">
        <v>16299</v>
      </c>
      <c r="B16299" s="2" t="str">
        <f>IFERROR(__xludf.DUMMYFUNCTION("GOOGLETRANSLATE(A16299, ""en"", ""mt"")"),"X'jiġri bl-istess rata ta '1/200 ta' l-ossiġnu atmosferiku kollu fis-sena?")</f>
        <v>X'jiġri bl-istess rata ta '1/200 ta' l-ossiġnu atmosferiku kollu fis-sena?</v>
      </c>
    </row>
    <row r="16300" ht="15.75" customHeight="1">
      <c r="A16300" s="2" t="s">
        <v>16300</v>
      </c>
      <c r="B16300" s="2" t="str">
        <f>IFERROR(__xludf.DUMMYFUNCTION("GOOGLETRANSLATE(A16300, ""en"", ""mt"")"),"Problema ta 'fatturizzazzjoni sħiħa")</f>
        <v>Problema ta 'fatturizzazzjoni sħiħa</v>
      </c>
    </row>
    <row r="16301" ht="15.75" customHeight="1">
      <c r="A16301" s="2" t="s">
        <v>16301</v>
      </c>
      <c r="B16301" s="2" t="str">
        <f>IFERROR(__xludf.DUMMYFUNCTION("GOOGLETRANSLATE(A16301, ""en"", ""mt"")"),"Mediċini aktar speċjalizzati")</f>
        <v>Mediċini aktar speċjalizzati</v>
      </c>
    </row>
    <row r="16302" ht="15.75" customHeight="1">
      <c r="A16302" s="2" t="s">
        <v>16302</v>
      </c>
      <c r="B16302" s="2" t="str">
        <f>IFERROR(__xludf.DUMMYFUNCTION("GOOGLETRANSLATE(A16302, ""en"", ""mt"")"),"F'liema pajjiż jinsab il-Kanal Ingliż?")</f>
        <v>F'liema pajjiż jinsab il-Kanal Ingliż?</v>
      </c>
    </row>
    <row r="16303" ht="15.75" customHeight="1">
      <c r="A16303" s="2" t="s">
        <v>16303</v>
      </c>
      <c r="B16303" s="2" t="str">
        <f>IFERROR(__xludf.DUMMYFUNCTION("GOOGLETRANSLATE(A16303, ""en"", ""mt"")"),"Iċ-ċelloli T tal-għajnuna u regolatorji jistgħu jirrikonoxxu biss antiġeni akkoppjati ma 'x'tip ta' molekuli?")</f>
        <v>Iċ-ċelloli T tal-għajnuna u regolatorji jistgħu jirrikonoxxu biss antiġeni akkoppjati ma 'x'tip ta' molekuli?</v>
      </c>
    </row>
    <row r="16304" ht="15.75" customHeight="1">
      <c r="A16304" s="2" t="s">
        <v>16304</v>
      </c>
      <c r="B16304" s="2" t="str">
        <f>IFERROR(__xludf.DUMMYFUNCTION("GOOGLETRANSLATE(A16304, ""en"", ""mt"")"),"Untersee")</f>
        <v>Untersee</v>
      </c>
    </row>
    <row r="16305" ht="15.75" customHeight="1">
      <c r="A16305" s="2" t="s">
        <v>16305</v>
      </c>
      <c r="B16305" s="2" t="str">
        <f>IFERROR(__xludf.DUMMYFUNCTION("GOOGLETRANSLATE(A16305, ""en"", ""mt"")"),"Liema individwi kienu responsabbli biex jawtorixxu ""dwar il-kumplessità tal-komputazzjoni tal-algoritmi""?")</f>
        <v>Liema individwi kienu responsabbli biex jawtorixxu "dwar il-kumplessità tal-komputazzjoni tal-algoritmi"?</v>
      </c>
    </row>
    <row r="16306" ht="15.75" customHeight="1">
      <c r="A16306" s="2" t="s">
        <v>16306</v>
      </c>
      <c r="B16306" s="2" t="str">
        <f>IFERROR(__xludf.DUMMYFUNCTION("GOOGLETRANSLATE(A16306, ""en"", ""mt"")"),"X'inhu l-isem tal-skateboarder professjonali li jgħix fin-Nofsinhar ta 'California?")</f>
        <v>X'inhu l-isem tal-skateboarder professjonali li jgħix fin-Nofsinhar ta 'California?</v>
      </c>
    </row>
    <row r="16307" ht="15.75" customHeight="1">
      <c r="A16307" s="2" t="s">
        <v>16307</v>
      </c>
      <c r="B16307" s="2" t="str">
        <f>IFERROR(__xludf.DUMMYFUNCTION("GOOGLETRANSLATE(A16307, ""en"", ""mt"")"),"Prattiki ta 'kostruzzjoni residenzjali, teknoloġiji, u riżorsi għandhom jikkonformaw mar-regolamenti lokali tal-awtorità tal-bini u kodiċi ta' prattika. Materjali disponibbli faċilment fiż-żona ġeneralment jiddettaw il-materjali tal-kostruzzjoni użati (eż"&amp;". Briks kontra ġebla, kontra injam). L-ispiża tal-kostruzzjoni fuq bażi ta 'kull metru kwadru (jew għal kull pied kwadru) għad-djar tista' tvarja b'mod drammatiku fuq il-kundizzjonijiet tas-sit, regolamenti lokali, ekonomiji ta 'skala (djar iddisinjati ap"&amp;"posta ħafna drabi jiswew aktar biex jinbnew) u d-disponibbiltà ta' negozjanti tas-sengħa. Peress li l-kostruzzjoni residenzjali (kif ukoll it-tipi l-oħra kollha ta 'kostruzzjoni) tista' tiġġenera ħafna skart, hemm bżonn ta 'ppjanar bir-reqqa hawn.")</f>
        <v>Prattiki ta 'kostruzzjoni residenzjali, teknoloġiji, u riżorsi għandhom jikkonformaw mar-regolamenti lokali tal-awtorità tal-bini u kodiċi ta' prattika. Materjali disponibbli faċilment fiż-żona ġeneralment jiddettaw il-materjali tal-kostruzzjoni użati (eż. Briks kontra ġebla, kontra injam). L-ispiża tal-kostruzzjoni fuq bażi ta 'kull metru kwadru (jew għal kull pied kwadru) għad-djar tista' tvarja b'mod drammatiku fuq il-kundizzjonijiet tas-sit, regolamenti lokali, ekonomiji ta 'skala (djar iddisinjati apposta ħafna drabi jiswew aktar biex jinbnew) u d-disponibbiltà ta' negozjanti tas-sengħa. Peress li l-kostruzzjoni residenzjali (kif ukoll it-tipi l-oħra kollha ta 'kostruzzjoni) tista' tiġġenera ħafna skart, hemm bżonn ta 'ppjanar bir-reqqa hawn.</v>
      </c>
    </row>
    <row r="16308" ht="15.75" customHeight="1">
      <c r="A16308" s="2" t="s">
        <v>16308</v>
      </c>
      <c r="B16308" s="2" t="str">
        <f>IFERROR(__xludf.DUMMYFUNCTION("GOOGLETRANSLATE(A16308, ""en"", ""mt"")"),"X'inhu mekkaniżmu li jista 'jgħin lill-pjanti jimblokkaw ir-replikazzjoni tal-virus?")</f>
        <v>X'inhu mekkaniżmu li jista 'jgħin lill-pjanti jimblokkaw ir-replikazzjoni tal-virus?</v>
      </c>
    </row>
    <row r="16309" ht="15.75" customHeight="1">
      <c r="A16309" s="2" t="s">
        <v>16309</v>
      </c>
      <c r="B16309" s="2" t="str">
        <f>IFERROR(__xludf.DUMMYFUNCTION("GOOGLETRANSLATE(A16309, ""en"", ""mt"")"),"X'inhu iktar diffiċli dik il-multiplikazzjoni?")</f>
        <v>X'inhu iktar diffiċli dik il-multiplikazzjoni?</v>
      </c>
    </row>
    <row r="16310" ht="15.75" customHeight="1">
      <c r="A16310" s="2" t="s">
        <v>16310</v>
      </c>
      <c r="B16310" s="2" t="str">
        <f>IFERROR(__xludf.DUMMYFUNCTION("GOOGLETRANSLATE(A16310, ""en"", ""mt"")"),"Partit Konservattiv")</f>
        <v>Partit Konservattiv</v>
      </c>
    </row>
    <row r="16311" ht="15.75" customHeight="1">
      <c r="A16311" s="2" t="s">
        <v>16311</v>
      </c>
      <c r="B16311" s="2" t="str">
        <f>IFERROR(__xludf.DUMMYFUNCTION("GOOGLETRANSLATE(A16311, ""en"", ""mt"")"),"X'inhuma tliet fatturi li jaffettwaw direttament kemm tista 'tkun jew ma tistax tkun magna tat-Turing?")</f>
        <v>X'inhuma tliet fatturi li jaffettwaw direttament kemm tista 'tkun jew ma tistax tkun magna tat-Turing?</v>
      </c>
    </row>
    <row r="16312" ht="15.75" customHeight="1">
      <c r="A16312" s="2" t="s">
        <v>16312</v>
      </c>
      <c r="B16312" s="2" t="str">
        <f>IFERROR(__xludf.DUMMYFUNCTION("GOOGLETRANSLATE(A16312, ""en"", ""mt"")"),"X'inhi l-Liġi tal-Unjoni Ewropea?")</f>
        <v>X'inhi l-Liġi tal-Unjoni Ewropea?</v>
      </c>
    </row>
    <row r="16313" ht="15.75" customHeight="1">
      <c r="A16313" s="2" t="s">
        <v>16313</v>
      </c>
      <c r="B16313" s="2" t="str">
        <f>IFERROR(__xludf.DUMMYFUNCTION("GOOGLETRANSLATE(A16313, ""en"", ""mt"")"),"qbid tal-priża")</f>
        <v>qbid tal-priża</v>
      </c>
    </row>
    <row r="16314" ht="15.75" customHeight="1">
      <c r="A16314" s="2" t="s">
        <v>16314</v>
      </c>
      <c r="B16314" s="2" t="str">
        <f>IFERROR(__xludf.DUMMYFUNCTION("GOOGLETRANSLATE(A16314, ""en"", ""mt"")"),"Kemm speċi ta 'Cestida nstabu fl-1985?")</f>
        <v>Kemm speċi ta 'Cestida nstabu fl-1985?</v>
      </c>
    </row>
    <row r="16315" ht="15.75" customHeight="1">
      <c r="A16315" s="2" t="s">
        <v>16315</v>
      </c>
      <c r="B16315" s="2" t="str">
        <f>IFERROR(__xludf.DUMMYFUNCTION("GOOGLETRANSLATE(A16315, ""en"", ""mt"")"),"skejjel vokazzjonali")</f>
        <v>skejjel vokazzjonali</v>
      </c>
    </row>
    <row r="16316" ht="15.75" customHeight="1">
      <c r="A16316" s="2" t="s">
        <v>16316</v>
      </c>
      <c r="B16316" s="2" t="str">
        <f>IFERROR(__xludf.DUMMYFUNCTION("GOOGLETRANSLATE(A16316, ""en"", ""mt"")"),"F’liema sena twieldet Reguier de la Plancha?")</f>
        <v>F’liema sena twieldet Reguier de la Plancha?</v>
      </c>
    </row>
    <row r="16317" ht="15.75" customHeight="1">
      <c r="A16317" s="2" t="s">
        <v>16317</v>
      </c>
      <c r="B16317" s="2" t="str">
        <f>IFERROR(__xludf.DUMMYFUNCTION("GOOGLETRANSLATE(A16317, ""en"", ""mt"")"),"Min xtara l-fabbrika fl-2005?")</f>
        <v>Min xtara l-fabbrika fl-2005?</v>
      </c>
    </row>
    <row r="16318" ht="15.75" customHeight="1">
      <c r="A16318" s="2" t="s">
        <v>16318</v>
      </c>
      <c r="B16318" s="2" t="str">
        <f>IFERROR(__xludf.DUMMYFUNCTION("GOOGLETRANSLATE(A16318, ""en"", ""mt"")"),"Repubblika tal-Poplu taċ-Ċina")</f>
        <v>Repubblika tal-Poplu taċ-Ċina</v>
      </c>
    </row>
    <row r="16319" ht="15.75" customHeight="1">
      <c r="A16319" s="2" t="s">
        <v>16319</v>
      </c>
      <c r="B16319" s="2" t="str">
        <f>IFERROR(__xludf.DUMMYFUNCTION("GOOGLETRANSLATE(A16319, ""en"", ""mt"")"),"X'naqqas biż-żieda fl-inugwaljanza tad-dħul?")</f>
        <v>X'naqqas biż-żieda fl-inugwaljanza tad-dħul?</v>
      </c>
    </row>
    <row r="16320" ht="15.75" customHeight="1">
      <c r="A16320" s="2" t="s">
        <v>16320</v>
      </c>
      <c r="B16320" s="2" t="str">
        <f>IFERROR(__xludf.DUMMYFUNCTION("GOOGLETRANSLATE(A16320, ""en"", ""mt"")"),"Kemm għandha siġġu l-Awstralja fis-Senat?")</f>
        <v>Kemm għandha siġġu l-Awstralja fis-Senat?</v>
      </c>
    </row>
    <row r="16321" ht="15.75" customHeight="1">
      <c r="A16321" s="2" t="s">
        <v>16321</v>
      </c>
      <c r="B16321" s="2" t="str">
        <f>IFERROR(__xludf.DUMMYFUNCTION("GOOGLETRANSLATE(A16321, ""en"", ""mt"")"),"Min jistabbilixxi l-aġenda għax-xogħol tal-UE?")</f>
        <v>Min jistabbilixxi l-aġenda għax-xogħol tal-UE?</v>
      </c>
    </row>
    <row r="16322" ht="15.75" customHeight="1">
      <c r="A16322" s="2" t="s">
        <v>16322</v>
      </c>
      <c r="B16322" s="2" t="str">
        <f>IFERROR(__xludf.DUMMYFUNCTION("GOOGLETRANSLATE(A16322, ""en"", ""mt"")"),"Taħt kondizzjonijiet normali, x'għandhom żewġ atomi ta 'ossiġnu?")</f>
        <v>Taħt kondizzjonijiet normali, x'għandhom żewġ atomi ta 'ossiġnu?</v>
      </c>
    </row>
    <row r="16323" ht="15.75" customHeight="1">
      <c r="A16323" s="2" t="s">
        <v>16323</v>
      </c>
      <c r="B16323" s="2" t="str">
        <f>IFERROR(__xludf.DUMMYFUNCTION("GOOGLETRANSLATE(A16323, ""en"", ""mt"")"),"Il-battalja ntemmet inkonklussivament")</f>
        <v>Il-battalja ntemmet inkonklussivament</v>
      </c>
    </row>
    <row r="16324" ht="15.75" customHeight="1">
      <c r="A16324" s="2" t="s">
        <v>16324</v>
      </c>
      <c r="B16324" s="2" t="str">
        <f>IFERROR(__xludf.DUMMYFUNCTION("GOOGLETRANSLATE(A16324, ""en"", ""mt"")"),"Fl-1973, Nixon issemma William E. Simon bħala l-ewwel amministratur tal-Uffiċċju Federali tal-Enerġija, organizzazzjoni għal żmien qasir maħluqa biex tikkoordina r-rispons għall-embargo. Simon alloka jiddikjara l-istess ammont ta 'żejt domestiku għall-197"&amp;"4 li kull wieħed kien ikkunsma fl-1972, li ħadem għal stati li l-popolazzjonijiet tagħhom ma kinux qed jiżdiedu. Fi stati oħra, il-linji fl-istazzjonijiet tal-petrol kienu komuni. L-Assoċjazzjoni Amerikana tal-Karozzi rrappurtat li fl-aħħar ġimgħa ta ’Fra"&amp;"r 1974, 20% tal-istazzjonijiet tal-petrol Amerikani ma kellhomx fjuwil.")</f>
        <v>Fl-1973, Nixon issemma William E. Simon bħala l-ewwel amministratur tal-Uffiċċju Federali tal-Enerġija, organizzazzjoni għal żmien qasir maħluqa biex tikkoordina r-rispons għall-embargo. Simon alloka jiddikjara l-istess ammont ta 'żejt domestiku għall-1974 li kull wieħed kien ikkunsma fl-1972, li ħadem għal stati li l-popolazzjonijiet tagħhom ma kinux qed jiżdiedu. Fi stati oħra, il-linji fl-istazzjonijiet tal-petrol kienu komuni. L-Assoċjazzjoni Amerikana tal-Karozzi rrappurtat li fl-aħħar ġimgħa ta ’Frar 1974, 20% tal-istazzjonijiet tal-petrol Amerikani ma kellhomx fjuwil.</v>
      </c>
    </row>
    <row r="16325" ht="15.75" customHeight="1">
      <c r="A16325" s="2" t="s">
        <v>16325</v>
      </c>
      <c r="B16325" s="2" t="str">
        <f>IFERROR(__xludf.DUMMYFUNCTION("GOOGLETRANSLATE(A16325, ""en"", ""mt"")"),"X'inhu l-isem tar-router tal-broadband ta 'Sky Q?")</f>
        <v>X'inhu l-isem tar-router tal-broadband ta 'Sky Q?</v>
      </c>
    </row>
    <row r="16326" ht="15.75" customHeight="1">
      <c r="A16326" s="2" t="s">
        <v>16326</v>
      </c>
      <c r="B16326" s="2" t="str">
        <f>IFERROR(__xludf.DUMMYFUNCTION("GOOGLETRANSLATE(A16326, ""en"", ""mt"")"),"Armata l-Ħamra")</f>
        <v>Armata l-Ħamra</v>
      </c>
    </row>
    <row r="16327" ht="15.75" customHeight="1">
      <c r="A16327" s="2" t="s">
        <v>16327</v>
      </c>
      <c r="B16327" s="2" t="str">
        <f>IFERROR(__xludf.DUMMYFUNCTION("GOOGLETRANSLATE(A16327, ""en"", ""mt"")"),"X'inhu stmat li madwar terz tal-varjazzjoni kollha fir-rati ta 'omiċidji tista' tiġi kkontabilizzata minnha?")</f>
        <v>X'inhu stmat li madwar terz tal-varjazzjoni kollha fir-rati ta 'omiċidji tista' tiġi kkontabilizzata minnha?</v>
      </c>
    </row>
    <row r="16328" ht="15.75" customHeight="1">
      <c r="A16328" s="2" t="s">
        <v>16328</v>
      </c>
      <c r="B16328" s="2" t="str">
        <f>IFERROR(__xludf.DUMMYFUNCTION("GOOGLETRANSLATE(A16328, ""en"", ""mt"")"),"Teorija tal-Phlogiston")</f>
        <v>Teorija tal-Phlogiston</v>
      </c>
    </row>
    <row r="16329" ht="15.75" customHeight="1">
      <c r="A16329" s="2" t="s">
        <v>16329</v>
      </c>
      <c r="B16329" s="2" t="str">
        <f>IFERROR(__xludf.DUMMYFUNCTION("GOOGLETRANSLATE(A16329, ""en"", ""mt"")"),"Inizjattivi tal-Finanzi Privati ​​(PFIS)")</f>
        <v>Inizjattivi tal-Finanzi Privati ​​(PFIS)</v>
      </c>
    </row>
    <row r="16330" ht="15.75" customHeight="1">
      <c r="A16330" s="2" t="s">
        <v>16330</v>
      </c>
      <c r="B16330" s="2" t="str">
        <f>IFERROR(__xludf.DUMMYFUNCTION("GOOGLETRANSLATE(A16330, ""en"", ""mt"")"),"X'inhu inkluż fid-dejta fil-mod mingħajr konnessjoni?")</f>
        <v>X'inhu inkluż fid-dejta fil-mod mingħajr konnessjoni?</v>
      </c>
    </row>
    <row r="16331" ht="15.75" customHeight="1">
      <c r="A16331" s="2" t="s">
        <v>16331</v>
      </c>
      <c r="B16331" s="2" t="str">
        <f>IFERROR(__xludf.DUMMYFUNCTION("GOOGLETRANSLATE(A16331, ""en"", ""mt"")"),"Min għandu kostituzzjoni kodifikata?")</f>
        <v>Min għandu kostituzzjoni kodifikata?</v>
      </c>
    </row>
    <row r="16332" ht="15.75" customHeight="1">
      <c r="A16332" s="2" t="s">
        <v>16332</v>
      </c>
      <c r="B16332" s="2" t="str">
        <f>IFERROR(__xludf.DUMMYFUNCTION("GOOGLETRANSLATE(A16332, ""en"", ""mt"")"),"X'inhu sintomu ta 'sensittività eċċessiva tat-tip I?")</f>
        <v>X'inhu sintomu ta 'sensittività eċċessiva tat-tip I?</v>
      </c>
    </row>
    <row r="16333" ht="15.75" customHeight="1">
      <c r="A16333" s="2" t="s">
        <v>16333</v>
      </c>
      <c r="B16333" s="2" t="str">
        <f>IFERROR(__xludf.DUMMYFUNCTION("GOOGLETRANSLATE(A16333, ""en"", ""mt"")"),"Liema hija l-akbar stampa universitarja fin-naħa tan-nofsinhar?")</f>
        <v>Liema hija l-akbar stampa universitarja fin-naħa tan-nofsinhar?</v>
      </c>
    </row>
    <row r="16334" ht="15.75" customHeight="1">
      <c r="A16334" s="2" t="s">
        <v>16334</v>
      </c>
      <c r="B16334" s="2" t="str">
        <f>IFERROR(__xludf.DUMMYFUNCTION("GOOGLETRANSLATE(A16334, ""en"", ""mt"")"),"Ħafna mill-Kanadiżi, inkluż l-uffiċjal kmandant tagħhom, Joseph Coulon de Jumonville")</f>
        <v>Ħafna mill-Kanadiżi, inkluż l-uffiċjal kmandant tagħhom, Joseph Coulon de Jumonville</v>
      </c>
    </row>
    <row r="16335" ht="15.75" customHeight="1">
      <c r="A16335" s="2" t="s">
        <v>16335</v>
      </c>
      <c r="B16335" s="2" t="str">
        <f>IFERROR(__xludf.DUMMYFUNCTION("GOOGLETRANSLATE(A16335, ""en"", ""mt"")"),"Għaliex Tanaghrisson kien qed jirrifjuta l-isforzi Ingliżi?")</f>
        <v>Għaliex Tanaghrisson kien qed jirrifjuta l-isforzi Ingliżi?</v>
      </c>
    </row>
    <row r="16336" ht="15.75" customHeight="1">
      <c r="A16336" s="2" t="s">
        <v>16336</v>
      </c>
      <c r="B16336" s="2" t="str">
        <f>IFERROR(__xludf.DUMMYFUNCTION("GOOGLETRANSLATE(A16336, ""en"", ""mt"")"),"X’għamel il-gvern Taljan li ma naqasx milli jagħmel fi Francovich v l-Italja?")</f>
        <v>X’għamel il-gvern Taljan li ma naqasx milli jagħmel fi Francovich v l-Italja?</v>
      </c>
    </row>
    <row r="16337" ht="15.75" customHeight="1">
      <c r="A16337" s="2" t="s">
        <v>16337</v>
      </c>
      <c r="B16337" s="2" t="str">
        <f>IFERROR(__xludf.DUMMYFUNCTION("GOOGLETRANSLATE(A16337, ""en"", ""mt"")"),"Liema pajjiż iffaċċja embargo komplet fil-KEE?")</f>
        <v>Liema pajjiż iffaċċja embargo komplet fil-KEE?</v>
      </c>
    </row>
    <row r="16338" ht="15.75" customHeight="1">
      <c r="A16338" s="2" t="s">
        <v>16338</v>
      </c>
      <c r="B16338" s="2" t="str">
        <f>IFERROR(__xludf.DUMMYFUNCTION("GOOGLETRANSLATE(A16338, ""en"", ""mt"")"),"Liema inventur bena għas-sejbiet ta 'Philo ta' Biżanzju?")</f>
        <v>Liema inventur bena għas-sejbiet ta 'Philo ta' Biżanzju?</v>
      </c>
    </row>
    <row r="16339" ht="15.75" customHeight="1">
      <c r="A16339" s="2" t="s">
        <v>16339</v>
      </c>
      <c r="B16339" s="2" t="str">
        <f>IFERROR(__xludf.DUMMYFUNCTION("GOOGLETRANSLATE(A16339, ""en"", ""mt"")"),"El Temür")</f>
        <v>El Temür</v>
      </c>
    </row>
    <row r="16340" ht="15.75" customHeight="1">
      <c r="A16340" s="2" t="s">
        <v>16340</v>
      </c>
      <c r="B16340" s="2" t="str">
        <f>IFERROR(__xludf.DUMMYFUNCTION("GOOGLETRANSLATE(A16340, ""en"", ""mt"")"),"X’jista ’jsir aktar adept fil-produzzjoni tal-vitamina D bħala persuna li tixjieħ?")</f>
        <v>X’jista ’jsir aktar adept fil-produzzjoni tal-vitamina D bħala persuna li tixjieħ?</v>
      </c>
    </row>
    <row r="16341" ht="15.75" customHeight="1">
      <c r="A16341" s="2" t="s">
        <v>16341</v>
      </c>
      <c r="B16341" s="2" t="str">
        <f>IFERROR(__xludf.DUMMYFUNCTION("GOOGLETRANSLATE(A16341, ""en"", ""mt"")"),"Kemm hi għolja l-Muntanja Bogong tar-Rabat?")</f>
        <v>Kemm hi għolja l-Muntanja Bogong tar-Rabat?</v>
      </c>
    </row>
    <row r="16342" ht="15.75" customHeight="1">
      <c r="A16342" s="2" t="s">
        <v>16342</v>
      </c>
      <c r="B16342" s="2" t="str">
        <f>IFERROR(__xludf.DUMMYFUNCTION("GOOGLETRANSLATE(A16342, ""en"", ""mt"")"),"nofs milf")</f>
        <v>nofs milf</v>
      </c>
    </row>
    <row r="16343" ht="15.75" customHeight="1">
      <c r="A16343" s="2" t="s">
        <v>16343</v>
      </c>
      <c r="B16343" s="2" t="str">
        <f>IFERROR(__xludf.DUMMYFUNCTION("GOOGLETRANSLATE(A16343, ""en"", ""mt"")"),"X'tip ta 'problemi huma wieħed mis-suġġetti ewlenin studjati fit-teorija tal-kumplessità tal-komputazzjoni?")</f>
        <v>X'tip ta 'problemi huma wieħed mis-suġġetti ewlenin studjati fit-teorija tal-kumplessità tal-komputazzjoni?</v>
      </c>
    </row>
    <row r="16344" ht="15.75" customHeight="1">
      <c r="A16344" s="2" t="s">
        <v>16344</v>
      </c>
      <c r="B16344" s="2" t="str">
        <f>IFERROR(__xludf.DUMMYFUNCTION("GOOGLETRANSLATE(A16344, ""en"", ""mt"")"),"primes")</f>
        <v>primes</v>
      </c>
    </row>
    <row r="16345" ht="15.75" customHeight="1">
      <c r="A16345" s="2" t="s">
        <v>16345</v>
      </c>
      <c r="B16345" s="2" t="str">
        <f>IFERROR(__xludf.DUMMYFUNCTION("GOOGLETRANSLATE(A16345, ""en"", ""mt"")"),"l-istess f'kull qafas ta 'referenza inerzjali")</f>
        <v>l-istess f'kull qafas ta 'referenza inerzjali</v>
      </c>
    </row>
    <row r="16346" ht="15.75" customHeight="1">
      <c r="A16346" s="2" t="s">
        <v>16346</v>
      </c>
      <c r="B16346" s="2" t="str">
        <f>IFERROR(__xludf.DUMMYFUNCTION("GOOGLETRANSLATE(A16346, ""en"", ""mt"")"),"Meta l-aħħar quċċata massima glaċjali?")</f>
        <v>Meta l-aħħar quċċata massima glaċjali?</v>
      </c>
    </row>
    <row r="16347" ht="15.75" customHeight="1">
      <c r="A16347" s="2" t="s">
        <v>16347</v>
      </c>
      <c r="B16347" s="2" t="str">
        <f>IFERROR(__xludf.DUMMYFUNCTION("GOOGLETRANSLATE(A16347, ""en"", ""mt"")"),"X'inhu meqjus bħala vantaġġ potenzjali għall-ġid għal xi Amerikani?")</f>
        <v>X'inhu meqjus bħala vantaġġ potenzjali għall-ġid għal xi Amerikani?</v>
      </c>
    </row>
    <row r="16348" ht="15.75" customHeight="1">
      <c r="A16348" s="2" t="s">
        <v>16348</v>
      </c>
      <c r="B16348" s="2" t="str">
        <f>IFERROR(__xludf.DUMMYFUNCTION("GOOGLETRANSLATE(A16348, ""en"", ""mt"")"),"xewqa li tipprevjeni affarijiet li huma indiskutibbli ħżiena")</f>
        <v>xewqa li tipprevjeni affarijiet li huma indiskutibbli ħżiena</v>
      </c>
    </row>
    <row r="16349" ht="15.75" customHeight="1">
      <c r="A16349" s="2" t="s">
        <v>16349</v>
      </c>
      <c r="B16349" s="2" t="str">
        <f>IFERROR(__xludf.DUMMYFUNCTION("GOOGLETRANSLATE(A16349, ""en"", ""mt"")"),"Il-mekkaniżmu li bih Y. pestis ġeneralment kien trasmess")</f>
        <v>Il-mekkaniżmu li bih Y. pestis ġeneralment kien trasmess</v>
      </c>
    </row>
    <row r="16350" ht="15.75" customHeight="1">
      <c r="A16350" s="2" t="s">
        <v>16350</v>
      </c>
      <c r="B16350" s="2" t="str">
        <f>IFERROR(__xludf.DUMMYFUNCTION("GOOGLETRANSLATE(A16350, ""en"", ""mt"")"),"Bidu kemm snin ilu l-Amazon Rainforest estendiet 45 grad fin-nofsinhar?")</f>
        <v>Bidu kemm snin ilu l-Amazon Rainforest estendiet 45 grad fin-nofsinhar?</v>
      </c>
    </row>
    <row r="16351" ht="15.75" customHeight="1">
      <c r="A16351" s="2" t="s">
        <v>16351</v>
      </c>
      <c r="B16351" s="2" t="str">
        <f>IFERROR(__xludf.DUMMYFUNCTION("GOOGLETRANSLATE(A16351, ""en"", ""mt"")"),"kumitati")</f>
        <v>kumitati</v>
      </c>
    </row>
    <row r="16352" ht="15.75" customHeight="1">
      <c r="A16352" s="2" t="s">
        <v>16352</v>
      </c>
      <c r="B16352" s="2" t="str">
        <f>IFERROR(__xludf.DUMMYFUNCTION("GOOGLETRANSLATE(A16352, ""en"", ""mt"")"),"Kemm jaħdmu l-deni tal-pesta?")</f>
        <v>Kemm jaħdmu l-deni tal-pesta?</v>
      </c>
    </row>
    <row r="16353" ht="15.75" customHeight="1">
      <c r="A16353" s="2" t="s">
        <v>16353</v>
      </c>
      <c r="B16353" s="2" t="str">
        <f>IFERROR(__xludf.DUMMYFUNCTION("GOOGLETRANSLATE(A16353, ""en"", ""mt"")"),"""Unità""")</f>
        <v>"Unità"</v>
      </c>
    </row>
    <row r="16354" ht="15.75" customHeight="1">
      <c r="A16354" s="2" t="s">
        <v>16354</v>
      </c>
      <c r="B16354" s="2" t="str">
        <f>IFERROR(__xludf.DUMMYFUNCTION("GOOGLETRANSLATE(A16354, ""en"", ""mt"")"),"Limiti aktar baxxi")</f>
        <v>Limiti aktar baxxi</v>
      </c>
    </row>
    <row r="16355" ht="15.75" customHeight="1">
      <c r="A16355" s="2" t="s">
        <v>16355</v>
      </c>
      <c r="B16355" s="2" t="str">
        <f>IFERROR(__xludf.DUMMYFUNCTION("GOOGLETRANSLATE(A16355, ""en"", ""mt"")"),"Il-Ħamas kompla jkun attur ewlieni fil-Palestina. Mill-2000 sal-2007 qatel 542 persuna f'140 bombi suwiċida jew ""operazzjonijiet ta 'martirju"". Fl-elezzjoni leġiżlattiva ta 'Jannar 2006 - l-ewwel inkwiet tagħha fil-proċess politiku - rebaħ il-maġġoranza"&amp;" tas-siġġijiet, u fl-2007 huwa mexxa l-PLO barra minn Gaża. Il-Ħamas ġie mfaħħar mill-Musulmani talli jsuq lil Iżrael barra mill-istrixxa ta 'Gaża, iżda kkritika għan-nuqqas li jinkisbu t-talbiet tiegħu fil-gwerer ta' Gaża 2008-9 u 2014 minkejja qerda qaw"&amp;"wija u telf sinifikanti ta 'ħajja.")</f>
        <v>Il-Ħamas kompla jkun attur ewlieni fil-Palestina. Mill-2000 sal-2007 qatel 542 persuna f'140 bombi suwiċida jew "operazzjonijiet ta 'martirju". Fl-elezzjoni leġiżlattiva ta 'Jannar 2006 - l-ewwel inkwiet tagħha fil-proċess politiku - rebaħ il-maġġoranza tas-siġġijiet, u fl-2007 huwa mexxa l-PLO barra minn Gaża. Il-Ħamas ġie mfaħħar mill-Musulmani talli jsuq lil Iżrael barra mill-istrixxa ta 'Gaża, iżda kkritika għan-nuqqas li jinkisbu t-talbiet tiegħu fil-gwerer ta' Gaża 2008-9 u 2014 minkejja qerda qawwija u telf sinifikanti ta 'ħajja.</v>
      </c>
    </row>
    <row r="16356" ht="15.75" customHeight="1">
      <c r="A16356" s="2" t="s">
        <v>16356</v>
      </c>
      <c r="B16356" s="2" t="str">
        <f>IFERROR(__xludf.DUMMYFUNCTION("GOOGLETRANSLATE(A16356, ""en"", ""mt"")")," X’għandhom in-Nazzjonijiet Uniti li ma kinux talbu l-ISIL?")</f>
        <v> X’għandhom in-Nazzjonijiet Uniti li ma kinux talbu l-ISIL?</v>
      </c>
    </row>
    <row r="16357" ht="15.75" customHeight="1">
      <c r="A16357" s="2" t="s">
        <v>16357</v>
      </c>
      <c r="B16357" s="2" t="str">
        <f>IFERROR(__xludf.DUMMYFUNCTION("GOOGLETRANSLATE(A16357, ""en"", ""mt"")"),"Ir-Renu l-ewwel ifforma fruntiera bejn Gaul u x'iktar?")</f>
        <v>Ir-Renu l-ewwel ifforma fruntiera bejn Gaul u x'iktar?</v>
      </c>
    </row>
    <row r="16358" ht="15.75" customHeight="1">
      <c r="A16358" s="2" t="s">
        <v>16358</v>
      </c>
      <c r="B16358" s="2" t="str">
        <f>IFERROR(__xludf.DUMMYFUNCTION("GOOGLETRANSLATE(A16358, ""en"", ""mt"")"),"Kontrolli tal-prezzijiet")</f>
        <v>Kontrolli tal-prezzijiet</v>
      </c>
    </row>
    <row r="16359" ht="15.75" customHeight="1">
      <c r="A16359" s="2" t="s">
        <v>16359</v>
      </c>
      <c r="B16359" s="2" t="str">
        <f>IFERROR(__xludf.DUMMYFUNCTION("GOOGLETRANSLATE(A16359, ""en"", ""mt"")"),"L-aħħar tas-snin 1980")</f>
        <v>L-aħħar tas-snin 1980</v>
      </c>
    </row>
    <row r="16360" ht="15.75" customHeight="1">
      <c r="A16360" s="2" t="s">
        <v>16360</v>
      </c>
      <c r="B16360" s="2" t="str">
        <f>IFERROR(__xludf.DUMMYFUNCTION("GOOGLETRANSLATE(A16360, ""en"", ""mt"")"),"X'inhu l-isem tal-itwal pont fil-Ġermanja?")</f>
        <v>X'inhu l-isem tal-itwal pont fil-Ġermanja?</v>
      </c>
    </row>
    <row r="16361" ht="15.75" customHeight="1">
      <c r="A16361" s="2" t="s">
        <v>16361</v>
      </c>
      <c r="B16361" s="2" t="str">
        <f>IFERROR(__xludf.DUMMYFUNCTION("GOOGLETRANSLATE(A16361, ""en"", ""mt"")"),"Għaliex il-flora ta 'Kampinos hija rikka ħafna fl-ispeċi?")</f>
        <v>Għaliex il-flora ta 'Kampinos hija rikka ħafna fl-ispeċi?</v>
      </c>
    </row>
    <row r="16362" ht="15.75" customHeight="1">
      <c r="A16362" s="2" t="s">
        <v>16362</v>
      </c>
      <c r="B16362" s="2" t="str">
        <f>IFERROR(__xludf.DUMMYFUNCTION("GOOGLETRANSLATE(A16362, ""en"", ""mt"")"),"X'inhi waħda mill-ikbar skejjel tal-mużika fi Krakovja?")</f>
        <v>X'inhi waħda mill-ikbar skejjel tal-mużika fi Krakovja?</v>
      </c>
    </row>
    <row r="16363" ht="15.75" customHeight="1">
      <c r="A16363" s="2" t="s">
        <v>16363</v>
      </c>
      <c r="B16363" s="2" t="str">
        <f>IFERROR(__xludf.DUMMYFUNCTION("GOOGLETRANSLATE(A16363, ""en"", ""mt"")"),"qatt ratifikat")</f>
        <v>qatt ratifikat</v>
      </c>
    </row>
    <row r="16364" ht="15.75" customHeight="1">
      <c r="A16364" s="2" t="s">
        <v>16364</v>
      </c>
      <c r="B16364" s="2" t="str">
        <f>IFERROR(__xludf.DUMMYFUNCTION("GOOGLETRANSLATE(A16364, ""en"", ""mt"")"),"Teorema tan-Numru Prim")</f>
        <v>Teorema tan-Numru Prim</v>
      </c>
    </row>
    <row r="16365" ht="15.75" customHeight="1">
      <c r="A16365" s="2" t="s">
        <v>16365</v>
      </c>
      <c r="B16365" s="2" t="str">
        <f>IFERROR(__xludf.DUMMYFUNCTION("GOOGLETRANSLATE(A16365, ""en"", ""mt"")"),"Fejn hi l-famuż rock li r-Rhine flussi madwar?")</f>
        <v>Fejn hi l-famuż rock li r-Rhine flussi madwar?</v>
      </c>
    </row>
    <row r="16366" ht="15.75" customHeight="1">
      <c r="A16366" s="2" t="s">
        <v>16366</v>
      </c>
      <c r="B16366" s="2" t="str">
        <f>IFERROR(__xludf.DUMMYFUNCTION("GOOGLETRANSLATE(A16366, ""en"", ""mt"")"),"Kabaty")</f>
        <v>Kabaty</v>
      </c>
    </row>
    <row r="16367" ht="15.75" customHeight="1">
      <c r="A16367" s="2" t="s">
        <v>16367</v>
      </c>
      <c r="B16367" s="2" t="str">
        <f>IFERROR(__xludf.DUMMYFUNCTION("GOOGLETRANSLATE(A16367, ""en"", ""mt"")"),"X'jikkawża l-ossiġnu biex tifforma fuq il-metalli?")</f>
        <v>X'jikkawża l-ossiġnu biex tifforma fuq il-metalli?</v>
      </c>
    </row>
    <row r="16368" ht="15.75" customHeight="1">
      <c r="A16368" s="2" t="s">
        <v>16368</v>
      </c>
      <c r="B16368" s="2" t="str">
        <f>IFERROR(__xludf.DUMMYFUNCTION("GOOGLETRANSLATE(A16368, ""en"", ""mt"")"),"Matul liema perjodu ġie skopert l-art tat-Tethys?")</f>
        <v>Matul liema perjodu ġie skopert l-art tat-Tethys?</v>
      </c>
    </row>
    <row r="16369" ht="15.75" customHeight="1">
      <c r="A16369" s="2" t="s">
        <v>16369</v>
      </c>
      <c r="B16369" s="2" t="str">
        <f>IFERROR(__xludf.DUMMYFUNCTION("GOOGLETRANSLATE(A16369, ""en"", ""mt"")"),"Transizzjonijiet tal-Istat")</f>
        <v>Transizzjonijiet tal-Istat</v>
      </c>
    </row>
    <row r="16370" ht="15.75" customHeight="1">
      <c r="A16370" s="2" t="s">
        <v>16370</v>
      </c>
      <c r="B16370" s="2" t="str">
        <f>IFERROR(__xludf.DUMMYFUNCTION("GOOGLETRANSLATE(A16370, ""en"", ""mt"")"),"L-ambizzjonijiet imperjalisti tal-Gran Brittanja jistgħu jidhru kmieni mis-seklu sittax. Fl-1599 il-Kumpanija Ingliża tal-Indja tal-Lvant ġiet stabbilita u ġiet mikrija mir-Reġina Eliżabetta fis-sena ta 'wara. Bl-istabbiliment ta 'karigi ta' kummerċ fl-In"&amp;"dja, l-Ingliżi setgħu jżommu saħħa relattivament għal oħrajn imperi bħall-Portugiż li diġà waqqaf postijiet kummerċjali fl-Indja. Fl-1767 l-attività politika kkawżat l-isfruttament tal-Kumpanija tal-Indja tal-Lvant li kkawżat it-tisħiħ tal-ekonomija lokal"&amp;"i, kważi ġab lill-kumpanija falluta.")</f>
        <v>L-ambizzjonijiet imperjalisti tal-Gran Brittanja jistgħu jidhru kmieni mis-seklu sittax. Fl-1599 il-Kumpanija Ingliża tal-Indja tal-Lvant ġiet stabbilita u ġiet mikrija mir-Reġina Eliżabetta fis-sena ta 'wara. Bl-istabbiliment ta 'karigi ta' kummerċ fl-Indja, l-Ingliżi setgħu jżommu saħħa relattivament għal oħrajn imperi bħall-Portugiż li diġà waqqaf postijiet kummerċjali fl-Indja. Fl-1767 l-attività politika kkawżat l-isfruttament tal-Kumpanija tal-Indja tal-Lvant li kkawżat it-tisħiħ tal-ekonomija lokali, kważi ġab lill-kumpanija falluta.</v>
      </c>
    </row>
    <row r="16371" ht="15.75" customHeight="1">
      <c r="A16371" s="2" t="s">
        <v>16371</v>
      </c>
      <c r="B16371" s="2" t="str">
        <f>IFERROR(__xludf.DUMMYFUNCTION("GOOGLETRANSLATE(A16371, ""en"", ""mt"")"),"Liema firxa tal-muntanji fiha Lake Constance?")</f>
        <v>Liema firxa tal-muntanji fiha Lake Constance?</v>
      </c>
    </row>
    <row r="16372" ht="15.75" customHeight="1">
      <c r="A16372" s="2" t="s">
        <v>16372</v>
      </c>
      <c r="B16372" s="2" t="str">
        <f>IFERROR(__xludf.DUMMYFUNCTION("GOOGLETRANSLATE(A16372, ""en"", ""mt"")"),"Isel")</f>
        <v>Isel</v>
      </c>
    </row>
    <row r="16373" ht="15.75" customHeight="1">
      <c r="A16373" s="2" t="s">
        <v>16373</v>
      </c>
      <c r="B16373" s="2" t="str">
        <f>IFERROR(__xludf.DUMMYFUNCTION("GOOGLETRANSLATE(A16373, ""en"", ""mt"")"),"X'inhu, aktar milli l-Iżlamiżmu, ma teħtieġ l-ebda spjegazzjoni?")</f>
        <v>X'inhu, aktar milli l-Iżlamiżmu, ma teħtieġ l-ebda spjegazzjoni?</v>
      </c>
    </row>
    <row r="16374" ht="15.75" customHeight="1">
      <c r="A16374" s="2" t="s">
        <v>16374</v>
      </c>
      <c r="B16374" s="2" t="str">
        <f>IFERROR(__xludf.DUMMYFUNCTION("GOOGLETRANSLATE(A16374, ""en"", ""mt"")"),"Liema sena miktuba l-Enċiklopedija Ġermaniża Knaurs Lexikon?")</f>
        <v>Liema sena miktuba l-Enċiklopedija Ġermaniża Knaurs Lexikon?</v>
      </c>
    </row>
    <row r="16375" ht="15.75" customHeight="1">
      <c r="A16375" s="2" t="s">
        <v>16375</v>
      </c>
      <c r="B16375" s="2" t="str">
        <f>IFERROR(__xludf.DUMMYFUNCTION("GOOGLETRANSLATE(A16375, ""en"", ""mt"")"),"3600 rivoluzzjoni kull minuta")</f>
        <v>3600 rivoluzzjoni kull minuta</v>
      </c>
    </row>
    <row r="16376" ht="15.75" customHeight="1">
      <c r="A16376" s="2" t="s">
        <v>16376</v>
      </c>
      <c r="B16376" s="2" t="str">
        <f>IFERROR(__xludf.DUMMYFUNCTION("GOOGLETRANSLATE(A16376, ""en"", ""mt"")"),"Meta se jkunu disponibbli l-prodotti l-ġodda Sky Q?")</f>
        <v>Meta se jkunu disponibbli l-prodotti l-ġodda Sky Q?</v>
      </c>
    </row>
    <row r="16377" ht="15.75" customHeight="1">
      <c r="A16377" s="2" t="s">
        <v>16377</v>
      </c>
      <c r="B16377" s="2" t="str">
        <f>IFERROR(__xludf.DUMMYFUNCTION("GOOGLETRANSLATE(A16377, ""en"", ""mt"")"),"Ediacaran Eoandromeda jista 'jitqies li jirrappreżenta x'inhu?")</f>
        <v>Ediacaran Eoandromeda jista 'jitqies li jirrappreżenta x'inhu?</v>
      </c>
    </row>
    <row r="16378" ht="15.75" customHeight="1">
      <c r="A16378" s="2" t="s">
        <v>16378</v>
      </c>
      <c r="B16378" s="2" t="str">
        <f>IFERROR(__xludf.DUMMYFUNCTION("GOOGLETRANSLATE(A16378, ""en"", ""mt"")")," J. A. Hobson ma riedx liema tiġrijiet jiżviluppaw id-dinja?")</f>
        <v> J. A. Hobson ma riedx liema tiġrijiet jiżviluppaw id-dinja?</v>
      </c>
    </row>
    <row r="16379" ht="15.75" customHeight="1">
      <c r="A16379" s="2" t="s">
        <v>16379</v>
      </c>
      <c r="B16379" s="2" t="str">
        <f>IFERROR(__xludf.DUMMYFUNCTION("GOOGLETRANSLATE(A16379, ""en"", ""mt"")"),"Liema sena l-Bankamericard sar suċċess?")</f>
        <v>Liema sena l-Bankamericard sar suċċess?</v>
      </c>
    </row>
    <row r="16380" ht="15.75" customHeight="1">
      <c r="A16380" s="2" t="s">
        <v>16380</v>
      </c>
      <c r="B16380" s="2" t="str">
        <f>IFERROR(__xludf.DUMMYFUNCTION("GOOGLETRANSLATE(A16380, ""en"", ""mt"")"),"Kemm qabel kif ukoll wara s-silta tal-1708 tal-Att dwar in-Naturalizzazzjoni tal-Protestanti Barranin, huwa stmat li 50,000 walloon Protestanti u Huguenots ħarbu lejn l-Ingilterra, b'ħafna jimxu lejn l-Irlanda u x'imkien ieħor. F'termini relattivi, dan ki"&amp;"en wieħed mill-ikbar mewġ ta 'immigrazzjoni li qatt kien hemm komunità etnika waħda lejn il-Gran Brittanja. Andrew Lortie (imwieled André Lortie), teologu u kittieb ewlieni ta 'Huguenot li mexxa l-komunità eżiljata f'Londra, sar magħruf għall-artikolazzjo"&amp;"ni tal-kritika tagħhom dwar il-Papa u d-duttrina ta' trans-swaba waqt il-massa.")</f>
        <v>Kemm qabel kif ukoll wara s-silta tal-1708 tal-Att dwar in-Naturalizzazzjoni tal-Protestanti Barranin, huwa stmat li 50,000 walloon Protestanti u Huguenots ħarbu lejn l-Ingilterra, b'ħafna jimxu lejn l-Irlanda u x'imkien ieħor. F'termini relattivi, dan kien wieħed mill-ikbar mewġ ta 'immigrazzjoni li qatt kien hemm komunità etnika waħda lejn il-Gran Brittanja. Andrew Lortie (imwieled André Lortie), teologu u kittieb ewlieni ta 'Huguenot li mexxa l-komunità eżiljata f'Londra, sar magħruf għall-artikolazzjoni tal-kritika tagħhom dwar il-Papa u d-duttrina ta' trans-swaba waqt il-massa.</v>
      </c>
    </row>
    <row r="16381" ht="15.75" customHeight="1">
      <c r="A16381" s="2" t="s">
        <v>16381</v>
      </c>
      <c r="B16381" s="2" t="str">
        <f>IFERROR(__xludf.DUMMYFUNCTION("GOOGLETRANSLATE(A16381, ""en"", ""mt"")"),"X'tip ta 'numri huma dejjem multipli ta' 2?")</f>
        <v>X'tip ta 'numri huma dejjem multipli ta' 2?</v>
      </c>
    </row>
    <row r="16382" ht="15.75" customHeight="1">
      <c r="A16382" s="2" t="s">
        <v>16382</v>
      </c>
      <c r="B16382" s="2" t="str">
        <f>IFERROR(__xludf.DUMMYFUNCTION("GOOGLETRANSLATE(A16382, ""en"", ""mt"")"),"Min iddeskriva turbina tal-fwar fl-1629?")</f>
        <v>Min iddeskriva turbina tal-fwar fl-1629?</v>
      </c>
    </row>
    <row r="16383" ht="15.75" customHeight="1">
      <c r="A16383" s="2" t="s">
        <v>16383</v>
      </c>
      <c r="B16383" s="2" t="str">
        <f>IFERROR(__xludf.DUMMYFUNCTION("GOOGLETRANSLATE(A16383, ""en"", ""mt"")"),"Minn Frar 2017, kemm-il numri ġiet ippruvata l-konġettura ta 'Goldbach?")</f>
        <v>Minn Frar 2017, kemm-il numri ġiet ippruvata l-konġettura ta 'Goldbach?</v>
      </c>
    </row>
    <row r="16384" ht="15.75" customHeight="1">
      <c r="A16384" s="2" t="s">
        <v>16384</v>
      </c>
      <c r="B16384" s="2" t="str">
        <f>IFERROR(__xludf.DUMMYFUNCTION("GOOGLETRANSLATE(A16384, ""en"", ""mt"")"),"Mozzjoni kontinwa")</f>
        <v>Mozzjoni kontinwa</v>
      </c>
    </row>
    <row r="16385" ht="15.75" customHeight="1">
      <c r="A16385" s="2" t="s">
        <v>16385</v>
      </c>
      <c r="B16385" s="2" t="str">
        <f>IFERROR(__xludf.DUMMYFUNCTION("GOOGLETRANSLATE(A16385, ""en"", ""mt"")"),"X'inhuma l-aġenti misjuba mis-sistema immunitarja msejħa?")</f>
        <v>X'inhuma l-aġenti misjuba mis-sistema immunitarja msejħa?</v>
      </c>
    </row>
    <row r="16386" ht="15.75" customHeight="1">
      <c r="A16386" s="2" t="s">
        <v>16386</v>
      </c>
      <c r="B16386" s="2" t="str">
        <f>IFERROR(__xludf.DUMMYFUNCTION("GOOGLETRANSLATE(A16386, ""en"", ""mt"")"),"Il-proteini jikkumplimentaw jorbtu ma 'x'tip ta' molekuli fuq il-wiċċ tal-mikrobi sabiex jinħolqu rispons immuni?")</f>
        <v>Il-proteini jikkumplimentaw jorbtu ma 'x'tip ta' molekuli fuq il-wiċċ tal-mikrobi sabiex jinħolqu rispons immuni?</v>
      </c>
    </row>
    <row r="16387" ht="15.75" customHeight="1">
      <c r="A16387" s="2" t="s">
        <v>16387</v>
      </c>
      <c r="B16387" s="2" t="str">
        <f>IFERROR(__xludf.DUMMYFUNCTION("GOOGLETRANSLATE(A16387, ""en"", ""mt"")"),"AC u NC huma klassijiet ta 'kumplessità tipikament assoċjati ma' liema tip ta 'ċirkwit?")</f>
        <v>AC u NC huma klassijiet ta 'kumplessità tipikament assoċjati ma' liema tip ta 'ċirkwit?</v>
      </c>
    </row>
    <row r="16388" ht="15.75" customHeight="1">
      <c r="A16388" s="2" t="s">
        <v>16388</v>
      </c>
      <c r="B16388" s="2" t="str">
        <f>IFERROR(__xludf.DUMMYFUNCTION("GOOGLETRANSLATE(A16388, ""en"", ""mt"")"),"Liema kummissjoni nstabet li abbużat mill-poter fis-snin 1980?")</f>
        <v>Liema kummissjoni nstabet li abbużat mill-poter fis-snin 1980?</v>
      </c>
    </row>
    <row r="16389" ht="15.75" customHeight="1">
      <c r="A16389" s="2" t="s">
        <v>16389</v>
      </c>
      <c r="B16389" s="2" t="str">
        <f>IFERROR(__xludf.DUMMYFUNCTION("GOOGLETRANSLATE(A16389, ""en"", ""mt"")"),"0.5%")</f>
        <v>0.5%</v>
      </c>
    </row>
    <row r="16390" ht="15.75" customHeight="1">
      <c r="A16390" s="2" t="s">
        <v>16390</v>
      </c>
      <c r="B16390" s="2" t="str">
        <f>IFERROR(__xludf.DUMMYFUNCTION("GOOGLETRANSLATE(A16390, ""en"", ""mt"")"),"1852")</f>
        <v>1852</v>
      </c>
    </row>
    <row r="16391" ht="15.75" customHeight="1">
      <c r="A16391" s="2" t="s">
        <v>16391</v>
      </c>
      <c r="B16391" s="2" t="str">
        <f>IFERROR(__xludf.DUMMYFUNCTION("GOOGLETRANSLATE(A16391, ""en"", ""mt"")"),"X'kien l-isem tal-gwerra li beda l-Archduke Sigismund tal-Awstrija?")</f>
        <v>X'kien l-isem tal-gwerra li beda l-Archduke Sigismund tal-Awstrija?</v>
      </c>
    </row>
    <row r="16392" ht="15.75" customHeight="1">
      <c r="A16392" s="2" t="s">
        <v>16392</v>
      </c>
      <c r="B16392" s="2" t="str">
        <f>IFERROR(__xludf.DUMMYFUNCTION("GOOGLETRANSLATE(A16392, ""en"", ""mt"")"),"Minbarra l-Ingilterra min inkella kienu partikolarment milqugħa għal dawk li jaħarbu minn Franza?")</f>
        <v>Minbarra l-Ingilterra min inkella kienu partikolarment milqugħa għal dawk li jaħarbu minn Franza?</v>
      </c>
    </row>
    <row r="16393" ht="15.75" customHeight="1">
      <c r="A16393" s="2" t="s">
        <v>16393</v>
      </c>
      <c r="B16393" s="2" t="str">
        <f>IFERROR(__xludf.DUMMYFUNCTION("GOOGLETRANSLATE(A16393, ""en"", ""mt"")"),"Il-liġi tat-trasport tippermetti lill-inġenji tal-ajru personali jaqsmu t-toroq ma 'xiex?")</f>
        <v>Il-liġi tat-trasport tippermetti lill-inġenji tal-ajru personali jaqsmu t-toroq ma 'xiex?</v>
      </c>
    </row>
    <row r="16394" ht="15.75" customHeight="1">
      <c r="A16394" s="2" t="s">
        <v>16394</v>
      </c>
      <c r="B16394" s="2" t="str">
        <f>IFERROR(__xludf.DUMMYFUNCTION("GOOGLETRANSLATE(A16394, ""en"", ""mt"")"),"Il-pjan ta 'Pitt talab għal liema attakki?")</f>
        <v>Il-pjan ta 'Pitt talab għal liema attakki?</v>
      </c>
    </row>
    <row r="16395" ht="15.75" customHeight="1">
      <c r="A16395" s="2" t="s">
        <v>16395</v>
      </c>
      <c r="B16395" s="2" t="str">
        <f>IFERROR(__xludf.DUMMYFUNCTION("GOOGLETRANSLATE(A16395, ""en"", ""mt"")"),"Deżert Mojave")</f>
        <v>Deżert Mojave</v>
      </c>
    </row>
    <row r="16396" ht="15.75" customHeight="1">
      <c r="A16396" s="2" t="s">
        <v>16396</v>
      </c>
      <c r="B16396" s="2" t="str">
        <f>IFERROR(__xludf.DUMMYFUNCTION("GOOGLETRANSLATE(A16396, ""en"", ""mt"")"),"f'pari ta 'reazzjoni ta' azzjoni")</f>
        <v>f'pari ta 'reazzjoni ta' azzjoni</v>
      </c>
    </row>
    <row r="16397" ht="15.75" customHeight="1">
      <c r="A16397" s="2" t="s">
        <v>16397</v>
      </c>
      <c r="B16397" s="2" t="str">
        <f>IFERROR(__xludf.DUMMYFUNCTION("GOOGLETRANSLATE(A16397, ""en"", ""mt"")"),"X'inhu l-ULCA Mascot?")</f>
        <v>X'inhu l-ULCA Mascot?</v>
      </c>
    </row>
    <row r="16398" ht="15.75" customHeight="1">
      <c r="A16398" s="2" t="s">
        <v>16398</v>
      </c>
      <c r="B16398" s="2" t="str">
        <f>IFERROR(__xludf.DUMMYFUNCTION("GOOGLETRANSLATE(A16398, ""en"", ""mt"")"),"Biegħ mediċini bir-riċetta mingħajr ma teħtieġ riċetta")</f>
        <v>Biegħ mediċini bir-riċetta mingħajr ma teħtieġ riċetta</v>
      </c>
    </row>
    <row r="16399" ht="15.75" customHeight="1">
      <c r="A16399" s="2" t="s">
        <v>16399</v>
      </c>
      <c r="B16399" s="2" t="str">
        <f>IFERROR(__xludf.DUMMYFUNCTION("GOOGLETRANSLATE(A16399, ""en"", ""mt"")"),"X'kienet is-sistema tal-qanpiena?")</f>
        <v>X'kienet is-sistema tal-qanpiena?</v>
      </c>
    </row>
    <row r="16400" ht="15.75" customHeight="1">
      <c r="A16400" s="2" t="s">
        <v>16400</v>
      </c>
      <c r="B16400" s="2" t="str">
        <f>IFERROR(__xludf.DUMMYFUNCTION("GOOGLETRANSLATE(A16400, ""en"", ""mt"")"),"poter politiku")</f>
        <v>poter politiku</v>
      </c>
    </row>
    <row r="16401" ht="15.75" customHeight="1">
      <c r="A16401" s="2" t="s">
        <v>16401</v>
      </c>
      <c r="B16401" s="2" t="str">
        <f>IFERROR(__xludf.DUMMYFUNCTION("GOOGLETRANSLATE(A16401, ""en"", ""mt"")"),"X'tip ta 'films ġew prodotti fit-30 studios ta' Jacksonville?")</f>
        <v>X'tip ta 'films ġew prodotti fit-30 studios ta' Jacksonville?</v>
      </c>
    </row>
    <row r="16402" ht="15.75" customHeight="1">
      <c r="A16402" s="2" t="s">
        <v>16402</v>
      </c>
      <c r="B16402" s="2" t="str">
        <f>IFERROR(__xludf.DUMMYFUNCTION("GOOGLETRANSLATE(A16402, ""en"", ""mt"")"),"Min hu l-viċi-president tal-IPCC?")</f>
        <v>Min hu l-viċi-president tal-IPCC?</v>
      </c>
    </row>
    <row r="16403" ht="15.75" customHeight="1">
      <c r="A16403" s="2" t="s">
        <v>16403</v>
      </c>
      <c r="B16403" s="2" t="str">
        <f>IFERROR(__xludf.DUMMYFUNCTION("GOOGLETRANSLATE(A16403, ""en"", ""mt"")"),"il-kostruzzjoni ta 'toroq militari")</f>
        <v>il-kostruzzjoni ta 'toroq militari</v>
      </c>
    </row>
    <row r="16404" ht="15.75" customHeight="1">
      <c r="A16404" s="2" t="s">
        <v>16404</v>
      </c>
      <c r="B16404" s="2" t="str">
        <f>IFERROR(__xludf.DUMMYFUNCTION("GOOGLETRANSLATE(A16404, ""en"", ""mt"")"),"Fil-15 ta 'Awwissu, 1971, l-Istati Uniti inġibdu unilateralment mill-Accord ta' Bretton Woods. L-Istati Uniti abbandunaw l-istandard tal-iskambju tad-deheb li bih il-valur tad-dollaru kien imwaħħal mal-prezz tad-deheb u l-muniti l-oħra kollha kienu marbut"&amp;"a mad-dollaru, li l-valur tagħhom tħalla ""float"" (jitla 'u jaqa' skont id-domanda tas-suq). Ftit wara, segwiet il-Gran Brittanja, f’wiċċ l-isterlina tal-lira. In-nazzjonijiet industrijalizzati l-oħra segwew il-muniti rispettivi tagħhom. L-antiċipazzjoni"&amp;" li l-valuri tal-munita jvarjaw b'mod imprevedibbli għal żmien, in-nazzjonijiet industrijalizzati żiedu r-riżervi tagħhom (billi jespandu l-provvisti tal-flus tagħhom) f'ammonti ferm akbar minn qabel. Ir-riżultat kien deprezzament tad-dollaru u muniti ta "&amp;"'nazzjonijiet industrijalizzati oħra. Minħabba li ż-żejt kien ipprezzat f'dollari, id-dħul reali tal-produtturi taż-żejt naqas. F'Settembru 1971, l-OPEC ħarġet komunikat konġunt li jiddikjara li, minn dakinhar 'il quddiem, kienu se jġibu żejt f'termini ta"&amp;"' ammont fiss ta 'deheb.")</f>
        <v>Fil-15 ta 'Awwissu, 1971, l-Istati Uniti inġibdu unilateralment mill-Accord ta' Bretton Woods. L-Istati Uniti abbandunaw l-istandard tal-iskambju tad-deheb li bih il-valur tad-dollaru kien imwaħħal mal-prezz tad-deheb u l-muniti l-oħra kollha kienu marbuta mad-dollaru, li l-valur tagħhom tħalla "float" (jitla 'u jaqa' skont id-domanda tas-suq). Ftit wara, segwiet il-Gran Brittanja, f’wiċċ l-isterlina tal-lira. In-nazzjonijiet industrijalizzati l-oħra segwew il-muniti rispettivi tagħhom. L-antiċipazzjoni li l-valuri tal-munita jvarjaw b'mod imprevedibbli għal żmien, in-nazzjonijiet industrijalizzati żiedu r-riżervi tagħhom (billi jespandu l-provvisti tal-flus tagħhom) f'ammonti ferm akbar minn qabel. Ir-riżultat kien deprezzament tad-dollaru u muniti ta 'nazzjonijiet industrijalizzati oħra. Minħabba li ż-żejt kien ipprezzat f'dollari, id-dħul reali tal-produtturi taż-żejt naqas. F'Settembru 1971, l-OPEC ħarġet komunikat konġunt li jiddikjara li, minn dakinhar 'il quddiem, kienu se jġibu żejt f'termini ta' ammont fiss ta 'deheb.</v>
      </c>
    </row>
    <row r="16405" ht="15.75" customHeight="1">
      <c r="A16405" s="2" t="s">
        <v>16405</v>
      </c>
      <c r="B16405" s="2" t="str">
        <f>IFERROR(__xludf.DUMMYFUNCTION("GOOGLETRANSLATE(A16405, ""en"", ""mt"")")," X'imperi Ewropej ma jiddependux biex ifornuhom b'riżorsi?")</f>
        <v> X'imperi Ewropej ma jiddependux biex ifornuhom b'riżorsi?</v>
      </c>
    </row>
    <row r="16406" ht="15.75" customHeight="1">
      <c r="A16406" s="2" t="s">
        <v>16406</v>
      </c>
      <c r="B16406" s="2" t="str">
        <f>IFERROR(__xludf.DUMMYFUNCTION("GOOGLETRANSLATE(A16406, ""en"", ""mt"")"),"Fl-1932 għal xiex inbidel il-kejl tar-Renu?")</f>
        <v>Fl-1932 għal xiex inbidel il-kejl tar-Renu?</v>
      </c>
    </row>
    <row r="16407" ht="15.75" customHeight="1">
      <c r="A16407" s="2" t="s">
        <v>16407</v>
      </c>
      <c r="B16407" s="2" t="str">
        <f>IFERROR(__xludf.DUMMYFUNCTION("GOOGLETRANSLATE(A16407, ""en"", ""mt"")"),"James Bryant Conant (President, 1933–1953) reġa 'ssaħħaħ il-borża ta' studju kreattiv biex jiggarantixxi l-preeminenza tagħha fost l-istituzzjonijiet ta 'riċerka. Huwa ra l-edukazzjoni għolja bħala vettura ta 'opportunità għat-talent minflok intitolament "&amp;"għall-għonja, u għalhekk Conant fassal programmi biex jidentifikaw, jirreklutaw u jappoġġjaw żgħażagħ b'talent. Fl-1943, huwa talab lill-fakultà tagħmel dikjarazzjoni definittiva dwar dak li għandha tkun l-edukazzjoni ġenerali, fil-livell sekondarju kif u"&amp;"koll fil-livell tal-kulleġġ. Ir-rapport li rriżulta, ippubblikat fl-1945, kien wieħed mill-aktar manifesti influwenti fl-istorja tal-edukazzjoni Amerikana fis-seklu 20.")</f>
        <v>James Bryant Conant (President, 1933–1953) reġa 'ssaħħaħ il-borża ta' studju kreattiv biex jiggarantixxi l-preeminenza tagħha fost l-istituzzjonijiet ta 'riċerka. Huwa ra l-edukazzjoni għolja bħala vettura ta 'opportunità għat-talent minflok intitolament għall-għonja, u għalhekk Conant fassal programmi biex jidentifikaw, jirreklutaw u jappoġġjaw żgħażagħ b'talent. Fl-1943, huwa talab lill-fakultà tagħmel dikjarazzjoni definittiva dwar dak li għandha tkun l-edukazzjoni ġenerali, fil-livell sekondarju kif ukoll fil-livell tal-kulleġġ. Ir-rapport li rriżulta, ippubblikat fl-1945, kien wieħed mill-aktar manifesti influwenti fl-istorja tal-edukazzjoni Amerikana fis-seklu 20.</v>
      </c>
    </row>
    <row r="16408" ht="15.75" customHeight="1">
      <c r="A16408" s="2" t="s">
        <v>16408</v>
      </c>
      <c r="B16408" s="2" t="str">
        <f>IFERROR(__xludf.DUMMYFUNCTION("GOOGLETRANSLATE(A16408, ""en"", ""mt"")"),"tolleranza tad-diżubbidjenza ċivili")</f>
        <v>tolleranza tad-diżubbidjenza ċivili</v>
      </c>
    </row>
    <row r="16409" ht="15.75" customHeight="1">
      <c r="A16409" s="2" t="s">
        <v>16409</v>
      </c>
      <c r="B16409" s="2" t="str">
        <f>IFERROR(__xludf.DUMMYFUNCTION("GOOGLETRANSLATE(A16409, ""en"", ""mt"")"),"Xi jfisser il-Mużew tal-Art Fogg?")</f>
        <v>Xi jfisser il-Mużew tal-Art Fogg?</v>
      </c>
    </row>
    <row r="16410" ht="15.75" customHeight="1">
      <c r="A16410" s="2" t="s">
        <v>16410</v>
      </c>
      <c r="B16410" s="2" t="str">
        <f>IFERROR(__xludf.DUMMYFUNCTION("GOOGLETRANSLATE(A16410, ""en"", ""mt"")"),"Ma jemmnux il-bijoloġisti molekulari li Lagerstatten huma relatati mill-qrib?")</f>
        <v>Ma jemmnux il-bijoloġisti molekulari li Lagerstatten huma relatati mill-qrib?</v>
      </c>
    </row>
    <row r="16411" ht="15.75" customHeight="1">
      <c r="A16411" s="2" t="s">
        <v>16411</v>
      </c>
      <c r="B16411" s="2" t="str">
        <f>IFERROR(__xludf.DUMMYFUNCTION("GOOGLETRANSLATE(A16411, ""en"", ""mt"")"),"X'inhi l-konfini legali wara l-qoxra għolja u ta 'fuq?")</f>
        <v>X'inhi l-konfini legali wara l-qoxra għolja u ta 'fuq?</v>
      </c>
    </row>
    <row r="16412" ht="15.75" customHeight="1">
      <c r="A16412" s="2" t="s">
        <v>16412</v>
      </c>
      <c r="B16412" s="2" t="str">
        <f>IFERROR(__xludf.DUMMYFUNCTION("GOOGLETRANSLATE(A16412, ""en"", ""mt"")"),"X'jiġri Ctenophore biex jaqbad il-priża tagħhom?")</f>
        <v>X'jiġri Ctenophore biex jaqbad il-priża tagħhom?</v>
      </c>
    </row>
    <row r="16413" ht="15.75" customHeight="1">
      <c r="A16413" s="2" t="s">
        <v>16413</v>
      </c>
      <c r="B16413" s="2" t="str">
        <f>IFERROR(__xludf.DUMMYFUNCTION("GOOGLETRANSLATE(A16413, ""en"", ""mt"")"),"Djoċli ta 'Carystus")</f>
        <v>Djoċli ta 'Carystus</v>
      </c>
    </row>
    <row r="16414" ht="15.75" customHeight="1">
      <c r="A16414" s="2" t="s">
        <v>16414</v>
      </c>
      <c r="B16414" s="2" t="str">
        <f>IFERROR(__xludf.DUMMYFUNCTION("GOOGLETRANSLATE(A16414, ""en"", ""mt"")"),"tillimita d-domanda aggregata")</f>
        <v>tillimita d-domanda aggregata</v>
      </c>
    </row>
    <row r="16415" ht="15.75" customHeight="1">
      <c r="A16415" s="2" t="s">
        <v>16415</v>
      </c>
      <c r="B16415" s="2" t="str">
        <f>IFERROR(__xludf.DUMMYFUNCTION("GOOGLETRANSLATE(A16415, ""en"", ""mt"")"),"Għal liema organizzazzjoni jistgħu jappartjenu ċerti membri biss?")</f>
        <v>Għal liema organizzazzjoni jistgħu jappartjenu ċerti membri biss?</v>
      </c>
    </row>
    <row r="16416" ht="15.75" customHeight="1">
      <c r="A16416" s="2" t="s">
        <v>16416</v>
      </c>
      <c r="B16416" s="2" t="str">
        <f>IFERROR(__xludf.DUMMYFUNCTION("GOOGLETRANSLATE(A16416, ""en"", ""mt"")"),"Il-kriżi naqqset id-domanda għal karozzi kbar. Importazzjonijiet Ġappuniżi, primarjament it-Toyota Corona, it-Toyota Corolla, id-Datsun B210, id-Datsun 510, il-Honda Civic, il-Galant Mitsubishi (importazzjoni maqbuda minn Chrysler mibjugħa bħala d-Dodge C"&amp;"olt) Kellhom erba 'magni taċ-ċilindru li kienu aktar effiċjenti fil-fjuwil mill-magni tipiċi Amerikani V8 u sitt ċilindri. L-importazzjonijiet Ġappuniżi saru mexxejja tas-suq bil-kostruzzjoni unibody u drive tar-roti ta 'quddiem, li saru standards de fact"&amp;"o.")</f>
        <v>Il-kriżi naqqset id-domanda għal karozzi kbar. Importazzjonijiet Ġappuniżi, primarjament it-Toyota Corona, it-Toyota Corolla, id-Datsun B210, id-Datsun 510, il-Honda Civic, il-Galant Mitsubishi (importazzjoni maqbuda minn Chrysler mibjugħa bħala d-Dodge Colt) Kellhom erba 'magni taċ-ċilindru li kienu aktar effiċjenti fil-fjuwil mill-magni tipiċi Amerikani V8 u sitt ċilindri. L-importazzjonijiet Ġappuniżi saru mexxejja tas-suq bil-kostruzzjoni unibody u drive tar-roti ta 'quddiem, li saru standards de facto.</v>
      </c>
    </row>
    <row r="16417" ht="15.75" customHeight="1">
      <c r="A16417" s="2" t="s">
        <v>16417</v>
      </c>
      <c r="B16417" s="2" t="str">
        <f>IFERROR(__xludf.DUMMYFUNCTION("GOOGLETRANSLATE(A16417, ""en"", ""mt"")"),"Att dwar l-Iskozja")</f>
        <v>Att dwar l-Iskozja</v>
      </c>
    </row>
    <row r="16418" ht="15.75" customHeight="1">
      <c r="A16418" s="2" t="s">
        <v>16418</v>
      </c>
      <c r="B16418" s="2" t="str">
        <f>IFERROR(__xludf.DUMMYFUNCTION("GOOGLETRANSLATE(A16418, ""en"", ""mt"")"),"Porzjonijiet tal-Punent tal-Lagi l-Kbar")</f>
        <v>Porzjonijiet tal-Punent tal-Lagi l-Kbar</v>
      </c>
    </row>
    <row r="16419" ht="15.75" customHeight="1">
      <c r="A16419" s="2" t="s">
        <v>16419</v>
      </c>
      <c r="B16419" s="2" t="str">
        <f>IFERROR(__xludf.DUMMYFUNCTION("GOOGLETRANSLATE(A16419, ""en"", ""mt"")"),"Liema pajjiż illum huwa fdal tal-Imperu Ottoman?")</f>
        <v>Liema pajjiż illum huwa fdal tal-Imperu Ottoman?</v>
      </c>
    </row>
    <row r="16420" ht="15.75" customHeight="1">
      <c r="A16420" s="2" t="s">
        <v>16420</v>
      </c>
      <c r="B16420" s="2" t="str">
        <f>IFERROR(__xludf.DUMMYFUNCTION("GOOGLETRANSLATE(A16420, ""en"", ""mt"")"),"X'kien żviluppat minn Carl von Hampson u William Linde?")</f>
        <v>X'kien żviluppat minn Carl von Hampson u William Linde?</v>
      </c>
    </row>
    <row r="16421" ht="15.75" customHeight="1">
      <c r="A16421" s="2" t="s">
        <v>16421</v>
      </c>
      <c r="B16421" s="2" t="str">
        <f>IFERROR(__xludf.DUMMYFUNCTION("GOOGLETRANSLATE(A16421, ""en"", ""mt"")"),"Għal liema tip ta 'pagi jwasslu l-mekkanizzazzjoni u l-awtomazzjoni?")</f>
        <v>Għal liema tip ta 'pagi jwasslu l-mekkanizzazzjoni u l-awtomazzjoni?</v>
      </c>
    </row>
    <row r="16422" ht="15.75" customHeight="1">
      <c r="A16422" s="2" t="s">
        <v>16422</v>
      </c>
      <c r="B16422" s="2" t="str">
        <f>IFERROR(__xludf.DUMMYFUNCTION("GOOGLETRANSLATE(A16422, ""en"", ""mt"")"),"Liema pożizzjoni kisbet il-kollettur tat-taxxa li arresta Thoreau?")</f>
        <v>Liema pożizzjoni kisbet il-kollettur tat-taxxa li arresta Thoreau?</v>
      </c>
    </row>
    <row r="16423" ht="15.75" customHeight="1">
      <c r="A16423" s="2" t="s">
        <v>16423</v>
      </c>
      <c r="B16423" s="2" t="str">
        <f>IFERROR(__xludf.DUMMYFUNCTION("GOOGLETRANSLATE(A16423, ""en"", ""mt"")"),"Dawn il-kotba saru test fundamentali għal liema librerija?")</f>
        <v>Dawn il-kotba saru test fundamentali għal liema librerija?</v>
      </c>
    </row>
    <row r="16424" ht="15.75" customHeight="1">
      <c r="A16424" s="2" t="s">
        <v>16424</v>
      </c>
      <c r="B16424" s="2" t="str">
        <f>IFERROR(__xludf.DUMMYFUNCTION("GOOGLETRANSLATE(A16424, ""en"", ""mt"")"),"Liema apparat teoretiku huwa attribwit lil Alan Turing?")</f>
        <v>Liema apparat teoretiku huwa attribwit lil Alan Turing?</v>
      </c>
    </row>
    <row r="16425" ht="15.75" customHeight="1">
      <c r="A16425" s="2" t="s">
        <v>16425</v>
      </c>
      <c r="B16425" s="2" t="str">
        <f>IFERROR(__xludf.DUMMYFUNCTION("GOOGLETRANSLATE(A16425, ""en"", ""mt"")"),"Fejn għandhom it-tendenza li jaħdmu maġġoranza ta 'spiżjara konsulenti?")</f>
        <v>Fejn għandhom it-tendenza li jaħdmu maġġoranza ta 'spiżjara konsulenti?</v>
      </c>
    </row>
    <row r="16426" ht="15.75" customHeight="1">
      <c r="A16426" s="2" t="s">
        <v>16426</v>
      </c>
      <c r="B16426" s="2" t="str">
        <f>IFERROR(__xludf.DUMMYFUNCTION("GOOGLETRANSLATE(A16426, ""en"", ""mt"")"),"għexieren ta ’eluf")</f>
        <v>għexieren ta ’eluf</v>
      </c>
    </row>
    <row r="16427" ht="15.75" customHeight="1">
      <c r="A16427" s="2" t="s">
        <v>16427</v>
      </c>
      <c r="B16427" s="2" t="str">
        <f>IFERROR(__xludf.DUMMYFUNCTION("GOOGLETRANSLATE(A16427, ""en"", ""mt"")"),"Kif kienu s-servizzi ta 'NTL?")</f>
        <v>Kif kienu s-servizzi ta 'NTL?</v>
      </c>
    </row>
    <row r="16428" ht="15.75" customHeight="1">
      <c r="A16428" s="2" t="s">
        <v>16428</v>
      </c>
      <c r="B16428" s="2" t="str">
        <f>IFERROR(__xludf.DUMMYFUNCTION("GOOGLETRANSLATE(A16428, ""en"", ""mt"")"),"Appoġġ tal-Militia")</f>
        <v>Appoġġ tal-Militia</v>
      </c>
    </row>
    <row r="16429" ht="15.75" customHeight="1">
      <c r="A16429" s="2" t="s">
        <v>16429</v>
      </c>
      <c r="B16429" s="2" t="str">
        <f>IFERROR(__xludf.DUMMYFUNCTION("GOOGLETRANSLATE(A16429, ""en"", ""mt"")"),"X'tip ta 'graff huwa eżempju ta' input użat fi problema ta 'deċiżjoni?")</f>
        <v>X'tip ta 'graff huwa eżempju ta' input użat fi problema ta 'deċiżjoni?</v>
      </c>
    </row>
    <row r="16430" ht="15.75" customHeight="1">
      <c r="A16430" s="2" t="s">
        <v>16430</v>
      </c>
      <c r="B16430" s="2" t="str">
        <f>IFERROR(__xludf.DUMMYFUNCTION("GOOGLETRANSLATE(A16430, ""en"", ""mt"")"),"X'tip ta 'sorsi mhux riveduti mill-peer juża l-IPCC?")</f>
        <v>X'tip ta 'sorsi mhux riveduti mill-peer juża l-IPCC?</v>
      </c>
    </row>
    <row r="16431" ht="15.75" customHeight="1">
      <c r="A16431" s="2" t="s">
        <v>16431</v>
      </c>
      <c r="B16431" s="2" t="str">
        <f>IFERROR(__xludf.DUMMYFUNCTION("GOOGLETRANSLATE(A16431, ""en"", ""mt"")"),"Il-mudell uniku jbassar li l-partiċelli skambjati huma l-mezzi fundamentali b'liema?")</f>
        <v>Il-mudell uniku jbassar li l-partiċelli skambjati huma l-mezzi fundamentali b'liema?</v>
      </c>
    </row>
    <row r="16432" ht="15.75" customHeight="1">
      <c r="A16432" s="2" t="s">
        <v>16432</v>
      </c>
      <c r="B16432" s="2" t="str">
        <f>IFERROR(__xludf.DUMMYFUNCTION("GOOGLETRANSLATE(A16432, ""en"", ""mt"")"),"Liema problema tal-komputazzjoni hija komunement assoċjata mal-fatturizzazzjoni ewlenija?")</f>
        <v>Liema problema tal-komputazzjoni hija komunement assoċjata mal-fatturizzazzjoni ewlenija?</v>
      </c>
    </row>
    <row r="16433" ht="15.75" customHeight="1">
      <c r="A16433" s="2" t="s">
        <v>16433</v>
      </c>
      <c r="B16433" s="2" t="str">
        <f>IFERROR(__xludf.DUMMYFUNCTION("GOOGLETRANSLATE(A16433, ""en"", ""mt"")"),"bejn wieħed u ieħor 500,000")</f>
        <v>bejn wieħed u ieħor 500,000</v>
      </c>
    </row>
    <row r="16434" ht="15.75" customHeight="1">
      <c r="A16434" s="2" t="s">
        <v>16434</v>
      </c>
      <c r="B16434" s="2" t="str">
        <f>IFERROR(__xludf.DUMMYFUNCTION("GOOGLETRANSLATE(A16434, ""en"", ""mt"")"),"F'liema sena l-gwerra fi Franza bejn il-Protestanti u l-Kattoliċi tibda?")</f>
        <v>F'liema sena l-gwerra fi Franza bejn il-Protestanti u l-Kattoliċi tibda?</v>
      </c>
    </row>
    <row r="16435" ht="15.75" customHeight="1">
      <c r="A16435" s="2" t="s">
        <v>16435</v>
      </c>
      <c r="B16435" s="2" t="str">
        <f>IFERROR(__xludf.DUMMYFUNCTION("GOOGLETRANSLATE(A16435, ""en"", ""mt"")"),"Liema persentaġġ ta 'l-art ikklerjata fl-Amażonja tintuża għat-tkabbir tal-bhejjem?")</f>
        <v>Liema persentaġġ ta 'l-art ikklerjata fl-Amażonja tintuża għat-tkabbir tal-bhejjem?</v>
      </c>
    </row>
    <row r="16436" ht="15.75" customHeight="1">
      <c r="A16436" s="2" t="s">
        <v>16436</v>
      </c>
      <c r="B16436" s="2" t="str">
        <f>IFERROR(__xludf.DUMMYFUNCTION("GOOGLETRANSLATE(A16436, ""en"", ""mt"")"),"F'magna atmosferika, xi tfisser il-pressjoni ta 'l-arja?")</f>
        <v>F'magna atmosferika, xi tfisser il-pressjoni ta 'l-arja?</v>
      </c>
    </row>
    <row r="16437" ht="15.75" customHeight="1">
      <c r="A16437" s="2" t="s">
        <v>16437</v>
      </c>
      <c r="B16437" s="2" t="str">
        <f>IFERROR(__xludf.DUMMYFUNCTION("GOOGLETRANSLATE(A16437, ""en"", ""mt"")"),"X'inhu l- ""ħawwad tal-idejn"" bejn il-partijiet tal-komunikazzjoni?")</f>
        <v>X'inhu l- "ħawwad tal-idejn" bejn il-partijiet tal-komunikazzjoni?</v>
      </c>
    </row>
    <row r="16438" ht="15.75" customHeight="1">
      <c r="A16438" s="2" t="s">
        <v>16438</v>
      </c>
      <c r="B16438" s="2" t="str">
        <f>IFERROR(__xludf.DUMMYFUNCTION("GOOGLETRANSLATE(A16438, ""en"", ""mt"")"),"Fl-1564 grupp ta 'Norman Huguenots taħt it-tmexxija ta' Jean Ribault stabbilixxa l-kolonja żgħira ta 'Fort Caroline fuq il-banek tax-Xmara San Ġwann f'dak li llum huwa Jacksonville, Florida. L-isforz kien l-ewwel wieħed fi kwalunkwe soluzzjoni Ewropea per"&amp;"manenti fl-Istati Uniti kontinentali preżenti, iżda baqa 'ħaj biss ftit żmien. Attakk navali Franċiż ta 'Settembru 1565 kontra l-kolonja Spanjola l-ġdida f'San Wistin falla meta l-vapuri tagħha ntlaqtu minn uragan fi triqthom lejn l-akkampjar Spanjol fil-"&amp;"Fort Matanzas. Mijiet ta 'suldati Franċiżi kienu mitluqin u ċeduti lill-forzi Spanjoli numerikament inferjuri mmexxija minn Pedro Menendez. Menendez ipproċeda għall-massakru l-Huguenots bla difiża, u wara ħassar il-Garrison ta 'Fort Caroline.")</f>
        <v>Fl-1564 grupp ta 'Norman Huguenots taħt it-tmexxija ta' Jean Ribault stabbilixxa l-kolonja żgħira ta 'Fort Caroline fuq il-banek tax-Xmara San Ġwann f'dak li llum huwa Jacksonville, Florida. L-isforz kien l-ewwel wieħed fi kwalunkwe soluzzjoni Ewropea permanenti fl-Istati Uniti kontinentali preżenti, iżda baqa 'ħaj biss ftit żmien. Attakk navali Franċiż ta 'Settembru 1565 kontra l-kolonja Spanjola l-ġdida f'San Wistin falla meta l-vapuri tagħha ntlaqtu minn uragan fi triqthom lejn l-akkampjar Spanjol fil-Fort Matanzas. Mijiet ta 'suldati Franċiżi kienu mitluqin u ċeduti lill-forzi Spanjoli numerikament inferjuri mmexxija minn Pedro Menendez. Menendez ipproċeda għall-massakru l-Huguenots bla difiża, u wara ħassar il-Garrison ta 'Fort Caroline.</v>
      </c>
    </row>
    <row r="16439" ht="15.75" customHeight="1">
      <c r="A16439" s="2" t="s">
        <v>16439</v>
      </c>
      <c r="B16439" s="2" t="str">
        <f>IFERROR(__xludf.DUMMYFUNCTION("GOOGLETRANSLATE(A16439, ""en"", ""mt"")"),"Kemm skejjel Kattoliċi kisbu għajnuna mill-gvern?")</f>
        <v>Kemm skejjel Kattoliċi kisbu għajnuna mill-gvern?</v>
      </c>
    </row>
    <row r="16440" ht="15.75" customHeight="1">
      <c r="A16440" s="2" t="s">
        <v>16440</v>
      </c>
      <c r="B16440" s="2" t="str">
        <f>IFERROR(__xludf.DUMMYFUNCTION("GOOGLETRANSLATE(A16440, ""en"", ""mt"")"),"Kemm hi popolata Victoria meta mqabbla ma 'stati Awstraljani oħra?")</f>
        <v>Kemm hi popolata Victoria meta mqabbla ma 'stati Awstraljani oħra?</v>
      </c>
    </row>
    <row r="16441" ht="15.75" customHeight="1">
      <c r="A16441" s="2" t="s">
        <v>16441</v>
      </c>
      <c r="B16441" s="2" t="str">
        <f>IFERROR(__xludf.DUMMYFUNCTION("GOOGLETRANSLATE(A16441, ""en"", ""mt"")"),"Min purhcased l-4 pacakages li fadal disponibbli għax-xandara?")</f>
        <v>Min purhcased l-4 pacakages li fadal disponibbli għax-xandara?</v>
      </c>
    </row>
    <row r="16442" ht="15.75" customHeight="1">
      <c r="A16442" s="2" t="s">
        <v>16442</v>
      </c>
      <c r="B16442" s="2" t="str">
        <f>IFERROR(__xludf.DUMMYFUNCTION("GOOGLETRANSLATE(A16442, ""en"", ""mt"")"),"X'għan għandu l-Iżlamiżmu meta niġu għas-soċjetà u l-gvern?")</f>
        <v>X'għan għandu l-Iżlamiżmu meta niġu għas-soċjetà u l-gvern?</v>
      </c>
    </row>
    <row r="16443" ht="15.75" customHeight="1">
      <c r="A16443" s="2" t="s">
        <v>16443</v>
      </c>
      <c r="B16443" s="2" t="str">
        <f>IFERROR(__xludf.DUMMYFUNCTION("GOOGLETRANSLATE(A16443, ""en"", ""mt"")"),"jidhru li jsiru eħfef u jidhru li jitilfu xi ħaġa fil-proċess")</f>
        <v>jidhru li jsiru eħfef u jidhru li jitilfu xi ħaġa fil-proċess</v>
      </c>
    </row>
    <row r="16444" ht="15.75" customHeight="1">
      <c r="A16444" s="2" t="s">
        <v>16444</v>
      </c>
      <c r="B16444" s="2" t="str">
        <f>IFERROR(__xludf.DUMMYFUNCTION("GOOGLETRANSLATE(A16444, ""en"", ""mt"")"),"Min għamel l-għajnuna taż-żieda tal-wan fil-kummerċ?")</f>
        <v>Min għamel l-għajnuna taż-żieda tal-wan fil-kummerċ?</v>
      </c>
    </row>
    <row r="16445" ht="15.75" customHeight="1">
      <c r="A16445" s="2" t="s">
        <v>16445</v>
      </c>
      <c r="B16445" s="2" t="str">
        <f>IFERROR(__xludf.DUMMYFUNCTION("GOOGLETRANSLATE(A16445, ""en"", ""mt"")"),"Il-Kriżi Finanzjarja tal-2007–08")</f>
        <v>Il-Kriżi Finanzjarja tal-2007–08</v>
      </c>
    </row>
    <row r="16446" ht="15.75" customHeight="1">
      <c r="A16446" s="2" t="s">
        <v>16446</v>
      </c>
      <c r="B16446" s="2" t="str">
        <f>IFERROR(__xludf.DUMMYFUNCTION("GOOGLETRANSLATE(A16446, ""en"", ""mt"")"),"Fejn ġew megħluba l-Ingliżi fil-Kanada?")</f>
        <v>Fejn ġew megħluba l-Ingliżi fil-Kanada?</v>
      </c>
    </row>
    <row r="16447" ht="15.75" customHeight="1">
      <c r="A16447" s="2" t="s">
        <v>16447</v>
      </c>
      <c r="B16447" s="2" t="str">
        <f>IFERROR(__xludf.DUMMYFUNCTION("GOOGLETRANSLATE(A16447, ""en"", ""mt"")"),"Min feraħ lill-SNP għat-telf tagħhom?")</f>
        <v>Min feraħ lill-SNP għat-telf tagħhom?</v>
      </c>
    </row>
    <row r="16448" ht="15.75" customHeight="1">
      <c r="A16448" s="2" t="s">
        <v>16448</v>
      </c>
      <c r="B16448" s="2" t="str">
        <f>IFERROR(__xludf.DUMMYFUNCTION("GOOGLETRANSLATE(A16448, ""en"", ""mt"")"),"ftit hafna")</f>
        <v>ftit hafna</v>
      </c>
    </row>
    <row r="16449" ht="15.75" customHeight="1">
      <c r="A16449" s="2" t="s">
        <v>16449</v>
      </c>
      <c r="B16449" s="2" t="str">
        <f>IFERROR(__xludf.DUMMYFUNCTION("GOOGLETRANSLATE(A16449, ""en"", ""mt"")"),"Aktar minn 100 biljun dollaru")</f>
        <v>Aktar minn 100 biljun dollaru</v>
      </c>
    </row>
    <row r="16450" ht="15.75" customHeight="1">
      <c r="A16450" s="2" t="s">
        <v>16450</v>
      </c>
      <c r="B16450" s="2" t="str">
        <f>IFERROR(__xludf.DUMMYFUNCTION("GOOGLETRANSLATE(A16450, ""en"", ""mt"")"),"Kampanji fuq il-Lag Ontario")</f>
        <v>Kampanji fuq il-Lag Ontario</v>
      </c>
    </row>
    <row r="16451" ht="15.75" customHeight="1">
      <c r="A16451" s="2" t="s">
        <v>16451</v>
      </c>
      <c r="B16451" s="2" t="str">
        <f>IFERROR(__xludf.DUMMYFUNCTION("GOOGLETRANSLATE(A16451, ""en"", ""mt"")"),"1698")</f>
        <v>1698</v>
      </c>
    </row>
    <row r="16452" ht="15.75" customHeight="1">
      <c r="A16452" s="2" t="s">
        <v>16452</v>
      </c>
      <c r="B16452" s="2" t="str">
        <f>IFERROR(__xludf.DUMMYFUNCTION("GOOGLETRANSLATE(A16452, ""en"", ""mt"")"),"Liema element għandu simbolu atomiku ta 'O?")</f>
        <v>Liema element għandu simbolu atomiku ta 'O?</v>
      </c>
    </row>
    <row r="16453" ht="15.75" customHeight="1">
      <c r="A16453" s="2" t="s">
        <v>16453</v>
      </c>
      <c r="B16453" s="2" t="str">
        <f>IFERROR(__xludf.DUMMYFUNCTION("GOOGLETRANSLATE(A16453, ""en"", ""mt"")"),"nieqsa minn tentakli")</f>
        <v>nieqsa minn tentakli</v>
      </c>
    </row>
    <row r="16454" ht="15.75" customHeight="1">
      <c r="A16454" s="2" t="s">
        <v>16454</v>
      </c>
      <c r="B16454" s="2" t="str">
        <f>IFERROR(__xludf.DUMMYFUNCTION("GOOGLETRANSLATE(A16454, ""en"", ""mt"")"),"X'inhu l-iktar element tal-massa abbundanti fil-bijosfera tad-Dinja?")</f>
        <v>X'inhu l-iktar element tal-massa abbundanti fil-bijosfera tad-Dinja?</v>
      </c>
    </row>
    <row r="16455" ht="15.75" customHeight="1">
      <c r="A16455" s="2" t="s">
        <v>16455</v>
      </c>
      <c r="B16455" s="2" t="str">
        <f>IFERROR(__xludf.DUMMYFUNCTION("GOOGLETRANSLATE(A16455, ""en"", ""mt"")"),"X'ġara bir-rata tal-fluss fir-Renu waqt il-programm ta 'rilaxx tar-Renu?")</f>
        <v>X'ġara bir-rata tal-fluss fir-Renu waqt il-programm ta 'rilaxx tar-Renu?</v>
      </c>
    </row>
    <row r="16456" ht="15.75" customHeight="1">
      <c r="A16456" s="2" t="s">
        <v>16456</v>
      </c>
      <c r="B16456" s="2" t="str">
        <f>IFERROR(__xludf.DUMMYFUNCTION("GOOGLETRANSLATE(A16456, ""en"", ""mt"")"),"Yin-Yang u Wuxing")</f>
        <v>Yin-Yang u Wuxing</v>
      </c>
    </row>
    <row r="16457" ht="15.75" customHeight="1">
      <c r="A16457" s="2" t="s">
        <v>16457</v>
      </c>
      <c r="B16457" s="2" t="str">
        <f>IFERROR(__xludf.DUMMYFUNCTION("GOOGLETRANSLATE(A16457, ""en"", ""mt"")"),"X'kien l-Islam apolitiku?")</f>
        <v>X'kien l-Islam apolitiku?</v>
      </c>
    </row>
    <row r="16458" ht="15.75" customHeight="1">
      <c r="A16458" s="2" t="s">
        <v>16458</v>
      </c>
      <c r="B16458" s="2" t="str">
        <f>IFERROR(__xludf.DUMMYFUNCTION("GOOGLETRANSLATE(A16458, ""en"", ""mt"")"),"Il-Fruntiera tal-Istati Uniti tal-Messiku")</f>
        <v>Il-Fruntiera tal-Istati Uniti tal-Messiku</v>
      </c>
    </row>
    <row r="16459" ht="15.75" customHeight="1">
      <c r="A16459" s="2" t="s">
        <v>16459</v>
      </c>
      <c r="B16459" s="2" t="str">
        <f>IFERROR(__xludf.DUMMYFUNCTION("GOOGLETRANSLATE(A16459, ""en"", ""mt"")"),"Xi saru xi mexxejja tar-ribelljoni Ingliża?")</f>
        <v>Xi saru xi mexxejja tar-ribelljoni Ingliża?</v>
      </c>
    </row>
    <row r="16460" ht="15.75" customHeight="1">
      <c r="A16460" s="2" t="s">
        <v>16460</v>
      </c>
      <c r="B16460" s="2" t="str">
        <f>IFERROR(__xludf.DUMMYFUNCTION("GOOGLETRANSLATE(A16460, ""en"", ""mt"")"),"Ġnien Sassonu")</f>
        <v>Ġnien Sassonu</v>
      </c>
    </row>
    <row r="16461" ht="15.75" customHeight="1">
      <c r="A16461" s="2" t="s">
        <v>16461</v>
      </c>
      <c r="B16461" s="2" t="str">
        <f>IFERROR(__xludf.DUMMYFUNCTION("GOOGLETRANSLATE(A16461, ""en"", ""mt"")"),"Savanna u Deżert ġew sostitwiti minn dak fl-Amażonja?")</f>
        <v>Savanna u Deżert ġew sostitwiti minn dak fl-Amażonja?</v>
      </c>
    </row>
    <row r="16462" ht="15.75" customHeight="1">
      <c r="A16462" s="2" t="s">
        <v>16462</v>
      </c>
      <c r="B16462" s="2" t="str">
        <f>IFERROR(__xludf.DUMMYFUNCTION("GOOGLETRANSLATE(A16462, ""en"", ""mt"")"),"toffri paga ogħla")</f>
        <v>toffri paga ogħla</v>
      </c>
    </row>
    <row r="16463" ht="15.75" customHeight="1">
      <c r="A16463" s="2" t="s">
        <v>16463</v>
      </c>
      <c r="B16463" s="2" t="str">
        <f>IFERROR(__xludf.DUMMYFUNCTION("GOOGLETRANSLATE(A16463, ""en"", ""mt"")"),"L-IPCC mir-Rapport WWF")</f>
        <v>L-IPCC mir-Rapport WWF</v>
      </c>
    </row>
    <row r="16464" ht="15.75" customHeight="1">
      <c r="A16464" s="2" t="s">
        <v>16464</v>
      </c>
      <c r="B16464" s="2" t="str">
        <f>IFERROR(__xludf.DUMMYFUNCTION("GOOGLETRANSLATE(A16464, ""en"", ""mt"")"),"Kemm ħa l-Afganistan it-Taliban?")</f>
        <v>Kemm ħa l-Afganistan it-Taliban?</v>
      </c>
    </row>
    <row r="16465" ht="15.75" customHeight="1">
      <c r="A16465" s="2" t="s">
        <v>16465</v>
      </c>
      <c r="B16465" s="2" t="str">
        <f>IFERROR(__xludf.DUMMYFUNCTION("GOOGLETRANSLATE(A16465, ""en"", ""mt"")"),"Evita l- ""inkonvenjent"" li żżur tabib")</f>
        <v>Evita l- "inkonvenjent" li żżur tabib</v>
      </c>
    </row>
    <row r="16466" ht="15.75" customHeight="1">
      <c r="A16466" s="2" t="s">
        <v>16466</v>
      </c>
      <c r="B16466" s="2" t="str">
        <f>IFERROR(__xludf.DUMMYFUNCTION("GOOGLETRANSLATE(A16466, ""en"", ""mt"")"),"Min kien ir-4 li ddeċieda d-dinastija Yuan?")</f>
        <v>Min kien ir-4 li ddeċieda d-dinastija Yuan?</v>
      </c>
    </row>
    <row r="16467" ht="15.75" customHeight="1">
      <c r="A16467" s="2" t="s">
        <v>16467</v>
      </c>
      <c r="B16467" s="2" t="str">
        <f>IFERROR(__xludf.DUMMYFUNCTION("GOOGLETRANSLATE(A16467, ""en"", ""mt"")"),"Mill-aħħar tas-snin 1950, ix-xjentist Amerikan tal-kompjuter Paul Baran żviluppa l-kunċett distribwit blokka ta 'messaġġi adattivi li qalbu bl-għan li jipprovdi metodu ta' rotta tolleranti għall-ħsarat għal messaġġi tat-telekomunikazzjoni bħala parti minn"&amp;" programm ta 'riċerka fil-Korporazzjoni RAND, iffinanzjat mill-Istati Uniti Dipartiment tad-Difiża. Dan il-kunċett jikkuntrasta u jikkontradixxi l-prinċipji stabbiliti minn qabel ta 'allokazzjoni minn qabel ta' bandwidth tan-netwerk, imsaħħaħ fil-biċċa l-"&amp;"kbira mill-iżvilupp ta 'telekomunikazzjonijiet fis-sistema tal-qanpiena. Il-kunċett il-ġdid sab ftit reżonanza fost l-implimentaturi tan-netwerk sakemm ix-xogħol indipendenti ta 'Donald Davies fil-Laboratorju Fiżiku Nazzjonali (ir-Renju Unit) (NPL) fl-aħħ"&amp;"ar tas-snin 1960. Davies huwa kkreditat li jgħaqqad il-bdil tal-pakketti tal-isem modern u jispira bosta netwerks ta ’bidla fil-pakketti fl-Ewropa fid-deċennju li ġej, inkluż l-inkorporazzjoni tal-kunċett fil-bidu ta’ Arpanet fl-Istati Uniti.")</f>
        <v>Mill-aħħar tas-snin 1950, ix-xjentist Amerikan tal-kompjuter Paul Baran żviluppa l-kunċett distribwit blokka ta 'messaġġi adattivi li qalbu bl-għan li jipprovdi metodu ta' rotta tolleranti għall-ħsarat għal messaġġi tat-telekomunikazzjoni bħala parti minn programm ta 'riċerka fil-Korporazzjoni RAND, iffinanzjat mill-Istati Uniti Dipartiment tad-Difiża. Dan il-kunċett jikkuntrasta u jikkontradixxi l-prinċipji stabbiliti minn qabel ta 'allokazzjoni minn qabel ta' bandwidth tan-netwerk, imsaħħaħ fil-biċċa l-kbira mill-iżvilupp ta 'telekomunikazzjonijiet fis-sistema tal-qanpiena. Il-kunċett il-ġdid sab ftit reżonanza fost l-implimentaturi tan-netwerk sakemm ix-xogħol indipendenti ta 'Donald Davies fil-Laboratorju Fiżiku Nazzjonali (ir-Renju Unit) (NPL) fl-aħħar tas-snin 1960. Davies huwa kkreditat li jgħaqqad il-bdil tal-pakketti tal-isem modern u jispira bosta netwerks ta ’bidla fil-pakketti fl-Ewropa fid-deċennju li ġej, inkluż l-inkorporazzjoni tal-kunċett fil-bidu ta’ Arpanet fl-Istati Uniti.</v>
      </c>
    </row>
    <row r="16468" ht="15.75" customHeight="1">
      <c r="A16468" s="2" t="s">
        <v>16468</v>
      </c>
      <c r="B16468" s="2" t="str">
        <f>IFERROR(__xludf.DUMMYFUNCTION("GOOGLETRANSLATE(A16468, ""en"", ""mt"")"),"Hekk kif jidħlu fis-seħħ")</f>
        <v>Hekk kif jidħlu fis-seħħ</v>
      </c>
    </row>
    <row r="16469" ht="15.75" customHeight="1">
      <c r="A16469" s="2" t="s">
        <v>16469</v>
      </c>
      <c r="B16469" s="2" t="str">
        <f>IFERROR(__xludf.DUMMYFUNCTION("GOOGLETRANSLATE(A16469, ""en"", ""mt"")"),"Liema distretti jinkludu d-downtown Santa Ana?")</f>
        <v>Liema distretti jinkludu d-downtown Santa Ana?</v>
      </c>
    </row>
    <row r="16470" ht="15.75" customHeight="1">
      <c r="A16470" s="2" t="s">
        <v>16470</v>
      </c>
      <c r="B16470" s="2" t="str">
        <f>IFERROR(__xludf.DUMMYFUNCTION("GOOGLETRANSLATE(A16470, ""en"", ""mt"")"),"arja kkundizzjonata")</f>
        <v>arja kkundizzjonata</v>
      </c>
    </row>
    <row r="16471" ht="15.75" customHeight="1">
      <c r="A16471" s="2" t="s">
        <v>16471</v>
      </c>
      <c r="B16471" s="2" t="str">
        <f>IFERROR(__xludf.DUMMYFUNCTION("GOOGLETRANSLATE(A16471, ""en"", ""mt"")"),"X’jagħmlu jirrifjutaw l-organizzazzjonijiet Iżlamiċi radikali?")</f>
        <v>X’jagħmlu jirrifjutaw l-organizzazzjonijiet Iżlamiċi radikali?</v>
      </c>
    </row>
    <row r="16472" ht="15.75" customHeight="1">
      <c r="A16472" s="2" t="s">
        <v>16472</v>
      </c>
      <c r="B16472" s="2" t="str">
        <f>IFERROR(__xludf.DUMMYFUNCTION("GOOGLETRANSLATE(A16472, ""en"", ""mt"")"),"L-ewwel liġi")</f>
        <v>L-ewwel liġi</v>
      </c>
    </row>
    <row r="16473" ht="15.75" customHeight="1">
      <c r="A16473" s="2" t="s">
        <v>16473</v>
      </c>
      <c r="B16473" s="2" t="str">
        <f>IFERROR(__xludf.DUMMYFUNCTION("GOOGLETRANSLATE(A16473, ""en"", ""mt"")"),"X'inhu l-akbar grawnd fl-Awstralja?")</f>
        <v>X'inhu l-akbar grawnd fl-Awstralja?</v>
      </c>
    </row>
    <row r="16474" ht="15.75" customHeight="1">
      <c r="A16474" s="2" t="s">
        <v>16474</v>
      </c>
      <c r="B16474" s="2" t="str">
        <f>IFERROR(__xludf.DUMMYFUNCTION("GOOGLETRANSLATE(A16474, ""en"", ""mt"")"),"X'inhuma xi fatturi oħra li l-ispiżjar għandu jimmonitorja?")</f>
        <v>X'inhuma xi fatturi oħra li l-ispiżjar għandu jimmonitorja?</v>
      </c>
    </row>
    <row r="16475" ht="15.75" customHeight="1">
      <c r="A16475" s="2" t="s">
        <v>16475</v>
      </c>
      <c r="B16475" s="2" t="str">
        <f>IFERROR(__xludf.DUMMYFUNCTION("GOOGLETRANSLATE(A16475, ""en"", ""mt"")"),"Kif tevita problemi meta tiddetermina l-forzi involuti fuq oġġett minn żewġ sorsi jew aktar?")</f>
        <v>Kif tevita problemi meta tiddetermina l-forzi involuti fuq oġġett minn żewġ sorsi jew aktar?</v>
      </c>
    </row>
    <row r="16476" ht="15.75" customHeight="1">
      <c r="A16476" s="2" t="s">
        <v>16476</v>
      </c>
      <c r="B16476" s="2" t="str">
        <f>IFERROR(__xludf.DUMMYFUNCTION("GOOGLETRANSLATE(A16476, ""en"", ""mt"")"),"Disinn-Build, Sħubija u Ġestjoni tal-Kostruzzjoni")</f>
        <v>Disinn-Build, Sħubija u Ġestjoni tal-Kostruzzjoni</v>
      </c>
    </row>
    <row r="16477" ht="15.75" customHeight="1">
      <c r="A16477" s="2" t="s">
        <v>16477</v>
      </c>
      <c r="B16477" s="2" t="str">
        <f>IFERROR(__xludf.DUMMYFUNCTION("GOOGLETRANSLATE(A16477, ""en"", ""mt"")"),"Min kienet l-omm adottata ta 'Bill Aiken?")</f>
        <v>Min kienet l-omm adottata ta 'Bill Aiken?</v>
      </c>
    </row>
    <row r="16478" ht="15.75" customHeight="1">
      <c r="A16478" s="2" t="s">
        <v>16478</v>
      </c>
      <c r="B16478" s="2" t="str">
        <f>IFERROR(__xludf.DUMMYFUNCTION("GOOGLETRANSLATE(A16478, ""en"", ""mt"")"),"Min normalment jimmaniġġja l-impatt ambjentali tax-xogħol?")</f>
        <v>Min normalment jimmaniġġja l-impatt ambjentali tax-xogħol?</v>
      </c>
    </row>
    <row r="16479" ht="15.75" customHeight="1">
      <c r="A16479" s="2" t="s">
        <v>16479</v>
      </c>
      <c r="B16479" s="2" t="str">
        <f>IFERROR(__xludf.DUMMYFUNCTION("GOOGLETRANSLATE(A16479, ""en"", ""mt"")"),"Il-fehmiet ta 'Ali Shariati, ideologu tar-Rivoluzzjoni Iranjana, kellhom xebh ma' Mohammad Iqbal, missier ideoloġiku ta 'l-istat tal-Pakistan, iżda t-twemmin ta' Khomeini huwa meqjus li jitqiegħed x'imkien bejn it-twemmin ta 'ħassieba Iżlamiċi Sunni bħal "&amp;"Mawdudi u Qutb. Huwa emmen li imitazzjoni sħiħa tal-Profeta Mohammad u s-suċċessuri tiegħu bħal Ali għar-restawr tal-liġi tax-Sharia kienet essenzjali għall-Iżlam, li ħafna Musulmani sekulari, tal-punent kienu attwalment aġenti tal-Punent li jservu l-inte"&amp;"ressi tal-Punent, u li l-atti bħal ""jisirqu"" L-artijiet Musulmani kienet parti minn konspirazzjoni fit-tul kontra l-Iżlam mill-gvernijiet tal-Punent.")</f>
        <v>Il-fehmiet ta 'Ali Shariati, ideologu tar-Rivoluzzjoni Iranjana, kellhom xebh ma' Mohammad Iqbal, missier ideoloġiku ta 'l-istat tal-Pakistan, iżda t-twemmin ta' Khomeini huwa meqjus li jitqiegħed x'imkien bejn it-twemmin ta 'ħassieba Iżlamiċi Sunni bħal Mawdudi u Qutb. Huwa emmen li imitazzjoni sħiħa tal-Profeta Mohammad u s-suċċessuri tiegħu bħal Ali għar-restawr tal-liġi tax-Sharia kienet essenzjali għall-Iżlam, li ħafna Musulmani sekulari, tal-punent kienu attwalment aġenti tal-Punent li jservu l-interessi tal-Punent, u li l-atti bħal "jisirqu" L-artijiet Musulmani kienet parti minn konspirazzjoni fit-tul kontra l-Iżlam mill-gvernijiet tal-Punent.</v>
      </c>
    </row>
    <row r="16480" ht="15.75" customHeight="1">
      <c r="A16480" s="2" t="s">
        <v>16480</v>
      </c>
      <c r="B16480" s="2" t="str">
        <f>IFERROR(__xludf.DUMMYFUNCTION("GOOGLETRANSLATE(A16480, ""en"", ""mt"")"),"Fibrożi pulmonari")</f>
        <v>Fibrożi pulmonari</v>
      </c>
    </row>
    <row r="16481" ht="15.75" customHeight="1">
      <c r="A16481" s="2" t="s">
        <v>16481</v>
      </c>
      <c r="B16481" s="2" t="str">
        <f>IFERROR(__xludf.DUMMYFUNCTION("GOOGLETRANSLATE(A16481, ""en"", ""mt"")"),"Meta l-forzi huma mill-preżenza ta 'oġġetti differnet, liema liġi tagħti simetrija?")</f>
        <v>Meta l-forzi huma mill-preżenza ta 'oġġetti differnet, liema liġi tagħti simetrija?</v>
      </c>
    </row>
    <row r="16482" ht="15.75" customHeight="1">
      <c r="A16482" s="2" t="s">
        <v>16482</v>
      </c>
      <c r="B16482" s="2" t="str">
        <f>IFERROR(__xludf.DUMMYFUNCTION("GOOGLETRANSLATE(A16482, ""en"", ""mt"")"),"200,000.")</f>
        <v>200,000.</v>
      </c>
    </row>
    <row r="16483" ht="15.75" customHeight="1">
      <c r="A16483" s="2" t="s">
        <v>16483</v>
      </c>
      <c r="B16483" s="2" t="str">
        <f>IFERROR(__xludf.DUMMYFUNCTION("GOOGLETRANSLATE(A16483, ""en"", ""mt"")"),"X'jispiraw is-sidien ta 'aktar kapital?")</f>
        <v>X'jispiraw is-sidien ta 'aktar kapital?</v>
      </c>
    </row>
    <row r="16484" ht="15.75" customHeight="1">
      <c r="A16484" s="2" t="s">
        <v>16484</v>
      </c>
      <c r="B16484" s="2" t="str">
        <f>IFERROR(__xludf.DUMMYFUNCTION("GOOGLETRANSLATE(A16484, ""en"", ""mt"")"),"pistun")</f>
        <v>pistun</v>
      </c>
    </row>
    <row r="16485" ht="15.75" customHeight="1">
      <c r="A16485" s="2" t="s">
        <v>16485</v>
      </c>
      <c r="B16485" s="2" t="str">
        <f>IFERROR(__xludf.DUMMYFUNCTION("GOOGLETRANSLATE(A16485, ""en"", ""mt"")"),"Min kien ir-raġel ta 'Margaret?")</f>
        <v>Min kien ir-raġel ta 'Margaret?</v>
      </c>
    </row>
    <row r="16486" ht="15.75" customHeight="1">
      <c r="A16486" s="2" t="s">
        <v>16486</v>
      </c>
      <c r="B16486" s="2" t="str">
        <f>IFERROR(__xludf.DUMMYFUNCTION("GOOGLETRANSLATE(A16486, ""en"", ""mt"")"),"Ċivilizza")</f>
        <v>Ċivilizza</v>
      </c>
    </row>
    <row r="16487" ht="15.75" customHeight="1">
      <c r="A16487" s="2" t="s">
        <v>16487</v>
      </c>
      <c r="B16487" s="2" t="str">
        <f>IFERROR(__xludf.DUMMYFUNCTION("GOOGLETRANSLATE(A16487, ""en"", ""mt"")"),"Sa liema età l-istudenti fir-Renju Unit jattendu skejjel preparatorji?")</f>
        <v>Sa liema età l-istudenti fir-Renju Unit jattendu skejjel preparatorji?</v>
      </c>
    </row>
    <row r="16488" ht="15.75" customHeight="1">
      <c r="A16488" s="2" t="s">
        <v>16488</v>
      </c>
      <c r="B16488" s="2" t="str">
        <f>IFERROR(__xludf.DUMMYFUNCTION("GOOGLETRANSLATE(A16488, ""en"", ""mt"")"),"Ħarsien soċjali")</f>
        <v>Ħarsien soċjali</v>
      </c>
    </row>
    <row r="16489" ht="15.75" customHeight="1">
      <c r="A16489" s="2" t="s">
        <v>16489</v>
      </c>
      <c r="B16489" s="2" t="str">
        <f>IFERROR(__xludf.DUMMYFUNCTION("GOOGLETRANSLATE(A16489, ""en"", ""mt"")"),"Kemm kienu veloċi l-irjieħ madwar Santu Wistin fl-Uragan tal-1964?")</f>
        <v>Kemm kienu veloċi l-irjieħ madwar Santu Wistin fl-Uragan tal-1964?</v>
      </c>
    </row>
    <row r="16490" ht="15.75" customHeight="1">
      <c r="A16490" s="2" t="s">
        <v>16490</v>
      </c>
      <c r="B16490" s="2" t="str">
        <f>IFERROR(__xludf.DUMMYFUNCTION("GOOGLETRANSLATE(A16490, ""en"", ""mt"")"),"Irkupra s-sehem tas-suq")</f>
        <v>Irkupra s-sehem tas-suq</v>
      </c>
    </row>
    <row r="16491" ht="15.75" customHeight="1">
      <c r="A16491" s="2" t="s">
        <v>16491</v>
      </c>
      <c r="B16491" s="2" t="str">
        <f>IFERROR(__xludf.DUMMYFUNCTION("GOOGLETRANSLATE(A16491, ""en"", ""mt"")"),"Liema ktieb tal-Bibbja jiddiskuti diżubbidjenza ċivili?")</f>
        <v>Liema ktieb tal-Bibbja jiddiskuti diżubbidjenza ċivili?</v>
      </c>
    </row>
    <row r="16492" ht="15.75" customHeight="1">
      <c r="A16492" s="2" t="s">
        <v>16492</v>
      </c>
      <c r="B16492" s="2" t="str">
        <f>IFERROR(__xludf.DUMMYFUNCTION("GOOGLETRANSLATE(A16492, ""en"", ""mt"")"),"Ferrovija ta ’Middleton")</f>
        <v>Ferrovija ta ’Middleton</v>
      </c>
    </row>
    <row r="16493" ht="15.75" customHeight="1">
      <c r="A16493" s="2" t="s">
        <v>16493</v>
      </c>
      <c r="B16493" s="2" t="str">
        <f>IFERROR(__xludf.DUMMYFUNCTION("GOOGLETRANSLATE(A16493, ""en"", ""mt"")"),"Meta nħolqot id-direttiva tal-leave tal-ġenituri?")</f>
        <v>Meta nħolqot id-direttiva tal-leave tal-ġenituri?</v>
      </c>
    </row>
    <row r="16494" ht="15.75" customHeight="1">
      <c r="A16494" s="2" t="s">
        <v>16494</v>
      </c>
      <c r="B16494" s="2" t="str">
        <f>IFERROR(__xludf.DUMMYFUNCTION("GOOGLETRANSLATE(A16494, ""en"", ""mt"")"),"Liema uffiċjal Spanjol stabbilixxa l-ftehim f'San Wistin?")</f>
        <v>Liema uffiċjal Spanjol stabbilixxa l-ftehim f'San Wistin?</v>
      </c>
    </row>
    <row r="16495" ht="15.75" customHeight="1">
      <c r="A16495" s="2" t="s">
        <v>16495</v>
      </c>
      <c r="B16495" s="2" t="str">
        <f>IFERROR(__xludf.DUMMYFUNCTION("GOOGLETRANSLATE(A16495, ""en"", ""mt"")"),"Fejn beda Johnson?")</f>
        <v>Fejn beda Johnson?</v>
      </c>
    </row>
    <row r="16496" ht="15.75" customHeight="1">
      <c r="A16496" s="2" t="s">
        <v>16496</v>
      </c>
      <c r="B16496" s="2" t="str">
        <f>IFERROR(__xludf.DUMMYFUNCTION("GOOGLETRANSLATE(A16496, ""en"", ""mt"")"),"gentrifikazzjoni ta 'kwartieri anzjani")</f>
        <v>gentrifikazzjoni ta 'kwartieri anzjani</v>
      </c>
    </row>
    <row r="16497" ht="15.75" customHeight="1">
      <c r="A16497" s="2" t="s">
        <v>16497</v>
      </c>
      <c r="B16497" s="2" t="str">
        <f>IFERROR(__xludf.DUMMYFUNCTION("GOOGLETRANSLATE(A16497, ""en"", ""mt"")"),"Fl-aħħar tas-seklu 17, Robert Boyle wera li l-arja hija meħtieġa għall-kombustjoni. L-ispiżjar Ingliż John Mayow (1641-1679) irfina dan ix-xogħol billi juri li n-nar jirrikjedi biss parti mill-arja li hu sejjaħ Spiritus Nitroeereus jew biss Nitroaereus. F"&amp;"’esperiment wieħed huwa sab li t-tqegħid ta ’ġurdien jew xemgħa mixgħula f’kontenitur magħluq fuq l-ilma kkawża li l-ilma jogħla u jissostitwixxi wieħed mill-firxa tal-volum tal-arja qabel ma jitfu s-suġġetti. Minn dan huwa ħabbar li Nitroaereus huwa kkun"&amp;"smat kemm fir-respirazzjoni kif ukoll fil-kombustjoni.")</f>
        <v>Fl-aħħar tas-seklu 17, Robert Boyle wera li l-arja hija meħtieġa għall-kombustjoni. L-ispiżjar Ingliż John Mayow (1641-1679) irfina dan ix-xogħol billi juri li n-nar jirrikjedi biss parti mill-arja li hu sejjaħ Spiritus Nitroeereus jew biss Nitroaereus. F’esperiment wieħed huwa sab li t-tqegħid ta ’ġurdien jew xemgħa mixgħula f’kontenitur magħluq fuq l-ilma kkawża li l-ilma jogħla u jissostitwixxi wieħed mill-firxa tal-volum tal-arja qabel ma jitfu s-suġġetti. Minn dan huwa ħabbar li Nitroaereus huwa kkunsmat kemm fir-respirazzjoni kif ukoll fil-kombustjoni.</v>
      </c>
    </row>
    <row r="16498" ht="15.75" customHeight="1">
      <c r="A16498" s="2" t="s">
        <v>16498</v>
      </c>
      <c r="B16498" s="2" t="str">
        <f>IFERROR(__xludf.DUMMYFUNCTION("GOOGLETRANSLATE(A16498, ""en"", ""mt"")"),"Liema letteratura ġbidet minn H. Garrison minn dak li ma nqeredx mill-Musulmani?")</f>
        <v>Liema letteratura ġbidet minn H. Garrison minn dak li ma nqeredx mill-Musulmani?</v>
      </c>
    </row>
    <row r="16499" ht="15.75" customHeight="1">
      <c r="A16499" s="2" t="s">
        <v>16499</v>
      </c>
      <c r="B16499" s="2" t="str">
        <f>IFERROR(__xludf.DUMMYFUNCTION("GOOGLETRANSLATE(A16499, ""en"", ""mt"")"),"X'inhuma l-beroids aktar simili għal bilaterjani oħra?")</f>
        <v>X'inhuma l-beroids aktar simili għal bilaterjani oħra?</v>
      </c>
    </row>
    <row r="16500" ht="15.75" customHeight="1">
      <c r="A16500" s="2" t="s">
        <v>16500</v>
      </c>
      <c r="B16500" s="2" t="str">
        <f>IFERROR(__xludf.DUMMYFUNCTION("GOOGLETRANSLATE(A16500, ""en"", ""mt"")"),"In-nies xi jemmnu n-nies li ma jemmnux dwar id-difiża tagħhom infushom?")</f>
        <v>In-nies xi jemmnu n-nies li ma jemmnux dwar id-difiża tagħhom infushom?</v>
      </c>
    </row>
    <row r="16501" ht="15.75" customHeight="1">
      <c r="A16501" s="2" t="s">
        <v>16501</v>
      </c>
      <c r="B16501" s="2" t="str">
        <f>IFERROR(__xludf.DUMMYFUNCTION("GOOGLETRANSLATE(A16501, ""en"", ""mt"")"),"1971")</f>
        <v>1971</v>
      </c>
    </row>
    <row r="16502" ht="15.75" customHeight="1">
      <c r="A16502" s="2" t="s">
        <v>16502</v>
      </c>
      <c r="B16502" s="2" t="str">
        <f>IFERROR(__xludf.DUMMYFUNCTION("GOOGLETRANSLATE(A16502, ""en"", ""mt"")"),"eventwalment jonqos")</f>
        <v>eventwalment jonqos</v>
      </c>
    </row>
    <row r="16503" ht="15.75" customHeight="1">
      <c r="A16503" s="2" t="s">
        <v>16503</v>
      </c>
      <c r="B16503" s="2" t="str">
        <f>IFERROR(__xludf.DUMMYFUNCTION("GOOGLETRANSLATE(A16503, ""en"", ""mt"")"),"Oppożizzjoni għad-deċiżjonijiet ta 'aġenziji mhux governattivi bħalma huma t-trejdjunjins, il-banek, u l-universitajiet privati")</f>
        <v>Oppożizzjoni għad-deċiżjonijiet ta 'aġenziji mhux governattivi bħalma huma t-trejdjunjins, il-banek, u l-universitajiet privati</v>
      </c>
    </row>
    <row r="16504" ht="15.75" customHeight="1">
      <c r="A16504" s="2" t="s">
        <v>16504</v>
      </c>
      <c r="B16504" s="2" t="str">
        <f>IFERROR(__xludf.DUMMYFUNCTION("GOOGLETRANSLATE(A16504, ""en"", ""mt"")"),"Hemm xi reġjuni fejn it-Trattat tal-Unjoni Ewropea jeskludi mill-ġurisdizzjoni?")</f>
        <v>Hemm xi reġjuni fejn it-Trattat tal-Unjoni Ewropea jeskludi mill-ġurisdizzjoni?</v>
      </c>
    </row>
    <row r="16505" ht="15.75" customHeight="1">
      <c r="A16505" s="2" t="s">
        <v>16505</v>
      </c>
      <c r="B16505" s="2" t="str">
        <f>IFERROR(__xludf.DUMMYFUNCTION("GOOGLETRANSLATE(A16505, ""en"", ""mt"")"),"X'inhu spiss meqjus bħala astrazzjoni xjentifika li timmudella dawk il-kompiti tal-komputazzjoni li jammettu algoritmu effiċjenti?")</f>
        <v>X'inhu spiss meqjus bħala astrazzjoni xjentifika li timmudella dawk il-kompiti tal-komputazzjoni li jammettu algoritmu effiċjenti?</v>
      </c>
    </row>
    <row r="16506" ht="15.75" customHeight="1">
      <c r="A16506" s="2" t="s">
        <v>16506</v>
      </c>
      <c r="B16506" s="2" t="str">
        <f>IFERROR(__xludf.DUMMYFUNCTION("GOOGLETRANSLATE(A16506, ""en"", ""mt"")"),"45 °")</f>
        <v>45 °</v>
      </c>
    </row>
    <row r="16507" ht="15.75" customHeight="1">
      <c r="A16507" s="2" t="s">
        <v>16507</v>
      </c>
      <c r="B16507" s="2" t="str">
        <f>IFERROR(__xludf.DUMMYFUNCTION("GOOGLETRANSLATE(A16507, ""en"", ""mt"")"),"L-Università ta ’Chicago hija rregolata minn bord ta’ trustees. Il-Bord tal-Fiduċjarji jissorvelja l-iżvilupp u l-pjanijiet fit-tul tal-università u jimmaniġġja l-isforzi tal-ġbir ta 'fondi, u huwa magħmul minn 50 membru inkluż il-president tal-università"&amp;". Direttament taħt il-president hemm il-provost, erbatax-il viċi presidenti (inkluż l-uffiċjal finanzjarju kap, uffiċjal kap tal-investiment, u dekan tal-istudenti tal-università), id-diretturi tal-Laboratorju Nazzjonali Argonne u Fermilab, is-Segretarju "&amp;"tal-Università, u l-Istudenti Ombudsperson - Minn Awwissu 2009 [aġġornament], il-president tal-Bord tal-Fiduċjarji huwa Andrew Alper, u l-president tal-università huwa Robert Zimmer. F'Diċembru 2013 ġie mħabbar li d-direttur tal-Laboratorju Nazzjonali ta "&amp;"'Argonne, Eric Isaacs, se jsir provost. Isaacs ġie sostitwit bħala Provost f'Marzu 2016 minn Daniel Diermeier.")</f>
        <v>L-Università ta ’Chicago hija rregolata minn bord ta’ trustees. Il-Bord tal-Fiduċjarji jissorvelja l-iżvilupp u l-pjanijiet fit-tul tal-università u jimmaniġġja l-isforzi tal-ġbir ta 'fondi, u huwa magħmul minn 50 membru inkluż il-president tal-università. Direttament taħt il-president hemm il-provost, erbatax-il viċi presidenti (inkluż l-uffiċjal finanzjarju kap, uffiċjal kap tal-investiment, u dekan tal-istudenti tal-università), id-diretturi tal-Laboratorju Nazzjonali Argonne u Fermilab, is-Segretarju tal-Università, u l-Istudenti Ombudsperson - Minn Awwissu 2009 [aġġornament], il-president tal-Bord tal-Fiduċjarji huwa Andrew Alper, u l-president tal-università huwa Robert Zimmer. F'Diċembru 2013 ġie mħabbar li d-direttur tal-Laboratorju Nazzjonali ta 'Argonne, Eric Isaacs, se jsir provost. Isaacs ġie sostitwit bħala Provost f'Marzu 2016 minn Daniel Diermeier.</v>
      </c>
    </row>
    <row r="16508" ht="15.75" customHeight="1">
      <c r="A16508" s="2" t="s">
        <v>16508</v>
      </c>
      <c r="B16508" s="2" t="str">
        <f>IFERROR(__xludf.DUMMYFUNCTION("GOOGLETRANSLATE(A16508, ""en"", ""mt"")"),"Min hu l-Kap Eżekuttiv attwali u l-presidenti ta 'Goldman Sachs?")</f>
        <v>Min hu l-Kap Eżekuttiv attwali u l-presidenti ta 'Goldman Sachs?</v>
      </c>
    </row>
    <row r="16509" ht="15.75" customHeight="1">
      <c r="A16509" s="2" t="s">
        <v>16509</v>
      </c>
      <c r="B16509" s="2" t="str">
        <f>IFERROR(__xludf.DUMMYFUNCTION("GOOGLETRANSLATE(A16509, ""en"", ""mt"")"),"X'inhi funzjoni waħda li n-numri ewlenin għandhom dak il-15 m'għandhomx?")</f>
        <v>X'inhi funzjoni waħda li n-numri ewlenin għandhom dak il-15 m'għandhomx?</v>
      </c>
    </row>
    <row r="16510" ht="15.75" customHeight="1">
      <c r="A16510" s="2" t="s">
        <v>16510</v>
      </c>
      <c r="B16510" s="2" t="str">
        <f>IFERROR(__xludf.DUMMYFUNCTION("GOOGLETRANSLATE(A16510, ""en"", ""mt"")"),"Min kien Varsavja taħt l-amministrazzjoni ta 'meta ġie taħt il-ħakma tal-gvern Lhudi?")</f>
        <v>Min kien Varsavja taħt l-amministrazzjoni ta 'meta ġie taħt il-ħakma tal-gvern Lhudi?</v>
      </c>
    </row>
    <row r="16511" ht="15.75" customHeight="1">
      <c r="A16511" s="2" t="s">
        <v>16511</v>
      </c>
      <c r="B16511" s="2" t="str">
        <f>IFERROR(__xludf.DUMMYFUNCTION("GOOGLETRANSLATE(A16511, ""en"", ""mt"")"),"Liema kienu l-istrutturi mibnija mill-Polonja tipiċi?")</f>
        <v>Liema kienu l-istrutturi mibnija mill-Polonja tipiċi?</v>
      </c>
    </row>
    <row r="16512" ht="15.75" customHeight="1">
      <c r="A16512" s="2" t="s">
        <v>16512</v>
      </c>
      <c r="B16512" s="2" t="str">
        <f>IFERROR(__xludf.DUMMYFUNCTION("GOOGLETRANSLATE(A16512, ""en"", ""mt"")"),"fokus politiku")</f>
        <v>fokus politiku</v>
      </c>
    </row>
    <row r="16513" ht="15.75" customHeight="1">
      <c r="A16513" s="2" t="s">
        <v>16513</v>
      </c>
      <c r="B16513" s="2" t="str">
        <f>IFERROR(__xludf.DUMMYFUNCTION("GOOGLETRANSLATE(A16513, ""en"", ""mt"")"),"Disturbi awtoimmuni")</f>
        <v>Disturbi awtoimmuni</v>
      </c>
    </row>
    <row r="16514" ht="15.75" customHeight="1">
      <c r="A16514" s="2" t="s">
        <v>16514</v>
      </c>
      <c r="B16514" s="2" t="str">
        <f>IFERROR(__xludf.DUMMYFUNCTION("GOOGLETRANSLATE(A16514, ""en"", ""mt"")"),"Materjali kombustibbli ħafna li jħallu ftit residwi, bħall-injam jew il-faħam, kienu maħsuba li huma magħmula l-aktar minn phlogiston; billi sustanzi mhux kombustibbli li jissaddad, bħall-ħadid, fihom ftit. L-AIR ma kellhiex rwol fit-teorija tal-phlogisto"&amp;"n, u lanqas ma saru l-ebda esperimenti kwantitattivi inizjali biex jiġu ttestjati l-idea; Minflok, kien ibbażat fuq osservazzjonijiet ta 'dak li jiġri meta tinħaraq xi ħaġa, li l-iktar oġġetti komuni jidhru li jsiru eħfef u jidhru li jitilfu xi ħaġa fil-p"&amp;"roċess. Il-fatt li sustanza bħall-injam jikseb piż ġenerali fil-ħruq kien moħbi mill-galleġġjatura tal-prodotti tal-kombustjoni gassuża. Tassew, waħda mill-ewwel ħjiel li t-teorija tal-phlogiston ma kinitx korretta kienet li l-metalli, ukoll, żiedu l-piż "&amp;"fit-tħawwil (meta suppost kienu qed jitilfu l-phlogiston).")</f>
        <v>Materjali kombustibbli ħafna li jħallu ftit residwi, bħall-injam jew il-faħam, kienu maħsuba li huma magħmula l-aktar minn phlogiston; billi sustanzi mhux kombustibbli li jissaddad, bħall-ħadid, fihom ftit. L-AIR ma kellhiex rwol fit-teorija tal-phlogiston, u lanqas ma saru l-ebda esperimenti kwantitattivi inizjali biex jiġu ttestjati l-idea; Minflok, kien ibbażat fuq osservazzjonijiet ta 'dak li jiġri meta tinħaraq xi ħaġa, li l-iktar oġġetti komuni jidhru li jsiru eħfef u jidhru li jitilfu xi ħaġa fil-proċess. Il-fatt li sustanza bħall-injam jikseb piż ġenerali fil-ħruq kien moħbi mill-galleġġjatura tal-prodotti tal-kombustjoni gassuża. Tassew, waħda mill-ewwel ħjiel li t-teorija tal-phlogiston ma kinitx korretta kienet li l-metalli, ukoll, żiedu l-piż fit-tħawwil (meta suppost kienu qed jitilfu l-phlogiston).</v>
      </c>
    </row>
    <row r="16515" ht="15.75" customHeight="1">
      <c r="A16515" s="2" t="s">
        <v>16515</v>
      </c>
      <c r="B16515" s="2" t="str">
        <f>IFERROR(__xludf.DUMMYFUNCTION("GOOGLETRANSLATE(A16515, ""en"", ""mt"")"),"Dan jimmotiva l-kunċett ta 'problema li tkun diffiċli għal klassi ta' kumplessità. Problema X hija iebsa għal klassi ta 'problemi ċ Jekk kull problema f'C tista' titnaqqas għal X. Għalhekk l-ebda problema f'C ma hija iktar diffiċli minn X, peress li algor"&amp;"itmu għal X jippermettilna nsolvu kwalunkwe problema f'C. Naturalment, Il-kunċett ta 'problemi iebsa jiddependi mit-tip ta' tnaqqis li qed jintuża. Għal klassijiet ta 'kumplessità ikbar minn P, tnaqqis fil-ħin polinomjali huma komunement użati. B'mod part"&amp;"ikolari, is-sett ta 'problemi li huma diffiċli għal NP huwa s-sett ta' problemi iebsin ta 'NP.")</f>
        <v>Dan jimmotiva l-kunċett ta 'problema li tkun diffiċli għal klassi ta' kumplessità. Problema X hija iebsa għal klassi ta 'problemi ċ Jekk kull problema f'C tista' titnaqqas għal X. Għalhekk l-ebda problema f'C ma hija iktar diffiċli minn X, peress li algoritmu għal X jippermettilna nsolvu kwalunkwe problema f'C. Naturalment, Il-kunċett ta 'problemi iebsa jiddependi mit-tip ta' tnaqqis li qed jintuża. Għal klassijiet ta 'kumplessità ikbar minn P, tnaqqis fil-ħin polinomjali huma komunement użati. B'mod partikolari, is-sett ta 'problemi li huma diffiċli għal NP huwa s-sett ta' problemi iebsin ta 'NP.</v>
      </c>
    </row>
    <row r="16516" ht="15.75" customHeight="1">
      <c r="A16516" s="2" t="s">
        <v>16516</v>
      </c>
      <c r="B16516" s="2" t="str">
        <f>IFERROR(__xludf.DUMMYFUNCTION("GOOGLETRANSLATE(A16516, ""en"", ""mt"")"),"Meta bdiet ir-rewwixta tal-Armata l-Ħamra?")</f>
        <v>Meta bdiet ir-rewwixta tal-Armata l-Ħamra?</v>
      </c>
    </row>
    <row r="16517" ht="15.75" customHeight="1">
      <c r="A16517" s="2" t="s">
        <v>16517</v>
      </c>
      <c r="B16517" s="2" t="str">
        <f>IFERROR(__xludf.DUMMYFUNCTION("GOOGLETRANSLATE(A16517, ""en"", ""mt"")"),"2 millimetri")</f>
        <v>2 millimetri</v>
      </c>
    </row>
    <row r="16518" ht="15.75" customHeight="1">
      <c r="A16518" s="2" t="s">
        <v>16518</v>
      </c>
      <c r="B16518" s="2" t="str">
        <f>IFERROR(__xludf.DUMMYFUNCTION("GOOGLETRANSLATE(A16518, ""en"", ""mt"")"),"Flimkien ma '15 -il sororità, kemm fraternitajiet għandhom l-U ta 'C?")</f>
        <v>Flimkien ma '15 -il sororità, kemm fraternitajiet għandhom l-U ta 'C?</v>
      </c>
    </row>
    <row r="16519" ht="15.75" customHeight="1">
      <c r="A16519" s="2" t="s">
        <v>16519</v>
      </c>
      <c r="B16519" s="2" t="str">
        <f>IFERROR(__xludf.DUMMYFUNCTION("GOOGLETRANSLATE(A16519, ""en"", ""mt"")"),"Meta l-Armata Ġermaniża reġgħet occupy Brittanja u Franza?")</f>
        <v>Meta l-Armata Ġermaniża reġgħet occupy Brittanja u Franza?</v>
      </c>
    </row>
    <row r="16520" ht="15.75" customHeight="1">
      <c r="A16520" s="2" t="s">
        <v>16520</v>
      </c>
      <c r="B16520" s="2" t="str">
        <f>IFERROR(__xludf.DUMMYFUNCTION("GOOGLETRANSLATE(A16520, ""en"", ""mt"")"),"Il-kampus tal-Università ta ’Chicago")</f>
        <v>Il-kampus tal-Università ta ’Chicago</v>
      </c>
    </row>
    <row r="16521" ht="15.75" customHeight="1">
      <c r="A16521" s="2" t="s">
        <v>16521</v>
      </c>
      <c r="B16521" s="2" t="str">
        <f>IFERROR(__xludf.DUMMYFUNCTION("GOOGLETRANSLATE(A16521, ""en"", ""mt"")"),"X'wassal għar-Renju Unit biex tissottoskrivi għall-ftehim dwar il-politika soċjali?")</f>
        <v>X'wassal għar-Renju Unit biex tissottoskrivi għall-ftehim dwar il-politika soċjali?</v>
      </c>
    </row>
    <row r="16522" ht="15.75" customHeight="1">
      <c r="A16522" s="2" t="s">
        <v>16522</v>
      </c>
      <c r="B16522" s="2" t="str">
        <f>IFERROR(__xludf.DUMMYFUNCTION("GOOGLETRANSLATE(A16522, ""en"", ""mt"")"),"Ġudikat ""Ħażin"" minn kuxjenza individwali")</f>
        <v>Ġudikat "Ħażin" minn kuxjenza individwali</v>
      </c>
    </row>
    <row r="16523" ht="15.75" customHeight="1">
      <c r="A16523" s="2" t="s">
        <v>16523</v>
      </c>
      <c r="B16523" s="2" t="str">
        <f>IFERROR(__xludf.DUMMYFUNCTION("GOOGLETRANSLATE(A16523, ""en"", ""mt"")"),"RSA")</f>
        <v>RSA</v>
      </c>
    </row>
    <row r="16524" ht="15.75" customHeight="1">
      <c r="A16524" s="2" t="s">
        <v>16524</v>
      </c>
      <c r="B16524" s="2" t="str">
        <f>IFERROR(__xludf.DUMMYFUNCTION("GOOGLETRANSLATE(A16524, ""en"", ""mt"")"),"Kunsill tal-Belt")</f>
        <v>Kunsill tal-Belt</v>
      </c>
    </row>
    <row r="16525" ht="15.75" customHeight="1">
      <c r="A16525" s="2" t="s">
        <v>16525</v>
      </c>
      <c r="B16525" s="2" t="str">
        <f>IFERROR(__xludf.DUMMYFUNCTION("GOOGLETRANSLATE(A16525, ""en"", ""mt"")"),"Użu ta 'netwerk deċentralizzat b'ħafna mogħdijiet bejn kwalunkwe żewġ punti, li jaqsmu messaġġi ta' utent fi blokki ta 'messaġġi, aktar tard imsejħa pakketti")</f>
        <v>Użu ta 'netwerk deċentralizzat b'ħafna mogħdijiet bejn kwalunkwe żewġ punti, li jaqsmu messaġġi ta' utent fi blokki ta 'messaġġi, aktar tard imsejħa pakketti</v>
      </c>
    </row>
    <row r="16526" ht="15.75" customHeight="1">
      <c r="A16526" s="2" t="s">
        <v>16526</v>
      </c>
      <c r="B16526" s="2" t="str">
        <f>IFERROR(__xludf.DUMMYFUNCTION("GOOGLETRANSLATE(A16526, ""en"", ""mt"")"),"Alġerija")</f>
        <v>Alġerija</v>
      </c>
    </row>
    <row r="16527" ht="15.75" customHeight="1">
      <c r="A16527" s="2" t="s">
        <v>16527</v>
      </c>
      <c r="B16527" s="2" t="str">
        <f>IFERROR(__xludf.DUMMYFUNCTION("GOOGLETRANSLATE(A16527, ""en"", ""mt"")")," Meta sar l-att wieħed Ewropew?")</f>
        <v> Meta sar l-att wieħed Ewropew?</v>
      </c>
    </row>
    <row r="16528" ht="15.75" customHeight="1">
      <c r="A16528" s="2" t="s">
        <v>16528</v>
      </c>
      <c r="B16528" s="2" t="str">
        <f>IFERROR(__xludf.DUMMYFUNCTION("GOOGLETRANSLATE(A16528, ""en"", ""mt"")"),"sistema legali")</f>
        <v>sistema legali</v>
      </c>
    </row>
    <row r="16529" ht="15.75" customHeight="1">
      <c r="A16529" s="2" t="s">
        <v>16529</v>
      </c>
      <c r="B16529" s="2" t="str">
        <f>IFERROR(__xludf.DUMMYFUNCTION("GOOGLETRANSLATE(A16529, ""en"", ""mt"")"),"L-algoritmu ta 'l-issortjar deterministiku Quicksort")</f>
        <v>L-algoritmu ta 'l-issortjar deterministiku Quicksort</v>
      </c>
    </row>
    <row r="16530" ht="15.75" customHeight="1">
      <c r="A16530" s="2" t="s">
        <v>16530</v>
      </c>
      <c r="B16530" s="2" t="str">
        <f>IFERROR(__xludf.DUMMYFUNCTION("GOOGLETRANSLATE(A16530, ""en"", ""mt"")"),"X'inhi t-tieni skola akkademika tat-teknoloġija fil-Polonja?")</f>
        <v>X'inhi t-tieni skola akkademika tat-teknoloġija fil-Polonja?</v>
      </c>
    </row>
    <row r="16531" ht="15.75" customHeight="1">
      <c r="A16531" s="2" t="s">
        <v>16531</v>
      </c>
      <c r="B16531" s="2" t="str">
        <f>IFERROR(__xludf.DUMMYFUNCTION("GOOGLETRANSLATE(A16531, ""en"", ""mt"")"),"Fejn twieled Halford Mackinder?")</f>
        <v>Fejn twieled Halford Mackinder?</v>
      </c>
    </row>
    <row r="16532" ht="15.75" customHeight="1">
      <c r="A16532" s="2" t="s">
        <v>16532</v>
      </c>
      <c r="B16532" s="2" t="str">
        <f>IFERROR(__xludf.DUMMYFUNCTION("GOOGLETRANSLATE(A16532, ""en"", ""mt"")"),"X'jikkawża s-sintomi ta 'infjammazzjoni?")</f>
        <v>X'jikkawża s-sintomi ta 'infjammazzjoni?</v>
      </c>
    </row>
    <row r="16533" ht="15.75" customHeight="1">
      <c r="A16533" s="2" t="s">
        <v>16533</v>
      </c>
      <c r="B16533" s="2" t="str">
        <f>IFERROR(__xludf.DUMMYFUNCTION("GOOGLETRANSLATE(A16533, ""en"", ""mt"")"),"51.6% ma kienx favur xiex?")</f>
        <v>51.6% ma kienx favur xiex?</v>
      </c>
    </row>
    <row r="16534" ht="15.75" customHeight="1">
      <c r="A16534" s="2" t="s">
        <v>16534</v>
      </c>
      <c r="B16534" s="2" t="str">
        <f>IFERROR(__xludf.DUMMYFUNCTION("GOOGLETRANSLATE(A16534, ""en"", ""mt"")"),"Xi tfisser Yeke Mongghul Ulus?")</f>
        <v>Xi tfisser Yeke Mongghul Ulus?</v>
      </c>
    </row>
    <row r="16535" ht="15.75" customHeight="1">
      <c r="A16535" s="2" t="s">
        <v>16535</v>
      </c>
      <c r="B16535" s="2" t="str">
        <f>IFERROR(__xludf.DUMMYFUNCTION("GOOGLETRANSLATE(A16535, ""en"", ""mt"")"),"Kemm żgur li d-dikjarazzjoni qalu li x-xjenzati kienu li t-temperaturi jibqgħu jogħlew?")</f>
        <v>Kemm żgur li d-dikjarazzjoni qalu li x-xjenzati kienu li t-temperaturi jibqgħu jogħlew?</v>
      </c>
    </row>
    <row r="16536" ht="15.75" customHeight="1">
      <c r="A16536" s="2" t="s">
        <v>16536</v>
      </c>
      <c r="B16536" s="2" t="str">
        <f>IFERROR(__xludf.DUMMYFUNCTION("GOOGLETRANSLATE(A16536, ""en"", ""mt"")"),"Wied tar-Renu Nofsani")</f>
        <v>Wied tar-Renu Nofsani</v>
      </c>
    </row>
    <row r="16537" ht="15.75" customHeight="1">
      <c r="A16537" s="2" t="s">
        <v>16537</v>
      </c>
      <c r="B16537" s="2" t="str">
        <f>IFERROR(__xludf.DUMMYFUNCTION("GOOGLETRANSLATE(A16537, ""en"", ""mt"")"),"Flimkien ma 'muturi elettriċi, liema sorsi ta' enerġija qabżu l-magni ta 'espansjoni fis-seklu 20?")</f>
        <v>Flimkien ma 'muturi elettriċi, liema sorsi ta' enerġija qabżu l-magni ta 'espansjoni fis-seklu 20?</v>
      </c>
    </row>
    <row r="16538" ht="15.75" customHeight="1">
      <c r="A16538" s="2" t="s">
        <v>16538</v>
      </c>
      <c r="B16538" s="2" t="str">
        <f>IFERROR(__xludf.DUMMYFUNCTION("GOOGLETRANSLATE(A16538, ""en"", ""mt"")"),"F'liema reġjun ġew skoperti l-insedjamenti kbar?")</f>
        <v>F'liema reġjun ġew skoperti l-insedjamenti kbar?</v>
      </c>
    </row>
    <row r="16539" ht="15.75" customHeight="1">
      <c r="A16539" s="2" t="s">
        <v>16539</v>
      </c>
      <c r="B16539" s="2" t="str">
        <f>IFERROR(__xludf.DUMMYFUNCTION("GOOGLETRANSLATE(A16539, ""en"", ""mt"")"),"Kublai Khan")</f>
        <v>Kublai Khan</v>
      </c>
    </row>
    <row r="16540" ht="15.75" customHeight="1">
      <c r="A16540" s="2" t="s">
        <v>16540</v>
      </c>
      <c r="B16540" s="2" t="str">
        <f>IFERROR(__xludf.DUMMYFUNCTION("GOOGLETRANSLATE(A16540, ""en"", ""mt"")"),"Xi Huguenots ġġieldu fil-pajjiżi baxxi flimkien mal-Olandiżi kontra Spanja matul l-ewwel snin tar-rewwixta Olandiża (1568-1609). Ir-Repubblika Olandiża malajr saret destinazzjoni għal Huguenot Exiles. Ir-rabtiet bikrija kienu diġà viżibbli fl- ""apologie"&amp;""" ta 'William is-siekta, li kkundanna l-Inkwiżizzjoni Spanjola, li kienet miktuba mill-ministru tal-qorti tiegħu, il-Huguenot Pierre L'Oyseleur, Lord of Villiers. Louise de Coligny, bint il-mexxej tal-Huguenot maqtul Gaspard de Coligny, iżżewġet lil Will"&amp;"iam is-Silent, mexxej tar-rewwixta Olandiża (Kalvinista) kontra l-ħakma Spanjola (Kattolika). Hekk kif it-tnejn tkellmu bil-Franċiż fil-ħajja ta ’kuljum, il-knisja tal-qorti tagħhom fil-Prinsenhof f’Delft kellha servizzi bil-Franċiż. Il-prattika kompliet "&amp;"sal-ġurnata tal-lum. Il-Prinsenhof hija waħda mill-14-il knisja attiva tal-walloon tal-Knisja Riformata Olandiża. Ir-rabtiet bejn Huguenots u t-tmexxija militari u politika tar-Repubblika Olandiża, il-Kamra ta 'Orange-Nassau, li kienet teżisti mill-jiem b"&amp;"ikrija tar-rewwixta Olandiża, għenu biex jappoġġjaw il-bosta insedjamenti bikrija ta' Huguenots fil-kolonji tar-Repubblika Olandiża. Huma stabbilixxew fil-Kap ta ’Tama Tajba fl-Afrika t'Isfel u l-Olanda Ġdida fl-Amerika ta’ Fuq.")</f>
        <v>Xi Huguenots ġġieldu fil-pajjiżi baxxi flimkien mal-Olandiżi kontra Spanja matul l-ewwel snin tar-rewwixta Olandiża (1568-1609). Ir-Repubblika Olandiża malajr saret destinazzjoni għal Huguenot Exiles. Ir-rabtiet bikrija kienu diġà viżibbli fl- "apologie" ta 'William is-siekta, li kkundanna l-Inkwiżizzjoni Spanjola, li kienet miktuba mill-ministru tal-qorti tiegħu, il-Huguenot Pierre L'Oyseleur, Lord of Villiers. Louise de Coligny, bint il-mexxej tal-Huguenot maqtul Gaspard de Coligny, iżżewġet lil William is-Silent, mexxej tar-rewwixta Olandiża (Kalvinista) kontra l-ħakma Spanjola (Kattolika). Hekk kif it-tnejn tkellmu bil-Franċiż fil-ħajja ta ’kuljum, il-knisja tal-qorti tagħhom fil-Prinsenhof f’Delft kellha servizzi bil-Franċiż. Il-prattika kompliet sal-ġurnata tal-lum. Il-Prinsenhof hija waħda mill-14-il knisja attiva tal-walloon tal-Knisja Riformata Olandiża. Ir-rabtiet bejn Huguenots u t-tmexxija militari u politika tar-Repubblika Olandiża, il-Kamra ta 'Orange-Nassau, li kienet teżisti mill-jiem bikrija tar-rewwixta Olandiża, għenu biex jappoġġjaw il-bosta insedjamenti bikrija ta' Huguenots fil-kolonji tar-Repubblika Olandiża. Huma stabbilixxew fil-Kap ta ’Tama Tajba fl-Afrika t'Isfel u l-Olanda Ġdida fl-Amerika ta’ Fuq.</v>
      </c>
    </row>
    <row r="16541" ht="15.75" customHeight="1">
      <c r="A16541" s="2" t="s">
        <v>16541</v>
      </c>
      <c r="B16541" s="2" t="str">
        <f>IFERROR(__xludf.DUMMYFUNCTION("GOOGLETRANSLATE(A16541, ""en"", ""mt"")"),"Invażjoni tal-USSR")</f>
        <v>Invażjoni tal-USSR</v>
      </c>
    </row>
    <row r="16542" ht="15.75" customHeight="1">
      <c r="A16542" s="2" t="s">
        <v>16542</v>
      </c>
      <c r="B16542" s="2" t="str">
        <f>IFERROR(__xludf.DUMMYFUNCTION("GOOGLETRANSLATE(A16542, ""en"", ""mt"")"),"Kemm truppi kienu rebbieħa għall-Ingliżi fil-Battalja ta ’Carillon?")</f>
        <v>Kemm truppi kienu rebbieħa għall-Ingliżi fil-Battalja ta ’Carillon?</v>
      </c>
    </row>
    <row r="16543" ht="15.75" customHeight="1">
      <c r="A16543" s="2" t="s">
        <v>16543</v>
      </c>
      <c r="B16543" s="2" t="str">
        <f>IFERROR(__xludf.DUMMYFUNCTION("GOOGLETRANSLATE(A16543, ""en"", ""mt"")"),"Xi jfisser meta l-muniti jitħallew biex ""jitilgħu?""")</f>
        <v>Xi jfisser meta l-muniti jitħallew biex "jitilgħu?"</v>
      </c>
    </row>
    <row r="16544" ht="15.75" customHeight="1">
      <c r="A16544" s="2" t="s">
        <v>16544</v>
      </c>
      <c r="B16544" s="2" t="str">
        <f>IFERROR(__xludf.DUMMYFUNCTION("GOOGLETRANSLATE(A16544, ""en"", ""mt"")"),"X'inhu t-terminu għan-nies Aboriġini oriġinali ta 'Canberra?")</f>
        <v>X'inhu t-terminu għan-nies Aboriġini oriġinali ta 'Canberra?</v>
      </c>
    </row>
    <row r="16545" ht="15.75" customHeight="1">
      <c r="A16545" s="2" t="s">
        <v>16545</v>
      </c>
      <c r="B16545" s="2" t="str">
        <f>IFERROR(__xludf.DUMMYFUNCTION("GOOGLETRANSLATE(A16545, ""en"", ""mt"")"),"Matul liema sena qalu li ċ-ċittadini jew il-korporazzjonijiet ma jkunux jistgħu jġibu talbiet kontra partijiet oħra mhux tal-istat?")</f>
        <v>Matul liema sena qalu li ċ-ċittadini jew il-korporazzjonijiet ma jkunux jistgħu jġibu talbiet kontra partijiet oħra mhux tal-istat?</v>
      </c>
    </row>
    <row r="16546" ht="15.75" customHeight="1">
      <c r="A16546" s="2" t="s">
        <v>16546</v>
      </c>
      <c r="B16546" s="2" t="str">
        <f>IFERROR(__xludf.DUMMYFUNCTION("GOOGLETRANSLATE(A16546, ""en"", ""mt"")"),"George W. Bush")</f>
        <v>George W. Bush</v>
      </c>
    </row>
    <row r="16547" ht="15.75" customHeight="1">
      <c r="A16547" s="2" t="s">
        <v>16547</v>
      </c>
      <c r="B16547" s="2" t="str">
        <f>IFERROR(__xludf.DUMMYFUNCTION("GOOGLETRANSLATE(A16547, ""en"", ""mt"")"),"Liema grupp politiku beda jikseb appoġġ wara l-iskandlu tal-korruzzjoni?")</f>
        <v>Liema grupp politiku beda jikseb appoġġ wara l-iskandlu tal-korruzzjoni?</v>
      </c>
    </row>
    <row r="16548" ht="15.75" customHeight="1">
      <c r="A16548" s="2" t="s">
        <v>16548</v>
      </c>
      <c r="B16548" s="2" t="str">
        <f>IFERROR(__xludf.DUMMYFUNCTION("GOOGLETRANSLATE(A16548, ""en"", ""mt"")"),"kompletament simboliku")</f>
        <v>kompletament simboliku</v>
      </c>
    </row>
    <row r="16549" ht="15.75" customHeight="1">
      <c r="A16549" s="2" t="s">
        <v>16549</v>
      </c>
      <c r="B16549" s="2" t="str">
        <f>IFERROR(__xludf.DUMMYFUNCTION("GOOGLETRANSLATE(A16549, ""en"", ""mt"")"),"X'inhu meqjus bħala l-epitome tar-Romine Romanticism?")</f>
        <v>X'inhu meqjus bħala l-epitome tar-Romine Romanticism?</v>
      </c>
    </row>
    <row r="16550" ht="15.75" customHeight="1">
      <c r="A16550" s="2" t="s">
        <v>16550</v>
      </c>
      <c r="B16550" s="2" t="str">
        <f>IFERROR(__xludf.DUMMYFUNCTION("GOOGLETRANSLATE(A16550, ""en"", ""mt"")"),"Valur miżjud mix-xogħol, il-kapital u l-art")</f>
        <v>Valur miżjud mix-xogħol, il-kapital u l-art</v>
      </c>
    </row>
    <row r="16551" ht="15.75" customHeight="1">
      <c r="A16551" s="2" t="s">
        <v>16551</v>
      </c>
      <c r="B16551" s="2" t="str">
        <f>IFERROR(__xludf.DUMMYFUNCTION("GOOGLETRANSLATE(A16551, ""en"", ""mt"")"),"Liema alumni kiteb ""Il-Gwerra t-Tajba""?")</f>
        <v>Liema alumni kiteb "Il-Gwerra t-Tajba"?</v>
      </c>
    </row>
    <row r="16552" ht="15.75" customHeight="1">
      <c r="A16552" s="2" t="s">
        <v>16552</v>
      </c>
      <c r="B16552" s="2" t="str">
        <f>IFERROR(__xludf.DUMMYFUNCTION("GOOGLETRANSLATE(A16552, ""en"", ""mt"")")," Fejn joriġina Pamas?")</f>
        <v> Fejn joriġina Pamas?</v>
      </c>
    </row>
    <row r="16553" ht="15.75" customHeight="1">
      <c r="A16553" s="2" t="s">
        <v>16553</v>
      </c>
      <c r="B16553" s="2" t="str">
        <f>IFERROR(__xludf.DUMMYFUNCTION("GOOGLETRANSLATE(A16553, ""en"", ""mt"")"),"il-forzi fundamentali magħrufa bħalissa")</f>
        <v>il-forzi fundamentali magħrufa bħalissa</v>
      </c>
    </row>
    <row r="16554" ht="15.75" customHeight="1">
      <c r="A16554" s="2" t="s">
        <v>16554</v>
      </c>
      <c r="B16554" s="2" t="str">
        <f>IFERROR(__xludf.DUMMYFUNCTION("GOOGLETRANSLATE(A16554, ""en"", ""mt"")"),"Meta l-blat jingħalaq fil-fond fl-art jista 'jintewa wieħed minn żewġ modi, meta joħloq' l isfel?")</f>
        <v>Meta l-blat jingħalaq fil-fond fl-art jista 'jintewa wieħed minn żewġ modi, meta joħloq' l isfel?</v>
      </c>
    </row>
    <row r="16555" ht="15.75" customHeight="1">
      <c r="A16555" s="2" t="s">
        <v>16555</v>
      </c>
      <c r="B16555" s="2" t="str">
        <f>IFERROR(__xludf.DUMMYFUNCTION("GOOGLETRANSLATE(A16555, ""en"", ""mt"")"),"Għal liema tip ta 'vettura biddlet Chrysler fl-1977?")</f>
        <v>Għal liema tip ta 'vettura biddlet Chrysler fl-1977?</v>
      </c>
    </row>
    <row r="16556" ht="15.75" customHeight="1">
      <c r="A16556" s="2" t="s">
        <v>16556</v>
      </c>
      <c r="B16556" s="2" t="str">
        <f>IFERROR(__xludf.DUMMYFUNCTION("GOOGLETRANSLATE(A16556, ""en"", ""mt"")"),"75,000 sa 100,000")</f>
        <v>75,000 sa 100,000</v>
      </c>
    </row>
    <row r="16557" ht="15.75" customHeight="1">
      <c r="A16557" s="2" t="s">
        <v>16557</v>
      </c>
      <c r="B16557" s="2" t="str">
        <f>IFERROR(__xludf.DUMMYFUNCTION("GOOGLETRANSLATE(A16557, ""en"", ""mt"")"),"awtorizzata taxxa fuq il-bejgħ ta 'nofs penny")</f>
        <v>awtorizzata taxxa fuq il-bejgħ ta 'nofs penny</v>
      </c>
    </row>
    <row r="16558" ht="15.75" customHeight="1">
      <c r="A16558" s="2" t="s">
        <v>16558</v>
      </c>
      <c r="B16558" s="2" t="str">
        <f>IFERROR(__xludf.DUMMYFUNCTION("GOOGLETRANSLATE(A16558, ""en"", ""mt"")"),"X'inhu l-isem Ġappuniż għad-dinastija Yuan?")</f>
        <v>X'inhu l-isem Ġappuniż għad-dinastija Yuan?</v>
      </c>
    </row>
    <row r="16559" ht="15.75" customHeight="1">
      <c r="A16559" s="2" t="s">
        <v>16559</v>
      </c>
      <c r="B16559" s="2" t="str">
        <f>IFERROR(__xludf.DUMMYFUNCTION("GOOGLETRANSLATE(A16559, ""en"", ""mt"")"),"Kull oġġett jista 'jkun, essenzjalment b'mod uniku, dekompost fil-komponenti ewlenin tiegħu")</f>
        <v>Kull oġġett jista 'jkun, essenzjalment b'mod uniku, dekompost fil-komponenti ewlenin tiegħu</v>
      </c>
    </row>
    <row r="16560" ht="15.75" customHeight="1">
      <c r="A16560" s="2" t="s">
        <v>16560</v>
      </c>
      <c r="B16560" s="2" t="str">
        <f>IFERROR(__xludf.DUMMYFUNCTION("GOOGLETRANSLATE(A16560, ""en"", ""mt"")"),"Kemm art l-uċuħ tar-razzett iduru kull sena fir-Rabat?")</f>
        <v>Kemm art l-uċuħ tar-razzett iduru kull sena fir-Rabat?</v>
      </c>
    </row>
    <row r="16561" ht="15.75" customHeight="1">
      <c r="A16561" s="2" t="s">
        <v>16561</v>
      </c>
      <c r="B16561" s="2" t="str">
        <f>IFERROR(__xludf.DUMMYFUNCTION("GOOGLETRANSLATE(A16561, ""en"", ""mt"")"),"Liema mistoqsija ma wasslitx għal kritika?")</f>
        <v>Liema mistoqsija ma wasslitx għal kritika?</v>
      </c>
    </row>
    <row r="16562" ht="15.75" customHeight="1">
      <c r="A16562" s="2" t="s">
        <v>16562</v>
      </c>
      <c r="B16562" s="2" t="str">
        <f>IFERROR(__xludf.DUMMYFUNCTION("GOOGLETRANSLATE(A16562, ""en"", ""mt"")"),"residwu tal-forza")</f>
        <v>residwu tal-forza</v>
      </c>
    </row>
    <row r="16563" ht="15.75" customHeight="1">
      <c r="A16563" s="2" t="s">
        <v>16563</v>
      </c>
      <c r="B16563" s="2" t="str">
        <f>IFERROR(__xludf.DUMMYFUNCTION("GOOGLETRANSLATE(A16563, ""en"", ""mt"")"),"In-Nofsinhar tal-Kalifornja hija maqsuma kulturalment, politikament, u ekonomikament f'reġjuni distintivi, kull wieħed fih il-kultura u l-atmosfera tagħha stess, ankrata ġeneralment minn belt kemm b'rikonoxximent nazzjonali u xi kultant globali, li ħafna "&amp;"drabi huma l-hub tal-attività ekonomika għar-reġjun rispettiv tagħha u li huma d-dar għal ħafna destinazzjonijiet turistiċi. Kull reġjun huwa maqsum aktar f'ħafna żoni kulturalment distinti iżda kollu kemm hu jikkombina biex joħloq l-atmosfera tan-Nofsinh"&amp;"ar ta 'California.")</f>
        <v>In-Nofsinhar tal-Kalifornja hija maqsuma kulturalment, politikament, u ekonomikament f'reġjuni distintivi, kull wieħed fih il-kultura u l-atmosfera tagħha stess, ankrata ġeneralment minn belt kemm b'rikonoxximent nazzjonali u xi kultant globali, li ħafna drabi huma l-hub tal-attività ekonomika għar-reġjun rispettiv tagħha u li huma d-dar għal ħafna destinazzjonijiet turistiċi. Kull reġjun huwa maqsum aktar f'ħafna żoni kulturalment distinti iżda kollu kemm hu jikkombina biex joħloq l-atmosfera tan-Nofsinhar ta 'California.</v>
      </c>
    </row>
    <row r="16564" ht="15.75" customHeight="1">
      <c r="A16564" s="2" t="s">
        <v>16564</v>
      </c>
      <c r="B16564" s="2" t="str">
        <f>IFERROR(__xludf.DUMMYFUNCTION("GOOGLETRANSLATE(A16564, ""en"", ""mt"")"),"Meta kienet it-tieni kriżi taż-żejt?")</f>
        <v>Meta kienet it-tieni kriżi taż-żejt?</v>
      </c>
    </row>
    <row r="16565" ht="15.75" customHeight="1">
      <c r="A16565" s="2" t="s">
        <v>16565</v>
      </c>
      <c r="B16565" s="2" t="str">
        <f>IFERROR(__xludf.DUMMYFUNCTION("GOOGLETRANSLATE(A16565, ""en"", ""mt"")"),"Dak li jagħmel it-tul tal-ġurnata kostanti fid-dinja?")</f>
        <v>Dak li jagħmel it-tul tal-ġurnata kostanti fid-dinja?</v>
      </c>
    </row>
    <row r="16566" ht="15.75" customHeight="1">
      <c r="A16566" s="2" t="s">
        <v>16566</v>
      </c>
      <c r="B16566" s="2" t="str">
        <f>IFERROR(__xludf.DUMMYFUNCTION("GOOGLETRANSLATE(A16566, ""en"", ""mt"")"),"Liema reliġjon kienet Hugues Capet?")</f>
        <v>Liema reliġjon kienet Hugues Capet?</v>
      </c>
    </row>
    <row r="16567" ht="15.75" customHeight="1">
      <c r="A16567" s="2" t="s">
        <v>16567</v>
      </c>
      <c r="B16567" s="2" t="str">
        <f>IFERROR(__xludf.DUMMYFUNCTION("GOOGLETRANSLATE(A16567, ""en"", ""mt"")"),"Liema porzjon ta 'speċi ta' għasafar jiffurmaw it-total tad-dinja li jgħixu fil-foresta tropikali?")</f>
        <v>Liema porzjon ta 'speċi ta' għasafar jiffurmaw it-total tad-dinja li jgħixu fil-foresta tropikali?</v>
      </c>
    </row>
    <row r="16568" ht="15.75" customHeight="1">
      <c r="A16568" s="2" t="s">
        <v>16568</v>
      </c>
      <c r="B16568" s="2" t="str">
        <f>IFERROR(__xludf.DUMMYFUNCTION("GOOGLETRANSLATE(A16568, ""en"", ""mt"")"),"X'inhuma l-5 kampus tal-Università ta 'California?")</f>
        <v>X'inhuma l-5 kampus tal-Università ta 'California?</v>
      </c>
    </row>
    <row r="16569" ht="15.75" customHeight="1">
      <c r="A16569" s="2" t="s">
        <v>16569</v>
      </c>
      <c r="B16569" s="2" t="str">
        <f>IFERROR(__xludf.DUMMYFUNCTION("GOOGLETRANSLATE(A16569, ""en"", ""mt"")"),"Armata tal-Ġermanja inferjuri")</f>
        <v>Armata tal-Ġermanja inferjuri</v>
      </c>
    </row>
    <row r="16570" ht="15.75" customHeight="1">
      <c r="A16570" s="2" t="s">
        <v>16570</v>
      </c>
      <c r="B16570" s="2" t="str">
        <f>IFERROR(__xludf.DUMMYFUNCTION("GOOGLETRANSLATE(A16570, ""en"", ""mt"")"),"Liema pożizzjoni fil-gvern għandu Robert Gates?")</f>
        <v>Liema pożizzjoni fil-gvern għandu Robert Gates?</v>
      </c>
    </row>
    <row r="16571" ht="15.75" customHeight="1">
      <c r="A16571" s="2" t="s">
        <v>16571</v>
      </c>
      <c r="B16571" s="2" t="str">
        <f>IFERROR(__xludf.DUMMYFUNCTION("GOOGLETRANSLATE(A16571, ""en"", ""mt"")"),"F'liema tip ta 'sistema ta' partiċelli m'hemmx forzi iinternali żbilanċjati?")</f>
        <v>F'liema tip ta 'sistema ta' partiċelli m'hemmx forzi iinternali żbilanċjati?</v>
      </c>
    </row>
    <row r="16572" ht="15.75" customHeight="1">
      <c r="A16572" s="2" t="s">
        <v>16572</v>
      </c>
      <c r="B16572" s="2" t="str">
        <f>IFERROR(__xludf.DUMMYFUNCTION("GOOGLETRANSLATE(A16572, ""en"", ""mt"")"),"Shoreditch")</f>
        <v>Shoreditch</v>
      </c>
    </row>
    <row r="16573" ht="15.75" customHeight="1">
      <c r="A16573" s="2" t="s">
        <v>16573</v>
      </c>
      <c r="B16573" s="2" t="str">
        <f>IFERROR(__xludf.DUMMYFUNCTION("GOOGLETRANSLATE(A16573, ""en"", ""mt"")"),"Baden-Württemberg")</f>
        <v>Baden-Württemberg</v>
      </c>
    </row>
    <row r="16574" ht="15.75" customHeight="1">
      <c r="A16574" s="2" t="s">
        <v>16574</v>
      </c>
      <c r="B16574" s="2" t="str">
        <f>IFERROR(__xludf.DUMMYFUNCTION("GOOGLETRANSLATE(A16574, ""en"", ""mt"")"),"Liema ktieb ippubblika Darwin fl-1830?")</f>
        <v>Liema ktieb ippubblika Darwin fl-1830?</v>
      </c>
    </row>
    <row r="16575" ht="15.75" customHeight="1">
      <c r="A16575" s="2" t="s">
        <v>16575</v>
      </c>
      <c r="B16575" s="2" t="str">
        <f>IFERROR(__xludf.DUMMYFUNCTION("GOOGLETRANSLATE(A16575, ""en"", ""mt"")"),"Is-sistema tal-qanpiena ġiet maħluqa minn min?")</f>
        <v>Is-sistema tal-qanpiena ġiet maħluqa minn min?</v>
      </c>
    </row>
    <row r="16576" ht="15.75" customHeight="1">
      <c r="A16576" s="2" t="s">
        <v>16576</v>
      </c>
      <c r="B16576" s="2" t="str">
        <f>IFERROR(__xludf.DUMMYFUNCTION("GOOGLETRANSLATE(A16576, ""en"", ""mt"")"),"Liema tliet modi differenti jintużaw biex titkejjel il-kumplessità tal-ispazju?")</f>
        <v>Liema tliet modi differenti jintużaw biex titkejjel il-kumplessità tal-ispazju?</v>
      </c>
    </row>
    <row r="16577" ht="15.75" customHeight="1">
      <c r="A16577" s="2" t="s">
        <v>16577</v>
      </c>
      <c r="B16577" s="2" t="str">
        <f>IFERROR(__xludf.DUMMYFUNCTION("GOOGLETRANSLATE(A16577, ""en"", ""mt"")"),"Sit tat-Test Nukleari tal-Merkurju tal-Kamp")</f>
        <v>Sit tat-Test Nukleari tal-Merkurju tal-Kamp</v>
      </c>
    </row>
    <row r="16578" ht="15.75" customHeight="1">
      <c r="A16578" s="2" t="s">
        <v>16578</v>
      </c>
      <c r="B16578" s="2" t="str">
        <f>IFERROR(__xludf.DUMMYFUNCTION("GOOGLETRANSLATE(A16578, ""en"", ""mt"")"),"Pjazza tal-Parlament, High Street u George IV Bridge")</f>
        <v>Pjazza tal-Parlament, High Street u George IV Bridge</v>
      </c>
    </row>
    <row r="16579" ht="15.75" customHeight="1">
      <c r="A16579" s="2" t="s">
        <v>16579</v>
      </c>
      <c r="B16579" s="2" t="str">
        <f>IFERROR(__xludf.DUMMYFUNCTION("GOOGLETRANSLATE(A16579, ""en"", ""mt"")"),"Freeview")</f>
        <v>Freeview</v>
      </c>
    </row>
    <row r="16580" ht="15.75" customHeight="1">
      <c r="A16580" s="2" t="s">
        <v>16580</v>
      </c>
      <c r="B16580" s="2" t="str">
        <f>IFERROR(__xludf.DUMMYFUNCTION("GOOGLETRANSLATE(A16580, ""en"", ""mt"")"),"Liema organizzazzjoni toffri premjijiet monetarji għall-identifikazzjoni ta 'primes b'mill-inqas 150,000 ċifra?")</f>
        <v>Liema organizzazzjoni toffri premjijiet monetarji għall-identifikazzjoni ta 'primes b'mill-inqas 150,000 ċifra?</v>
      </c>
    </row>
    <row r="16581" ht="15.75" customHeight="1">
      <c r="A16581" s="2" t="s">
        <v>16581</v>
      </c>
      <c r="B16581" s="2" t="str">
        <f>IFERROR(__xludf.DUMMYFUNCTION("GOOGLETRANSLATE(A16581, ""en"", ""mt"")"),"Min huma liġijiet tal-FDA kontra l-importazzjoni ta 'mediċini li mhumiex immirati għalih?")</f>
        <v>Min huma liġijiet tal-FDA kontra l-importazzjoni ta 'mediċini li mhumiex immirati għalih?</v>
      </c>
    </row>
    <row r="16582" ht="15.75" customHeight="1">
      <c r="A16582" s="2" t="s">
        <v>16582</v>
      </c>
      <c r="B16582" s="2" t="str">
        <f>IFERROR(__xludf.DUMMYFUNCTION("GOOGLETRANSLATE(A16582, ""en"", ""mt"")"),"dwar is-sena 2000")</f>
        <v>dwar is-sena 2000</v>
      </c>
    </row>
    <row r="16583" ht="15.75" customHeight="1">
      <c r="A16583" s="2" t="s">
        <v>16583</v>
      </c>
      <c r="B16583" s="2" t="str">
        <f>IFERROR(__xludf.DUMMYFUNCTION("GOOGLETRANSLATE(A16583, ""en"", ""mt"")"),"5 sa 15-il sena")</f>
        <v>5 sa 15-il sena</v>
      </c>
    </row>
    <row r="16584" ht="15.75" customHeight="1">
      <c r="A16584" s="2" t="s">
        <v>16584</v>
      </c>
      <c r="B16584" s="2" t="str">
        <f>IFERROR(__xludf.DUMMYFUNCTION("GOOGLETRANSLATE(A16584, ""en"", ""mt"")"),"In-nixfa u l-popolazzjoni żejda qed jinsistu lejn il-forza lejn xiex?")</f>
        <v>In-nixfa u l-popolazzjoni żejda qed jinsistu lejn il-forza lejn xiex?</v>
      </c>
    </row>
    <row r="16585" ht="15.75" customHeight="1">
      <c r="A16585" s="2" t="s">
        <v>16585</v>
      </c>
      <c r="B16585" s="2" t="str">
        <f>IFERROR(__xludf.DUMMYFUNCTION("GOOGLETRANSLATE(A16585, ""en"", ""mt"")"),"Minbarra l-Ġermanja u l-Isvizzera, fejn inkella l-Lag Constance?")</f>
        <v>Minbarra l-Ġermanja u l-Isvizzera, fejn inkella l-Lag Constance?</v>
      </c>
    </row>
    <row r="16586" ht="15.75" customHeight="1">
      <c r="A16586" s="2" t="s">
        <v>16586</v>
      </c>
      <c r="B16586" s="2" t="str">
        <f>IFERROR(__xludf.DUMMYFUNCTION("GOOGLETRANSLATE(A16586, ""en"", ""mt"")"),"X'għamlet involontarjament il-gwerra tal-Golf fil-bidu tad-disgħinijiet?")</f>
        <v>X'għamlet involontarjament il-gwerra tal-Golf fil-bidu tad-disgħinijiet?</v>
      </c>
    </row>
    <row r="16587" ht="15.75" customHeight="1">
      <c r="A16587" s="2" t="s">
        <v>16587</v>
      </c>
      <c r="B16587" s="2" t="str">
        <f>IFERROR(__xludf.DUMMYFUNCTION("GOOGLETRANSLATE(A16587, ""en"", ""mt"")"),"Testi bikrija tal-Punent li jirreferu l-Lvant jiddeskrivu n-nies bħala xiex?")</f>
        <v>Testi bikrija tal-Punent li jirreferu l-Lvant jiddeskrivu n-nies bħala xiex?</v>
      </c>
    </row>
    <row r="16588" ht="15.75" customHeight="1">
      <c r="A16588" s="2" t="s">
        <v>16588</v>
      </c>
      <c r="B16588" s="2" t="str">
        <f>IFERROR(__xludf.DUMMYFUNCTION("GOOGLETRANSLATE(A16588, ""en"", ""mt"")"),"Għalkemm nieqes minn konnessjonijiet storiċi mal-Lvant Nofsani, il-Ġappun kien il-pajjiż l-iktar dipendenti fuq iż-żejt Għarbi. 71% taż-żejt importat tiegħu ġie mill-Lvant Nofsani fl-1970. Fis-7 ta 'Novembru, 1973, il-gvernijiet Sawdi u l-Kuwajt iddikjara"&amp;"w lill-Ġappun pajjiż ""mhux faċli"" biex iħeġġeġha tbiddel il-politika ta' nuqqas ta 'involviment tagħha. Irċieva tnaqqis fil-produzzjoni ta '5% f'Diċembru, u kkawża paniku. Fit-22 ta 'Novembru, il-Ġappun ħareġ dikjarazzjoni ""billi afferma li l-Iżrael għ"&amp;"andu jirtira mit-territorji kollha tal-1967, favur l-awtodeterminazzjoni Palestinjana, u thedded li jerġa' jikkunsidra l-politika tiegħu lejn l-Iżrael jekk l-Iżrael irrifjuta li jaċċetta dawn il-prekundizzjonijiet"". Sal-25 ta 'Diċembru, il-Ġappun kien me"&amp;"qjus bħala stat li jirrispetta l-Għarbi.")</f>
        <v>Għalkemm nieqes minn konnessjonijiet storiċi mal-Lvant Nofsani, il-Ġappun kien il-pajjiż l-iktar dipendenti fuq iż-żejt Għarbi. 71% taż-żejt importat tiegħu ġie mill-Lvant Nofsani fl-1970. Fis-7 ta 'Novembru, 1973, il-gvernijiet Sawdi u l-Kuwajt iddikjaraw lill-Ġappun pajjiż "mhux faċli" biex iħeġġeġha tbiddel il-politika ta' nuqqas ta 'involviment tagħha. Irċieva tnaqqis fil-produzzjoni ta '5% f'Diċembru, u kkawża paniku. Fit-22 ta 'Novembru, il-Ġappun ħareġ dikjarazzjoni "billi afferma li l-Iżrael għandu jirtira mit-territorji kollha tal-1967, favur l-awtodeterminazzjoni Palestinjana, u thedded li jerġa' jikkunsidra l-politika tiegħu lejn l-Iżrael jekk l-Iżrael irrifjuta li jaċċetta dawn il-prekundizzjonijiet". Sal-25 ta 'Diċembru, il-Ġappun kien meqjus bħala stat li jirrispetta l-Għarbi.</v>
      </c>
    </row>
    <row r="16589" ht="15.75" customHeight="1">
      <c r="A16589" s="2" t="s">
        <v>16589</v>
      </c>
      <c r="B16589" s="2" t="str">
        <f>IFERROR(__xludf.DUMMYFUNCTION("GOOGLETRANSLATE(A16589, ""en"", ""mt"")"),"It-Tieni Liġi tal-Mozzjoni ta 'Newton")</f>
        <v>It-Tieni Liġi tal-Mozzjoni ta 'Newton</v>
      </c>
    </row>
    <row r="16590" ht="15.75" customHeight="1">
      <c r="A16590" s="2" t="s">
        <v>16590</v>
      </c>
      <c r="B16590" s="2" t="str">
        <f>IFERROR(__xludf.DUMMYFUNCTION("GOOGLETRANSLATE(A16590, ""en"", ""mt"")"),"Xi jfisser il-mudell tat-tbassir tat-terremot tal-UGSS California?")</f>
        <v>Xi jfisser il-mudell tat-tbassir tat-terremot tal-UGSS California?</v>
      </c>
    </row>
    <row r="16591" ht="15.75" customHeight="1">
      <c r="A16591" s="2" t="s">
        <v>16591</v>
      </c>
      <c r="B16591" s="2" t="str">
        <f>IFERROR(__xludf.DUMMYFUNCTION("GOOGLETRANSLATE(A16591, ""en"", ""mt"")"),"X'kienu l-miżati tal-ġarr ta 'kull ġimgħa għall-kanali?")</f>
        <v>X'kienu l-miżati tal-ġarr ta 'kull ġimgħa għall-kanali?</v>
      </c>
    </row>
    <row r="16592" ht="15.75" customHeight="1">
      <c r="A16592" s="2" t="s">
        <v>16592</v>
      </c>
      <c r="B16592" s="2" t="str">
        <f>IFERROR(__xludf.DUMMYFUNCTION("GOOGLETRANSLATE(A16592, ""en"", ""mt"")"),"Meta seħħ it-tkabbir taż-żona tal-Polonja?")</f>
        <v>Meta seħħ it-tkabbir taż-żona tal-Polonja?</v>
      </c>
    </row>
    <row r="16593" ht="15.75" customHeight="1">
      <c r="A16593" s="2" t="s">
        <v>16593</v>
      </c>
      <c r="B16593" s="2" t="str">
        <f>IFERROR(__xludf.DUMMYFUNCTION("GOOGLETRANSLATE(A16593, ""en"", ""mt"")"),"Hemm kategoriji oħra għal xiex?")</f>
        <v>Hemm kategoriji oħra għal xiex?</v>
      </c>
    </row>
    <row r="16594" ht="15.75" customHeight="1">
      <c r="A16594" s="2" t="s">
        <v>16594</v>
      </c>
      <c r="B16594" s="2" t="str">
        <f>IFERROR(__xludf.DUMMYFUNCTION("GOOGLETRANSLATE(A16594, ""en"", ""mt"")"),"Kemm hemm membri fuq il-pajjiż tal-belt ta 'Varsavja?")</f>
        <v>Kemm hemm membri fuq il-pajjiż tal-belt ta 'Varsavja?</v>
      </c>
    </row>
    <row r="16595" ht="15.75" customHeight="1">
      <c r="A16595" s="2" t="s">
        <v>16595</v>
      </c>
      <c r="B16595" s="2" t="str">
        <f>IFERROR(__xludf.DUMMYFUNCTION("GOOGLETRANSLATE(A16595, ""en"", ""mt"")"),"Min normalment jagħti struzzjonijiet lill-membri kif jivvutaw?")</f>
        <v>Min normalment jagħti struzzjonijiet lill-membri kif jivvutaw?</v>
      </c>
    </row>
    <row r="16596" ht="15.75" customHeight="1">
      <c r="A16596" s="2" t="s">
        <v>16596</v>
      </c>
      <c r="B16596" s="2" t="str">
        <f>IFERROR(__xludf.DUMMYFUNCTION("GOOGLETRANSLATE(A16596, ""en"", ""mt"")"),"X'kien il-katalist li ħoloq interess akbar fir-riżorsi rinnovabbli?")</f>
        <v>X'kien il-katalist li ħoloq interess akbar fir-riżorsi rinnovabbli?</v>
      </c>
    </row>
    <row r="16597" ht="15.75" customHeight="1">
      <c r="A16597" s="2" t="s">
        <v>16597</v>
      </c>
      <c r="B16597" s="2" t="str">
        <f>IFERROR(__xludf.DUMMYFUNCTION("GOOGLETRANSLATE(A16597, ""en"", ""mt"")"),"X'inhuma l-ewwel bini li l-università mibnija taf kif illum?")</f>
        <v>X'inhuma l-ewwel bini li l-università mibnija taf kif illum?</v>
      </c>
    </row>
    <row r="16598" ht="15.75" customHeight="1">
      <c r="A16598" s="2" t="s">
        <v>16598</v>
      </c>
      <c r="B16598" s="2" t="str">
        <f>IFERROR(__xludf.DUMMYFUNCTION("GOOGLETRANSLATE(A16598, ""en"", ""mt"")"),"X'kienet ir-relazzjoni ta 'Kublai Khan ma' Ogedei Khan?")</f>
        <v>X'kienet ir-relazzjoni ta 'Kublai Khan ma' Ogedei Khan?</v>
      </c>
    </row>
    <row r="16599" ht="15.75" customHeight="1">
      <c r="A16599" s="2" t="s">
        <v>16599</v>
      </c>
      <c r="B16599" s="2" t="str">
        <f>IFERROR(__xludf.DUMMYFUNCTION("GOOGLETRANSLATE(A16599, ""en"", ""mt"")"),"Flimkien ma 'magni tal-baħar u unitajiet industrijali, f'liema magni kienu popolari lokomottivi tal-baħar?")</f>
        <v>Flimkien ma 'magni tal-baħar u unitajiet industrijali, f'liema magni kienu popolari lokomottivi tal-baħar?</v>
      </c>
    </row>
    <row r="16600" ht="15.75" customHeight="1">
      <c r="A16600" s="2" t="s">
        <v>16600</v>
      </c>
      <c r="B16600" s="2" t="str">
        <f>IFERROR(__xludf.DUMMYFUNCTION("GOOGLETRANSLATE(A16600, ""en"", ""mt"")"),"X'inhuma ż-żewġ tweġibiet sħaħ għal problema ta 'deċiżjoni?")</f>
        <v>X'inhuma ż-żewġ tweġibiet sħaħ għal problema ta 'deċiżjoni?</v>
      </c>
    </row>
    <row r="16601" ht="15.75" customHeight="1">
      <c r="A16601" s="2" t="s">
        <v>16601</v>
      </c>
      <c r="B16601" s="2" t="str">
        <f>IFERROR(__xludf.DUMMYFUNCTION("GOOGLETRANSLATE(A16601, ""en"", ""mt"")"),"Għal ċerti xenarji fiżiċi, huwa impossibbli li l-forzi jimmudellaw bħala dovuti għal gradjent tal-potenzjal. Dan ħafna drabi huwa dovut għal kunsiderazzjonijiet makrofiżiċi li jrendu l-forzi bħala li jirriżultaw minn medja statistika makroskopika ta 'mikr"&amp;"ostati. Pereżempju, il-frizzjoni hija kkawżata mill-gradjenti ta 'bosta potenzjal elettrostatiku bejn l-atomi, iżda timmanifesta bħala mudell ta' forza li huwa indipendenti minn kwalunkwe vettur tal-pożizzjoni makroskala. Forzi mhux konservattivi għajr il"&amp;"-frizzjoni jinkludu forzi oħra ta 'kuntatt, tensjoni, kompressjoni u tkaxkir. Madankollu, għal kwalunkwe deskrizzjoni dettaljata biżżejjed, dawn il-forzi kollha huma r-riżultati ta 'dawk konservattivi peress li kull waħda minn dawn il-forzi makroskopiċi h"&amp;"uma r-riżultati netti tal-gradjenti tal-potenzjal mikroskopiku.")</f>
        <v>Għal ċerti xenarji fiżiċi, huwa impossibbli li l-forzi jimmudellaw bħala dovuti għal gradjent tal-potenzjal. Dan ħafna drabi huwa dovut għal kunsiderazzjonijiet makrofiżiċi li jrendu l-forzi bħala li jirriżultaw minn medja statistika makroskopika ta 'mikrostati. Pereżempju, il-frizzjoni hija kkawżata mill-gradjenti ta 'bosta potenzjal elettrostatiku bejn l-atomi, iżda timmanifesta bħala mudell ta' forza li huwa indipendenti minn kwalunkwe vettur tal-pożizzjoni makroskala. Forzi mhux konservattivi għajr il-frizzjoni jinkludu forzi oħra ta 'kuntatt, tensjoni, kompressjoni u tkaxkir. Madankollu, għal kwalunkwe deskrizzjoni dettaljata biżżejjed, dawn il-forzi kollha huma r-riżultati ta 'dawk konservattivi peress li kull waħda minn dawn il-forzi makroskopiċi huma r-riżultati netti tal-gradjenti tal-potenzjal mikroskopiku.</v>
      </c>
    </row>
    <row r="16602" ht="15.75" customHeight="1">
      <c r="A16602" s="2" t="s">
        <v>16602</v>
      </c>
      <c r="B16602" s="2" t="str">
        <f>IFERROR(__xludf.DUMMYFUNCTION("GOOGLETRANSLATE(A16602, ""en"", ""mt"")"),"2.5 biljun sena ilu matul l-avveniment kbir ta 'ossiġenazzjoni")</f>
        <v>2.5 biljun sena ilu matul l-avveniment kbir ta 'ossiġenazzjoni</v>
      </c>
    </row>
    <row r="16603" ht="15.75" customHeight="1">
      <c r="A16603" s="2" t="s">
        <v>16603</v>
      </c>
      <c r="B16603" s="2" t="str">
        <f>IFERROR(__xludf.DUMMYFUNCTION("GOOGLETRANSLATE(A16603, ""en"", ""mt"")"),"1759-60")</f>
        <v>1759-60</v>
      </c>
    </row>
    <row r="16604" ht="15.75" customHeight="1">
      <c r="A16604" s="2" t="s">
        <v>16604</v>
      </c>
      <c r="B16604" s="2" t="str">
        <f>IFERROR(__xludf.DUMMYFUNCTION("GOOGLETRANSLATE(A16604, ""en"", ""mt"")"),"Verżjonijiet tax-xogħol tat-teknoloġija tal-bini tal-istampar 3D diġà qed jistampaw")</f>
        <v>Verżjonijiet tax-xogħol tat-teknoloġija tal-bini tal-istampar 3D diġà qed jistampaw</v>
      </c>
    </row>
    <row r="16605" ht="15.75" customHeight="1">
      <c r="A16605" s="2" t="s">
        <v>16605</v>
      </c>
      <c r="B16605" s="2" t="str">
        <f>IFERROR(__xludf.DUMMYFUNCTION("GOOGLETRANSLATE(A16605, ""en"", ""mt"")"),"Teorija termodinamika")</f>
        <v>Teorija termodinamika</v>
      </c>
    </row>
    <row r="16606" ht="15.75" customHeight="1">
      <c r="A16606" s="2" t="s">
        <v>16606</v>
      </c>
      <c r="B16606" s="2" t="str">
        <f>IFERROR(__xludf.DUMMYFUNCTION("GOOGLETRANSLATE(A16606, ""en"", ""mt"")"),"X'inhi kimika sekretata minn tumuri li jrażżnu r-rispons immuni?")</f>
        <v>X'inhi kimika sekretata minn tumuri li jrażżnu r-rispons immuni?</v>
      </c>
    </row>
    <row r="16607" ht="15.75" customHeight="1">
      <c r="A16607" s="2" t="s">
        <v>16607</v>
      </c>
      <c r="B16607" s="2" t="str">
        <f>IFERROR(__xludf.DUMMYFUNCTION("GOOGLETRANSLATE(A16607, ""en"", ""mt"")"),"Ir-rapport ta 'tliet paġna Kalven inħareġ f'liema sena?")</f>
        <v>Ir-rapport ta 'tliet paġna Kalven inħareġ f'liema sena?</v>
      </c>
    </row>
    <row r="16608" ht="15.75" customHeight="1">
      <c r="A16608" s="2" t="s">
        <v>16608</v>
      </c>
      <c r="B16608" s="2" t="str">
        <f>IFERROR(__xludf.DUMMYFUNCTION("GOOGLETRANSLATE(A16608, ""en"", ""mt"")"),"X'intuża mill-Punent biex tiġġustifika l-kontroll fuq it-territorji tal-Lvant?")</f>
        <v>X'intuża mill-Punent biex tiġġustifika l-kontroll fuq it-territorji tal-Lvant?</v>
      </c>
    </row>
    <row r="16609" ht="15.75" customHeight="1">
      <c r="A16609" s="2" t="s">
        <v>16609</v>
      </c>
      <c r="B16609" s="2" t="str">
        <f>IFERROR(__xludf.DUMMYFUNCTION("GOOGLETRANSLATE(A16609, ""en"", ""mt"")"),"Min jagħżel il-membri tal-Parlament Amerikan?")</f>
        <v>Min jagħżel il-membri tal-Parlament Amerikan?</v>
      </c>
    </row>
    <row r="16610" ht="15.75" customHeight="1">
      <c r="A16610" s="2" t="s">
        <v>16610</v>
      </c>
      <c r="B16610" s="2" t="str">
        <f>IFERROR(__xludf.DUMMYFUNCTION("GOOGLETRANSLATE(A16610, ""en"", ""mt"")"),"mhux vjolenti")</f>
        <v>mhux vjolenti</v>
      </c>
    </row>
    <row r="16611" ht="15.75" customHeight="1">
      <c r="A16611" s="2" t="s">
        <v>16611</v>
      </c>
      <c r="B16611" s="2" t="str">
        <f>IFERROR(__xludf.DUMMYFUNCTION("GOOGLETRANSLATE(A16611, ""en"", ""mt"")"),"Bitstrings")</f>
        <v>Bitstrings</v>
      </c>
    </row>
    <row r="16612" ht="15.75" customHeight="1">
      <c r="A16612" s="2" t="s">
        <v>16612</v>
      </c>
      <c r="B16612" s="2" t="str">
        <f>IFERROR(__xludf.DUMMYFUNCTION("GOOGLETRANSLATE(A16612, ""en"", ""mt"")"),"F'liema żvilupp l-Università tal-Fiżika Bijoloġika kellha rwol ewlieni?")</f>
        <v>F'liema żvilupp l-Università tal-Fiżika Bijoloġika kellha rwol ewlieni?</v>
      </c>
    </row>
    <row r="16613" ht="15.75" customHeight="1">
      <c r="A16613" s="2" t="s">
        <v>16613</v>
      </c>
      <c r="B16613" s="2" t="str">
        <f>IFERROR(__xludf.DUMMYFUNCTION("GOOGLETRANSLATE(A16613, ""en"", ""mt"")"),"X'kien il-kastig ta 'Thoreau talli ma ħallasx it-taxxi tiegħu?")</f>
        <v>X'kien il-kastig ta 'Thoreau talli ma ħallasx it-taxxi tiegħu?</v>
      </c>
    </row>
    <row r="16614" ht="15.75" customHeight="1">
      <c r="A16614" s="2" t="s">
        <v>16614</v>
      </c>
      <c r="B16614" s="2" t="str">
        <f>IFERROR(__xludf.DUMMYFUNCTION("GOOGLETRANSLATE(A16614, ""en"", ""mt"")"),"Pjattaforma bis-satellita")</f>
        <v>Pjattaforma bis-satellita</v>
      </c>
    </row>
    <row r="16615" ht="15.75" customHeight="1">
      <c r="A16615" s="2" t="s">
        <v>16615</v>
      </c>
      <c r="B16615" s="2" t="str">
        <f>IFERROR(__xludf.DUMMYFUNCTION("GOOGLETRANSLATE(A16615, ""en"", ""mt"")"),"ditti tas-servizzi tal-kostruzzjoni (per eżempju, inġinerija, arkitettura) u maniġers tal-kostruzzjoni")</f>
        <v>ditti tas-servizzi tal-kostruzzjoni (per eżempju, inġinerija, arkitettura) u maniġers tal-kostruzzjoni</v>
      </c>
    </row>
    <row r="16616" ht="15.75" customHeight="1">
      <c r="A16616" s="2" t="s">
        <v>16616</v>
      </c>
      <c r="B16616" s="2" t="str">
        <f>IFERROR(__xludf.DUMMYFUNCTION("GOOGLETRANSLATE(A16616, ""en"", ""mt"")"),"Fort Beauséjour")</f>
        <v>Fort Beauséjour</v>
      </c>
    </row>
    <row r="16617" ht="15.75" customHeight="1">
      <c r="A16617" s="2" t="s">
        <v>16617</v>
      </c>
      <c r="B16617" s="2" t="str">
        <f>IFERROR(__xludf.DUMMYFUNCTION("GOOGLETRANSLATE(A16617, ""en"", ""mt"")"),"darbtejn daqs")</f>
        <v>darbtejn daqs</v>
      </c>
    </row>
    <row r="16618" ht="15.75" customHeight="1">
      <c r="A16618" s="2" t="s">
        <v>16618</v>
      </c>
      <c r="B16618" s="2" t="str">
        <f>IFERROR(__xludf.DUMMYFUNCTION("GOOGLETRANSLATE(A16618, ""en"", ""mt"")"),"Fejn in-Normanni waqqfu l-prinċipat qabel l-ewwel kruċjata?")</f>
        <v>Fejn in-Normanni waqqfu l-prinċipat qabel l-ewwel kruċjata?</v>
      </c>
    </row>
    <row r="16619" ht="15.75" customHeight="1">
      <c r="A16619" s="2" t="s">
        <v>16619</v>
      </c>
      <c r="B16619" s="2" t="str">
        <f>IFERROR(__xludf.DUMMYFUNCTION("GOOGLETRANSLATE(A16619, ""en"", ""mt"")"),"Suleiman il-magnífico")</f>
        <v>Suleiman il-magnífico</v>
      </c>
    </row>
    <row r="16620" ht="15.75" customHeight="1">
      <c r="A16620" s="2" t="s">
        <v>16620</v>
      </c>
      <c r="B16620" s="2" t="str">
        <f>IFERROR(__xludf.DUMMYFUNCTION("GOOGLETRANSLATE(A16620, ""en"", ""mt"")"),"Meta ġiet stabbilita l-Konvenzjoni Ewropea dwar id-Drittijiet tal-Bniedem?")</f>
        <v>Meta ġiet stabbilita l-Konvenzjoni Ewropea dwar id-Drittijiet tal-Bniedem?</v>
      </c>
    </row>
    <row r="16621" ht="15.75" customHeight="1">
      <c r="A16621" s="2" t="s">
        <v>16621</v>
      </c>
      <c r="B16621" s="2" t="str">
        <f>IFERROR(__xludf.DUMMYFUNCTION("GOOGLETRANSLATE(A16621, ""en"", ""mt"")"),"il-probabbiltà ta 'ħsara lill-faċilitajiet tal-elettriku, tad-drenaġġ, tat-telefon u tal-kejbil eżistenti eżistenti")</f>
        <v>il-probabbiltà ta 'ħsara lill-faċilitajiet tal-elettriku, tad-drenaġġ, tat-telefon u tal-kejbil eżistenti eżistenti</v>
      </c>
    </row>
    <row r="16622" ht="15.75" customHeight="1">
      <c r="A16622" s="2" t="s">
        <v>16622</v>
      </c>
      <c r="B16622" s="2" t="str">
        <f>IFERROR(__xludf.DUMMYFUNCTION("GOOGLETRANSLATE(A16622, ""en"", ""mt"")"),"17,000")</f>
        <v>17,000</v>
      </c>
    </row>
    <row r="16623" ht="15.75" customHeight="1">
      <c r="A16623" s="2" t="s">
        <v>16623</v>
      </c>
      <c r="B16623" s="2" t="str">
        <f>IFERROR(__xludf.DUMMYFUNCTION("GOOGLETRANSLATE(A16623, ""en"", ""mt"")"),"Liema persentaġġ ta 'studenti jinkitbu fl-iskola primarja pubblika fil-Filippini?")</f>
        <v>Liema persentaġġ ta 'studenti jinkitbu fl-iskola primarja pubblika fil-Filippini?</v>
      </c>
    </row>
    <row r="16624" ht="15.75" customHeight="1">
      <c r="A16624" s="2" t="s">
        <v>16624</v>
      </c>
      <c r="B16624" s="2" t="str">
        <f>IFERROR(__xludf.DUMMYFUNCTION("GOOGLETRANSLATE(A16624, ""en"", ""mt"")"),"Brittaniku")</f>
        <v>Brittaniku</v>
      </c>
    </row>
    <row r="16625" ht="15.75" customHeight="1">
      <c r="A16625" s="2" t="s">
        <v>16625</v>
      </c>
      <c r="B16625" s="2" t="str">
        <f>IFERROR(__xludf.DUMMYFUNCTION("GOOGLETRANSLATE(A16625, ""en"", ""mt"")"),"Meta ċellola T tidentifika patoġeni?")</f>
        <v>Meta ċellola T tidentifika patoġeni?</v>
      </c>
    </row>
    <row r="16626" ht="15.75" customHeight="1">
      <c r="A16626" s="2" t="s">
        <v>16626</v>
      </c>
      <c r="B16626" s="2" t="str">
        <f>IFERROR(__xludf.DUMMYFUNCTION("GOOGLETRANSLATE(A16626, ""en"", ""mt"")"),"Fejn intwera l-indikatur tal-magna tal-fwar Charles Porter?")</f>
        <v>Fejn intwera l-indikatur tal-magna tal-fwar Charles Porter?</v>
      </c>
    </row>
    <row r="16627" ht="15.75" customHeight="1">
      <c r="A16627" s="2" t="s">
        <v>16627</v>
      </c>
      <c r="B16627" s="2" t="str">
        <f>IFERROR(__xludf.DUMMYFUNCTION("GOOGLETRANSLATE(A16627, ""en"", ""mt"")"),"Ctenophora huma inqas kumplessi minn liema phylum ieħor?")</f>
        <v>Ctenophora huma inqas kumplessi minn liema phylum ieħor?</v>
      </c>
    </row>
    <row r="16628" ht="15.75" customHeight="1">
      <c r="A16628" s="2" t="s">
        <v>16628</v>
      </c>
      <c r="B16628" s="2" t="str">
        <f>IFERROR(__xludf.DUMMYFUNCTION("GOOGLETRANSLATE(A16628, ""en"", ""mt"")"),"380 sena")</f>
        <v>380 sena</v>
      </c>
    </row>
    <row r="16629" ht="15.75" customHeight="1">
      <c r="A16629" s="2" t="s">
        <v>16629</v>
      </c>
      <c r="B16629" s="2" t="str">
        <f>IFERROR(__xludf.DUMMYFUNCTION("GOOGLETRANSLATE(A16629, ""en"", ""mt"")"),"X'għandu jitħabbar pubblikament sabiex xorta tkun tista 'ssib avukat biex jirrappreżentak?")</f>
        <v>X'għandu jitħabbar pubblikament sabiex xorta tkun tista 'ssib avukat biex jirrappreżentak?</v>
      </c>
    </row>
    <row r="16630" ht="15.75" customHeight="1">
      <c r="A16630" s="2" t="s">
        <v>16630</v>
      </c>
      <c r="B16630" s="2" t="str">
        <f>IFERROR(__xludf.DUMMYFUNCTION("GOOGLETRANSLATE(A16630, ""en"", ""mt"")"),"Spanja ċediet lil Florida lill-Ingliżi fl-1763 wara l-Gwerra Franċiża u Indjana, u l-Ingliżi dalwaqt bnew it-Triq tar-Re li jgħaqqdu Santu Wistin mal-Ġeorġja. It-triq qasmet ix-Xmara San Ġwann f'punt dejjaq, li s-Seminole sejjaħ Wacca Pilatka u l-Ingliżi "&amp;"sejħu l-Cow Ford jew Cowford; Dawn l-ismijiet jirriflettu b'mod ostensibbli l-fatt li l-baqar ingħataw ix-xmara hemmhekk. Il-Brittaniċi introduċew il-kultivazzjoni tal-kannamieli, indigo u frott tal-kannamieli kif ukoll l-esportazzjoni tal-injam. Bħala ri"&amp;"żultat, iż-żona tal-Grigal ta 'Florida rnexxiet ekonomikament aktar milli kellha taħt l-Ispanjol. Il-Gran Brittanja ċediet il-kontroll tat-territorju lura lejn Spanja fl-1783, wara t-telfa tagħha fil-Gwerra Rivoluzzjonarja Amerikana, u l-ftehim fil-Cow Fo"&amp;"rd kompla jikber. Wara li Spanja ċediet it-territorju ta ’Florida lejn l-Istati Uniti fl-1821, kolonizzaturi Amerikani fuq in-naħa tat-tramuntana tal-baqra Ford iddeċidew li jippjanaw belt, li jpoġġu t-toroq u l-plats. Huma malajr semmew il-belt Jacksonvi"&amp;"lle, wara Andrew Jackson. Immexxi minn Isaija D. Hart, ir-residenti kitbu charter għal gvern tal-belt, li ġie approvat mill-Kunsill Leġiżlattiv ta 'Florida fid-9 ta' Frar, 1832.")</f>
        <v>Spanja ċediet lil Florida lill-Ingliżi fl-1763 wara l-Gwerra Franċiża u Indjana, u l-Ingliżi dalwaqt bnew it-Triq tar-Re li jgħaqqdu Santu Wistin mal-Ġeorġja. It-triq qasmet ix-Xmara San Ġwann f'punt dejjaq, li s-Seminole sejjaħ Wacca Pilatka u l-Ingliżi sejħu l-Cow Ford jew Cowford; Dawn l-ismijiet jirriflettu b'mod ostensibbli l-fatt li l-baqar ingħataw ix-xmara hemmhekk. Il-Brittaniċi introduċew il-kultivazzjoni tal-kannamieli, indigo u frott tal-kannamieli kif ukoll l-esportazzjoni tal-injam. Bħala riżultat, iż-żona tal-Grigal ta 'Florida rnexxiet ekonomikament aktar milli kellha taħt l-Ispanjol. Il-Gran Brittanja ċediet il-kontroll tat-territorju lura lejn Spanja fl-1783, wara t-telfa tagħha fil-Gwerra Rivoluzzjonarja Amerikana, u l-ftehim fil-Cow Ford kompla jikber. Wara li Spanja ċediet it-territorju ta ’Florida lejn l-Istati Uniti fl-1821, kolonizzaturi Amerikani fuq in-naħa tat-tramuntana tal-baqra Ford iddeċidew li jippjanaw belt, li jpoġġu t-toroq u l-plats. Huma malajr semmew il-belt Jacksonville, wara Andrew Jackson. Immexxi minn Isaija D. Hart, ir-residenti kitbu charter għal gvern tal-belt, li ġie approvat mill-Kunsill Leġiżlattiv ta 'Florida fid-9 ta' Frar, 1832.</v>
      </c>
    </row>
    <row r="16631" ht="15.75" customHeight="1">
      <c r="A16631" s="2" t="s">
        <v>16631</v>
      </c>
      <c r="B16631" s="2" t="str">
        <f>IFERROR(__xludf.DUMMYFUNCTION("GOOGLETRANSLATE(A16631, ""en"", ""mt"")"),"Min hi l-università akkreditata minnha?")</f>
        <v>Min hi l-università akkreditata minnha?</v>
      </c>
    </row>
    <row r="16632" ht="15.75" customHeight="1">
      <c r="A16632" s="2" t="s">
        <v>16632</v>
      </c>
      <c r="B16632" s="2" t="str">
        <f>IFERROR(__xludf.DUMMYFUNCTION("GOOGLETRANSLATE(A16632, ""en"", ""mt"")"),"reliġjuż")</f>
        <v>reliġjuż</v>
      </c>
    </row>
    <row r="16633" ht="15.75" customHeight="1">
      <c r="A16633" s="2" t="s">
        <v>16633</v>
      </c>
      <c r="B16633" s="2" t="str">
        <f>IFERROR(__xludf.DUMMYFUNCTION("GOOGLETRANSLATE(A16633, ""en"", ""mt"")"),"Alkoħol u nightclubs")</f>
        <v>Alkoħol u nightclubs</v>
      </c>
    </row>
    <row r="16634" ht="15.75" customHeight="1">
      <c r="A16634" s="2" t="s">
        <v>16634</v>
      </c>
      <c r="B16634" s="2" t="str">
        <f>IFERROR(__xludf.DUMMYFUNCTION("GOOGLETRANSLATE(A16634, ""en"", ""mt"")"),"Liema arkeologu magħruf emmen li l-Amażonja ma kellhiex ħafna abitanti?")</f>
        <v>Liema arkeologu magħruf emmen li l-Amażonja ma kellhiex ħafna abitanti?</v>
      </c>
    </row>
    <row r="16635" ht="15.75" customHeight="1">
      <c r="A16635" s="2" t="s">
        <v>16635</v>
      </c>
      <c r="B16635" s="2" t="str">
        <f>IFERROR(__xludf.DUMMYFUNCTION("GOOGLETRANSLATE(A16635, ""en"", ""mt"")"),"F'liema għaxar snin ir-Rankine Cycle ħoloq 90% tal-enerġija elettrika?")</f>
        <v>F'liema għaxar snin ir-Rankine Cycle ħoloq 90% tal-enerġija elettrika?</v>
      </c>
    </row>
    <row r="16636" ht="15.75" customHeight="1">
      <c r="A16636" s="2" t="s">
        <v>16636</v>
      </c>
      <c r="B16636" s="2" t="str">
        <f>IFERROR(__xludf.DUMMYFUNCTION("GOOGLETRANSLATE(A16636, ""en"", ""mt"")"),"Stħarriġ ġeofiżiku")</f>
        <v>Stħarriġ ġeofiżiku</v>
      </c>
    </row>
    <row r="16637" ht="15.75" customHeight="1">
      <c r="A16637" s="2" t="s">
        <v>16637</v>
      </c>
      <c r="B16637" s="2" t="str">
        <f>IFERROR(__xludf.DUMMYFUNCTION("GOOGLETRANSLATE(A16637, ""en"", ""mt"")"),"Il-predaturi taċ-ctenophores huma, veġetarjani jew parassitiċi?")</f>
        <v>Il-predaturi taċ-ctenophores huma, veġetarjani jew parassitiċi?</v>
      </c>
    </row>
    <row r="16638" ht="15.75" customHeight="1">
      <c r="A16638" s="2" t="s">
        <v>16638</v>
      </c>
      <c r="B16638" s="2" t="str">
        <f>IFERROR(__xludf.DUMMYFUNCTION("GOOGLETRANSLATE(A16638, ""en"", ""mt"")"),"X'jenfasizzaw is-sħubija u l-ġestjoni tal-kostruzzjoni għall-proċess tal-bini tad-disinn?")</f>
        <v>X'jenfasizzaw is-sħubija u l-ġestjoni tal-kostruzzjoni għall-proċess tal-bini tad-disinn?</v>
      </c>
    </row>
    <row r="16639" ht="15.75" customHeight="1">
      <c r="A16639" s="2" t="s">
        <v>16639</v>
      </c>
      <c r="B16639" s="2" t="str">
        <f>IFERROR(__xludf.DUMMYFUNCTION("GOOGLETRANSLATE(A16639, ""en"", ""mt"")"),"Liema poter hija disponibbli għall-iskejjel privati ​​Awstraljani imma ġeneralment mhix preżenti fl-iskejjel pubbliċi?")</f>
        <v>Liema poter hija disponibbli għall-iskejjel privati ​​Awstraljani imma ġeneralment mhix preżenti fl-iskejjel pubbliċi?</v>
      </c>
    </row>
    <row r="16640" ht="15.75" customHeight="1">
      <c r="A16640" s="2" t="s">
        <v>16640</v>
      </c>
      <c r="B16640" s="2" t="str">
        <f>IFERROR(__xludf.DUMMYFUNCTION("GOOGLETRANSLATE(A16640, ""en"", ""mt"")"),"Diviżjoni Maġġuri")</f>
        <v>Diviżjoni Maġġuri</v>
      </c>
    </row>
    <row r="16641" ht="15.75" customHeight="1">
      <c r="A16641" s="2" t="s">
        <v>16641</v>
      </c>
      <c r="B16641" s="2" t="str">
        <f>IFERROR(__xludf.DUMMYFUNCTION("GOOGLETRANSLATE(A16641, ""en"", ""mt"")"),"X'inhi, il-magna teoretika ma kkonfermatx li problema fis-sħubija fil-klassi NX?")</f>
        <v>X'inhi, il-magna teoretika ma kkonfermatx li problema fis-sħubija fil-klassi NX?</v>
      </c>
    </row>
    <row r="16642" ht="15.75" customHeight="1">
      <c r="A16642" s="2" t="s">
        <v>16642</v>
      </c>
      <c r="B16642" s="2" t="str">
        <f>IFERROR(__xludf.DUMMYFUNCTION("GOOGLETRANSLATE(A16642, ""en"", ""mt"")"),"X'inhu l-isem tal-istat li l-Megaregion jespandi fil-Lvant?")</f>
        <v>X'inhu l-isem tal-istat li l-Megaregion jespandi fil-Lvant?</v>
      </c>
    </row>
    <row r="16643" ht="15.75" customHeight="1">
      <c r="A16643" s="2" t="s">
        <v>16643</v>
      </c>
      <c r="B16643" s="2" t="str">
        <f>IFERROR(__xludf.DUMMYFUNCTION("GOOGLETRANSLATE(A16643, ""en"", ""mt"")"),"Magna Probabilistika tat-Turing")</f>
        <v>Magna Probabilistika tat-Turing</v>
      </c>
    </row>
    <row r="16644" ht="15.75" customHeight="1">
      <c r="A16644" s="2" t="s">
        <v>16644</v>
      </c>
      <c r="B16644" s="2" t="str">
        <f>IFERROR(__xludf.DUMMYFUNCTION("GOOGLETRANSLATE(A16644, ""en"", ""mt"")"),"Liema sport jattira ħafna turisti lejn Jacksonville?")</f>
        <v>Liema sport jattira ħafna turisti lejn Jacksonville?</v>
      </c>
    </row>
    <row r="16645" ht="15.75" customHeight="1">
      <c r="A16645" s="2" t="s">
        <v>16645</v>
      </c>
      <c r="B16645" s="2" t="str">
        <f>IFERROR(__xludf.DUMMYFUNCTION("GOOGLETRANSLATE(A16645, ""en"", ""mt"")"),"L-armata ta ’min ħabbet lil Varsavja fl-1806?")</f>
        <v>L-armata ta ’min ħabbet lil Varsavja fl-1806?</v>
      </c>
    </row>
    <row r="16646" ht="15.75" customHeight="1">
      <c r="A16646" s="2" t="s">
        <v>16646</v>
      </c>
      <c r="B16646" s="2" t="str">
        <f>IFERROR(__xludf.DUMMYFUNCTION("GOOGLETRANSLATE(A16646, ""en"", ""mt"")"),"Fejn sabu x-xjentisti tagħhom il-kampjun Y. pestis?")</f>
        <v>Fejn sabu x-xjentisti tagħhom il-kampjun Y. pestis?</v>
      </c>
    </row>
    <row r="16647" ht="15.75" customHeight="1">
      <c r="A16647" s="2" t="s">
        <v>16647</v>
      </c>
      <c r="B16647" s="2" t="str">
        <f>IFERROR(__xludf.DUMMYFUNCTION("GOOGLETRANSLATE(A16647, ""en"", ""mt"")"),"Franza, l-Italja, il-Belġju, l-Olanda, il-Lussemburgu u l-Ġermanja")</f>
        <v>Franza, l-Italja, il-Belġju, l-Olanda, il-Lussemburgu u l-Ġermanja</v>
      </c>
    </row>
    <row r="16648" ht="15.75" customHeight="1">
      <c r="A16648" s="2" t="s">
        <v>16648</v>
      </c>
      <c r="B16648" s="2" t="str">
        <f>IFERROR(__xludf.DUMMYFUNCTION("GOOGLETRANSLATE(A16648, ""en"", ""mt"")"),"1807")</f>
        <v>1807</v>
      </c>
    </row>
    <row r="16649" ht="15.75" customHeight="1">
      <c r="A16649" s="2" t="s">
        <v>16649</v>
      </c>
      <c r="B16649" s="2" t="str">
        <f>IFERROR(__xludf.DUMMYFUNCTION("GOOGLETRANSLATE(A16649, ""en"", ""mt"")"),"Liema qasam jinvolvi l-istudju tas-sistema immuni?")</f>
        <v>Liema qasam jinvolvi l-istudju tas-sistema immuni?</v>
      </c>
    </row>
    <row r="16650" ht="15.75" customHeight="1">
      <c r="A16650" s="2" t="s">
        <v>16650</v>
      </c>
      <c r="B16650" s="2" t="str">
        <f>IFERROR(__xludf.DUMMYFUNCTION("GOOGLETRANSLATE(A16650, ""en"", ""mt"")"),"Territorji Indiġeni")</f>
        <v>Territorji Indiġeni</v>
      </c>
    </row>
    <row r="16651" ht="15.75" customHeight="1">
      <c r="A16651" s="2" t="s">
        <v>16651</v>
      </c>
      <c r="B16651" s="2" t="str">
        <f>IFERROR(__xludf.DUMMYFUNCTION("GOOGLETRANSLATE(A16651, ""en"", ""mt"")"),"Hugues Capet")</f>
        <v>Hugues Capet</v>
      </c>
    </row>
    <row r="16652" ht="15.75" customHeight="1">
      <c r="A16652" s="2" t="s">
        <v>16652</v>
      </c>
      <c r="B16652" s="2" t="str">
        <f>IFERROR(__xludf.DUMMYFUNCTION("GOOGLETRANSLATE(A16652, ""en"", ""mt"")"),"X'inhi l-massa ta 'oġġett proporzjonali għal fil-wiċċ tad-dinja?")</f>
        <v>X'inhi l-massa ta 'oġġett proporzjonali għal fil-wiċċ tad-dinja?</v>
      </c>
    </row>
    <row r="16653" ht="15.75" customHeight="1">
      <c r="A16653" s="2" t="s">
        <v>16653</v>
      </c>
      <c r="B16653" s="2" t="str">
        <f>IFERROR(__xludf.DUMMYFUNCTION("GOOGLETRANSLATE(A16653, ""en"", ""mt"")"),"Corliss")</f>
        <v>Corliss</v>
      </c>
    </row>
    <row r="16654" ht="15.75" customHeight="1">
      <c r="A16654" s="2" t="s">
        <v>16654</v>
      </c>
      <c r="B16654" s="2" t="str">
        <f>IFERROR(__xludf.DUMMYFUNCTION("GOOGLETRANSLATE(A16654, ""en"", ""mt"")"),"Min kien it-tifel ta 'Ayurbarwada?")</f>
        <v>Min kien it-tifel ta 'Ayurbarwada?</v>
      </c>
    </row>
    <row r="16655" ht="15.75" customHeight="1">
      <c r="A16655" s="2" t="s">
        <v>16655</v>
      </c>
      <c r="B16655" s="2" t="str">
        <f>IFERROR(__xludf.DUMMYFUNCTION("GOOGLETRANSLATE(A16655, ""en"", ""mt"")"),"Sistema Rift N - S")</f>
        <v>Sistema Rift N - S</v>
      </c>
    </row>
    <row r="16656" ht="15.75" customHeight="1">
      <c r="A16656" s="2" t="s">
        <v>16656</v>
      </c>
      <c r="B16656" s="2" t="str">
        <f>IFERROR(__xludf.DUMMYFUNCTION("GOOGLETRANSLATE(A16656, ""en"", ""mt"")"),"Mustang i")</f>
        <v>Mustang i</v>
      </c>
    </row>
    <row r="16657" ht="15.75" customHeight="1">
      <c r="A16657" s="2" t="s">
        <v>16657</v>
      </c>
      <c r="B16657" s="2" t="str">
        <f>IFERROR(__xludf.DUMMYFUNCTION("GOOGLETRANSLATE(A16657, ""en"", ""mt"")"),"Qrati tal-Istati Membri u l-Qorti tal-Ġustizzja tal-Unjoni Ewropea")</f>
        <v>Qrati tal-Istati Membri u l-Qorti tal-Ġustizzja tal-Unjoni Ewropea</v>
      </c>
    </row>
    <row r="16658" ht="15.75" customHeight="1">
      <c r="A16658" s="2" t="s">
        <v>16658</v>
      </c>
      <c r="B16658" s="2" t="str">
        <f>IFERROR(__xludf.DUMMYFUNCTION("GOOGLETRANSLATE(A16658, ""en"", ""mt"")"),"Minbarra Universal u Warner Brothers, liema kumpanija oħra tmexxi kumpanija rekord ewlenija?")</f>
        <v>Minbarra Universal u Warner Brothers, liema kumpanija oħra tmexxi kumpanija rekord ewlenija?</v>
      </c>
    </row>
    <row r="16659" ht="15.75" customHeight="1">
      <c r="A16659" s="2" t="s">
        <v>16659</v>
      </c>
      <c r="B16659" s="2" t="str">
        <f>IFERROR(__xludf.DUMMYFUNCTION("GOOGLETRANSLATE(A16659, ""en"", ""mt"")"),"Għal qasam F li fih 0 u 1, x'inhu l-qasam ewlieni?")</f>
        <v>Għal qasam F li fih 0 u 1, x'inhu l-qasam ewlieni?</v>
      </c>
    </row>
    <row r="16660" ht="15.75" customHeight="1">
      <c r="A16660" s="2" t="s">
        <v>16660</v>
      </c>
      <c r="B16660" s="2" t="str">
        <f>IFERROR(__xludf.DUMMYFUNCTION("GOOGLETRANSLATE(A16660, ""en"", ""mt"")"),"Fejn inkella hemm popolazzjoni Filippina iżgħar li f'Jacksonville?")</f>
        <v>Fejn inkella hemm popolazzjoni Filippina iżgħar li f'Jacksonville?</v>
      </c>
    </row>
    <row r="16661" ht="15.75" customHeight="1">
      <c r="A16661" s="2" t="s">
        <v>16661</v>
      </c>
      <c r="B16661" s="2" t="str">
        <f>IFERROR(__xludf.DUMMYFUNCTION("GOOGLETRANSLATE(A16661, ""en"", ""mt"")"),"Effetti marbuta mal-inugwaljanza")</f>
        <v>Effetti marbuta mal-inugwaljanza</v>
      </c>
    </row>
    <row r="16662" ht="15.75" customHeight="1">
      <c r="A16662" s="2" t="s">
        <v>16662</v>
      </c>
      <c r="B16662" s="2" t="str">
        <f>IFERROR(__xludf.DUMMYFUNCTION("GOOGLETRANSLATE(A16662, ""en"", ""mt"")"),"Il-forza dgħajfa taġixxi biss fuq liema partiċelli?")</f>
        <v>Il-forza dgħajfa taġixxi biss fuq liema partiċelli?</v>
      </c>
    </row>
    <row r="16663" ht="15.75" customHeight="1">
      <c r="A16663" s="2" t="s">
        <v>16663</v>
      </c>
      <c r="B16663" s="2" t="str">
        <f>IFERROR(__xludf.DUMMYFUNCTION("GOOGLETRANSLATE(A16663, ""en"", ""mt"")"),"Liema Scholar Konservattiv tar-Relazzjonijiet Internazzjonali huwa wkoll alumni tal-università?")</f>
        <v>Liema Scholar Konservattiv tar-Relazzjonijiet Internazzjonali huwa wkoll alumni tal-università?</v>
      </c>
    </row>
    <row r="16664" ht="15.75" customHeight="1">
      <c r="A16664" s="2" t="s">
        <v>16664</v>
      </c>
      <c r="B16664" s="2" t="str">
        <f>IFERROR(__xludf.DUMMYFUNCTION("GOOGLETRANSLATE(A16664, ""en"", ""mt"")"),"Kemm trab tal-kanun inqered fl-attakk?")</f>
        <v>Kemm trab tal-kanun inqered fl-attakk?</v>
      </c>
    </row>
    <row r="16665" ht="15.75" customHeight="1">
      <c r="A16665" s="2" t="s">
        <v>16665</v>
      </c>
      <c r="B16665" s="2" t="str">
        <f>IFERROR(__xludf.DUMMYFUNCTION("GOOGLETRANSLATE(A16665, ""en"", ""mt"")"),"Liema dipartiment ħoloq Kublai biex iħarreġ lit-tobba?")</f>
        <v>Liema dipartiment ħoloq Kublai biex iħarreġ lit-tobba?</v>
      </c>
    </row>
    <row r="16666" ht="15.75" customHeight="1">
      <c r="A16666" s="2" t="s">
        <v>16666</v>
      </c>
      <c r="B16666" s="2" t="str">
        <f>IFERROR(__xludf.DUMMYFUNCTION("GOOGLETRANSLATE(A16666, ""en"", ""mt"")")," Ma 'min aktar tard kienu l-imperaturi tal-wan iżolati?")</f>
        <v> Ma 'min aktar tard kienu l-imperaturi tal-wan iżolati?</v>
      </c>
    </row>
    <row r="16667" ht="15.75" customHeight="1">
      <c r="A16667" s="2" t="s">
        <v>16667</v>
      </c>
      <c r="B16667" s="2" t="str">
        <f>IFERROR(__xludf.DUMMYFUNCTION("GOOGLETRANSLATE(A16667, ""en"", ""mt"")"),"F'liema kumpanija tal-ġurnata preżenti biddlet Bankamericard?")</f>
        <v>F'liema kumpanija tal-ġurnata preżenti biddlet Bankamericard?</v>
      </c>
    </row>
    <row r="16668" ht="15.75" customHeight="1">
      <c r="A16668" s="2" t="s">
        <v>16668</v>
      </c>
      <c r="B16668" s="2" t="str">
        <f>IFERROR(__xludf.DUMMYFUNCTION("GOOGLETRANSLATE(A16668, ""en"", ""mt"")"),"Matul l-Imperu Ruman")</f>
        <v>Matul l-Imperu Ruman</v>
      </c>
    </row>
    <row r="16669" ht="15.75" customHeight="1">
      <c r="A16669" s="2" t="s">
        <v>16669</v>
      </c>
      <c r="B16669" s="2" t="str">
        <f>IFERROR(__xludf.DUMMYFUNCTION("GOOGLETRANSLATE(A16669, ""en"", ""mt"")"),"Gold Rush")</f>
        <v>Gold Rush</v>
      </c>
    </row>
    <row r="16670" ht="15.75" customHeight="1">
      <c r="A16670" s="2" t="s">
        <v>16670</v>
      </c>
      <c r="B16670" s="2" t="str">
        <f>IFERROR(__xludf.DUMMYFUNCTION("GOOGLETRANSLATE(A16670, ""en"", ""mt"")"),"X'inhu l-proċess li bih il-patoġeni jevadu s-sistema immunitarja billi jinħbew ġewwa ċ-ċelloli ospitanti?")</f>
        <v>X'inhu l-proċess li bih il-patoġeni jevadu s-sistema immunitarja billi jinħbew ġewwa ċ-ċelloli ospitanti?</v>
      </c>
    </row>
    <row r="16671" ht="15.75" customHeight="1">
      <c r="A16671" s="2" t="s">
        <v>16671</v>
      </c>
      <c r="B16671" s="2" t="str">
        <f>IFERROR(__xludf.DUMMYFUNCTION("GOOGLETRANSLATE(A16671, ""en"", ""mt"")"),"Fort Frontenac")</f>
        <v>Fort Frontenac</v>
      </c>
    </row>
    <row r="16672" ht="15.75" customHeight="1">
      <c r="A16672" s="2" t="s">
        <v>16672</v>
      </c>
      <c r="B16672" s="2" t="str">
        <f>IFERROR(__xludf.DUMMYFUNCTION("GOOGLETRANSLATE(A16672, ""en"", ""mt"")"),"Meta bdiet il-pesta bubonika fl-Ewropa?")</f>
        <v>Meta bdiet il-pesta bubonika fl-Ewropa?</v>
      </c>
    </row>
    <row r="16673" ht="15.75" customHeight="1">
      <c r="A16673" s="2" t="s">
        <v>16673</v>
      </c>
      <c r="B16673" s="2" t="str">
        <f>IFERROR(__xludf.DUMMYFUNCTION("GOOGLETRANSLATE(A16673, ""en"", ""mt"")"),"Kemm huwa għoli l-ogħla punt f'Varsavja?")</f>
        <v>Kemm huwa għoli l-ogħla punt f'Varsavja?</v>
      </c>
    </row>
    <row r="16674" ht="15.75" customHeight="1">
      <c r="A16674" s="2" t="s">
        <v>16674</v>
      </c>
      <c r="B16674" s="2" t="str">
        <f>IFERROR(__xludf.DUMMYFUNCTION("GOOGLETRANSLATE(A16674, ""en"", ""mt"")"),"Liema plateau tinsab il-parti tax-xellug ta 'Varsavja?")</f>
        <v>Liema plateau tinsab il-parti tax-xellug ta 'Varsavja?</v>
      </c>
    </row>
    <row r="16675" ht="15.75" customHeight="1">
      <c r="A16675" s="2" t="s">
        <v>16675</v>
      </c>
      <c r="B16675" s="2" t="str">
        <f>IFERROR(__xludf.DUMMYFUNCTION("GOOGLETRANSLATE(A16675, ""en"", ""mt"")"),"X'inhu magħruf bħala adsorbiment ta 'pressjoni swing?")</f>
        <v>X'inhu magħruf bħala adsorbiment ta 'pressjoni swing?</v>
      </c>
    </row>
    <row r="16676" ht="15.75" customHeight="1">
      <c r="A16676" s="2" t="s">
        <v>16676</v>
      </c>
      <c r="B16676" s="2" t="str">
        <f>IFERROR(__xludf.DUMMYFUNCTION("GOOGLETRANSLATE(A16676, ""en"", ""mt"")"),"Liema proprjetà antika jistudjaw il-ġeoloġi?")</f>
        <v>Liema proprjetà antika jistudjaw il-ġeoloġi?</v>
      </c>
    </row>
    <row r="16677" ht="15.75" customHeight="1">
      <c r="A16677" s="2" t="s">
        <v>16677</v>
      </c>
      <c r="B16677" s="2" t="str">
        <f>IFERROR(__xludf.DUMMYFUNCTION("GOOGLETRANSLATE(A16677, ""en"", ""mt"")"),"Liema magna ma tiddefinixxix BPP, ZPP, u RP?")</f>
        <v>Liema magna ma tiddefinixxix BPP, ZPP, u RP?</v>
      </c>
    </row>
    <row r="16678" ht="15.75" customHeight="1">
      <c r="A16678" s="2" t="s">
        <v>16678</v>
      </c>
      <c r="B16678" s="2" t="str">
        <f>IFERROR(__xludf.DUMMYFUNCTION("GOOGLETRANSLATE(A16678, ""en"", ""mt"")"),"WETTER")</f>
        <v>WETTER</v>
      </c>
    </row>
    <row r="16679" ht="15.75" customHeight="1">
      <c r="A16679" s="2" t="s">
        <v>16679</v>
      </c>
      <c r="B16679" s="2" t="str">
        <f>IFERROR(__xludf.DUMMYFUNCTION("GOOGLETRANSLATE(A16679, ""en"", ""mt"")"),"tniġġis")</f>
        <v>tniġġis</v>
      </c>
    </row>
    <row r="16680" ht="15.75" customHeight="1">
      <c r="A16680" s="2" t="s">
        <v>16680</v>
      </c>
      <c r="B16680" s="2" t="str">
        <f>IFERROR(__xludf.DUMMYFUNCTION("GOOGLETRANSLATE(A16680, ""en"", ""mt"")"),"F'sistema miftuħa ta 'partiċelli, m'hemm l-ebda intern x'inhu?")</f>
        <v>F'sistema miftuħa ta 'partiċelli, m'hemm l-ebda intern x'inhu?</v>
      </c>
    </row>
    <row r="16681" ht="15.75" customHeight="1">
      <c r="A16681" s="2" t="s">
        <v>16681</v>
      </c>
      <c r="B16681" s="2" t="str">
        <f>IFERROR(__xludf.DUMMYFUNCTION("GOOGLETRANSLATE(A16681, ""en"", ""mt"")"),"X'inhu kunċett ġenerali wieħed li japplika għall-elementi tal-Ġeneral XY?")</f>
        <v>X'inhu kunċett ġenerali wieħed li japplika għall-elementi tal-Ġeneral XY?</v>
      </c>
    </row>
    <row r="16682" ht="15.75" customHeight="1">
      <c r="A16682" s="2" t="s">
        <v>16682</v>
      </c>
      <c r="B16682" s="2" t="str">
        <f>IFERROR(__xludf.DUMMYFUNCTION("GOOGLETRANSLATE(A16682, ""en"", ""mt"")"),"X'tip ta 'trattat kien it-Trattat ta' Lisbona?")</f>
        <v>X'tip ta 'trattat kien it-Trattat ta' Lisbona?</v>
      </c>
    </row>
    <row r="16683" ht="15.75" customHeight="1">
      <c r="A16683" s="2" t="s">
        <v>16683</v>
      </c>
      <c r="B16683" s="2" t="str">
        <f>IFERROR(__xludf.DUMMYFUNCTION("GOOGLETRANSLATE(A16683, ""en"", ""mt"")"),"Salafism jippreżenta li d-demokrazija hija responsabbli għal liema tip ta 'avvenimenti horrible tas-seklu 21?")</f>
        <v>Salafism jippreżenta li d-demokrazija hija responsabbli għal liema tip ta 'avvenimenti horrible tas-seklu 21?</v>
      </c>
    </row>
    <row r="16684" ht="15.75" customHeight="1">
      <c r="A16684" s="2" t="s">
        <v>16684</v>
      </c>
      <c r="B16684" s="2" t="str">
        <f>IFERROR(__xludf.DUMMYFUNCTION("GOOGLETRANSLATE(A16684, ""en"", ""mt"")"),"""Emendi ta 'Wrecking"" huma mfassla biex jinkoraġġixxu aktar?")</f>
        <v>"Emendi ta 'Wrecking" huma mfassla biex jinkoraġġixxu aktar?</v>
      </c>
    </row>
    <row r="16685" ht="15.75" customHeight="1">
      <c r="A16685" s="2" t="s">
        <v>16685</v>
      </c>
      <c r="B16685" s="2" t="str">
        <f>IFERROR(__xludf.DUMMYFUNCTION("GOOGLETRANSLATE(A16685, ""en"", ""mt"")"),"Liema persentaġġ ta 'tfal Ingliżi huma edukati fil-livell tal-GSCE fi skejjel li jħallsu l-ħlas?")</f>
        <v>Liema persentaġġ ta 'tfal Ingliżi huma edukati fil-livell tal-GSCE fi skejjel li jħallsu l-ħlas?</v>
      </c>
    </row>
    <row r="16686" ht="15.75" customHeight="1">
      <c r="A16686" s="2" t="s">
        <v>16686</v>
      </c>
      <c r="B16686" s="2" t="str">
        <f>IFERROR(__xludf.DUMMYFUNCTION("GOOGLETRANSLATE(A16686, ""en"", ""mt"")")," Liema status kiseb il-fratellanza fid-dinja mhux Iżlamika?")</f>
        <v> Liema status kiseb il-fratellanza fid-dinja mhux Iżlamika?</v>
      </c>
    </row>
    <row r="16687" ht="15.75" customHeight="1">
      <c r="A16687" s="2" t="s">
        <v>16687</v>
      </c>
      <c r="B16687" s="2" t="str">
        <f>IFERROR(__xludf.DUMMYFUNCTION("GOOGLETRANSLATE(A16687, ""en"", ""mt"")"),"&gt; 500 da")</f>
        <v>&gt; 500 da</v>
      </c>
    </row>
    <row r="16688" ht="15.75" customHeight="1">
      <c r="A16688" s="2" t="s">
        <v>16688</v>
      </c>
      <c r="B16688" s="2" t="str">
        <f>IFERROR(__xludf.DUMMYFUNCTION("GOOGLETRANSLATE(A16688, ""en"", ""mt"")"),"Kemm ilhom il-blat intrużiv fil-lbiċ magħna?")</f>
        <v>Kemm ilhom il-blat intrużiv fil-lbiċ magħna?</v>
      </c>
    </row>
    <row r="16689" ht="15.75" customHeight="1">
      <c r="A16689" s="2" t="s">
        <v>16689</v>
      </c>
      <c r="B16689" s="2" t="str">
        <f>IFERROR(__xludf.DUMMYFUNCTION("GOOGLETRANSLATE(A16689, ""en"", ""mt"")"),"Aktar minn $ 45,000")</f>
        <v>Aktar minn $ 45,000</v>
      </c>
    </row>
    <row r="16690" ht="15.75" customHeight="1">
      <c r="A16690" s="2" t="s">
        <v>16690</v>
      </c>
      <c r="B16690" s="2" t="str">
        <f>IFERROR(__xludf.DUMMYFUNCTION("GOOGLETRANSLATE(A16690, ""en"", ""mt"")"),"il-valur tal-kannamieli tal-gżejjer tal-Karibew biex ikun ikbar u aktar faċli biex jiddefendi mill-pil mill-kontinent")</f>
        <v>il-valur tal-kannamieli tal-gżejjer tal-Karibew biex ikun ikbar u aktar faċli biex jiddefendi mill-pil mill-kontinent</v>
      </c>
    </row>
    <row r="16691" ht="15.75" customHeight="1">
      <c r="A16691" s="2" t="s">
        <v>16691</v>
      </c>
      <c r="B16691" s="2" t="str">
        <f>IFERROR(__xludf.DUMMYFUNCTION("GOOGLETRANSLATE(A16691, ""en"", ""mt"")"),"aktar minn 2,000")</f>
        <v>aktar minn 2,000</v>
      </c>
    </row>
    <row r="16692" ht="15.75" customHeight="1">
      <c r="A16692" s="2" t="s">
        <v>16692</v>
      </c>
      <c r="B16692" s="2" t="str">
        <f>IFERROR(__xludf.DUMMYFUNCTION("GOOGLETRANSLATE(A16692, ""en"", ""mt"")"),"Liema mexxejja attakkaw l-estremisti Iżlamiċi?")</f>
        <v>Liema mexxejja attakkaw l-estremisti Iżlamiċi?</v>
      </c>
    </row>
    <row r="16693" ht="15.75" customHeight="1">
      <c r="A16693" s="2" t="s">
        <v>16693</v>
      </c>
      <c r="B16693" s="2" t="str">
        <f>IFERROR(__xludf.DUMMYFUNCTION("GOOGLETRANSLATE(A16693, ""en"", ""mt"")"),"loess")</f>
        <v>loess</v>
      </c>
    </row>
    <row r="16694" ht="15.75" customHeight="1">
      <c r="A16694" s="2" t="s">
        <v>16694</v>
      </c>
      <c r="B16694" s="2" t="str">
        <f>IFERROR(__xludf.DUMMYFUNCTION("GOOGLETRANSLATE(A16694, ""en"", ""mt"")")," Skond Lenin għaliex il-pajjiżi kapitalisti m'għandhomx politika imperjalista?")</f>
        <v> Skond Lenin għaliex il-pajjiżi kapitalisti m'għandhomx politika imperjalista?</v>
      </c>
    </row>
    <row r="16695" ht="15.75" customHeight="1">
      <c r="A16695" s="2" t="s">
        <v>16695</v>
      </c>
      <c r="B16695" s="2" t="str">
        <f>IFERROR(__xludf.DUMMYFUNCTION("GOOGLETRANSLATE(A16695, ""en"", ""mt"")"),"Ossiġenu triplet")</f>
        <v>Ossiġenu triplet</v>
      </c>
    </row>
    <row r="16696" ht="15.75" customHeight="1">
      <c r="A16696" s="2" t="s">
        <v>16696</v>
      </c>
      <c r="B16696" s="2" t="str">
        <f>IFERROR(__xludf.DUMMYFUNCTION("GOOGLETRANSLATE(A16696, ""en"", ""mt"")"),"kumplessità tal-ħin u l-ispazju")</f>
        <v>kumplessità tal-ħin u l-ispazju</v>
      </c>
    </row>
    <row r="16697" ht="15.75" customHeight="1">
      <c r="A16697" s="2" t="s">
        <v>16697</v>
      </c>
      <c r="B16697" s="2" t="str">
        <f>IFERROR(__xludf.DUMMYFUNCTION("GOOGLETRANSLATE(A16697, ""en"", ""mt"")"),"Liema Sala ntużat bħala kamra tal-kumitat tal-Prinċipju tal-Parlament?")</f>
        <v>Liema Sala ntużat bħala kamra tal-kumitat tal-Prinċipju tal-Parlament?</v>
      </c>
    </row>
    <row r="16698" ht="15.75" customHeight="1">
      <c r="A16698" s="2" t="s">
        <v>16698</v>
      </c>
      <c r="B16698" s="2" t="str">
        <f>IFERROR(__xludf.DUMMYFUNCTION("GOOGLETRANSLATE(A16698, ""en"", ""mt"")"),"Algoritmu deterministiku")</f>
        <v>Algoritmu deterministiku</v>
      </c>
    </row>
    <row r="16699" ht="15.75" customHeight="1">
      <c r="A16699" s="2" t="s">
        <v>16699</v>
      </c>
      <c r="B16699" s="2" t="str">
        <f>IFERROR(__xludf.DUMMYFUNCTION("GOOGLETRANSLATE(A16699, ""en"", ""mt"")"),"Xi jfisser ir-rapport tas-Sommarju tal-WG I għal dawk li jfasslu l-politika jgħidu li l-attivitajiet tal-bniedem qed jagħmlu lill-gassijiet serra?")</f>
        <v>Xi jfisser ir-rapport tas-Sommarju tal-WG I għal dawk li jfasslu l-politika jgħidu li l-attivitajiet tal-bniedem qed jagħmlu lill-gassijiet serra?</v>
      </c>
    </row>
    <row r="16700" ht="15.75" customHeight="1">
      <c r="A16700" s="2" t="s">
        <v>16700</v>
      </c>
      <c r="B16700" s="2" t="str">
        <f>IFERROR(__xludf.DUMMYFUNCTION("GOOGLETRANSLATE(A16700, ""en"", ""mt"")"),"Babai u Eugene Luks")</f>
        <v>Babai u Eugene Luks</v>
      </c>
    </row>
    <row r="16701" ht="15.75" customHeight="1">
      <c r="A16701" s="2" t="s">
        <v>16701</v>
      </c>
      <c r="B16701" s="2" t="str">
        <f>IFERROR(__xludf.DUMMYFUNCTION("GOOGLETRANSLATE(A16701, ""en"", ""mt"")"),"Teoriji ġeografiċi bħad-determiniżmu ambjentali ssuġġerew ukoll li l-ambjenti tropikali ħolqu persuni mhux varjati li għandhom bżonn gwida Ewropea. Pereżempju, il-ġeografa Amerikana Ellen Churchill Semple argumentat li minkejja li l-bnedmin oriġinaw fit-t"&amp;"ropiċi huma setgħu jsiru biss umani fiż-żona moderata. It-tropiċità tista 'tkun parallela mal-Orjentaliżmu ta' Edward Said bħala l-kostruzzjoni tal-Punent tal-Lvant bħala l- ""Oħrajn"". Skond SIAD, l-Orjentaliżmu ppermetta lill-Ewropa tistabbilixxi ruħha "&amp;"bħala s-superjur u n-norma, li ġġustifikaw id-dominanza tagħha fuq l-Orjent Essenzjalizzat.")</f>
        <v>Teoriji ġeografiċi bħad-determiniżmu ambjentali ssuġġerew ukoll li l-ambjenti tropikali ħolqu persuni mhux varjati li għandhom bżonn gwida Ewropea. Pereżempju, il-ġeografa Amerikana Ellen Churchill Semple argumentat li minkejja li l-bnedmin oriġinaw fit-tropiċi huma setgħu jsiru biss umani fiż-żona moderata. It-tropiċità tista 'tkun parallela mal-Orjentaliżmu ta' Edward Said bħala l-kostruzzjoni tal-Punent tal-Lvant bħala l- "Oħrajn". Skond SIAD, l-Orjentaliżmu ppermetta lill-Ewropa tistabbilixxi ruħha bħala s-superjur u n-norma, li ġġustifikaw id-dominanza tagħha fuq l-Orjent Essenzjalizzat.</v>
      </c>
    </row>
    <row r="16702" ht="15.75" customHeight="1">
      <c r="A16702" s="2" t="s">
        <v>16702</v>
      </c>
      <c r="B16702" s="2" t="str">
        <f>IFERROR(__xludf.DUMMYFUNCTION("GOOGLETRANSLATE(A16702, ""en"", ""mt"")"),"Tnaqqis tal-Karp u Tnaqqis tal-Levin")</f>
        <v>Tnaqqis tal-Karp u Tnaqqis tal-Levin</v>
      </c>
    </row>
    <row r="16703" ht="15.75" customHeight="1">
      <c r="A16703" s="2" t="s">
        <v>16703</v>
      </c>
      <c r="B16703" s="2" t="str">
        <f>IFERROR(__xludf.DUMMYFUNCTION("GOOGLETRANSLATE(A16703, ""en"", ""mt"")"),"kolloblasti")</f>
        <v>kolloblasti</v>
      </c>
    </row>
    <row r="16704" ht="15.75" customHeight="1">
      <c r="A16704" s="2" t="s">
        <v>16704</v>
      </c>
      <c r="B16704" s="2" t="str">
        <f>IFERROR(__xludf.DUMMYFUNCTION("GOOGLETRANSLATE(A16704, ""en"", ""mt"")"),"Kif tinżamm il-propjetà reġistrata f'forma informali?")</f>
        <v>Kif tinżamm il-propjetà reġistrata f'forma informali?</v>
      </c>
    </row>
    <row r="16705" ht="15.75" customHeight="1">
      <c r="A16705" s="2" t="s">
        <v>16705</v>
      </c>
      <c r="B16705" s="2" t="str">
        <f>IFERROR(__xludf.DUMMYFUNCTION("GOOGLETRANSLATE(A16705, ""en"", ""mt"")"),"Aċċetta l-ħabs b'mod penitenti")</f>
        <v>Aċċetta l-ħabs b'mod penitenti</v>
      </c>
    </row>
    <row r="16706" ht="15.75" customHeight="1">
      <c r="A16706" s="2" t="s">
        <v>16706</v>
      </c>
      <c r="B16706" s="2" t="str">
        <f>IFERROR(__xludf.DUMMYFUNCTION("GOOGLETRANSLATE(A16706, ""en"", ""mt"")"),"X'inhu rwol importanti tas-sistema immuni?")</f>
        <v>X'inhu rwol importanti tas-sistema immuni?</v>
      </c>
    </row>
    <row r="16707" ht="15.75" customHeight="1">
      <c r="A16707" s="2" t="s">
        <v>16707</v>
      </c>
      <c r="B16707" s="2" t="str">
        <f>IFERROR(__xludf.DUMMYFUNCTION("GOOGLETRANSLATE(A16707, ""en"", ""mt"")"),"Liema kunċett, skopert oriġinarjament minn Watt, aktar tard ġie skopert b'mod indipendenti mill-Iswed?")</f>
        <v>Liema kunċett, skopert oriġinarjament minn Watt, aktar tard ġie skopert b'mod indipendenti mill-Iswed?</v>
      </c>
    </row>
    <row r="16708" ht="15.75" customHeight="1">
      <c r="A16708" s="2" t="s">
        <v>16708</v>
      </c>
      <c r="B16708" s="2" t="str">
        <f>IFERROR(__xludf.DUMMYFUNCTION("GOOGLETRANSLATE(A16708, ""en"", ""mt"")"),"Liema rotta jgħaqqad lil Fresno mal-Wied Ċentrali ta 'Kalifornja?")</f>
        <v>Liema rotta jgħaqqad lil Fresno mal-Wied Ċentrali ta 'Kalifornja?</v>
      </c>
    </row>
    <row r="16709" ht="15.75" customHeight="1">
      <c r="A16709" s="2" t="s">
        <v>16709</v>
      </c>
      <c r="B16709" s="2" t="str">
        <f>IFERROR(__xludf.DUMMYFUNCTION("GOOGLETRANSLATE(A16709, ""en"", ""mt"")"),"Meta Carl Wilhelm Scheele skopra l-ossiġnu?")</f>
        <v>Meta Carl Wilhelm Scheele skopra l-ossiġnu?</v>
      </c>
    </row>
    <row r="16710" ht="15.75" customHeight="1">
      <c r="A16710" s="2" t="s">
        <v>16710</v>
      </c>
      <c r="B16710" s="2" t="str">
        <f>IFERROR(__xludf.DUMMYFUNCTION("GOOGLETRANSLATE(A16710, ""en"", ""mt"")"),"Wara li l-invażjoni Ġermaniża tal-Polonja fl-1 ta 'Settembru 1939 bdiet it-Tieni Gwerra Dinjija, Varsavja ġiet iddefendata sas-27 ta' Settembru. Il-Polonja Ċentrali, inkluż Varsavja, ġiet taħt il-ħakma tal-gvern ġenerali, amministrazzjoni kolonjali Ġerman"&amp;"iża Nażista. L-istituzzjonijiet kollha tal-edukazzjoni għolja ngħalqu immedjatament u l-popolazzjoni Lhudija kollha ta 'Varsavja - bosta mijiet ta' eluf, xi 30% tal-belt - imdaħħlin fil-ghetto ta 'Varsavja. Il-belt kienet issir iċ-ċentru tar-reżistenza ur"&amp;"bana għall-ħakma Nażista fl-Ewropa okkupata. Meta l-ordni waslet biex tbatti l-ghetto bħala parti mis-soluzzjoni finali ta 'Hitler fid-19 ta' April 1943, ġellieda Lhud nedew ir-Rebbiegħa tal-Ghetto ta 'Varsavja. Minkejja li kien ingħata ħafna u nqabad, il"&amp;"-ghetto żamm għal kważi xahar. Meta ntemm il-ġlied, kważi s-superstiti kollha ġew massakrati, bi ftit biss jirnexxilhom jaħarbu jew jinħbew.")</f>
        <v>Wara li l-invażjoni Ġermaniża tal-Polonja fl-1 ta 'Settembru 1939 bdiet it-Tieni Gwerra Dinjija, Varsavja ġiet iddefendata sas-27 ta' Settembru. Il-Polonja Ċentrali, inkluż Varsavja, ġiet taħt il-ħakma tal-gvern ġenerali, amministrazzjoni kolonjali Ġermaniża Nażista. L-istituzzjonijiet kollha tal-edukazzjoni għolja ngħalqu immedjatament u l-popolazzjoni Lhudija kollha ta 'Varsavja - bosta mijiet ta' eluf, xi 30% tal-belt - imdaħħlin fil-ghetto ta 'Varsavja. Il-belt kienet issir iċ-ċentru tar-reżistenza urbana għall-ħakma Nażista fl-Ewropa okkupata. Meta l-ordni waslet biex tbatti l-ghetto bħala parti mis-soluzzjoni finali ta 'Hitler fid-19 ta' April 1943, ġellieda Lhud nedew ir-Rebbiegħa tal-Ghetto ta 'Varsavja. Minkejja li kien ingħata ħafna u nqabad, il-ghetto żamm għal kważi xahar. Meta ntemm il-ġlied, kważi s-superstiti kollha ġew massakrati, bi ftit biss jirnexxilhom jaħarbu jew jinħbew.</v>
      </c>
    </row>
    <row r="16711" ht="15.75" customHeight="1">
      <c r="A16711" s="2" t="s">
        <v>16711</v>
      </c>
      <c r="B16711" s="2" t="str">
        <f>IFERROR(__xludf.DUMMYFUNCTION("GOOGLETRANSLATE(A16711, ""en"", ""mt"")"),"X'żieda l-ewwel skeda ta 'żmien mal-linja ta' żmien biex tespandiha?")</f>
        <v>X'żieda l-ewwel skeda ta 'żmien mal-linja ta' żmien biex tespandiha?</v>
      </c>
    </row>
    <row r="16712" ht="15.75" customHeight="1">
      <c r="A16712" s="2" t="s">
        <v>16712</v>
      </c>
      <c r="B16712" s="2" t="str">
        <f>IFERROR(__xludf.DUMMYFUNCTION("GOOGLETRANSLATE(A16712, ""en"", ""mt"")"),"Van gend en loos v Nederlandse Administratie der Belastingen")</f>
        <v>Van gend en loos v Nederlandse Administratie der Belastingen</v>
      </c>
    </row>
    <row r="16713" ht="15.75" customHeight="1">
      <c r="A16713" s="2" t="s">
        <v>16713</v>
      </c>
      <c r="B16713" s="2" t="str">
        <f>IFERROR(__xludf.DUMMYFUNCTION("GOOGLETRANSLATE(A16713, ""en"", ""mt"")"),"Ħin ta 'deċiżjoni")</f>
        <v>Ħin ta 'deċiżjoni</v>
      </c>
    </row>
    <row r="16714" ht="15.75" customHeight="1">
      <c r="A16714" s="2" t="s">
        <v>16714</v>
      </c>
      <c r="B16714" s="2" t="str">
        <f>IFERROR(__xludf.DUMMYFUNCTION("GOOGLETRANSLATE(A16714, ""en"", ""mt"")"),"X’kien muri għall-ewwel darba fl-1910?")</f>
        <v>X’kien muri għall-ewwel darba fl-1910?</v>
      </c>
    </row>
    <row r="16715" ht="15.75" customHeight="1">
      <c r="A16715" s="2" t="s">
        <v>16715</v>
      </c>
      <c r="B16715" s="2" t="str">
        <f>IFERROR(__xludf.DUMMYFUNCTION("GOOGLETRANSLATE(A16715, ""en"", ""mt"")"),"art sewda")</f>
        <v>art sewda</v>
      </c>
    </row>
    <row r="16716" ht="15.75" customHeight="1">
      <c r="A16716" s="2" t="s">
        <v>16716</v>
      </c>
      <c r="B16716" s="2" t="str">
        <f>IFERROR(__xludf.DUMMYFUNCTION("GOOGLETRANSLATE(A16716, ""en"", ""mt"")"),"X'inhu eżempju ta 'kejl fi ħdan klassi ta' kumplessità li toħloq sett ikbar ta 'problemi jekk il-limiti jkunu rilassati?")</f>
        <v>X'inhu eżempju ta 'kejl fi ħdan klassi ta' kumplessità li toħloq sett ikbar ta 'problemi jekk il-limiti jkunu rilassati?</v>
      </c>
    </row>
    <row r="16717" ht="15.75" customHeight="1">
      <c r="A16717" s="2" t="s">
        <v>16717</v>
      </c>
      <c r="B16717" s="2" t="str">
        <f>IFERROR(__xludf.DUMMYFUNCTION("GOOGLETRANSLATE(A16717, ""en"", ""mt"")"),"Is-suċċess tal-patoġeni huwa mbassar fuq il-kapaċità tagħhom li jagħmlu xiex?")</f>
        <v>Is-suċċess tal-patoġeni huwa mbassar fuq il-kapaċità tagħhom li jagħmlu xiex?</v>
      </c>
    </row>
    <row r="16718" ht="15.75" customHeight="1">
      <c r="A16718" s="2" t="s">
        <v>16718</v>
      </c>
      <c r="B16718" s="2" t="str">
        <f>IFERROR(__xludf.DUMMYFUNCTION("GOOGLETRANSLATE(A16718, ""en"", ""mt"")"),"Iqbal inkwetat li l-popolazzjoni l-aktar hindu tal-Indja kienet tagħmel dak li l-wirt u l-kultura Musulmana?")</f>
        <v>Iqbal inkwetat li l-popolazzjoni l-aktar hindu tal-Indja kienet tagħmel dak li l-wirt u l-kultura Musulmana?</v>
      </c>
    </row>
    <row r="16719" ht="15.75" customHeight="1">
      <c r="A16719" s="2" t="s">
        <v>16719</v>
      </c>
      <c r="B16719" s="2" t="str">
        <f>IFERROR(__xludf.DUMMYFUNCTION("GOOGLETRANSLATE(A16719, ""en"", ""mt"")"),"Tossiċità tal-ossiġnu")</f>
        <v>Tossiċità tal-ossiġnu</v>
      </c>
    </row>
    <row r="16720" ht="15.75" customHeight="1">
      <c r="A16720" s="2" t="s">
        <v>16720</v>
      </c>
      <c r="B16720" s="2" t="str">
        <f>IFERROR(__xludf.DUMMYFUNCTION("GOOGLETRANSLATE(A16720, ""en"", ""mt"")"),"""Triq Huguenot Distrett Storiku"" fi New Paltz")</f>
        <v>"Triq Huguenot Distrett Storiku" fi New Paltz</v>
      </c>
    </row>
    <row r="16721" ht="15.75" customHeight="1">
      <c r="A16721" s="2" t="s">
        <v>16721</v>
      </c>
      <c r="B16721" s="2" t="str">
        <f>IFERROR(__xludf.DUMMYFUNCTION("GOOGLETRANSLATE(A16721, ""en"", ""mt"")"),"Minn fejn hi Audra McDonald?")</f>
        <v>Minn fejn hi Audra McDonald?</v>
      </c>
    </row>
    <row r="16722" ht="15.75" customHeight="1">
      <c r="A16722" s="2" t="s">
        <v>16722</v>
      </c>
      <c r="B16722" s="2" t="str">
        <f>IFERROR(__xludf.DUMMYFUNCTION("GOOGLETRANSLATE(A16722, ""en"", ""mt"")"),"rivoluzzjoni")</f>
        <v>rivoluzzjoni</v>
      </c>
    </row>
    <row r="16723" ht="15.75" customHeight="1">
      <c r="A16723" s="2" t="s">
        <v>16723</v>
      </c>
      <c r="B16723" s="2" t="str">
        <f>IFERROR(__xludf.DUMMYFUNCTION("GOOGLETRANSLATE(A16723, ""en"", ""mt"")"),"Liema uċuħ ġew introdotti jew popolarizzati fil-wan?")</f>
        <v>Liema uċuħ ġew introdotti jew popolarizzati fil-wan?</v>
      </c>
    </row>
    <row r="16724" ht="15.75" customHeight="1">
      <c r="A16724" s="2" t="s">
        <v>16724</v>
      </c>
      <c r="B16724" s="2" t="str">
        <f>IFERROR(__xludf.DUMMYFUNCTION("GOOGLETRANSLATE(A16724, ""en"", ""mt"")"),"F'liema espressjoni wieħed jista 'jistenna li jsib dtime (n)")</f>
        <v>F'liema espressjoni wieħed jista 'jistenna li jsib dtime (n)</v>
      </c>
    </row>
    <row r="16725" ht="15.75" customHeight="1">
      <c r="A16725" s="2" t="s">
        <v>16725</v>
      </c>
      <c r="B16725" s="2" t="str">
        <f>IFERROR(__xludf.DUMMYFUNCTION("GOOGLETRANSLATE(A16725, ""en"", ""mt"")"),"Edipo")</f>
        <v>Edipo</v>
      </c>
    </row>
    <row r="16726" ht="15.75" customHeight="1">
      <c r="A16726" s="2" t="s">
        <v>16726</v>
      </c>
      <c r="B16726" s="2" t="str">
        <f>IFERROR(__xludf.DUMMYFUNCTION("GOOGLETRANSLATE(A16726, ""en"", ""mt"")"),"It-tieni skala turi l-aktar eon reċenti bi skala estiża")</f>
        <v>It-tieni skala turi l-aktar eon reċenti bi skala estiża</v>
      </c>
    </row>
    <row r="16727" ht="15.75" customHeight="1">
      <c r="A16727" s="2" t="s">
        <v>16727</v>
      </c>
      <c r="B16727" s="2" t="str">
        <f>IFERROR(__xludf.DUMMYFUNCTION("GOOGLETRANSLATE(A16727, ""en"", ""mt"")"),"Ahai")</f>
        <v>Ahai</v>
      </c>
    </row>
    <row r="16728" ht="15.75" customHeight="1">
      <c r="A16728" s="2" t="s">
        <v>16728</v>
      </c>
      <c r="B16728" s="2" t="str">
        <f>IFERROR(__xludf.DUMMYFUNCTION("GOOGLETRANSLATE(A16728, ""en"", ""mt"")"),"Għarbi")</f>
        <v>Għarbi</v>
      </c>
    </row>
    <row r="16729" ht="15.75" customHeight="1">
      <c r="A16729" s="2" t="s">
        <v>16729</v>
      </c>
      <c r="B16729" s="2" t="str">
        <f>IFERROR(__xludf.DUMMYFUNCTION("GOOGLETRANSLATE(A16729, ""en"", ""mt"")"),"Meta huma ġġustifikati l-inugwaljanzi fil-ġid, skond John Rawls?")</f>
        <v>Meta huma ġġustifikati l-inugwaljanzi fil-ġid, skond John Rawls?</v>
      </c>
    </row>
    <row r="16730" ht="15.75" customHeight="1">
      <c r="A16730" s="2" t="s">
        <v>16730</v>
      </c>
      <c r="B16730" s="2" t="str">
        <f>IFERROR(__xludf.DUMMYFUNCTION("GOOGLETRANSLATE(A16730, ""en"", ""mt"")"),"Christopher Gist")</f>
        <v>Christopher Gist</v>
      </c>
    </row>
    <row r="16731" ht="15.75" customHeight="1">
      <c r="A16731" s="2" t="s">
        <v>16731</v>
      </c>
      <c r="B16731" s="2" t="str">
        <f>IFERROR(__xludf.DUMMYFUNCTION("GOOGLETRANSLATE(A16731, ""en"", ""mt"")"),"Belt multi-kulturali")</f>
        <v>Belt multi-kulturali</v>
      </c>
    </row>
    <row r="16732" ht="15.75" customHeight="1">
      <c r="A16732" s="2" t="s">
        <v>16732</v>
      </c>
      <c r="B16732" s="2" t="str">
        <f>IFERROR(__xludf.DUMMYFUNCTION("GOOGLETRANSLATE(A16732, ""en"", ""mt"")"),"Xi tittraduċi Huisgenoten bil-Franċiż?")</f>
        <v>Xi tittraduċi Huisgenoten bil-Franċiż?</v>
      </c>
    </row>
    <row r="16733" ht="15.75" customHeight="1">
      <c r="A16733" s="2" t="s">
        <v>16733</v>
      </c>
      <c r="B16733" s="2" t="str">
        <f>IFERROR(__xludf.DUMMYFUNCTION("GOOGLETRANSLATE(A16733, ""en"", ""mt"")"),"Sa kemm kilometri huma mewġ tal-shear separati meta jkejlu l-qoxra?")</f>
        <v>Sa kemm kilometri huma mewġ tal-shear separati meta jkejlu l-qoxra?</v>
      </c>
    </row>
    <row r="16734" ht="15.75" customHeight="1">
      <c r="A16734" s="2" t="s">
        <v>16734</v>
      </c>
      <c r="B16734" s="2" t="str">
        <f>IFERROR(__xludf.DUMMYFUNCTION("GOOGLETRANSLATE(A16734, ""en"", ""mt"")"),"Teorija taċ-ċirku")</f>
        <v>Teorija taċ-ċirku</v>
      </c>
    </row>
    <row r="16735" ht="15.75" customHeight="1">
      <c r="A16735" s="2" t="s">
        <v>16735</v>
      </c>
      <c r="B16735" s="2" t="str">
        <f>IFERROR(__xludf.DUMMYFUNCTION("GOOGLETRANSLATE(A16735, ""en"", ""mt"")"),"Liema mexxej ta 'Khitan iddefetta lill-Mongoli?")</f>
        <v>Liema mexxej ta 'Khitan iddefetta lill-Mongoli?</v>
      </c>
    </row>
    <row r="16736" ht="15.75" customHeight="1">
      <c r="A16736" s="2" t="s">
        <v>16736</v>
      </c>
      <c r="B16736" s="2" t="str">
        <f>IFERROR(__xludf.DUMMYFUNCTION("GOOGLETRANSLATE(A16736, ""en"", ""mt"")"),"Kważi tliet mitt sena")</f>
        <v>Kważi tliet mitt sena</v>
      </c>
    </row>
    <row r="16737" ht="15.75" customHeight="1">
      <c r="A16737" s="2" t="s">
        <v>16737</v>
      </c>
      <c r="B16737" s="2" t="str">
        <f>IFERROR(__xludf.DUMMYFUNCTION("GOOGLETRANSLATE(A16737, ""en"", ""mt"")"),"Min wera kif joħloq numru perfett minn Mersenne Prime?")</f>
        <v>Min wera kif joħloq numru perfett minn Mersenne Prime?</v>
      </c>
    </row>
    <row r="16738" ht="15.75" customHeight="1">
      <c r="A16738" s="2" t="s">
        <v>16738</v>
      </c>
      <c r="B16738" s="2" t="str">
        <f>IFERROR(__xludf.DUMMYFUNCTION("GOOGLETRANSLATE(A16738, ""en"", ""mt"")"),"Liema parti hija favorita fit-Tramuntana u n-Nofsinhar tar-Rabat?")</f>
        <v>Liema parti hija favorita fit-Tramuntana u n-Nofsinhar tar-Rabat?</v>
      </c>
    </row>
    <row r="16739" ht="15.75" customHeight="1">
      <c r="A16739" s="2" t="s">
        <v>16739</v>
      </c>
      <c r="B16739" s="2" t="str">
        <f>IFERROR(__xludf.DUMMYFUNCTION("GOOGLETRANSLATE(A16739, ""en"", ""mt"")"),"Proġett ta 'kostruzzjoni")</f>
        <v>Proġett ta 'kostruzzjoni</v>
      </c>
    </row>
    <row r="16740" ht="15.75" customHeight="1">
      <c r="A16740" s="2" t="s">
        <v>16740</v>
      </c>
      <c r="B16740" s="2" t="str">
        <f>IFERROR(__xludf.DUMMYFUNCTION("GOOGLETRANSLATE(A16740, ""en"", ""mt"")"),"X'INHU l-forza elettrostatika u manjetika mqajma bħala s-somma ta '?")</f>
        <v>X'INHU l-forza elettrostatika u manjetika mqajma bħala s-somma ta '?</v>
      </c>
    </row>
    <row r="16741" ht="15.75" customHeight="1">
      <c r="A16741" s="2" t="s">
        <v>16741</v>
      </c>
      <c r="B16741" s="2" t="str">
        <f>IFERROR(__xludf.DUMMYFUNCTION("GOOGLETRANSLATE(A16741, ""en"", ""mt"")"),"X'inhu t-tikketta ta 'kull messaġġ?")</f>
        <v>X'inhu t-tikketta ta 'kull messaġġ?</v>
      </c>
    </row>
    <row r="16742" ht="15.75" customHeight="1">
      <c r="A16742" s="2" t="s">
        <v>16742</v>
      </c>
      <c r="B16742" s="2" t="str">
        <f>IFERROR(__xludf.DUMMYFUNCTION("GOOGLETRANSLATE(A16742, ""en"", ""mt"")"),"Xi jfisser il-foss mgħarrqa bħalissa għadu viżibbli?")</f>
        <v>Xi jfisser il-foss mgħarrqa bħalissa għadu viżibbli?</v>
      </c>
    </row>
    <row r="16743" ht="15.75" customHeight="1">
      <c r="A16743" s="2" t="s">
        <v>16743</v>
      </c>
      <c r="B16743" s="2" t="str">
        <f>IFERROR(__xludf.DUMMYFUNCTION("GOOGLETRANSLATE(A16743, ""en"", ""mt"")"),"Liema pjattaforma għenet lil BSKYB biex tevita li ttemm is-servizz analogu tagħhom?")</f>
        <v>Liema pjattaforma għenet lil BSKYB biex tevita li ttemm is-servizz analogu tagħhom?</v>
      </c>
    </row>
    <row r="16744" ht="15.75" customHeight="1">
      <c r="A16744" s="2" t="s">
        <v>16744</v>
      </c>
      <c r="B16744" s="2" t="str">
        <f>IFERROR(__xludf.DUMMYFUNCTION("GOOGLETRANSLATE(A16744, ""en"", ""mt"")"),"Ethernet mehmuża ospiti, u eventwalment TCP / IP u universitajiet pubbliċi addizzjonali fi Michigan jingħaqdu man-netwerk")</f>
        <v>Ethernet mehmuża ospiti, u eventwalment TCP / IP u universitajiet pubbliċi addizzjonali fi Michigan jingħaqdu man-netwerk</v>
      </c>
    </row>
    <row r="16745" ht="15.75" customHeight="1">
      <c r="A16745" s="2" t="s">
        <v>16745</v>
      </c>
      <c r="B16745" s="2" t="str">
        <f>IFERROR(__xludf.DUMMYFUNCTION("GOOGLETRANSLATE(A16745, ""en"", ""mt"")"),"X'inhuma s-sorsi kostituzzjonali primarji tal-Unjoni Amerikana?")</f>
        <v>X'inhuma s-sorsi kostituzzjonali primarji tal-Unjoni Amerikana?</v>
      </c>
    </row>
    <row r="16746" ht="15.75" customHeight="1">
      <c r="A16746" s="2" t="s">
        <v>16746</v>
      </c>
      <c r="B16746" s="2" t="str">
        <f>IFERROR(__xludf.DUMMYFUNCTION("GOOGLETRANSLATE(A16746, ""en"", ""mt"")")," Kif wasal il-wan biex ikollu t-8 skejjel tal-mediċina?")</f>
        <v> Kif wasal il-wan biex ikollu t-8 skejjel tal-mediċina?</v>
      </c>
    </row>
    <row r="16747" ht="15.75" customHeight="1">
      <c r="A16747" s="2" t="s">
        <v>16747</v>
      </c>
      <c r="B16747" s="2" t="str">
        <f>IFERROR(__xludf.DUMMYFUNCTION("GOOGLETRANSLATE(A16747, ""en"", ""mt"")"),"pressjoni kostanti")</f>
        <v>pressjoni kostanti</v>
      </c>
    </row>
    <row r="16748" ht="15.75" customHeight="1">
      <c r="A16748" s="2" t="s">
        <v>16748</v>
      </c>
      <c r="B16748" s="2" t="str">
        <f>IFERROR(__xludf.DUMMYFUNCTION("GOOGLETRANSLATE(A16748, ""en"", ""mt"")"),"X’għamel lil Jacksonville qorti militari u ċivili ewlenija mill-1900s?")</f>
        <v>X’għamel lil Jacksonville qorti militari u ċivili ewlenija mill-1900s?</v>
      </c>
    </row>
    <row r="16749" ht="15.75" customHeight="1">
      <c r="A16749" s="2" t="s">
        <v>16749</v>
      </c>
      <c r="B16749" s="2" t="str">
        <f>IFERROR(__xludf.DUMMYFUNCTION("GOOGLETRANSLATE(A16749, ""en"", ""mt"")"),"κτείς kteis 'comb' u φέρω pherō 'iġorru'")</f>
        <v>κτείς kteis 'comb' u φέρω pherō 'iġorru'</v>
      </c>
    </row>
    <row r="16750" ht="15.75" customHeight="1">
      <c r="A16750" s="2" t="s">
        <v>16750</v>
      </c>
      <c r="B16750" s="2" t="str">
        <f>IFERROR(__xludf.DUMMYFUNCTION("GOOGLETRANSLATE(A16750, ""en"", ""mt"")"),"X'inhi l-liġi tat-termodinamiċità assoċjata ma 'skambju ta' sħana tas-sistema magħluqa?")</f>
        <v>X'inhi l-liġi tat-termodinamiċità assoċjata ma 'skambju ta' sħana tas-sistema magħluqa?</v>
      </c>
    </row>
    <row r="16751" ht="15.75" customHeight="1">
      <c r="A16751" s="2" t="s">
        <v>16751</v>
      </c>
      <c r="B16751" s="2" t="str">
        <f>IFERROR(__xludf.DUMMYFUNCTION("GOOGLETRANSLATE(A16751, ""en"", ""mt"")"),"X'inhuma wħud mill-fatturi minuri fl-ekonomija lokali?")</f>
        <v>X'inhuma wħud mill-fatturi minuri fl-ekonomija lokali?</v>
      </c>
    </row>
    <row r="16752" ht="15.75" customHeight="1">
      <c r="A16752" s="2" t="s">
        <v>16752</v>
      </c>
      <c r="B16752" s="2" t="str">
        <f>IFERROR(__xludf.DUMMYFUNCTION("GOOGLETRANSLATE(A16752, ""en"", ""mt"")"),"Meta twaqqfet il-Fratellanza Musulmana?")</f>
        <v>Meta twaqqfet il-Fratellanza Musulmana?</v>
      </c>
    </row>
    <row r="16753" ht="15.75" customHeight="1">
      <c r="A16753" s="2" t="s">
        <v>16753</v>
      </c>
      <c r="B16753" s="2" t="str">
        <f>IFERROR(__xludf.DUMMYFUNCTION("GOOGLETRANSLATE(A16753, ""en"", ""mt"")"),"X'tip ta 'difiża xi kultant jintuża fil-qorti minn dimostranti?")</f>
        <v>X'tip ta 'difiża xi kultant jintuża fil-qorti minn dimostranti?</v>
      </c>
    </row>
    <row r="16754" ht="15.75" customHeight="1">
      <c r="A16754" s="2" t="s">
        <v>16754</v>
      </c>
      <c r="B16754" s="2" t="str">
        <f>IFERROR(__xludf.DUMMYFUNCTION("GOOGLETRANSLATE(A16754, ""en"", ""mt"")"),"30,000")</f>
        <v>30,000</v>
      </c>
    </row>
    <row r="16755" ht="15.75" customHeight="1">
      <c r="A16755" s="2" t="s">
        <v>16755</v>
      </c>
      <c r="B16755" s="2" t="str">
        <f>IFERROR(__xludf.DUMMYFUNCTION("GOOGLETRANSLATE(A16755, ""en"", ""mt"")"),"Turbina tal-fwar tikkonsisti minn rotor wieħed jew aktar (diski li jduru) immuntati fuq xaft tas-sewqan, li jalternaw ma 'serje ta' stators (diski statiċi) imwaħħlin mal-kisi tat-turbina. Ir-rotors għandhom arranġament ta 'xfafar simili għall-iskrun fit-t"&amp;"arf ta' barra. Steam jaġixxi fuq dawn ix-xfafar, u jipproduċi moviment li jdur. L-istator jikkonsisti f'serje simili, imma fissa, ta 'xfafar li jservu biex jidderieġu l-fluss tal-fwar fuq l-istadju tar-rotor li jmiss. Turbina tal-fwar ħafna drabi teżawrix"&amp;"xi ġo kondensatur tal-wiċċ li jipprovdi vakwu. L-istadji ta 'turbina tal-fwar huma tipikament irranġati biex jiġu estratti l-ħidma potenzjali massima minn veloċità speċifika u pressjoni tal-fwar, li tagħti lok għal serje ta' stadji ta 'pressjoni għolja u "&amp;"baxxa ta' daqs varjabbli. It-turbini huma effiċjenti biss jekk iduru b'veloċità relattivament għolja, għalhekk huma ġeneralment konnessi ma 'l-irkaptu ta' tnaqqis biex isuqu applikazzjonijiet ta 'veloċità baxxa, bħal skrun tal-vapur. Fil-maġġoranza l-kbir"&amp;"a ta 'stazzjonijiet kbar ta' ġenerazzjoni elettrika, it-turbini huma konnessi direttament ma 'ġeneraturi mingħajr l-irkaptu ta' tnaqqis. Veloċitajiet tipiċi huma 3600 rivoluzzjonijiet kull minuta (RPM) fl-Istati Uniti b'60 Hertz Power, 3000 rpm fl-Ewropa "&amp;"u pajjiżi oħra b'50 sistemi ta 'enerġija elettrika Hertz. F'applikazzjonijiet ta 'enerġija nukleari, it-turbini tipikament jimxu b'nofs dawn il-veloċitajiet, 1800 rpm u 1500 rpm. Rotor tat-turbina huwa biss kapaċi jipprovdi l-enerġija meta jdur f'direzzjo"&amp;"ni waħda. Għalhekk, stadju jew gearbox tar-rivers huwa ġeneralment meħtieġ meta l-qawwa tkun meħtieġa fid-direzzjoni opposta. [Ċitazzjoni meħtieġa]")</f>
        <v>Turbina tal-fwar tikkonsisti minn rotor wieħed jew aktar (diski li jduru) immuntati fuq xaft tas-sewqan, li jalternaw ma 'serje ta' stators (diski statiċi) imwaħħlin mal-kisi tat-turbina. Ir-rotors għandhom arranġament ta 'xfafar simili għall-iskrun fit-tarf ta' barra. Steam jaġixxi fuq dawn ix-xfafar, u jipproduċi moviment li jdur. L-istator jikkonsisti f'serje simili, imma fissa, ta 'xfafar li jservu biex jidderieġu l-fluss tal-fwar fuq l-istadju tar-rotor li jmiss. Turbina tal-fwar ħafna drabi teżawrixxi ġo kondensatur tal-wiċċ li jipprovdi vakwu. L-istadji ta 'turbina tal-fwar huma tipikament irranġati biex jiġu estratti l-ħidma potenzjali massima minn veloċità speċifika u pressjoni tal-fwar, li tagħti lok għal serje ta' stadji ta 'pressjoni għolja u baxxa ta' daqs varjabbli. It-turbini huma effiċjenti biss jekk iduru b'veloċità relattivament għolja, għalhekk huma ġeneralment konnessi ma 'l-irkaptu ta' tnaqqis biex isuqu applikazzjonijiet ta 'veloċità baxxa, bħal skrun tal-vapur. Fil-maġġoranza l-kbira ta 'stazzjonijiet kbar ta' ġenerazzjoni elettrika, it-turbini huma konnessi direttament ma 'ġeneraturi mingħajr l-irkaptu ta' tnaqqis. Veloċitajiet tipiċi huma 3600 rivoluzzjonijiet kull minuta (RPM) fl-Istati Uniti b'60 Hertz Power, 3000 rpm fl-Ewropa u pajjiżi oħra b'50 sistemi ta 'enerġija elettrika Hertz. F'applikazzjonijiet ta 'enerġija nukleari, it-turbini tipikament jimxu b'nofs dawn il-veloċitajiet, 1800 rpm u 1500 rpm. Rotor tat-turbina huwa biss kapaċi jipprovdi l-enerġija meta jdur f'direzzjoni waħda. Għalhekk, stadju jew gearbox tar-rivers huwa ġeneralment meħtieġ meta l-qawwa tkun meħtieġa fid-direzzjoni opposta. [Ċitazzjoni meħtieġa]</v>
      </c>
    </row>
    <row r="16756" ht="15.75" customHeight="1">
      <c r="A16756" s="2" t="s">
        <v>16756</v>
      </c>
      <c r="B16756" s="2" t="str">
        <f>IFERROR(__xludf.DUMMYFUNCTION("GOOGLETRANSLATE(A16756, ""en"", ""mt"")"),"Fejn ma jinsabux ċelloli speċjalizzati?")</f>
        <v>Fejn ma jinsabux ċelloli speċjalizzati?</v>
      </c>
    </row>
    <row r="16757" ht="15.75" customHeight="1">
      <c r="A16757" s="2" t="s">
        <v>16757</v>
      </c>
      <c r="B16757" s="2" t="str">
        <f>IFERROR(__xludf.DUMMYFUNCTION("GOOGLETRANSLATE(A16757, ""en"", ""mt"")"),"Liema parti tad-dinja hija magħmula l-aktar minn silikati tal-ħadid u tal-manjeżju?")</f>
        <v>Liema parti tad-dinja hija magħmula l-aktar minn silikati tal-ħadid u tal-manjeżju?</v>
      </c>
    </row>
    <row r="16758" ht="15.75" customHeight="1">
      <c r="A16758" s="2" t="s">
        <v>16758</v>
      </c>
      <c r="B16758" s="2" t="str">
        <f>IFERROR(__xludf.DUMMYFUNCTION("GOOGLETRANSLATE(A16758, ""en"", ""mt"")"),"Mozzjoni Rotary")</f>
        <v>Mozzjoni Rotary</v>
      </c>
    </row>
    <row r="16759" ht="15.75" customHeight="1">
      <c r="A16759" s="2" t="s">
        <v>16759</v>
      </c>
      <c r="B16759" s="2" t="str">
        <f>IFERROR(__xludf.DUMMYFUNCTION("GOOGLETRANSLATE(A16759, ""en"", ""mt"")"),"Impatt ħafna")</f>
        <v>Impatt ħafna</v>
      </c>
    </row>
    <row r="16760" ht="15.75" customHeight="1">
      <c r="A16760" s="2" t="s">
        <v>16760</v>
      </c>
      <c r="B16760" s="2" t="str">
        <f>IFERROR(__xludf.DUMMYFUNCTION("GOOGLETRANSLATE(A16760, ""en"", ""mt"")"),"Kemm nies kienu jgħixu fiċ-Ċina fis-1300s?")</f>
        <v>Kemm nies kienu jgħixu fiċ-Ċina fis-1300s?</v>
      </c>
    </row>
    <row r="16761" ht="15.75" customHeight="1">
      <c r="A16761" s="2" t="s">
        <v>16761</v>
      </c>
      <c r="B16761" s="2" t="str">
        <f>IFERROR(__xludf.DUMMYFUNCTION("GOOGLETRANSLATE(A16761, ""en"", ""mt"")"),"Il-Ktieb tal-Eżodu")</f>
        <v>Il-Ktieb tal-Eżodu</v>
      </c>
    </row>
    <row r="16762" ht="15.75" customHeight="1">
      <c r="A16762" s="2" t="s">
        <v>16762</v>
      </c>
      <c r="B16762" s="2" t="str">
        <f>IFERROR(__xludf.DUMMYFUNCTION("GOOGLETRANSLATE(A16762, ""en"", ""mt"")"),"Bħal ħafna mir-reġjun tal-Atlantiku tan-Nofsinhar ta 'l-Istati Uniti, Jacksonville għandu klima subtropikali umda (Köppen CFA), bi temp ħafif waqt ix-xtiewi u temp sħun u umdu matul is-sjuf. Ix-xita staġjonali hija kkonċentrata fl-iktar xhur sħan minn Mej"&amp;"ju sa Settembru, filwaqt li x-xhur l-aktar niexfa huma minn Novembru sa April. Minħabba l-latitudni baxxa u l-post kostali ta 'Jacksonville, il-belt tara ftit temp kiesaħ, u x-xtiewi huma tipikament ħfief u xemxija. Is-Sjuf jistgħu jkunu sħan u mxarrba, u"&amp;" l-maltempati tas-sajf bi tnaqqis fil-qosor iżda qosra huma komuni.")</f>
        <v>Bħal ħafna mir-reġjun tal-Atlantiku tan-Nofsinhar ta 'l-Istati Uniti, Jacksonville għandu klima subtropikali umda (Köppen CFA), bi temp ħafif waqt ix-xtiewi u temp sħun u umdu matul is-sjuf. Ix-xita staġjonali hija kkonċentrata fl-iktar xhur sħan minn Mejju sa Settembru, filwaqt li x-xhur l-aktar niexfa huma minn Novembru sa April. Minħabba l-latitudni baxxa u l-post kostali ta 'Jacksonville, il-belt tara ftit temp kiesaħ, u x-xtiewi huma tipikament ħfief u xemxija. Is-Sjuf jistgħu jkunu sħan u mxarrba, u l-maltempati tas-sajf bi tnaqqis fil-qosor iżda qosra huma komuni.</v>
      </c>
    </row>
    <row r="16763" ht="15.75" customHeight="1">
      <c r="A16763" s="2" t="s">
        <v>16763</v>
      </c>
      <c r="B16763" s="2" t="str">
        <f>IFERROR(__xludf.DUMMYFUNCTION("GOOGLETRANSLATE(A16763, ""en"", ""mt"")"),"OLOCENE")</f>
        <v>OLOCENE</v>
      </c>
    </row>
    <row r="16764" ht="15.75" customHeight="1">
      <c r="A16764" s="2" t="s">
        <v>16764</v>
      </c>
      <c r="B16764" s="2" t="str">
        <f>IFERROR(__xludf.DUMMYFUNCTION("GOOGLETRANSLATE(A16764, ""en"", ""mt"")"),"X'jiġri biex taħli s-sħana fl-ilma?")</f>
        <v>X'jiġri biex taħli s-sħana fl-ilma?</v>
      </c>
    </row>
    <row r="16765" ht="15.75" customHeight="1">
      <c r="A16765" s="2" t="s">
        <v>16765</v>
      </c>
      <c r="B16765" s="2" t="str">
        <f>IFERROR(__xludf.DUMMYFUNCTION("GOOGLETRANSLATE(A16765, ""en"", ""mt"")"),"protesta li timblokka traffiku qawwi")</f>
        <v>protesta li timblokka traffiku qawwi</v>
      </c>
    </row>
    <row r="16766" ht="15.75" customHeight="1">
      <c r="A16766" s="2" t="s">
        <v>16766</v>
      </c>
      <c r="B16766" s="2" t="str">
        <f>IFERROR(__xludf.DUMMYFUNCTION("GOOGLETRANSLATE(A16766, ""en"", ""mt"")"),"Philip Roth")</f>
        <v>Philip Roth</v>
      </c>
    </row>
    <row r="16767" ht="15.75" customHeight="1">
      <c r="A16767" s="2" t="s">
        <v>16767</v>
      </c>
      <c r="B16767" s="2" t="str">
        <f>IFERROR(__xludf.DUMMYFUNCTION("GOOGLETRANSLATE(A16767, ""en"", ""mt"")"),"267")</f>
        <v>267</v>
      </c>
    </row>
    <row r="16768" ht="15.75" customHeight="1">
      <c r="A16768" s="2" t="s">
        <v>16768</v>
      </c>
      <c r="B16768" s="2" t="str">
        <f>IFERROR(__xludf.DUMMYFUNCTION("GOOGLETRANSLATE(A16768, ""en"", ""mt"")"),"1989")</f>
        <v>1989</v>
      </c>
    </row>
    <row r="16769" ht="15.75" customHeight="1">
      <c r="A16769" s="2" t="s">
        <v>16769</v>
      </c>
      <c r="B16769" s="2" t="str">
        <f>IFERROR(__xludf.DUMMYFUNCTION("GOOGLETRANSLATE(A16769, ""en"", ""mt"")"),"Arnhem")</f>
        <v>Arnhem</v>
      </c>
    </row>
    <row r="16770" ht="15.75" customHeight="1">
      <c r="A16770" s="2" t="s">
        <v>16770</v>
      </c>
      <c r="B16770" s="2" t="str">
        <f>IFERROR(__xludf.DUMMYFUNCTION("GOOGLETRANSLATE(A16770, ""en"", ""mt"")"),"Min hu l-75 Segretarju tat-Teżor tal-Istati Uniti?")</f>
        <v>Min hu l-75 Segretarju tat-Teżor tal-Istati Uniti?</v>
      </c>
    </row>
    <row r="16771" ht="15.75" customHeight="1">
      <c r="A16771" s="2" t="s">
        <v>16771</v>
      </c>
      <c r="B16771" s="2" t="str">
        <f>IFERROR(__xludf.DUMMYFUNCTION("GOOGLETRANSLATE(A16771, ""en"", ""mt"")"),"X'inhu xi kultant iktar effettiv minn diżubbidjenza ċivili xi drabi?")</f>
        <v>X'inhu xi kultant iktar effettiv minn diżubbidjenza ċivili xi drabi?</v>
      </c>
    </row>
    <row r="16772" ht="15.75" customHeight="1">
      <c r="A16772" s="2" t="s">
        <v>16772</v>
      </c>
      <c r="B16772" s="2" t="str">
        <f>IFERROR(__xludf.DUMMYFUNCTION("GOOGLETRANSLATE(A16772, ""en"", ""mt"")"),"Unitajiet tal-blat")</f>
        <v>Unitajiet tal-blat</v>
      </c>
    </row>
    <row r="16773" ht="15.75" customHeight="1">
      <c r="A16773" s="2" t="s">
        <v>16773</v>
      </c>
      <c r="B16773" s="2" t="str">
        <f>IFERROR(__xludf.DUMMYFUNCTION("GOOGLETRANSLATE(A16773, ""en"", ""mt"")"),"Xi tfisser Carnot?")</f>
        <v>Xi tfisser Carnot?</v>
      </c>
    </row>
    <row r="16774" ht="15.75" customHeight="1">
      <c r="A16774" s="2" t="s">
        <v>16774</v>
      </c>
      <c r="B16774" s="2" t="str">
        <f>IFERROR(__xludf.DUMMYFUNCTION("GOOGLETRANSLATE(A16774, ""en"", ""mt"")"),"F’soċjetà morali ideali, minn xiex ma jkunu ħielsa ċ-ċittadini?")</f>
        <v>F’soċjetà morali ideali, minn xiex ma jkunu ħielsa ċ-ċittadini?</v>
      </c>
    </row>
    <row r="16775" ht="15.75" customHeight="1">
      <c r="A16775" s="2" t="s">
        <v>16775</v>
      </c>
      <c r="B16775" s="2" t="str">
        <f>IFERROR(__xludf.DUMMYFUNCTION("GOOGLETRANSLATE(A16775, ""en"", ""mt"")"),"Nukleoni fin-nuklei atomiċi")</f>
        <v>Nukleoni fin-nuklei atomiċi</v>
      </c>
    </row>
    <row r="16776" ht="15.75" customHeight="1">
      <c r="A16776" s="2" t="s">
        <v>16776</v>
      </c>
      <c r="B16776" s="2" t="str">
        <f>IFERROR(__xludf.DUMMYFUNCTION("GOOGLETRANSLATE(A16776, ""en"", ""mt"")"),"Kemm minn Victoria pproduċiet ħawħ Awstraljan?")</f>
        <v>Kemm minn Victoria pproduċiet ħawħ Awstraljan?</v>
      </c>
    </row>
    <row r="16777" ht="15.75" customHeight="1">
      <c r="A16777" s="2" t="s">
        <v>16777</v>
      </c>
      <c r="B16777" s="2" t="str">
        <f>IFERROR(__xludf.DUMMYFUNCTION("GOOGLETRANSLATE(A16777, ""en"", ""mt"")"),"X’jaħsu li dawk fl-uffiċċju politiku jirrifjutaw li jiffirmaw meta jkunu involuti fid-diżubbidjenza ċivili?")</f>
        <v>X’jaħsu li dawk fl-uffiċċju politiku jirrifjutaw li jiffirmaw meta jkunu involuti fid-diżubbidjenza ċivili?</v>
      </c>
    </row>
    <row r="16778" ht="15.75" customHeight="1">
      <c r="A16778" s="2" t="s">
        <v>16778</v>
      </c>
      <c r="B16778" s="2" t="str">
        <f>IFERROR(__xludf.DUMMYFUNCTION("GOOGLETRANSLATE(A16778, ""en"", ""mt"")"),"Xi tfisser is-sostituzzjoni tat-tagħmir għal xogħol għall-ħaddiema?")</f>
        <v>Xi tfisser is-sostituzzjoni tat-tagħmir għal xogħol għall-ħaddiema?</v>
      </c>
    </row>
    <row r="16779" ht="15.75" customHeight="1">
      <c r="A16779" s="2" t="s">
        <v>16779</v>
      </c>
      <c r="B16779" s="2" t="str">
        <f>IFERROR(__xludf.DUMMYFUNCTION("GOOGLETRANSLATE(A16779, ""en"", ""mt"")"),"iżżid il-biċċa l-kbira tagħha u tnaqqas id-densità tagħha")</f>
        <v>iżżid il-biċċa l-kbira tagħha u tnaqqas id-densità tagħha</v>
      </c>
    </row>
    <row r="16780" ht="15.75" customHeight="1">
      <c r="A16780" s="2" t="s">
        <v>16780</v>
      </c>
      <c r="B16780" s="2" t="str">
        <f>IFERROR(__xludf.DUMMYFUNCTION("GOOGLETRANSLATE(A16780, ""en"", ""mt"")"),"Kemm in-nobbli Franċiżi kienu Huguenots?")</f>
        <v>Kemm in-nobbli Franċiżi kienu Huguenots?</v>
      </c>
    </row>
    <row r="16781" ht="15.75" customHeight="1">
      <c r="A16781" s="2" t="s">
        <v>16781</v>
      </c>
      <c r="B16781" s="2" t="str">
        <f>IFERROR(__xludf.DUMMYFUNCTION("GOOGLETRANSLATE(A16781, ""en"", ""mt"")"),"Meta tkun akkwistata l-memorja attiva għal żmien qasir?")</f>
        <v>Meta tkun akkwistata l-memorja attiva għal żmien qasir?</v>
      </c>
    </row>
    <row r="16782" ht="15.75" customHeight="1">
      <c r="A16782" s="2" t="s">
        <v>16782</v>
      </c>
      <c r="B16782" s="2" t="str">
        <f>IFERROR(__xludf.DUMMYFUNCTION("GOOGLETRANSLATE(A16782, ""en"", ""mt"")"),"Fuq liema xmara joqgħod Varsavja?")</f>
        <v>Fuq liema xmara joqgħod Varsavja?</v>
      </c>
    </row>
    <row r="16783" ht="15.75" customHeight="1">
      <c r="A16783" s="2" t="s">
        <v>16783</v>
      </c>
      <c r="B16783" s="2" t="str">
        <f>IFERROR(__xludf.DUMMYFUNCTION("GOOGLETRANSLATE(A16783, ""en"", ""mt"")"),"Minn liema tul huma l-avvenimenti taċ-ċiklu tal-magna meta tintuża l-aktar kompressjoni tal-egżost sempliċi?")</f>
        <v>Minn liema tul huma l-avvenimenti taċ-ċiklu tal-magna meta tintuża l-aktar kompressjoni tal-egżost sempliċi?</v>
      </c>
    </row>
    <row r="16784" ht="15.75" customHeight="1">
      <c r="A16784" s="2" t="s">
        <v>16784</v>
      </c>
      <c r="B16784" s="2" t="str">
        <f>IFERROR(__xludf.DUMMYFUNCTION("GOOGLETRANSLATE(A16784, ""en"", ""mt"")"),"Pesta Justinian")</f>
        <v>Pesta Justinian</v>
      </c>
    </row>
    <row r="16785" ht="15.75" customHeight="1">
      <c r="A16785" s="2" t="s">
        <v>16785</v>
      </c>
      <c r="B16785" s="2" t="str">
        <f>IFERROR(__xludf.DUMMYFUNCTION("GOOGLETRANSLATE(A16785, ""en"", ""mt"")"),"Kif hija msemmija l-molekula O2 fl-istat tal-art tagħha?")</f>
        <v>Kif hija msemmija l-molekula O2 fl-istat tal-art tagħha?</v>
      </c>
    </row>
    <row r="16786" ht="15.75" customHeight="1">
      <c r="A16786" s="2" t="s">
        <v>16786</v>
      </c>
      <c r="B16786" s="2" t="str">
        <f>IFERROR(__xludf.DUMMYFUNCTION("GOOGLETRANSLATE(A16786, ""en"", ""mt"")"),"Min rewwixta fir-ribelljoni tal-ISPAH?")</f>
        <v>Min rewwixta fir-ribelljoni tal-ISPAH?</v>
      </c>
    </row>
    <row r="16787" ht="15.75" customHeight="1">
      <c r="A16787" s="2" t="s">
        <v>16787</v>
      </c>
      <c r="B16787" s="2" t="str">
        <f>IFERROR(__xludf.DUMMYFUNCTION("GOOGLETRANSLATE(A16787, ""en"", ""mt"")"),"X'kienet akkużata Zia-ul-Haq li uża l-Iżlamizzazzjoni biex tilleġittimizza?")</f>
        <v>X'kienet akkużata Zia-ul-Haq li uża l-Iżlamizzazzjoni biex tilleġittimizza?</v>
      </c>
    </row>
    <row r="16788" ht="15.75" customHeight="1">
      <c r="A16788" s="2" t="s">
        <v>16788</v>
      </c>
      <c r="B16788" s="2" t="str">
        <f>IFERROR(__xludf.DUMMYFUNCTION("GOOGLETRANSLATE(A16788, ""en"", ""mt"")"),"Kif huma diffiċli l-ispejjeż li huma diffiċli biex jiġu evitati?")</f>
        <v>Kif huma diffiċli l-ispejjeż li huma diffiċli biex jiġu evitati?</v>
      </c>
    </row>
    <row r="16789" ht="15.75" customHeight="1">
      <c r="A16789" s="2" t="s">
        <v>16789</v>
      </c>
      <c r="B16789" s="2" t="str">
        <f>IFERROR(__xludf.DUMMYFUNCTION("GOOGLETRANSLATE(A16789, ""en"", ""mt"")"),"Fejn hi l-fruntiera tal-Isvizzera u l-Awstrija?")</f>
        <v>Fejn hi l-fruntiera tal-Isvizzera u l-Awstrija?</v>
      </c>
    </row>
    <row r="16790" ht="15.75" customHeight="1">
      <c r="A16790" s="2" t="s">
        <v>16790</v>
      </c>
      <c r="B16790" s="2" t="str">
        <f>IFERROR(__xludf.DUMMYFUNCTION("GOOGLETRANSLATE(A16790, ""en"", ""mt"")"),"Meta t-tribujiet Ġermaniċi qasmu r-Renu biex jemigraw?")</f>
        <v>Meta t-tribujiet Ġermaniċi qasmu r-Renu biex jemigraw?</v>
      </c>
    </row>
    <row r="16791" ht="15.75" customHeight="1">
      <c r="A16791" s="2" t="s">
        <v>16791</v>
      </c>
      <c r="B16791" s="2" t="str">
        <f>IFERROR(__xludf.DUMMYFUNCTION("GOOGLETRANSLATE(A16791, ""en"", ""mt"")"),"Xi jfisser l-artikolu TFEU ma jiddikjarax?")</f>
        <v>Xi jfisser l-artikolu TFEU ma jiddikjarax?</v>
      </c>
    </row>
    <row r="16792" ht="15.75" customHeight="1">
      <c r="A16792" s="2" t="s">
        <v>16792</v>
      </c>
      <c r="B16792" s="2" t="str">
        <f>IFERROR(__xludf.DUMMYFUNCTION("GOOGLETRANSLATE(A16792, ""en"", ""mt"")"),"Bini tal-Imperu")</f>
        <v>Bini tal-Imperu</v>
      </c>
    </row>
    <row r="16793" ht="15.75" customHeight="1">
      <c r="A16793" s="2" t="s">
        <v>16793</v>
      </c>
      <c r="B16793" s="2" t="str">
        <f>IFERROR(__xludf.DUMMYFUNCTION("GOOGLETRANSLATE(A16793, ""en"", ""mt"")"),"Hemm riħ miżjud minn liema direzzjoni f'Lulju?")</f>
        <v>Hemm riħ miżjud minn liema direzzjoni f'Lulju?</v>
      </c>
    </row>
    <row r="16794" ht="15.75" customHeight="1">
      <c r="A16794" s="2" t="s">
        <v>16794</v>
      </c>
      <c r="B16794" s="2" t="str">
        <f>IFERROR(__xludf.DUMMYFUNCTION("GOOGLETRANSLATE(A16794, ""en"", ""mt"")"),"Eleutherian")</f>
        <v>Eleutherian</v>
      </c>
    </row>
    <row r="16795" ht="15.75" customHeight="1">
      <c r="A16795" s="2" t="s">
        <v>16795</v>
      </c>
      <c r="B16795" s="2" t="str">
        <f>IFERROR(__xludf.DUMMYFUNCTION("GOOGLETRANSLATE(A16795, ""en"", ""mt"")"),"X'inhi xi ħaġa li ta 'spiss tinqata' u inkluża fil-blat sedimentarju?")</f>
        <v>X'inhi xi ħaġa li ta 'spiss tinqata' u inkluża fil-blat sedimentarju?</v>
      </c>
    </row>
    <row r="16796" ht="15.75" customHeight="1">
      <c r="A16796" s="2" t="s">
        <v>16796</v>
      </c>
      <c r="B16796" s="2" t="str">
        <f>IFERROR(__xludf.DUMMYFUNCTION("GOOGLETRANSLATE(A16796, ""en"", ""mt"")"),"1960s")</f>
        <v>1960s</v>
      </c>
    </row>
    <row r="16797" ht="15.75" customHeight="1">
      <c r="A16797" s="2" t="s">
        <v>16797</v>
      </c>
      <c r="B16797" s="2" t="str">
        <f>IFERROR(__xludf.DUMMYFUNCTION("GOOGLETRANSLATE(A16797, ""en"", ""mt"")"),"30% inqas fwar")</f>
        <v>30% inqas fwar</v>
      </c>
    </row>
    <row r="16798" ht="15.75" customHeight="1">
      <c r="A16798" s="2" t="s">
        <v>16798</v>
      </c>
      <c r="B16798" s="2" t="str">
        <f>IFERROR(__xludf.DUMMYFUNCTION("GOOGLETRANSLATE(A16798, ""en"", ""mt"")"),"Ix-xita fil-baċin matul l-LGM kienet inqas milli għall-preżent")</f>
        <v>Ix-xita fil-baċin matul l-LGM kienet inqas milli għall-preżent</v>
      </c>
    </row>
    <row r="16799" ht="15.75" customHeight="1">
      <c r="A16799" s="2" t="s">
        <v>16799</v>
      </c>
      <c r="B16799" s="2" t="str">
        <f>IFERROR(__xludf.DUMMYFUNCTION("GOOGLETRANSLATE(A16799, ""en"", ""mt"")"),"Thoreau's")</f>
        <v>Thoreau's</v>
      </c>
    </row>
    <row r="16800" ht="15.75" customHeight="1">
      <c r="A16800" s="2" t="s">
        <v>16800</v>
      </c>
      <c r="B16800" s="2" t="str">
        <f>IFERROR(__xludf.DUMMYFUNCTION("GOOGLETRANSLATE(A16800, ""en"", ""mt"")"),"F'liema sena bdiet il-pesta fl-Ingilterra?")</f>
        <v>F'liema sena bdiet il-pesta fl-Ingilterra?</v>
      </c>
    </row>
    <row r="16801" ht="15.75" customHeight="1">
      <c r="A16801" s="2" t="s">
        <v>16801</v>
      </c>
      <c r="B16801" s="2" t="str">
        <f>IFERROR(__xludf.DUMMYFUNCTION("GOOGLETRANSLATE(A16801, ""en"", ""mt"")"),"infinitament ħafna")</f>
        <v>infinitament ħafna</v>
      </c>
    </row>
    <row r="16802" ht="15.75" customHeight="1">
      <c r="A16802" s="2" t="s">
        <v>16802</v>
      </c>
      <c r="B16802" s="2" t="str">
        <f>IFERROR(__xludf.DUMMYFUNCTION("GOOGLETRANSLATE(A16802, ""en"", ""mt"")"),"X’għamlu r-residenti lokali meta Forbes ħabbru tnaqqis fil-baġit fl-2011?")</f>
        <v>X’għamlu r-residenti lokali meta Forbes ħabbru tnaqqis fil-baġit fl-2011?</v>
      </c>
    </row>
    <row r="16803" ht="15.75" customHeight="1">
      <c r="A16803" s="2" t="s">
        <v>16803</v>
      </c>
      <c r="B16803" s="2" t="str">
        <f>IFERROR(__xludf.DUMMYFUNCTION("GOOGLETRANSLATE(A16803, ""en"", ""mt"")"),"f'distanzi akbar.")</f>
        <v>f'distanzi akbar.</v>
      </c>
    </row>
    <row r="16804" ht="15.75" customHeight="1">
      <c r="A16804" s="2" t="s">
        <v>16804</v>
      </c>
      <c r="B16804" s="2" t="str">
        <f>IFERROR(__xludf.DUMMYFUNCTION("GOOGLETRANSLATE(A16804, ""en"", ""mt"")"),"Kwistjonijiet riservati")</f>
        <v>Kwistjonijiet riservati</v>
      </c>
    </row>
    <row r="16805" ht="15.75" customHeight="1">
      <c r="A16805" s="2" t="s">
        <v>16805</v>
      </c>
      <c r="B16805" s="2" t="str">
        <f>IFERROR(__xludf.DUMMYFUNCTION("GOOGLETRANSLATE(A16805, ""en"", ""mt"")"),"Min waqqaf il-Fratellanza Musulmana?")</f>
        <v>Min waqqaf il-Fratellanza Musulmana?</v>
      </c>
    </row>
    <row r="16806" ht="15.75" customHeight="1">
      <c r="A16806" s="2" t="s">
        <v>16806</v>
      </c>
      <c r="B16806" s="2" t="str">
        <f>IFERROR(__xludf.DUMMYFUNCTION("GOOGLETRANSLATE(A16806, ""en"", ""mt"")"),"twemmin reliġjuż")</f>
        <v>twemmin reliġjuż</v>
      </c>
    </row>
    <row r="16807" ht="15.75" customHeight="1">
      <c r="A16807" s="2" t="s">
        <v>16807</v>
      </c>
      <c r="B16807" s="2" t="str">
        <f>IFERROR(__xludf.DUMMYFUNCTION("GOOGLETRANSLATE(A16807, ""en"", ""mt"")"),"Taħlita ta 'ġestjoni fqira, diviżjonijiet interni, u scouts Kanadiżi effettivi, forzi regolari Franċiżi, u alleati tal-gwerriera Indjani")</f>
        <v>Taħlita ta 'ġestjoni fqira, diviżjonijiet interni, u scouts Kanadiżi effettivi, forzi regolari Franċiżi, u alleati tal-gwerriera Indjani</v>
      </c>
    </row>
    <row r="16808" ht="15.75" customHeight="1">
      <c r="A16808" s="2" t="s">
        <v>16808</v>
      </c>
      <c r="B16808" s="2" t="str">
        <f>IFERROR(__xludf.DUMMYFUNCTION("GOOGLETRANSLATE(A16808, ""en"", ""mt"")"),"Share Recordings")</f>
        <v>Share Recordings</v>
      </c>
    </row>
    <row r="16809" ht="15.75" customHeight="1">
      <c r="A16809" s="2" t="s">
        <v>16809</v>
      </c>
      <c r="B16809" s="2" t="str">
        <f>IFERROR(__xludf.DUMMYFUNCTION("GOOGLETRANSLATE(A16809, ""en"", ""mt"")"),"Interattiv")</f>
        <v>Interattiv</v>
      </c>
    </row>
    <row r="16810" ht="15.75" customHeight="1">
      <c r="A16810" s="2" t="s">
        <v>16810</v>
      </c>
      <c r="B16810" s="2" t="str">
        <f>IFERROR(__xludf.DUMMYFUNCTION("GOOGLETRANSLATE(A16810, ""en"", ""mt"")"),"L-ossiġnu huwa preżenti fl-atmosfera fi kwantitajiet ta 'traċċa fil-forma ta' dijossidu tal-karbonju (CO
2). Il-blat tal-qoxra tad-Dinja huwa magħmul f'parti kbira ta 'ossidi tas-silikon (Silica Sio
2, kif misjub fil-granit u l-kwarz), aluminju (ossidu ta"&amp;"l-aluminju al
2o
3, fil-bauxite u l-kurundun), ħadid (ħadid (iii) ossidu Fe
2o
3, fl-ematite u s-sadid), u karbonat tal-kalċju (fil-franka). Il-kumplament tal-qoxra tad-dinja huwa magħmul ukoll minn komposti ta 'ossiġnu, b'mod partikolari diversi silikati"&amp;" kumplessi (f'minerali tas-silikat). Il-mantell tad-Dinja, ta 'massa ferm akbar mill-qoxra, huwa magħmul fil-biċċa l-kbira minn silikati ta' manjeżju u ħadid.")</f>
        <v>L-ossiġnu huwa preżenti fl-atmosfera fi kwantitajiet ta 'traċċa fil-forma ta' dijossidu tal-karbonju (CO
2). Il-blat tal-qoxra tad-Dinja huwa magħmul f'parti kbira ta 'ossidi tas-silikon (Silica Sio
2, kif misjub fil-granit u l-kwarz), aluminju (ossidu tal-aluminju al
2o
3, fil-bauxite u l-kurundun), ħadid (ħadid (iii) ossidu Fe
2o
3, fl-ematite u s-sadid), u karbonat tal-kalċju (fil-franka). Il-kumplament tal-qoxra tad-dinja huwa magħmul ukoll minn komposti ta 'ossiġnu, b'mod partikolari diversi silikati kumplessi (f'minerali tas-silikat). Il-mantell tad-Dinja, ta 'massa ferm akbar mill-qoxra, huwa magħmul fil-biċċa l-kbira minn silikati ta' manjeżju u ħadid.</v>
      </c>
    </row>
    <row r="16811" ht="15.75" customHeight="1">
      <c r="A16811" s="2" t="s">
        <v>16811</v>
      </c>
      <c r="B16811" s="2" t="str">
        <f>IFERROR(__xludf.DUMMYFUNCTION("GOOGLETRANSLATE(A16811, ""en"", ""mt"")"),"Kif jiġu trasmessi l-forzi nukleari?")</f>
        <v>Kif jiġu trasmessi l-forzi nukleari?</v>
      </c>
    </row>
    <row r="16812" ht="15.75" customHeight="1">
      <c r="A16812" s="2" t="s">
        <v>16812</v>
      </c>
      <c r="B16812" s="2" t="str">
        <f>IFERROR(__xludf.DUMMYFUNCTION("GOOGLETRANSLATE(A16812, ""en"", ""mt"")"),"X'inhu respibbli biex titħaffef jew tnaqqas ir-ritmu ta 'oġġett?")</f>
        <v>X'inhu respibbli biex titħaffef jew tnaqqas ir-ritmu ta 'oġġett?</v>
      </c>
    </row>
    <row r="16813" ht="15.75" customHeight="1">
      <c r="A16813" s="2" t="s">
        <v>16813</v>
      </c>
      <c r="B16813" s="2" t="str">
        <f>IFERROR(__xludf.DUMMYFUNCTION("GOOGLETRANSLATE(A16813, ""en"", ""mt"")"),"Kemm ma sabetx din l-ispedizzjoni ma 'Braddock?")</f>
        <v>Kemm ma sabetx din l-ispedizzjoni ma 'Braddock?</v>
      </c>
    </row>
    <row r="16814" ht="15.75" customHeight="1">
      <c r="A16814" s="2" t="s">
        <v>16814</v>
      </c>
      <c r="B16814" s="2" t="str">
        <f>IFERROR(__xludf.DUMMYFUNCTION("GOOGLETRANSLATE(A16814, ""en"", ""mt"")"),"Newtrofili u makrofaġi")</f>
        <v>Newtrofili u makrofaġi</v>
      </c>
    </row>
    <row r="16815" ht="15.75" customHeight="1">
      <c r="A16815" s="2" t="s">
        <v>16815</v>
      </c>
      <c r="B16815" s="2" t="str">
        <f>IFERROR(__xludf.DUMMYFUNCTION("GOOGLETRANSLATE(A16815, ""en"", ""mt"")"),"Liema forza hija iktar dgħajfa mill-gravità fuq distanzi qosra?")</f>
        <v>Liema forza hija iktar dgħajfa mill-gravità fuq distanzi qosra?</v>
      </c>
    </row>
    <row r="16816" ht="15.75" customHeight="1">
      <c r="A16816" s="2" t="s">
        <v>16816</v>
      </c>
      <c r="B16816" s="2" t="str">
        <f>IFERROR(__xludf.DUMMYFUNCTION("GOOGLETRANSLATE(A16816, ""en"", ""mt"")"),"Monitoraġġ tal-laboratorju, konsulenza dwar l-aderenza, u tassisti pazjenti bi strateġiji ta 'l-ispejjeż")</f>
        <v>Monitoraġġ tal-laboratorju, konsulenza dwar l-aderenza, u tassisti pazjenti bi strateġiji ta 'l-ispejjeż</v>
      </c>
    </row>
    <row r="16817" ht="15.75" customHeight="1">
      <c r="A16817" s="2" t="s">
        <v>16817</v>
      </c>
      <c r="B16817" s="2" t="str">
        <f>IFERROR(__xludf.DUMMYFUNCTION("GOOGLETRANSLATE(A16817, ""en"", ""mt"")"),"88%")</f>
        <v>88%</v>
      </c>
    </row>
    <row r="16818" ht="15.75" customHeight="1">
      <c r="A16818" s="2" t="s">
        <v>16818</v>
      </c>
      <c r="B16818" s="2" t="str">
        <f>IFERROR(__xludf.DUMMYFUNCTION("GOOGLETRANSLATE(A16818, ""en"", ""mt"")"),"żdied għal kariga politika ogħla")</f>
        <v>żdied għal kariga politika ogħla</v>
      </c>
    </row>
    <row r="16819" ht="15.75" customHeight="1">
      <c r="A16819" s="2" t="s">
        <v>16819</v>
      </c>
      <c r="B16819" s="2" t="str">
        <f>IFERROR(__xludf.DUMMYFUNCTION("GOOGLETRANSLATE(A16819, ""en"", ""mt"")"),"Ġew ordnati l-granari")</f>
        <v>Ġew ordnati l-granari</v>
      </c>
    </row>
    <row r="16820" ht="15.75" customHeight="1">
      <c r="A16820" s="2" t="s">
        <v>16820</v>
      </c>
      <c r="B16820" s="2" t="str">
        <f>IFERROR(__xludf.DUMMYFUNCTION("GOOGLETRANSLATE(A16820, ""en"", ""mt"")"),"L-Ungeriżi taħt Ferenc Deák")</f>
        <v>L-Ungeriżi taħt Ferenc Deák</v>
      </c>
    </row>
    <row r="16821" ht="15.75" customHeight="1">
      <c r="A16821" s="2" t="s">
        <v>16821</v>
      </c>
      <c r="B16821" s="2" t="str">
        <f>IFERROR(__xludf.DUMMYFUNCTION("GOOGLETRANSLATE(A16821, ""en"", ""mt"")"),"Liema reġjun ma vvintax il-magna gun?")</f>
        <v>Liema reġjun ma vvintax il-magna gun?</v>
      </c>
    </row>
    <row r="16822" ht="15.75" customHeight="1">
      <c r="A16822" s="2" t="s">
        <v>16822</v>
      </c>
      <c r="B16822" s="2" t="str">
        <f>IFERROR(__xludf.DUMMYFUNCTION("GOOGLETRANSLATE(A16822, ""en"", ""mt"")"),"testendi l-benefiċċji tan-netwerking")</f>
        <v>testendi l-benefiċċji tan-netwerking</v>
      </c>
    </row>
    <row r="16823" ht="15.75" customHeight="1">
      <c r="A16823" s="2" t="s">
        <v>16823</v>
      </c>
      <c r="B16823" s="2" t="str">
        <f>IFERROR(__xludf.DUMMYFUNCTION("GOOGLETRANSLATE(A16823, ""en"", ""mt"")"),"Uża fl-arpanet")</f>
        <v>Uża fl-arpanet</v>
      </c>
    </row>
    <row r="16824" ht="15.75" customHeight="1">
      <c r="A16824" s="2" t="s">
        <v>16824</v>
      </c>
      <c r="B16824" s="2" t="str">
        <f>IFERROR(__xludf.DUMMYFUNCTION("GOOGLETRANSLATE(A16824, ""en"", ""mt"")"),"Awtokratiku-burokratiku")</f>
        <v>Awtokratiku-burokratiku</v>
      </c>
    </row>
    <row r="16825" ht="15.75" customHeight="1">
      <c r="A16825" s="2" t="s">
        <v>16825</v>
      </c>
      <c r="B16825" s="2" t="str">
        <f>IFERROR(__xludf.DUMMYFUNCTION("GOOGLETRANSLATE(A16825, ""en"", ""mt"")"),"vakwu")</f>
        <v>vakwu</v>
      </c>
    </row>
    <row r="16826" ht="15.75" customHeight="1">
      <c r="A16826" s="2" t="s">
        <v>16826</v>
      </c>
      <c r="B16826" s="2" t="str">
        <f>IFERROR(__xludf.DUMMYFUNCTION("GOOGLETRANSLATE(A16826, ""en"", ""mt"")"),"X’sejjaħ id-Davies lis-sistema tiegħu")</f>
        <v>X’sejjaħ id-Davies lis-sistema tiegħu</v>
      </c>
    </row>
    <row r="16827" ht="15.75" customHeight="1">
      <c r="A16827" s="2" t="s">
        <v>16827</v>
      </c>
      <c r="B16827" s="2" t="str">
        <f>IFERROR(__xludf.DUMMYFUNCTION("GOOGLETRANSLATE(A16827, ""en"", ""mt"")"),"Ħdejn Sankt Goarshausen")</f>
        <v>Ħdejn Sankt Goarshausen</v>
      </c>
    </row>
    <row r="16828" ht="15.75" customHeight="1">
      <c r="A16828" s="2" t="s">
        <v>16828</v>
      </c>
      <c r="B16828" s="2" t="str">
        <f>IFERROR(__xludf.DUMMYFUNCTION("GOOGLETRANSLATE(A16828, ""en"", ""mt"")"),"Public Pad Service Telepad (bl-użu tad-DNIC 2049")</f>
        <v>Public Pad Service Telepad (bl-użu tad-DNIC 2049</v>
      </c>
    </row>
    <row r="16829" ht="15.75" customHeight="1">
      <c r="A16829" s="2" t="s">
        <v>16829</v>
      </c>
      <c r="B16829" s="2" t="str">
        <f>IFERROR(__xludf.DUMMYFUNCTION("GOOGLETRANSLATE(A16829, ""en"", ""mt"")"),"Tittrasforma")</f>
        <v>Tittrasforma</v>
      </c>
    </row>
    <row r="16830" ht="15.75" customHeight="1">
      <c r="A16830" s="2" t="s">
        <v>16830</v>
      </c>
      <c r="B16830" s="2" t="str">
        <f>IFERROR(__xludf.DUMMYFUNCTION("GOOGLETRANSLATE(A16830, ""en"", ""mt"")"),"X'inhu kkontrollat ​​mis-suq u l-ekonomija?")</f>
        <v>X'inhu kkontrollat ​​mis-suq u l-ekonomija?</v>
      </c>
    </row>
    <row r="16831" ht="15.75" customHeight="1">
      <c r="A16831" s="2" t="s">
        <v>16831</v>
      </c>
      <c r="B16831" s="2" t="str">
        <f>IFERROR(__xludf.DUMMYFUNCTION("GOOGLETRANSLATE(A16831, ""en"", ""mt"")"),"Jules Ferry ħaseb li r- ""tiġrijiet ogħla"" għandhom id-dmir għal xiex?")</f>
        <v>Jules Ferry ħaseb li r- "tiġrijiet ogħla" għandhom id-dmir għal xiex?</v>
      </c>
    </row>
    <row r="16832" ht="15.75" customHeight="1">
      <c r="A16832" s="2" t="s">
        <v>16832</v>
      </c>
      <c r="B16832" s="2" t="str">
        <f>IFERROR(__xludf.DUMMYFUNCTION("GOOGLETRANSLATE(A16832, ""en"", ""mt"")"),"ingħataw lill-Protestanti ugwaljanza mal-Kattoliċi taħt it-tron u grad ta 'libertà reliġjuża u politika fl-oqsma tagħhom")</f>
        <v>ingħataw lill-Protestanti ugwaljanza mal-Kattoliċi taħt it-tron u grad ta 'libertà reliġjuża u politika fl-oqsma tagħhom</v>
      </c>
    </row>
    <row r="16833" ht="15.75" customHeight="1">
      <c r="A16833" s="2" t="s">
        <v>16833</v>
      </c>
      <c r="B16833" s="2" t="str">
        <f>IFERROR(__xludf.DUMMYFUNCTION("GOOGLETRANSLATE(A16833, ""en"", ""mt"")"),"Kif tiġi implimentata l-komunikazzjoni tal-modalità tal-pakketti")</f>
        <v>Kif tiġi implimentata l-komunikazzjoni tal-modalità tal-pakketti</v>
      </c>
    </row>
    <row r="16834" ht="15.75" customHeight="1">
      <c r="A16834" s="2" t="s">
        <v>16834</v>
      </c>
      <c r="B16834" s="2" t="str">
        <f>IFERROR(__xludf.DUMMYFUNCTION("GOOGLETRANSLATE(A16834, ""en"", ""mt"")"),"Meta se jibda Ford jibni karozzi elettriċi?")</f>
        <v>Meta se jibda Ford jibni karozzi elettriċi?</v>
      </c>
    </row>
    <row r="16835" ht="15.75" customHeight="1">
      <c r="A16835" s="2" t="s">
        <v>16835</v>
      </c>
      <c r="B16835" s="2" t="str">
        <f>IFERROR(__xludf.DUMMYFUNCTION("GOOGLETRANSLATE(A16835, ""en"", ""mt"")"),"Jekk nassumu li P huwa prim ieħor għajr 2 jew 5, allura skont it-teorema ta 'Gluga, x'tip ta' wil deċimali 1 / p dejjem ikun?")</f>
        <v>Jekk nassumu li P huwa prim ieħor għajr 2 jew 5, allura skont it-teorema ta 'Gluga, x'tip ta' wil deċimali 1 / p dejjem ikun?</v>
      </c>
    </row>
    <row r="16836" ht="15.75" customHeight="1">
      <c r="A16836" s="2" t="s">
        <v>16836</v>
      </c>
      <c r="B16836" s="2" t="str">
        <f>IFERROR(__xludf.DUMMYFUNCTION("GOOGLETRANSLATE(A16836, ""en"", ""mt"")"),"L-istrateġija evoluzzjonarja użata minn cicadas tal-ġeneru Magicicada tagħmel użu minn numri ewlenin. Dawn l-insetti jqattgħu ħafna minn ħajjithom bħala grubs taħt l-art. Huma biss ibatu u mbagħad joħorġu mill-ħwienet tagħhom wara 7, 13 jew 17-il sena, f'"&amp;"liema punt itiru, jitrabbew, u mbagħad imutu wara ftit ġimgħat l-aktar. Il-loġika għal dan huwa maħsub li hija li l-intervalli tan-numru ewlieni bejn il-emerġenzi jagħmluha diffiċli ħafna għall-predaturi li jevolvu li jistgħu jispeċjalizzaw bħala predatur"&amp;"i fuq il-magicadas. Jekk MagicIcadas deher f'intervalli ta 'numru mhux prim, ngħidu kull 12-il sena, allura l-predaturi li jidhru kull 2, 3, 4, 6, jew 12-il sena jkunu żgur li jiltaqgħu magħhom. Matul perjodu ta '200 sena, popolazzjonijiet ta' predaturi m"&amp;"edji waqt tifqigħat ipotetiċi ta 'cicadas ta' 14 u 15-il sena jkunu sa 2% ogħla milli waqt tifqigħat ta 'cicadas ta' 13- u 17-il sena. Għalkemm żgħir, dan il-vantaġġ jidher li kien biżżejjed biex isuq l-għażla naturali favur ċiklu tal-ħajja tan-numru ewli"&amp;"eni għal dawn l-insetti.")</f>
        <v>L-istrateġija evoluzzjonarja użata minn cicadas tal-ġeneru Magicicada tagħmel użu minn numri ewlenin. Dawn l-insetti jqattgħu ħafna minn ħajjithom bħala grubs taħt l-art. Huma biss ibatu u mbagħad joħorġu mill-ħwienet tagħhom wara 7, 13 jew 17-il sena, f'liema punt itiru, jitrabbew, u mbagħad imutu wara ftit ġimgħat l-aktar. Il-loġika għal dan huwa maħsub li hija li l-intervalli tan-numru ewlieni bejn il-emerġenzi jagħmluha diffiċli ħafna għall-predaturi li jevolvu li jistgħu jispeċjalizzaw bħala predaturi fuq il-magicadas. Jekk MagicIcadas deher f'intervalli ta 'numru mhux prim, ngħidu kull 12-il sena, allura l-predaturi li jidhru kull 2, 3, 4, 6, jew 12-il sena jkunu żgur li jiltaqgħu magħhom. Matul perjodu ta '200 sena, popolazzjonijiet ta' predaturi medji waqt tifqigħat ipotetiċi ta 'cicadas ta' 14 u 15-il sena jkunu sa 2% ogħla milli waqt tifqigħat ta 'cicadas ta' 13- u 17-il sena. Għalkemm żgħir, dan il-vantaġġ jidher li kien biżżejjed biex isuq l-għażla naturali favur ċiklu tal-ħajja tan-numru ewlieni għal dawn l-insetti.</v>
      </c>
    </row>
    <row r="16837" ht="15.75" customHeight="1">
      <c r="A16837" s="2" t="s">
        <v>16837</v>
      </c>
      <c r="B16837" s="2" t="str">
        <f>IFERROR(__xludf.DUMMYFUNCTION("GOOGLETRANSLATE(A16837, ""en"", ""mt"")"),"radjatur tal-karozzi")</f>
        <v>radjatur tal-karozzi</v>
      </c>
    </row>
    <row r="16838" ht="15.75" customHeight="1">
      <c r="A16838" s="2" t="s">
        <v>16838</v>
      </c>
      <c r="B16838" s="2" t="str">
        <f>IFERROR(__xludf.DUMMYFUNCTION("GOOGLETRANSLATE(A16838, ""en"", ""mt"")"),"NASA's")</f>
        <v>NASA's</v>
      </c>
    </row>
    <row r="16839" ht="15.75" customHeight="1">
      <c r="A16839" s="2" t="s">
        <v>16839</v>
      </c>
      <c r="B16839" s="2" t="str">
        <f>IFERROR(__xludf.DUMMYFUNCTION("GOOGLETRANSLATE(A16839, ""en"", ""mt"")"),"Kemm-il darba seħħet il-pesta f'Venezja?")</f>
        <v>Kemm-il darba seħħet il-pesta f'Venezja?</v>
      </c>
    </row>
    <row r="16840" ht="15.75" customHeight="1">
      <c r="A16840" s="2" t="s">
        <v>16840</v>
      </c>
      <c r="B16840" s="2" t="str">
        <f>IFERROR(__xludf.DUMMYFUNCTION("GOOGLETRANSLATE(A16840, ""en"", ""mt"")"),"Liema ċelloli ma jistgħux jaġixxu b'mod indipendenti?")</f>
        <v>Liema ċelloli ma jistgħux jaġixxu b'mod indipendenti?</v>
      </c>
    </row>
    <row r="16841" ht="15.75" customHeight="1">
      <c r="A16841" s="2" t="s">
        <v>16841</v>
      </c>
      <c r="B16841" s="2" t="str">
        <f>IFERROR(__xludf.DUMMYFUNCTION("GOOGLETRANSLATE(A16841, ""en"", ""mt"")"),"Liema sena kien it-terremot ta 'Northridge li kkawża $ 20 miljun fi ħsara?")</f>
        <v>Liema sena kien it-terremot ta 'Northridge li kkawża $ 20 miljun fi ħsara?</v>
      </c>
    </row>
    <row r="16842" ht="15.75" customHeight="1">
      <c r="A16842" s="2" t="s">
        <v>16842</v>
      </c>
      <c r="B16842" s="2" t="str">
        <f>IFERROR(__xludf.DUMMYFUNCTION("GOOGLETRANSLATE(A16842, ""en"", ""mt"")"),"Julia Butterfly Hill")</f>
        <v>Julia Butterfly Hill</v>
      </c>
    </row>
    <row r="16843" ht="15.75" customHeight="1">
      <c r="A16843" s="2" t="s">
        <v>16843</v>
      </c>
      <c r="B16843" s="2" t="str">
        <f>IFERROR(__xludf.DUMMYFUNCTION("GOOGLETRANSLATE(A16843, ""en"", ""mt"")"),"Liema attur stilla fil-film li jsalva Private Ryan?")</f>
        <v>Liema attur stilla fil-film li jsalva Private Ryan?</v>
      </c>
    </row>
    <row r="16844" ht="15.75" customHeight="1">
      <c r="A16844" s="2" t="s">
        <v>16844</v>
      </c>
      <c r="B16844" s="2" t="str">
        <f>IFERROR(__xludf.DUMMYFUNCTION("GOOGLETRANSLATE(A16844, ""en"", ""mt"")"),"il-camisards")</f>
        <v>il-camisards</v>
      </c>
    </row>
    <row r="16845" ht="15.75" customHeight="1">
      <c r="A16845" s="2" t="s">
        <v>16845</v>
      </c>
      <c r="B16845" s="2" t="str">
        <f>IFERROR(__xludf.DUMMYFUNCTION("GOOGLETRANSLATE(A16845, ""en"", ""mt"")"),"X'inhu użat għal definizzjoni preċiża ta 'dak li jfisser li ssolvi problema billi tuża ammont ta' ħin u spazju partikolari?")</f>
        <v>X'inhu użat għal definizzjoni preċiża ta 'dak li jfisser li ssolvi problema billi tuża ammont ta' ħin u spazju partikolari?</v>
      </c>
    </row>
    <row r="16846" ht="15.75" customHeight="1">
      <c r="A16846" s="2" t="s">
        <v>16846</v>
      </c>
      <c r="B16846" s="2" t="str">
        <f>IFERROR(__xludf.DUMMYFUNCTION("GOOGLETRANSLATE(A16846, ""en"", ""mt"")"),"Marzu 1974")</f>
        <v>Marzu 1974</v>
      </c>
    </row>
    <row r="16847" ht="15.75" customHeight="1">
      <c r="A16847" s="2" t="s">
        <v>16847</v>
      </c>
      <c r="B16847" s="2" t="str">
        <f>IFERROR(__xludf.DUMMYFUNCTION("GOOGLETRANSLATE(A16847, ""en"", ""mt"")"),"Meta ġiet skoperta l-irqad REM?")</f>
        <v>Meta ġiet skoperta l-irqad REM?</v>
      </c>
    </row>
    <row r="16848" ht="15.75" customHeight="1">
      <c r="A16848" s="2" t="s">
        <v>16848</v>
      </c>
      <c r="B16848" s="2" t="str">
        <f>IFERROR(__xludf.DUMMYFUNCTION("GOOGLETRANSLATE(A16848, ""en"", ""mt"")"),"X'irrakkomanda r-rapport ta 'Kllbrandon fl-1973?")</f>
        <v>X'irrakkomanda r-rapport ta 'Kllbrandon fl-1973?</v>
      </c>
    </row>
    <row r="16849" ht="15.75" customHeight="1">
      <c r="A16849" s="2" t="s">
        <v>16849</v>
      </c>
      <c r="B16849" s="2" t="str">
        <f>IFERROR(__xludf.DUMMYFUNCTION("GOOGLETRANSLATE(A16849, ""en"", ""mt"")"),"X'inhuma, flimkien ma 'xewqa għal aktar pressjoni tal-fwar, is-sewwieqa bikrija kienu qed ifittxu li jiġġeneraw meta jwaħħlu l-magni' l isfel?")</f>
        <v>X'inhuma, flimkien ma 'xewqa għal aktar pressjoni tal-fwar, is-sewwieqa bikrija kienu qed ifittxu li jiġġeneraw meta jwaħħlu l-magni' l isfel?</v>
      </c>
    </row>
    <row r="16850" ht="15.75" customHeight="1">
      <c r="A16850" s="2" t="s">
        <v>16850</v>
      </c>
      <c r="B16850" s="2" t="str">
        <f>IFERROR(__xludf.DUMMYFUNCTION("GOOGLETRANSLATE(A16850, ""en"", ""mt"")"),"Xi jħoss Rajan ma ħoloqx linji ta 'difetti finanzjarji profondi?")</f>
        <v>Xi jħoss Rajan ma ħoloqx linji ta 'difetti finanzjarji profondi?</v>
      </c>
    </row>
    <row r="16851" ht="15.75" customHeight="1">
      <c r="A16851" s="2" t="s">
        <v>16851</v>
      </c>
      <c r="B16851" s="2" t="str">
        <f>IFERROR(__xludf.DUMMYFUNCTION("GOOGLETRANSLATE(A16851, ""en"", ""mt"")"),"Skond skema ta 'aċċess multipli")</f>
        <v>Skond skema ta 'aċċess multipli</v>
      </c>
    </row>
    <row r="16852" ht="15.75" customHeight="1">
      <c r="A16852" s="2" t="s">
        <v>16852</v>
      </c>
      <c r="B16852" s="2" t="str">
        <f>IFERROR(__xludf.DUMMYFUNCTION("GOOGLETRANSLATE(A16852, ""en"", ""mt"")"),"Bi tweġiba għall-għajnuna Amerikana lill-Iżrael, fis-16 ta 'Ottubru, 1973, l-OPEC għolla l-prezz stazzjonat taż-żejt b'70%, għal $ 5.11 il-barmil. L-għada, il-ministri taż-żejt qablu mal-embargo, tnaqqis fil-produzzjoni b'ħames fil-mija mill-produzzjoni t"&amp;"a 'Settembru u jkomplu jnaqqsu l-produzzjoni f'żidiet ta' ħames fil-mija fix-xahar sakemm jintlaħqu l-għanijiet ekonomiċi u politiċi tagħhom. Fid-19 ta 'Ottubru, Nixon talab lill-Kungress biex ikun xieraq $ 2.2 biljun f'għajnuna ta' emerġenza lill-Iżrael,"&amp;" inklużi $ 1.5 biljun f'għotjiet diretti. George Lenczowski jinnota, ""Il-provvisti militari ma eżawrix il-ħeġġa ta 'Nixon biex jipprevjenu l-kollass ta' Iżrael ... din id-deċiżjoni [$ 2.2 biljun] wasslet għal rispons kollettiv tal-OPEC."" Il-Libja immedj"&amp;"atament ħabbret li se jbaħħru vjeġġi taż-żejt lejn l-Istati Uniti. L-Arabja Sawdita u l-istati l-oħra li jipproduċu ż-żejt Għarab ingħaqdu fl-embargo fl-20 ta 'Ottubru, 1973. Fil-laqgħa tal-Kuwajt tagħhom, OAPEC ipproklama l-embargo li trażżan l-esportazz"&amp;"jonijiet lejn diversi pajjiżi u imblukkaw il-kunsinni kollha taż-żejt lejn l-Istati Uniti bħala ""pajjiż ostili prinċipali"".")</f>
        <v>Bi tweġiba għall-għajnuna Amerikana lill-Iżrael, fis-16 ta 'Ottubru, 1973, l-OPEC għolla l-prezz stazzjonat taż-żejt b'70%, għal $ 5.11 il-barmil. L-għada, il-ministri taż-żejt qablu mal-embargo, tnaqqis fil-produzzjoni b'ħames fil-mija mill-produzzjoni ta 'Settembru u jkomplu jnaqqsu l-produzzjoni f'żidiet ta' ħames fil-mija fix-xahar sakemm jintlaħqu l-għanijiet ekonomiċi u politiċi tagħhom. Fid-19 ta 'Ottubru, Nixon talab lill-Kungress biex ikun xieraq $ 2.2 biljun f'għajnuna ta' emerġenza lill-Iżrael, inklużi $ 1.5 biljun f'għotjiet diretti. George Lenczowski jinnota, "Il-provvisti militari ma eżawrix il-ħeġġa ta 'Nixon biex jipprevjenu l-kollass ta' Iżrael ... din id-deċiżjoni [$ 2.2 biljun] wasslet għal rispons kollettiv tal-OPEC." Il-Libja immedjatament ħabbret li se jbaħħru vjeġġi taż-żejt lejn l-Istati Uniti. L-Arabja Sawdita u l-istati l-oħra li jipproduċu ż-żejt Għarab ingħaqdu fl-embargo fl-20 ta 'Ottubru, 1973. Fil-laqgħa tal-Kuwajt tagħhom, OAPEC ipproklama l-embargo li trażżan l-esportazzjonijiet lejn diversi pajjiżi u imblukkaw il-kunsinni kollha taż-żejt lejn l-Istati Uniti bħala "pajjiż ostili prinċipali".</v>
      </c>
    </row>
    <row r="16853" ht="15.75" customHeight="1">
      <c r="A16853" s="2" t="s">
        <v>16853</v>
      </c>
      <c r="B16853" s="2" t="str">
        <f>IFERROR(__xludf.DUMMYFUNCTION("GOOGLETRANSLATE(A16853, ""en"", ""mt"")"),"qoxra u litosfera")</f>
        <v>qoxra u litosfera</v>
      </c>
    </row>
    <row r="16854" ht="15.75" customHeight="1">
      <c r="A16854" s="2" t="s">
        <v>16854</v>
      </c>
      <c r="B16854" s="2" t="str">
        <f>IFERROR(__xludf.DUMMYFUNCTION("GOOGLETRANSLATE(A16854, ""en"", ""mt"")"),"Liema distrett ta 'Fresno huwa ċ-ċentru għall-komunità LGBT?")</f>
        <v>Liema distrett ta 'Fresno huwa ċ-ċentru għall-komunità LGBT?</v>
      </c>
    </row>
    <row r="16855" ht="15.75" customHeight="1">
      <c r="A16855" s="2" t="s">
        <v>16855</v>
      </c>
      <c r="B16855" s="2" t="str">
        <f>IFERROR(__xludf.DUMMYFUNCTION("GOOGLETRANSLATE(A16855, ""en"", ""mt"")"),"X'kienet il-Ban Ki-moon mhux is-Segretarju Ġenerali ta '?")</f>
        <v>X'kienet il-Ban Ki-moon mhux is-Segretarju Ġenerali ta '?</v>
      </c>
    </row>
    <row r="16856" ht="15.75" customHeight="1">
      <c r="A16856" s="2" t="s">
        <v>16856</v>
      </c>
      <c r="B16856" s="2" t="str">
        <f>IFERROR(__xludf.DUMMYFUNCTION("GOOGLETRANSLATE(A16856, ""en"", ""mt"")"),"Fuq xiex inbidel il-Kristjaneżmu fil-kurrikulu tal-Istati Uniti qabel ma nbidel?")</f>
        <v>Fuq xiex inbidel il-Kristjaneżmu fil-kurrikulu tal-Istati Uniti qabel ma nbidel?</v>
      </c>
    </row>
    <row r="16857" ht="15.75" customHeight="1">
      <c r="A16857" s="2" t="s">
        <v>16857</v>
      </c>
      <c r="B16857" s="2" t="str">
        <f>IFERROR(__xludf.DUMMYFUNCTION("GOOGLETRANSLATE(A16857, ""en"", ""mt"")"),"Xi elementi tal-fratellanza ma dderieġux liema azzjoni kontra l-gvern?")</f>
        <v>Xi elementi tal-fratellanza ma dderieġux liema azzjoni kontra l-gvern?</v>
      </c>
    </row>
    <row r="16858" ht="15.75" customHeight="1">
      <c r="A16858" s="2" t="s">
        <v>16858</v>
      </c>
      <c r="B16858" s="2" t="str">
        <f>IFERROR(__xludf.DUMMYFUNCTION("GOOGLETRANSLATE(A16858, ""en"", ""mt"")"),"X'inhu l-proċess li jistaqsi mistoqsija aktar speċifika dwar l-algoritmi kollha possibbli li ma jistgħux jintużaw biex isolvu l-istess problema?")</f>
        <v>X'inhu l-proċess li jistaqsi mistoqsija aktar speċifika dwar l-algoritmi kollha possibbli li ma jistgħux jintużaw biex isolvu l-istess problema?</v>
      </c>
    </row>
    <row r="16859" ht="15.75" customHeight="1">
      <c r="A16859" s="2" t="s">
        <v>16859</v>
      </c>
      <c r="B16859" s="2" t="str">
        <f>IFERROR(__xludf.DUMMYFUNCTION("GOOGLETRANSLATE(A16859, ""en"", ""mt"")"),"Tkopri s-silġ jinħall u l-waqgħa tax-xitwa")</f>
        <v>Tkopri s-silġ jinħall u l-waqgħa tax-xitwa</v>
      </c>
    </row>
    <row r="16860" ht="15.75" customHeight="1">
      <c r="A16860" s="2" t="s">
        <v>16860</v>
      </c>
      <c r="B16860" s="2" t="str">
        <f>IFERROR(__xludf.DUMMYFUNCTION("GOOGLETRANSLATE(A16860, ""en"", ""mt"")"),"Harvard hija università kbira u residenzjali ħafna. L-ispiża nominali ta 'attendenza hija għolja, iżda d-dotazzjoni kbira tal-università tippermettilha toffri pakketti ta' għajnuna finanzjarja ġenerużi. Jopera diversi mużewijiet tal-arti, kulturali u xjen"&amp;"tifiċi, flimkien mal-Librerija Harvard, li hija l-ikbar sistema akkademika u privata tad-dinja, li tinkludi 79 libreriji individwali b'aktar minn 18-il miljun volum. L-alumni ta 'Harvard jinkludu tmien presidenti ta' l-Istati Uniti, diversi kapijiet ta 's"&amp;"tat barranin, 62 biljunarji ħajjin, 335 Scholars Rhodes, u 242 Scholars Marshall. Sal-lum, madwar 150 Laureates Nobel, 18-il medalista tal-qasam u 13-il rebbieħa tal-Premju Turing ġew affiljati bħala studenti, fakultà, jew persunal.")</f>
        <v>Harvard hija università kbira u residenzjali ħafna. L-ispiża nominali ta 'attendenza hija għolja, iżda d-dotazzjoni kbira tal-università tippermettilha toffri pakketti ta' għajnuna finanzjarja ġenerużi. Jopera diversi mużewijiet tal-arti, kulturali u xjentifiċi, flimkien mal-Librerija Harvard, li hija l-ikbar sistema akkademika u privata tad-dinja, li tinkludi 79 libreriji individwali b'aktar minn 18-il miljun volum. L-alumni ta 'Harvard jinkludu tmien presidenti ta' l-Istati Uniti, diversi kapijiet ta 'stat barranin, 62 biljunarji ħajjin, 335 Scholars Rhodes, u 242 Scholars Marshall. Sal-lum, madwar 150 Laureates Nobel, 18-il medalista tal-qasam u 13-il rebbieħa tal-Premju Turing ġew affiljati bħala studenti, fakultà, jew persunal.</v>
      </c>
    </row>
    <row r="16861" ht="15.75" customHeight="1">
      <c r="A16861" s="2" t="s">
        <v>16861</v>
      </c>
      <c r="B16861" s="2" t="str">
        <f>IFERROR(__xludf.DUMMYFUNCTION("GOOGLETRANSLATE(A16861, ""en"", ""mt"")"),"Definizzjonijiet operattivi preċiżi")</f>
        <v>Definizzjonijiet operattivi preċiżi</v>
      </c>
    </row>
    <row r="16862" ht="15.75" customHeight="1">
      <c r="A16862" s="2" t="s">
        <v>16862</v>
      </c>
      <c r="B16862" s="2" t="str">
        <f>IFERROR(__xludf.DUMMYFUNCTION("GOOGLETRANSLATE(A16862, ""en"", ""mt"")"),"Dak li kiber fuq skala globali bħala riżultat ta 'non-imperjaliżmu?")</f>
        <v>Dak li kiber fuq skala globali bħala riżultat ta 'non-imperjaliżmu?</v>
      </c>
    </row>
    <row r="16863" ht="15.75" customHeight="1">
      <c r="A16863" s="2" t="s">
        <v>16863</v>
      </c>
      <c r="B16863" s="2" t="str">
        <f>IFERROR(__xludf.DUMMYFUNCTION("GOOGLETRANSLATE(A16863, ""en"", ""mt"")"),"Kif ġie introdott iċ-Ctenophore Mnemiopsis Leidyi fil-Baħar l-Iswed u fil-Baħar ta 'Azov?")</f>
        <v>Kif ġie introdott iċ-Ctenophore Mnemiopsis Leidyi fil-Baħar l-Iswed u fil-Baħar ta 'Azov?</v>
      </c>
    </row>
    <row r="16864" ht="15.75" customHeight="1">
      <c r="A16864" s="2" t="s">
        <v>16864</v>
      </c>
      <c r="B16864" s="2" t="str">
        <f>IFERROR(__xludf.DUMMYFUNCTION("GOOGLETRANSLATE(A16864, ""en"", ""mt"")"),"Ir-Renu ma kienx magħruf għal Herodotus u l-ewwel jidħol fil-perjodu storiku fis-seklu 1 QK fil-ġeografija tal-era Rumana. Dak iż-żmien, hija ffurmat il-konfini bejn Gaul u Germania. Ir-Renu ta ’Fuq kien ilu parti mill-Areal tal-kultura tal-Hallstatt tard"&amp;" mill-6 seklu QK, u sas-seklu 1 QK, l-areal tal-kultura La Tène kopriet kważi t-tul kollu tagħha, li jifforma żona ta’ kuntatt mal-kultura Jastorf, i.e. Il-lokus ta 'kuntatt kulturali Ċeltiku-Ġermaniku bikri. Fil-ġeografija Rumana, ir-Renu ffurma l-konfin"&amp;"i bejn Gallia u Germania bid-definizzjoni; e.g. Maurus Servius Honoratus, Kummentarju dwar l-Aeneid ta 'Vergil (8.727) (Rhenus) Fluvius Galliae, Qui Germanos A Gallia Dividit ""(Ir-Renu huwa A) Xmara ta' Gaul, li taqsam in-nies Ġermaniċi minn Gaul.""")</f>
        <v>Ir-Renu ma kienx magħruf għal Herodotus u l-ewwel jidħol fil-perjodu storiku fis-seklu 1 QK fil-ġeografija tal-era Rumana. Dak iż-żmien, hija ffurmat il-konfini bejn Gaul u Germania. Ir-Renu ta ’Fuq kien ilu parti mill-Areal tal-kultura tal-Hallstatt tard mill-6 seklu QK, u sas-seklu 1 QK, l-areal tal-kultura La Tène kopriet kważi t-tul kollu tagħha, li jifforma żona ta’ kuntatt mal-kultura Jastorf, i.e. Il-lokus ta 'kuntatt kulturali Ċeltiku-Ġermaniku bikri. Fil-ġeografija Rumana, ir-Renu ffurma l-konfini bejn Gallia u Germania bid-definizzjoni; e.g. Maurus Servius Honoratus, Kummentarju dwar l-Aeneid ta 'Vergil (8.727) (Rhenus) Fluvius Galliae, Qui Germanos A Gallia Dividit "(Ir-Renu huwa A) Xmara ta' Gaul, li taqsam in-nies Ġermaniċi minn Gaul."</v>
      </c>
    </row>
    <row r="16865" ht="15.75" customHeight="1">
      <c r="A16865" s="2" t="s">
        <v>16865</v>
      </c>
      <c r="B16865" s="2" t="str">
        <f>IFERROR(__xludf.DUMMYFUNCTION("GOOGLETRANSLATE(A16865, ""en"", ""mt"")"),"Meta ġiet irreġistrata l-verżjoni Latina tal-kelma Norman?")</f>
        <v>Meta ġiet irreġistrata l-verżjoni Latina tal-kelma Norman?</v>
      </c>
    </row>
    <row r="16866" ht="15.75" customHeight="1">
      <c r="A16866" s="2" t="s">
        <v>16866</v>
      </c>
      <c r="B16866" s="2" t="str">
        <f>IFERROR(__xludf.DUMMYFUNCTION("GOOGLETRANSLATE(A16866, ""en"", ""mt"")"),"Fi Schmidberger vs l-Awstrija, il-Qorti tal-Ġustizzja waslet għall-konklużjoni li l-Awstrija ma kisritx l-Artikolu 34 billi naqset milli tipprojbixxi xiex?")</f>
        <v>Fi Schmidberger vs l-Awstrija, il-Qorti tal-Ġustizzja waslet għall-konklużjoni li l-Awstrija ma kisritx l-Artikolu 34 billi naqset milli tipprojbixxi xiex?</v>
      </c>
    </row>
    <row r="16867" ht="15.75" customHeight="1">
      <c r="A16867" s="2" t="s">
        <v>16867</v>
      </c>
      <c r="B16867" s="2" t="str">
        <f>IFERROR(__xludf.DUMMYFUNCTION("GOOGLETRANSLATE(A16867, ""en"", ""mt"")"),"X’kien iffurmat meta l-gvern ingħaqad fl-1967?")</f>
        <v>X’kien iffurmat meta l-gvern ingħaqad fl-1967?</v>
      </c>
    </row>
    <row r="16868" ht="15.75" customHeight="1">
      <c r="A16868" s="2" t="s">
        <v>16868</v>
      </c>
      <c r="B16868" s="2" t="str">
        <f>IFERROR(__xludf.DUMMYFUNCTION("GOOGLETRANSLATE(A16868, ""en"", ""mt"")"),"Min kien wieħed mill-ewwel eżempji ta 'diżubbidjenza ċivili kontra?")</f>
        <v>Min kien wieħed mill-ewwel eżempji ta 'diżubbidjenza ċivili kontra?</v>
      </c>
    </row>
    <row r="16869" ht="15.75" customHeight="1">
      <c r="A16869" s="2" t="s">
        <v>16869</v>
      </c>
      <c r="B16869" s="2" t="str">
        <f>IFERROR(__xludf.DUMMYFUNCTION("GOOGLETRANSLATE(A16869, ""en"", ""mt"")"),"Tape burokratiku eċċessiv hija waħda mir-raġunijiet għal liema tip ta 'sjieda?")</f>
        <v>Tape burokratiku eċċessiv hija waħda mir-raġunijiet għal liema tip ta 'sjieda?</v>
      </c>
    </row>
    <row r="16870" ht="15.75" customHeight="1">
      <c r="A16870" s="2" t="s">
        <v>16870</v>
      </c>
      <c r="B16870" s="2" t="str">
        <f>IFERROR(__xludf.DUMMYFUNCTION("GOOGLETRANSLATE(A16870, ""en"", ""mt"")"),"X'inhuma l-perjodi ta 'tkabbir iqsar assoċjati magħhom?")</f>
        <v>X'inhuma l-perjodi ta 'tkabbir iqsar assoċjati magħhom?</v>
      </c>
    </row>
    <row r="16871" ht="15.75" customHeight="1">
      <c r="A16871" s="2" t="s">
        <v>16871</v>
      </c>
      <c r="B16871" s="2" t="str">
        <f>IFERROR(__xludf.DUMMYFUNCTION("GOOGLETRANSLATE(A16871, ""en"", ""mt"")"),"F'liema sena ħareġ l-istudju Haensch?")</f>
        <v>F'liema sena ħareġ l-istudju Haensch?</v>
      </c>
    </row>
    <row r="16872" ht="15.75" customHeight="1">
      <c r="A16872" s="2" t="s">
        <v>16872</v>
      </c>
      <c r="B16872" s="2" t="str">
        <f>IFERROR(__xludf.DUMMYFUNCTION("GOOGLETRANSLATE(A16872, ""en"", ""mt"")"),"Fuq xiex it-tort tal-ktieb ta ’Gasquet fuq il-pesta?")</f>
        <v>Fuq xiex it-tort tal-ktieb ta ’Gasquet fuq il-pesta?</v>
      </c>
    </row>
    <row r="16873" ht="15.75" customHeight="1">
      <c r="A16873" s="2" t="s">
        <v>16873</v>
      </c>
      <c r="B16873" s="2" t="str">
        <f>IFERROR(__xludf.DUMMYFUNCTION("GOOGLETRANSLATE(A16873, ""en"", ""mt"")"),"Tendenza akbar li tieħu d-djun")</f>
        <v>Tendenza akbar li tieħu d-djun</v>
      </c>
    </row>
    <row r="16874" ht="15.75" customHeight="1">
      <c r="A16874" s="2" t="s">
        <v>16874</v>
      </c>
      <c r="B16874" s="2" t="str">
        <f>IFERROR(__xludf.DUMMYFUNCTION("GOOGLETRANSLATE(A16874, ""en"", ""mt"")"),"Eżerċizzju aerobiku")</f>
        <v>Eżerċizzju aerobiku</v>
      </c>
    </row>
    <row r="16875" ht="15.75" customHeight="1">
      <c r="A16875" s="2" t="s">
        <v>16875</v>
      </c>
      <c r="B16875" s="2" t="str">
        <f>IFERROR(__xludf.DUMMYFUNCTION("GOOGLETRANSLATE(A16875, ""en"", ""mt"")"),"X'kien is-sors tar-Renu matul l-aħħar età tas-silġ?")</f>
        <v>X'kien is-sors tar-Renu matul l-aħħar età tas-silġ?</v>
      </c>
    </row>
    <row r="16876" ht="15.75" customHeight="1">
      <c r="A16876" s="2" t="s">
        <v>16876</v>
      </c>
      <c r="B16876" s="2" t="str">
        <f>IFERROR(__xludf.DUMMYFUNCTION("GOOGLETRANSLATE(A16876, ""en"", ""mt"")"),"magni ta 'espansjoni tripla tal-baħar")</f>
        <v>magni ta 'espansjoni tripla tal-baħar</v>
      </c>
    </row>
    <row r="16877" ht="15.75" customHeight="1">
      <c r="A16877" s="2" t="s">
        <v>16877</v>
      </c>
      <c r="B16877" s="2" t="str">
        <f>IFERROR(__xludf.DUMMYFUNCTION("GOOGLETRANSLATE(A16877, ""en"", ""mt"")"),"Min hu l-president tal-IPCC?")</f>
        <v>Min hu l-president tal-IPCC?</v>
      </c>
    </row>
    <row r="16878" ht="15.75" customHeight="1">
      <c r="A16878" s="2" t="s">
        <v>16878</v>
      </c>
      <c r="B16878" s="2" t="str">
        <f>IFERROR(__xludf.DUMMYFUNCTION("GOOGLETRANSLATE(A16878, ""en"", ""mt"")"),"Diverti")</f>
        <v>Diverti</v>
      </c>
    </row>
    <row r="16879" ht="15.75" customHeight="1">
      <c r="A16879" s="2" t="s">
        <v>16879</v>
      </c>
      <c r="B16879" s="2" t="str">
        <f>IFERROR(__xludf.DUMMYFUNCTION("GOOGLETRANSLATE(A16879, ""en"", ""mt"")"),"Jingshi Dadian")</f>
        <v>Jingshi Dadian</v>
      </c>
    </row>
    <row r="16880" ht="15.75" customHeight="1">
      <c r="A16880" s="2" t="s">
        <v>16880</v>
      </c>
      <c r="B16880" s="2" t="str">
        <f>IFERROR(__xludf.DUMMYFUNCTION("GOOGLETRANSLATE(A16880, ""en"", ""mt"")"),"B'liema proċess tista 'tiġi ġġenerata l-immunità attiva b'mod artifiċjali?")</f>
        <v>B'liema proċess tista 'tiġi ġġenerata l-immunità attiva b'mod artifiċjali?</v>
      </c>
    </row>
    <row r="16881" ht="15.75" customHeight="1">
      <c r="A16881" s="2" t="s">
        <v>16881</v>
      </c>
      <c r="B16881" s="2" t="str">
        <f>IFERROR(__xludf.DUMMYFUNCTION("GOOGLETRANSLATE(A16881, ""en"", ""mt"")"),"Kemm huguenots inqatlu waqt din il-purga?")</f>
        <v>Kemm huguenots inqatlu waqt din il-purga?</v>
      </c>
    </row>
    <row r="16882" ht="15.75" customHeight="1">
      <c r="A16882" s="2" t="s">
        <v>16882</v>
      </c>
      <c r="B16882" s="2" t="str">
        <f>IFERROR(__xludf.DUMMYFUNCTION("GOOGLETRANSLATE(A16882, ""en"", ""mt"")"),"Kemm għandu ċilindri l-magna energiprojekt ab?")</f>
        <v>Kemm għandu ċilindri l-magna energiprojekt ab?</v>
      </c>
    </row>
    <row r="16883" ht="15.75" customHeight="1">
      <c r="A16883" s="2" t="s">
        <v>16883</v>
      </c>
      <c r="B16883" s="2" t="str">
        <f>IFERROR(__xludf.DUMMYFUNCTION("GOOGLETRANSLATE(A16883, ""en"", ""mt"")"),"Ix-xita fil-baċin waqt l-LGM kienet aktar baxxa")</f>
        <v>Ix-xita fil-baċin waqt l-LGM kienet aktar baxxa</v>
      </c>
    </row>
    <row r="16884" ht="15.75" customHeight="1">
      <c r="A16884" s="2" t="s">
        <v>16884</v>
      </c>
      <c r="B16884" s="2" t="str">
        <f>IFERROR(__xludf.DUMMYFUNCTION("GOOGLETRANSLATE(A16884, ""en"", ""mt"")"),"Albany")</f>
        <v>Albany</v>
      </c>
    </row>
    <row r="16885" ht="15.75" customHeight="1">
      <c r="A16885" s="2" t="s">
        <v>16885</v>
      </c>
      <c r="B16885" s="2" t="str">
        <f>IFERROR(__xludf.DUMMYFUNCTION("GOOGLETRANSLATE(A16885, ""en"", ""mt"")"),"Demokrazija")</f>
        <v>Demokrazija</v>
      </c>
    </row>
    <row r="16886" ht="15.75" customHeight="1">
      <c r="A16886" s="2" t="s">
        <v>16886</v>
      </c>
      <c r="B16886" s="2" t="str">
        <f>IFERROR(__xludf.DUMMYFUNCTION("GOOGLETRANSLATE(A16886, ""en"", ""mt"")"),"Wieħed minn kull ħamsa")</f>
        <v>Wieħed minn kull ħamsa</v>
      </c>
    </row>
    <row r="16887" ht="15.75" customHeight="1">
      <c r="A16887" s="2" t="s">
        <v>16887</v>
      </c>
      <c r="B16887" s="2" t="str">
        <f>IFERROR(__xludf.DUMMYFUNCTION("GOOGLETRANSLATE(A16887, ""en"", ""mt"")"),"innegozjat bejn il-punti finali")</f>
        <v>innegozjat bejn il-punti finali</v>
      </c>
    </row>
    <row r="16888" ht="15.75" customHeight="1">
      <c r="A16888" s="2" t="s">
        <v>16888</v>
      </c>
      <c r="B16888" s="2" t="str">
        <f>IFERROR(__xludf.DUMMYFUNCTION("GOOGLETRANSLATE(A16888, ""en"", ""mt"")"),"it-trattament")</f>
        <v>it-trattament</v>
      </c>
    </row>
    <row r="16889" ht="15.75" customHeight="1">
      <c r="A16889" s="2" t="s">
        <v>16889</v>
      </c>
      <c r="B16889" s="2" t="str">
        <f>IFERROR(__xludf.DUMMYFUNCTION("GOOGLETRANSLATE(A16889, ""en"", ""mt"")"),"Formali")</f>
        <v>Formali</v>
      </c>
    </row>
    <row r="16890" ht="15.75" customHeight="1">
      <c r="A16890" s="2" t="s">
        <v>16890</v>
      </c>
      <c r="B16890" s="2" t="str">
        <f>IFERROR(__xludf.DUMMYFUNCTION("GOOGLETRANSLATE(A16890, ""en"", ""mt"")"),"Exptime")</f>
        <v>Exptime</v>
      </c>
    </row>
    <row r="16891" ht="15.75" customHeight="1">
      <c r="A16891" s="2" t="s">
        <v>16891</v>
      </c>
      <c r="B16891" s="2" t="str">
        <f>IFERROR(__xludf.DUMMYFUNCTION("GOOGLETRANSLATE(A16891, ""en"", ""mt"")"),"Mill-1321 sal-1323")</f>
        <v>Mill-1321 sal-1323</v>
      </c>
    </row>
    <row r="16892" ht="15.75" customHeight="1">
      <c r="A16892" s="2" t="s">
        <v>16892</v>
      </c>
      <c r="B16892" s="2" t="str">
        <f>IFERROR(__xludf.DUMMYFUNCTION("GOOGLETRANSLATE(A16892, ""en"", ""mt"")"),"Għal xiex huwa popolari d-deżert tan-Nofsinhar tal-Kalifornja?")</f>
        <v>Għal xiex huwa popolari d-deżert tan-Nofsinhar tal-Kalifornja?</v>
      </c>
    </row>
    <row r="16893" ht="15.75" customHeight="1">
      <c r="A16893" s="2" t="s">
        <v>16893</v>
      </c>
      <c r="B16893" s="2" t="str">
        <f>IFERROR(__xludf.DUMMYFUNCTION("GOOGLETRANSLATE(A16893, ""en"", ""mt"")"),"b'xejn")</f>
        <v>b'xejn</v>
      </c>
    </row>
    <row r="16894" ht="15.75" customHeight="1">
      <c r="A16894" s="2" t="s">
        <v>16894</v>
      </c>
      <c r="B16894" s="2" t="str">
        <f>IFERROR(__xludf.DUMMYFUNCTION("GOOGLETRANSLATE(A16894, ""en"", ""mt"")"),"X'inhu użat biex jiddeskrivi d-dgħjufija tal-gravità?")</f>
        <v>X'inhu użat biex jiddeskrivi d-dgħjufija tal-gravità?</v>
      </c>
    </row>
    <row r="16895" ht="15.75" customHeight="1">
      <c r="A16895" s="2" t="s">
        <v>16895</v>
      </c>
      <c r="B16895" s="2" t="str">
        <f>IFERROR(__xludf.DUMMYFUNCTION("GOOGLETRANSLATE(A16895, ""en"", ""mt"")"),"X'kien imsejjaħ Jacksonville bħala wara l-konsolidazzjoni?")</f>
        <v>X'kien imsejjaħ Jacksonville bħala wara l-konsolidazzjoni?</v>
      </c>
    </row>
    <row r="16896" ht="15.75" customHeight="1">
      <c r="A16896" s="2" t="s">
        <v>16896</v>
      </c>
      <c r="B16896" s="2" t="str">
        <f>IFERROR(__xludf.DUMMYFUNCTION("GOOGLETRANSLATE(A16896, ""en"", ""mt"")"),"Kemm ministeri tal-gvern Skoċċiż tipikament jikkorrispondu?")</f>
        <v>Kemm ministeri tal-gvern Skoċċiż tipikament jikkorrispondu?</v>
      </c>
    </row>
    <row r="16897" ht="15.75" customHeight="1">
      <c r="A16897" s="2" t="s">
        <v>16897</v>
      </c>
      <c r="B16897" s="2" t="str">
        <f>IFERROR(__xludf.DUMMYFUNCTION("GOOGLETRANSLATE(A16897, ""en"", ""mt"")"),"Min ippubblika żball rigward il-glaċieri tal-Ħimalaja?")</f>
        <v>Min ippubblika żball rigward il-glaċieri tal-Ħimalaja?</v>
      </c>
    </row>
    <row r="16898" ht="15.75" customHeight="1">
      <c r="A16898" s="2" t="s">
        <v>16898</v>
      </c>
      <c r="B16898" s="2" t="str">
        <f>IFERROR(__xludf.DUMMYFUNCTION("GOOGLETRANSLATE(A16898, ""en"", ""mt"")"),"X'jiġri mit-tkabbir tal-PDG ta 'pajjiż jekk is-sehem tad-dħul tal-aqwa 20 fil-mija jiżdied, skond l-ekonomisti tal-persunal tal-FMI?")</f>
        <v>X'jiġri mit-tkabbir tal-PDG ta 'pajjiż jekk is-sehem tad-dħul tal-aqwa 20 fil-mija jiżdied, skond l-ekonomisti tal-persunal tal-FMI?</v>
      </c>
    </row>
    <row r="16899" ht="15.75" customHeight="1">
      <c r="A16899" s="2" t="s">
        <v>16899</v>
      </c>
      <c r="B16899" s="2" t="str">
        <f>IFERROR(__xludf.DUMMYFUNCTION("GOOGLETRANSLATE(A16899, ""en"", ""mt"")"),"X'inhu meħtieġ li ma jobdix?")</f>
        <v>X'inhu meħtieġ li ma jobdix?</v>
      </c>
    </row>
    <row r="16900" ht="15.75" customHeight="1">
      <c r="A16900" s="2" t="s">
        <v>16900</v>
      </c>
      <c r="B16900" s="2" t="str">
        <f>IFERROR(__xludf.DUMMYFUNCTION("GOOGLETRANSLATE(A16900, ""en"", ""mt"")"),"Spanja")</f>
        <v>Spanja</v>
      </c>
    </row>
    <row r="16901" ht="15.75" customHeight="1">
      <c r="A16901" s="2" t="s">
        <v>16901</v>
      </c>
      <c r="B16901" s="2" t="str">
        <f>IFERROR(__xludf.DUMMYFUNCTION("GOOGLETRANSLATE(A16901, ""en"", ""mt"")"),"Kif iġibu ruħhom il-minorenni fil-ġeneru Beroe?")</f>
        <v>Kif iġibu ruħhom il-minorenni fil-ġeneru Beroe?</v>
      </c>
    </row>
    <row r="16902" ht="15.75" customHeight="1">
      <c r="A16902" s="2" t="s">
        <v>16902</v>
      </c>
      <c r="B16902" s="2" t="str">
        <f>IFERROR(__xludf.DUMMYFUNCTION("GOOGLETRANSLATE(A16902, ""en"", ""mt"")"),"X'inhi l-espressjoni użata biex tidentifika kwalunkwe serje ta 'soluzzjonijiet partikolari li kapaċi tissolva fi żmien fuq magna tat-Turing deterministika?")</f>
        <v>X'inhi l-espressjoni użata biex tidentifika kwalunkwe serje ta 'soluzzjonijiet partikolari li kapaċi tissolva fi żmien fuq magna tat-Turing deterministika?</v>
      </c>
    </row>
    <row r="16903" ht="15.75" customHeight="1">
      <c r="A16903" s="2" t="s">
        <v>16903</v>
      </c>
      <c r="B16903" s="2" t="str">
        <f>IFERROR(__xludf.DUMMYFUNCTION("GOOGLETRANSLATE(A16903, ""en"", ""mt"")"),"Eliminazzjoni tal-poter Franċiż")</f>
        <v>Eliminazzjoni tal-poter Franċiż</v>
      </c>
    </row>
    <row r="16904" ht="15.75" customHeight="1">
      <c r="A16904" s="2" t="s">
        <v>16904</v>
      </c>
      <c r="B16904" s="2" t="str">
        <f>IFERROR(__xludf.DUMMYFUNCTION("GOOGLETRANSLATE(A16904, ""en"", ""mt"")"),"Il-Programm tal-Ambjent tan-Nazzjonijiet Uniti (UNEP) u l-Organizzazzjoni Meteoroloġika Dinjija (WMO)")</f>
        <v>Il-Programm tal-Ambjent tan-Nazzjonijiet Uniti (UNEP) u l-Organizzazzjoni Meteoroloġika Dinjija (WMO)</v>
      </c>
    </row>
    <row r="16905" ht="15.75" customHeight="1">
      <c r="A16905" s="2" t="s">
        <v>16905</v>
      </c>
      <c r="B16905" s="2" t="str">
        <f>IFERROR(__xludf.DUMMYFUNCTION("GOOGLETRANSLATE(A16905, ""en"", ""mt"")"),"X'tista 'tagħmel l-infjammazzjoni matul perjodi ta' rqad?")</f>
        <v>X'tista 'tagħmel l-infjammazzjoni matul perjodi ta' rqad?</v>
      </c>
    </row>
    <row r="16906" ht="15.75" customHeight="1">
      <c r="A16906" s="2" t="s">
        <v>16906</v>
      </c>
      <c r="B16906" s="2" t="str">
        <f>IFERROR(__xludf.DUMMYFUNCTION("GOOGLETRANSLATE(A16906, ""en"", ""mt"")"),"Il-politika Ingliża perċepita li tkun f'idejha barra mill-popolazzjoni Musulmana tagħha rriżultat f'liema terminu derogatorju għal Franza?")</f>
        <v>Il-politika Ingliża perċepita li tkun f'idejha barra mill-popolazzjoni Musulmana tagħha rriżultat f'liema terminu derogatorju għal Franza?</v>
      </c>
    </row>
    <row r="16907" ht="15.75" customHeight="1">
      <c r="A16907" s="2" t="s">
        <v>16907</v>
      </c>
      <c r="B16907" s="2" t="str">
        <f>IFERROR(__xludf.DUMMYFUNCTION("GOOGLETRANSLATE(A16907, ""en"", ""mt"")"),"Naddafhom")</f>
        <v>Naddafhom</v>
      </c>
    </row>
    <row r="16908" ht="15.75" customHeight="1">
      <c r="A16908" s="2" t="s">
        <v>16908</v>
      </c>
      <c r="B16908" s="2" t="str">
        <f>IFERROR(__xludf.DUMMYFUNCTION("GOOGLETRANSLATE(A16908, ""en"", ""mt"")"),"silikati (f'minerali tas-silikat)")</f>
        <v>silikati (f'minerali tas-silikat)</v>
      </c>
    </row>
    <row r="16909" ht="15.75" customHeight="1">
      <c r="A16909" s="2" t="s">
        <v>16909</v>
      </c>
      <c r="B16909" s="2" t="str">
        <f>IFERROR(__xludf.DUMMYFUNCTION("GOOGLETRANSLATE(A16909, ""en"", ""mt"")"),"Min bena esperiment fejn il-ġebel u l-blat kienu rrumblati minn inklinazzjoni?")</f>
        <v>Min bena esperiment fejn il-ġebel u l-blat kienu rrumblati minn inklinazzjoni?</v>
      </c>
    </row>
    <row r="16910" ht="15.75" customHeight="1">
      <c r="A16910" s="2" t="s">
        <v>16910</v>
      </c>
      <c r="B16910" s="2" t="str">
        <f>IFERROR(__xludf.DUMMYFUNCTION("GOOGLETRANSLATE(A16910, ""en"", ""mt"")"),"X'inhu l-isem tar-rumanzier tal-Premju Pulitzer li kien ukoll alumni tal-università?")</f>
        <v>X'inhu l-isem tar-rumanzier tal-Premju Pulitzer li kien ukoll alumni tal-università?</v>
      </c>
    </row>
    <row r="16911" ht="15.75" customHeight="1">
      <c r="A16911" s="2" t="s">
        <v>16911</v>
      </c>
      <c r="B16911" s="2" t="str">
        <f>IFERROR(__xludf.DUMMYFUNCTION("GOOGLETRANSLATE(A16911, ""en"", ""mt"")"),"Umdità għolja")</f>
        <v>Umdità għolja</v>
      </c>
    </row>
    <row r="16912" ht="15.75" customHeight="1">
      <c r="A16912" s="2" t="s">
        <v>16912</v>
      </c>
      <c r="B16912" s="2" t="str">
        <f>IFERROR(__xludf.DUMMYFUNCTION("GOOGLETRANSLATE(A16912, ""en"", ""mt"")"),"Sharia")</f>
        <v>Sharia</v>
      </c>
    </row>
    <row r="16913" ht="15.75" customHeight="1">
      <c r="A16913" s="2" t="s">
        <v>16913</v>
      </c>
      <c r="B16913" s="2" t="str">
        <f>IFERROR(__xludf.DUMMYFUNCTION("GOOGLETRANSLATE(A16913, ""en"", ""mt"")"),"Liema parti tilgħab is-sajd fl-ekonomija tar-Rabat?")</f>
        <v>Liema parti tilgħab is-sajd fl-ekonomija tar-Rabat?</v>
      </c>
    </row>
    <row r="16914" ht="15.75" customHeight="1">
      <c r="A16914" s="2" t="s">
        <v>16914</v>
      </c>
      <c r="B16914" s="2" t="str">
        <f>IFERROR(__xludf.DUMMYFUNCTION("GOOGLETRANSLATE(A16914, ""en"", ""mt"")"),"Liema pajjiż għandu l-iktar fabbriki li jniġġsu r-Renu?")</f>
        <v>Liema pajjiż għandu l-iktar fabbriki li jniġġsu r-Renu?</v>
      </c>
    </row>
    <row r="16915" ht="15.75" customHeight="1">
      <c r="A16915" s="2" t="s">
        <v>16915</v>
      </c>
      <c r="B16915" s="2" t="str">
        <f>IFERROR(__xludf.DUMMYFUNCTION("GOOGLETRANSLATE(A16915, ""en"", ""mt"")"),"Ghost of Le Roi Huguet")</f>
        <v>Ghost of Le Roi Huguet</v>
      </c>
    </row>
    <row r="16916" ht="15.75" customHeight="1">
      <c r="A16916" s="2" t="s">
        <v>16916</v>
      </c>
      <c r="B16916" s="2" t="str">
        <f>IFERROR(__xludf.DUMMYFUNCTION("GOOGLETRANSLATE(A16916, ""en"", ""mt"")"),"Nofs")</f>
        <v>Nofs</v>
      </c>
    </row>
    <row r="16917" ht="15.75" customHeight="1">
      <c r="A16917" s="2" t="s">
        <v>16917</v>
      </c>
      <c r="B16917" s="2" t="str">
        <f>IFERROR(__xludf.DUMMYFUNCTION("GOOGLETRANSLATE(A16917, ""en"", ""mt"")"),"Liema sommarju jgħid li l-attività tal-bniedem hija responsabbli għat-tkessiħ tad-Dinja?")</f>
        <v>Liema sommarju jgħid li l-attività tal-bniedem hija responsabbli għat-tkessiħ tad-Dinja?</v>
      </c>
    </row>
    <row r="16918" ht="15.75" customHeight="1">
      <c r="A16918" s="2" t="s">
        <v>16918</v>
      </c>
      <c r="B16918" s="2" t="str">
        <f>IFERROR(__xludf.DUMMYFUNCTION("GOOGLETRANSLATE(A16918, ""en"", ""mt"")"),"Fuq liema naħa hija mibnija SR 99?")</f>
        <v>Fuq liema naħa hija mibnija SR 99?</v>
      </c>
    </row>
    <row r="16919" ht="15.75" customHeight="1">
      <c r="A16919" s="2" t="s">
        <v>16919</v>
      </c>
      <c r="B16919" s="2" t="str">
        <f>IFERROR(__xludf.DUMMYFUNCTION("GOOGLETRANSLATE(A16919, ""en"", ""mt"")"),"Il-pjan kien informalizzat?")</f>
        <v>Il-pjan kien informalizzat?</v>
      </c>
    </row>
    <row r="16920" ht="15.75" customHeight="1">
      <c r="A16920" s="2" t="s">
        <v>16920</v>
      </c>
      <c r="B16920" s="2" t="str">
        <f>IFERROR(__xludf.DUMMYFUNCTION("GOOGLETRANSLATE(A16920, ""en"", ""mt"")"),"Kemm ħallas BSKYB biex iċedu d-drittijiet tagħhom għall-Premier League?")</f>
        <v>Kemm ħallas BSKYB biex iċedu d-drittijiet tagħhom għall-Premier League?</v>
      </c>
    </row>
    <row r="16921" ht="15.75" customHeight="1">
      <c r="A16921" s="2" t="s">
        <v>16921</v>
      </c>
      <c r="B16921" s="2" t="str">
        <f>IFERROR(__xludf.DUMMYFUNCTION("GOOGLETRANSLATE(A16921, ""en"", ""mt"")"),"Il-Midalja Rumford")</f>
        <v>Il-Midalja Rumford</v>
      </c>
    </row>
    <row r="16922" ht="15.75" customHeight="1">
      <c r="A16922" s="2" t="s">
        <v>16922</v>
      </c>
      <c r="B16922" s="2" t="str">
        <f>IFERROR(__xludf.DUMMYFUNCTION("GOOGLETRANSLATE(A16922, ""en"", ""mt"")"),"inqas minn sena")</f>
        <v>inqas minn sena</v>
      </c>
    </row>
    <row r="16923" ht="15.75" customHeight="1">
      <c r="A16923" s="2" t="s">
        <v>16923</v>
      </c>
      <c r="B16923" s="2" t="str">
        <f>IFERROR(__xludf.DUMMYFUNCTION("GOOGLETRANSLATE(A16923, ""en"", ""mt"")"),"Il-Yuan wettaq xogħlijiet pubbliċi estensivi. Fost l-aqwa inġiniera u xjenzati ta 'Kublai Khan kien l-astronomu Guo Shoujing, li kien inkarigat b'ħafna proġetti ta' xogħlijiet pubbliċi u għen lill-wan jirriforma l-kalendarju lunisolari biex jipprovdi eżat"&amp;"tezza ta '365.2425 ġurnata tas-sena, li kienet biss 26 sekonda barra mill-kalendarju modern Gregorjan kejl. Il-komunikazzjonijiet fit-toroq u l-ilma ġew riorganizzati u mtejba. Biex jipprovdu kontra l-ġuħ possibbli, il-granari ġew ordnati mibnija fl-imper"&amp;"u kollu. Il-belt ta 'Beijing inbniet mill-ġdid ma' raġunijiet tal-palazz ġodda li kienu jinkludu lagi artifiċjali, għoljiet u muntanji, u parks. Matul il-perjodu tal-wan, Beijing sar it-terminus tal-Gran Kanal taċ-Ċina, li ġie rinnovat kompletament. Dan i"&amp;"t-titjib orjentat kummerċjalment inkoraġġixxa l-kummerċ fuq l-art u l-marittimu madwar l-Asja u ffaċilita l-kuntatti diretti Ċiniżi mal-Ewropa. Vjaġġaturi Ċiniżi lejn il-Punent setgħu jipprovdu għajnuna f'oqsma bħal inġinerija idrawlika. Kuntatti mal-Pune"&amp;"nt ġabu wkoll l-introduzzjoni fiċ-Ċina ta 'uċuħ ewlenin tal-ikel, sorgu, flimkien ma' prodotti oħra tal-ikel barranin u metodi ta 'preparazzjoni.")</f>
        <v>Il-Yuan wettaq xogħlijiet pubbliċi estensivi. Fost l-aqwa inġiniera u xjenzati ta 'Kublai Khan kien l-astronomu Guo Shoujing, li kien inkarigat b'ħafna proġetti ta' xogħlijiet pubbliċi u għen lill-wan jirriforma l-kalendarju lunisolari biex jipprovdi eżattezza ta '365.2425 ġurnata tas-sena, li kienet biss 26 sekonda barra mill-kalendarju modern Gregorjan kejl. Il-komunikazzjonijiet fit-toroq u l-ilma ġew riorganizzati u mtejba. Biex jipprovdu kontra l-ġuħ possibbli, il-granari ġew ordnati mibnija fl-imperu kollu. Il-belt ta 'Beijing inbniet mill-ġdid ma' raġunijiet tal-palazz ġodda li kienu jinkludu lagi artifiċjali, għoljiet u muntanji, u parks. Matul il-perjodu tal-wan, Beijing sar it-terminus tal-Gran Kanal taċ-Ċina, li ġie rinnovat kompletament. Dan it-titjib orjentat kummerċjalment inkoraġġixxa l-kummerċ fuq l-art u l-marittimu madwar l-Asja u ffaċilita l-kuntatti diretti Ċiniżi mal-Ewropa. Vjaġġaturi Ċiniżi lejn il-Punent setgħu jipprovdu għajnuna f'oqsma bħal inġinerija idrawlika. Kuntatti mal-Punent ġabu wkoll l-introduzzjoni fiċ-Ċina ta 'uċuħ ewlenin tal-ikel, sorgu, flimkien ma' prodotti oħra tal-ikel barranin u metodi ta 'preparazzjoni.</v>
      </c>
    </row>
    <row r="16924" ht="15.75" customHeight="1">
      <c r="A16924" s="2" t="s">
        <v>16924</v>
      </c>
      <c r="B16924" s="2" t="str">
        <f>IFERROR(__xludf.DUMMYFUNCTION("GOOGLETRANSLATE(A16924, ""en"", ""mt"")"),"Kemm hu popolat Melbourne meta mqabbel ma 'stati oħra Awstraljani?")</f>
        <v>Kemm hu popolat Melbourne meta mqabbel ma 'stati oħra Awstraljani?</v>
      </c>
    </row>
    <row r="16925" ht="15.75" customHeight="1">
      <c r="A16925" s="2" t="s">
        <v>16925</v>
      </c>
      <c r="B16925" s="2" t="str">
        <f>IFERROR(__xludf.DUMMYFUNCTION("GOOGLETRANSLATE(A16925, ""en"", ""mt"")"),"proprjetà tal-gvern")</f>
        <v>proprjetà tal-gvern</v>
      </c>
    </row>
    <row r="16926" ht="15.75" customHeight="1">
      <c r="A16926" s="2" t="s">
        <v>16926</v>
      </c>
      <c r="B16926" s="2" t="str">
        <f>IFERROR(__xludf.DUMMYFUNCTION("GOOGLETRANSLATE(A16926, ""en"", ""mt"")"),"Ir-rotta bejn in-netwerk kienet x'tip ta 'sistema?")</f>
        <v>Ir-rotta bejn in-netwerk kienet x'tip ta 'sistema?</v>
      </c>
    </row>
    <row r="16927" ht="15.75" customHeight="1">
      <c r="A16927" s="2" t="s">
        <v>16927</v>
      </c>
      <c r="B16927" s="2" t="str">
        <f>IFERROR(__xludf.DUMMYFUNCTION("GOOGLETRANSLATE(A16927, ""en"", ""mt"")"),"X'jistgħu jużaw l-isotopi manjetiċi biex jistudjaw?")</f>
        <v>X'jistgħu jużaw l-isotopi manjetiċi biex jistudjaw?</v>
      </c>
    </row>
    <row r="16928" ht="15.75" customHeight="1">
      <c r="A16928" s="2" t="s">
        <v>16928</v>
      </c>
      <c r="B16928" s="2" t="str">
        <f>IFERROR(__xludf.DUMMYFUNCTION("GOOGLETRANSLATE(A16928, ""en"", ""mt"")"),"Oppidum ubiorum")</f>
        <v>Oppidum ubiorum</v>
      </c>
    </row>
    <row r="16929" ht="15.75" customHeight="1">
      <c r="A16929" s="2" t="s">
        <v>16929</v>
      </c>
      <c r="B16929" s="2" t="str">
        <f>IFERROR(__xludf.DUMMYFUNCTION("GOOGLETRANSLATE(A16929, ""en"", ""mt"")"),"X'inhu d-dħul annwali tal-industrija tal-kostruzzjoni fl-2014?")</f>
        <v>X'inhu d-dħul annwali tal-industrija tal-kostruzzjoni fl-2014?</v>
      </c>
    </row>
    <row r="16930" ht="15.75" customHeight="1">
      <c r="A16930" s="2" t="s">
        <v>16930</v>
      </c>
      <c r="B16930" s="2" t="str">
        <f>IFERROR(__xludf.DUMMYFUNCTION("GOOGLETRANSLATE(A16930, ""en"", ""mt"")"),"It-tnaqqis essenzjalment jieħu problema waħda u jikkonverti f'liema?")</f>
        <v>It-tnaqqis essenzjalment jieħu problema waħda u jikkonverti f'liema?</v>
      </c>
    </row>
    <row r="16931" ht="15.75" customHeight="1">
      <c r="A16931" s="2" t="s">
        <v>16931</v>
      </c>
      <c r="B16931" s="2" t="str">
        <f>IFERROR(__xludf.DUMMYFUNCTION("GOOGLETRANSLATE(A16931, ""en"", ""mt"")"),"jimpjegaw sfurzar limitat")</f>
        <v>jimpjegaw sfurzar limitat</v>
      </c>
    </row>
    <row r="16932" ht="15.75" customHeight="1">
      <c r="A16932" s="2" t="s">
        <v>16932</v>
      </c>
      <c r="B16932" s="2" t="str">
        <f>IFERROR(__xludf.DUMMYFUNCTION("GOOGLETRANSLATE(A16932, ""en"", ""mt"")"),"Filippin")</f>
        <v>Filippin</v>
      </c>
    </row>
    <row r="16933" ht="15.75" customHeight="1">
      <c r="A16933" s="2" t="s">
        <v>16933</v>
      </c>
      <c r="B16933" s="2" t="str">
        <f>IFERROR(__xludf.DUMMYFUNCTION("GOOGLETRANSLATE(A16933, ""en"", ""mt"")"),"Min ikklassifika lil Varsavja bħala t-32 belt l-iktar ħajjin fid-dinja?")</f>
        <v>Min ikklassifika lil Varsavja bħala t-32 belt l-iktar ħajjin fid-dinja?</v>
      </c>
    </row>
    <row r="16934" ht="15.75" customHeight="1">
      <c r="A16934" s="2" t="s">
        <v>16934</v>
      </c>
      <c r="B16934" s="2" t="str">
        <f>IFERROR(__xludf.DUMMYFUNCTION("GOOGLETRANSLATE(A16934, ""en"", ""mt"")"),"aktar minn 100")</f>
        <v>aktar minn 100</v>
      </c>
    </row>
    <row r="16935" ht="15.75" customHeight="1">
      <c r="A16935" s="2" t="s">
        <v>16935</v>
      </c>
      <c r="B16935" s="2" t="str">
        <f>IFERROR(__xludf.DUMMYFUNCTION("GOOGLETRANSLATE(A16935, ""en"", ""mt"")"),"X'inhi l-miżata medja tal-iskola privata mad-dinja kollha?")</f>
        <v>X'inhi l-miżata medja tal-iskola privata mad-dinja kollha?</v>
      </c>
    </row>
    <row r="16936" ht="15.75" customHeight="1">
      <c r="A16936" s="2" t="s">
        <v>16936</v>
      </c>
      <c r="B16936" s="2" t="str">
        <f>IFERROR(__xludf.DUMMYFUNCTION("GOOGLETRANSLATE(A16936, ""en"", ""mt"")"),"kmieni fl-1960s")</f>
        <v>kmieni fl-1960s</v>
      </c>
    </row>
    <row r="16937" ht="15.75" customHeight="1">
      <c r="A16937" s="2" t="s">
        <v>16937</v>
      </c>
      <c r="B16937" s="2" t="str">
        <f>IFERROR(__xludf.DUMMYFUNCTION("GOOGLETRANSLATE(A16937, ""en"", ""mt"")"),"Għalkemm imħarreġ bħala avukat, liema professjoni segwew Maududi minflok?")</f>
        <v>Għalkemm imħarreġ bħala avukat, liema professjoni segwew Maududi minflok?</v>
      </c>
    </row>
    <row r="16938" ht="15.75" customHeight="1">
      <c r="A16938" s="2" t="s">
        <v>16938</v>
      </c>
      <c r="B16938" s="2" t="str">
        <f>IFERROR(__xludf.DUMMYFUNCTION("GOOGLETRANSLATE(A16938, ""en"", ""mt"")"),"Il-pettnijiet jissejħu xiex?")</f>
        <v>Il-pettnijiet jissejħu xiex?</v>
      </c>
    </row>
    <row r="16939" ht="15.75" customHeight="1">
      <c r="A16939" s="2" t="s">
        <v>16939</v>
      </c>
      <c r="B16939" s="2" t="str">
        <f>IFERROR(__xludf.DUMMYFUNCTION("GOOGLETRANSLATE(A16939, ""en"", ""mt"")"),"Meta fl-aħħar Edward il-konfessur irritorna mir-refuġju ta 'missieru fl-1041, fuq stedina tan-nofs ħuh Harthacnut tiegħu, huwa ġab miegħu moħħ edukat minn Norman. Huwa ġab ukoll bosta konsulenti u ġellieda Norman, li wħud minnhom stabbilixxew forza tal-ka"&amp;"vallerija Ingliża. Dan il-kunċett qatt ma ħa l-għeruq, iżda huwa eżempju tipiku tal-attitudnijiet ta 'Edward. Huwa ħatar lil Robert tal-Arċisqof ta 'Jumièges ta' Canterbury u għamel lil Ralph il-Earl timidu ta 'Hereford. Huwa stieden lil ħuh Eustace II, K"&amp;"onti ta 'Boulogne fil-qorti tiegħu fl-1051, avveniment li rriżulta fl-akbar kunflitti bikrija bejn Sassonu u Norman u fl-aħħar irriżulta fl-eżilju ta' Earl Godwin ta 'Wessex.")</f>
        <v>Meta fl-aħħar Edward il-konfessur irritorna mir-refuġju ta 'missieru fl-1041, fuq stedina tan-nofs ħuh Harthacnut tiegħu, huwa ġab miegħu moħħ edukat minn Norman. Huwa ġab ukoll bosta konsulenti u ġellieda Norman, li wħud minnhom stabbilixxew forza tal-kavallerija Ingliża. Dan il-kunċett qatt ma ħa l-għeruq, iżda huwa eżempju tipiku tal-attitudnijiet ta 'Edward. Huwa ħatar lil Robert tal-Arċisqof ta 'Jumièges ta' Canterbury u għamel lil Ralph il-Earl timidu ta 'Hereford. Huwa stieden lil ħuh Eustace II, Konti ta 'Boulogne fil-qorti tiegħu fl-1051, avveniment li rriżulta fl-akbar kunflitti bikrija bejn Sassonu u Norman u fl-aħħar irriżulta fl-eżilju ta' Earl Godwin ta 'Wessex.</v>
      </c>
    </row>
    <row r="16940" ht="15.75" customHeight="1">
      <c r="A16940" s="2" t="s">
        <v>16940</v>
      </c>
      <c r="B16940" s="2" t="str">
        <f>IFERROR(__xludf.DUMMYFUNCTION("GOOGLETRANSLATE(A16940, ""en"", ""mt"")"),"Studenti gradwati u li għadhom ma ggradwawx eletti biex jirrappreżentaw lill-membri mill-unità akkademika rispettiva tagħhom")</f>
        <v>Studenti gradwati u li għadhom ma ggradwawx eletti biex jirrappreżentaw lill-membri mill-unità akkademika rispettiva tagħhom</v>
      </c>
    </row>
    <row r="16941" ht="15.75" customHeight="1">
      <c r="A16941" s="2" t="s">
        <v>16941</v>
      </c>
      <c r="B16941" s="2" t="str">
        <f>IFERROR(__xludf.DUMMYFUNCTION("GOOGLETRANSLATE(A16941, ""en"", ""mt"")"),"Liema sena rat l-ewwel użu rreġistrat ta 'magni tal-fwar?")</f>
        <v>Liema sena rat l-ewwel użu rreġistrat ta 'magni tal-fwar?</v>
      </c>
    </row>
    <row r="16942" ht="15.75" customHeight="1">
      <c r="A16942" s="2" t="s">
        <v>16942</v>
      </c>
      <c r="B16942" s="2" t="str">
        <f>IFERROR(__xludf.DUMMYFUNCTION("GOOGLETRANSLATE(A16942, ""en"", ""mt"")"),"Li opera n-netwerk VBSN")</f>
        <v>Li opera n-netwerk VBSN</v>
      </c>
    </row>
    <row r="16943" ht="15.75" customHeight="1">
      <c r="A16943" s="2" t="s">
        <v>16943</v>
      </c>
      <c r="B16943" s="2" t="str">
        <f>IFERROR(__xludf.DUMMYFUNCTION("GOOGLETRANSLATE(A16943, ""en"", ""mt"")"),"attakka lill-Ingliżi")</f>
        <v>attakka lill-Ingliżi</v>
      </c>
    </row>
    <row r="16944" ht="15.75" customHeight="1">
      <c r="A16944" s="2" t="s">
        <v>16944</v>
      </c>
      <c r="B16944" s="2" t="str">
        <f>IFERROR(__xludf.DUMMYFUNCTION("GOOGLETRANSLATE(A16944, ""en"", ""mt"")"),"Diviżjoni tripartita")</f>
        <v>Diviżjoni tripartita</v>
      </c>
    </row>
    <row r="16945" ht="15.75" customHeight="1">
      <c r="A16945" s="2" t="s">
        <v>16945</v>
      </c>
      <c r="B16945" s="2" t="str">
        <f>IFERROR(__xludf.DUMMYFUNCTION("GOOGLETRANSLATE(A16945, ""en"", ""mt"")"),"Trattat ta 'Ruma 1957 u t-Trattat ta' Maastricht 1992")</f>
        <v>Trattat ta 'Ruma 1957 u t-Trattat ta' Maastricht 1992</v>
      </c>
    </row>
    <row r="16946" ht="15.75" customHeight="1">
      <c r="A16946" s="2" t="s">
        <v>16946</v>
      </c>
      <c r="B16946" s="2" t="str">
        <f>IFERROR(__xludf.DUMMYFUNCTION("GOOGLETRANSLATE(A16946, ""en"", ""mt"")"),"Meta t-tieni korp jeżerċita forza F fuq l-ewwel korp, x'jiġri mat-tieni korp?")</f>
        <v>Meta t-tieni korp jeżerċita forza F fuq l-ewwel korp, x'jiġri mat-tieni korp?</v>
      </c>
    </row>
    <row r="16947" ht="15.75" customHeight="1">
      <c r="A16947" s="2" t="s">
        <v>16947</v>
      </c>
      <c r="B16947" s="2" t="str">
        <f>IFERROR(__xludf.DUMMYFUNCTION("GOOGLETRANSLATE(A16947, ""en"", ""mt"")"),"New Rochelle")</f>
        <v>New Rochelle</v>
      </c>
    </row>
    <row r="16948" ht="15.75" customHeight="1">
      <c r="A16948" s="2" t="s">
        <v>16948</v>
      </c>
      <c r="B16948" s="2" t="str">
        <f>IFERROR(__xludf.DUMMYFUNCTION("GOOGLETRANSLATE(A16948, ""en"", ""mt"")"),"Los Angeles jinsab fil-parti ta ’isfel ta’ xiex?")</f>
        <v>Los Angeles jinsab fil-parti ta ’isfel ta’ xiex?</v>
      </c>
    </row>
    <row r="16949" ht="15.75" customHeight="1">
      <c r="A16949" s="2" t="s">
        <v>16949</v>
      </c>
      <c r="B16949" s="2" t="str">
        <f>IFERROR(__xludf.DUMMYFUNCTION("GOOGLETRANSLATE(A16949, ""en"", ""mt"")"),"Liema projezzjonijiet issuġġerew li t-temperaturi jiżdiedu, iżda li l-livelli tal-baħar jonqsu?")</f>
        <v>Liema projezzjonijiet issuġġerew li t-temperaturi jiżdiedu, iżda li l-livelli tal-baħar jonqsu?</v>
      </c>
    </row>
    <row r="16950" ht="15.75" customHeight="1">
      <c r="A16950" s="2" t="s">
        <v>16950</v>
      </c>
      <c r="B16950" s="2" t="str">
        <f>IFERROR(__xludf.DUMMYFUNCTION("GOOGLETRANSLATE(A16950, ""en"", ""mt"")"),"għat-tisfija tal-art tal-madwar u l-polders")</f>
        <v>għat-tisfija tal-art tal-madwar u l-polders</v>
      </c>
    </row>
    <row r="16951" ht="15.75" customHeight="1">
      <c r="A16951" s="2" t="s">
        <v>16951</v>
      </c>
      <c r="B16951" s="2" t="str">
        <f>IFERROR(__xludf.DUMMYFUNCTION("GOOGLETRANSLATE(A16951, ""en"", ""mt"")"),"X'hemm bżonn li l-qorti tkun aktar aċċessibbli?")</f>
        <v>X'hemm bżonn li l-qorti tkun aktar aċċessibbli?</v>
      </c>
    </row>
    <row r="16952" ht="15.75" customHeight="1">
      <c r="A16952" s="2" t="s">
        <v>16952</v>
      </c>
      <c r="B16952" s="2" t="str">
        <f>IFERROR(__xludf.DUMMYFUNCTION("GOOGLETRANSLATE(A16952, ""en"", ""mt"")"),"Madankollu, xi problemi tal-komputazzjoni huma aktar faċli biex jiġu analizzati f'termini ta 'riżorsi aktar mhux tas-soltu. Pereżempju, magna tat-Turing mhux deterministika hija mudell tal-komputazzjoni li huwa permess li joħroġ biex jiċċekkja ħafna possi"&amp;"bbiltajiet differenti f'daqqa. Il-magna tat-Turing mhux deterministika għandha ftit x'taqsam ma 'kif fiżikament irridu nikkalkulaw l-algoritmi, iżda l-fergħa tagħha taqbad eżattament ħafna mill-mudelli matematiċi li rridu tanalizzaw, sabiex il-ħin mhux de"&amp;"terministiku huwa riżorsa importanti ħafna fl-analiżi tal-problemi tal-komputazzjoni -")</f>
        <v>Madankollu, xi problemi tal-komputazzjoni huma aktar faċli biex jiġu analizzati f'termini ta 'riżorsi aktar mhux tas-soltu. Pereżempju, magna tat-Turing mhux deterministika hija mudell tal-komputazzjoni li huwa permess li joħroġ biex jiċċekkja ħafna possibbiltajiet differenti f'daqqa. Il-magna tat-Turing mhux deterministika għandha ftit x'taqsam ma 'kif fiżikament irridu nikkalkulaw l-algoritmi, iżda l-fergħa tagħha taqbad eżattament ħafna mill-mudelli matematiċi li rridu tanalizzaw, sabiex il-ħin mhux deterministiku huwa riżorsa importanti ħafna fl-analiżi tal-problemi tal-komputazzjoni -</v>
      </c>
    </row>
    <row r="16953" ht="15.75" customHeight="1">
      <c r="A16953" s="2" t="s">
        <v>16953</v>
      </c>
      <c r="B16953" s="2" t="str">
        <f>IFERROR(__xludf.DUMMYFUNCTION("GOOGLETRANSLATE(A16953, ""en"", ""mt"")"),"Fejn l-ilma kiesaħ jitħallat mal-Lag Constance?")</f>
        <v>Fejn l-ilma kiesaħ jitħallat mal-Lag Constance?</v>
      </c>
    </row>
    <row r="16954" ht="15.75" customHeight="1">
      <c r="A16954" s="2" t="s">
        <v>16954</v>
      </c>
      <c r="B16954" s="2" t="str">
        <f>IFERROR(__xludf.DUMMYFUNCTION("GOOGLETRANSLATE(A16954, ""en"", ""mt"")"),"X'inhi ħaġa waħda li r-ribelljoni għandu jkollha fid-Dizzjunarju tal-Liġi tal-Iswed?")</f>
        <v>X'inhi ħaġa waħda li r-ribelljoni għandu jkollha fid-Dizzjunarju tal-Liġi tal-Iswed?</v>
      </c>
    </row>
    <row r="16955" ht="15.75" customHeight="1">
      <c r="A16955" s="2" t="s">
        <v>16955</v>
      </c>
      <c r="B16955" s="2" t="str">
        <f>IFERROR(__xludf.DUMMYFUNCTION("GOOGLETRANSLATE(A16955, ""en"", ""mt"")"),"Meta l-Qorti Ewropea tal-Ġustizzja tista 'żżomm il-miżuri?")</f>
        <v>Meta l-Qorti Ewropea tal-Ġustizzja tista 'żżomm il-miżuri?</v>
      </c>
    </row>
    <row r="16956" ht="15.75" customHeight="1">
      <c r="A16956" s="2" t="s">
        <v>16956</v>
      </c>
      <c r="B16956" s="2" t="str">
        <f>IFERROR(__xludf.DUMMYFUNCTION("GOOGLETRANSLATE(A16956, ""en"", ""mt"")"),"Il-legalità ta 'azzjoni tiddependi fuq jekk kienx xieraq u neċessarju li jinkisbu l-għanijiet leġittimament segwiti")</f>
        <v>Il-legalità ta 'azzjoni tiddependi fuq jekk kienx xieraq u neċessarju li jinkisbu l-għanijiet leġittimament segwiti</v>
      </c>
    </row>
    <row r="16957" ht="15.75" customHeight="1">
      <c r="A16957" s="2" t="s">
        <v>16957</v>
      </c>
      <c r="B16957" s="2" t="str">
        <f>IFERROR(__xludf.DUMMYFUNCTION("GOOGLETRANSLATE(A16957, ""en"", ""mt"")"),"Priestley x’jiġri l-esperiment tal-gass tiegħu?")</f>
        <v>Priestley x’jiġri l-esperiment tal-gass tiegħu?</v>
      </c>
    </row>
    <row r="16958" ht="15.75" customHeight="1">
      <c r="A16958" s="2" t="s">
        <v>16958</v>
      </c>
      <c r="B16958" s="2" t="str">
        <f>IFERROR(__xludf.DUMMYFUNCTION("GOOGLETRANSLATE(A16958, ""en"", ""mt"")"),"Kuznets")</f>
        <v>Kuznets</v>
      </c>
    </row>
    <row r="16959" ht="15.75" customHeight="1">
      <c r="A16959" s="2" t="s">
        <v>16959</v>
      </c>
      <c r="B16959" s="2" t="str">
        <f>IFERROR(__xludf.DUMMYFUNCTION("GOOGLETRANSLATE(A16959, ""en"", ""mt"")"),"Liema kumpanija kellha battalja legali qasira mal-Kummissjoni Ewropea?")</f>
        <v>Liema kumpanija kellha battalja legali qasira mal-Kummissjoni Ewropea?</v>
      </c>
    </row>
    <row r="16960" ht="15.75" customHeight="1">
      <c r="A16960" s="2" t="s">
        <v>16960</v>
      </c>
      <c r="B16960" s="2" t="str">
        <f>IFERROR(__xludf.DUMMYFUNCTION("GOOGLETRANSLATE(A16960, ""en"", ""mt"")"),"F'nofs is-seklu 20, min ma qabilx li 1 għandu jkun l-ewwel numru ewlieni?")</f>
        <v>F'nofs is-seklu 20, min ma qabilx li 1 għandu jkun l-ewwel numru ewlieni?</v>
      </c>
    </row>
    <row r="16961" ht="15.75" customHeight="1">
      <c r="A16961" s="2" t="s">
        <v>16961</v>
      </c>
      <c r="B16961" s="2" t="str">
        <f>IFERROR(__xludf.DUMMYFUNCTION("GOOGLETRANSLATE(A16961, ""en"", ""mt"")"),"Paċi ta 'Westphalia")</f>
        <v>Paċi ta 'Westphalia</v>
      </c>
    </row>
    <row r="16962" ht="15.75" customHeight="1">
      <c r="A16962" s="2" t="s">
        <v>16962</v>
      </c>
      <c r="B16962" s="2" t="str">
        <f>IFERROR(__xludf.DUMMYFUNCTION("GOOGLETRANSLATE(A16962, ""en"", ""mt"")"),"organiżmi ħajjin")</f>
        <v>organiżmi ħajjin</v>
      </c>
    </row>
    <row r="16963" ht="15.75" customHeight="1">
      <c r="A16963" s="2" t="s">
        <v>16963</v>
      </c>
      <c r="B16963" s="2" t="str">
        <f>IFERROR(__xludf.DUMMYFUNCTION("GOOGLETRANSLATE(A16963, ""en"", ""mt"")"),"arrestat")</f>
        <v>arrestat</v>
      </c>
    </row>
    <row r="16964" ht="15.75" customHeight="1">
      <c r="A16964" s="2" t="s">
        <v>16964</v>
      </c>
      <c r="B16964" s="2" t="str">
        <f>IFERROR(__xludf.DUMMYFUNCTION("GOOGLETRANSLATE(A16964, ""en"", ""mt"")"),"X'inhu jikkomprometti numru kbir ta 'MSPs?")</f>
        <v>X'inhu jikkomprometti numru kbir ta 'MSPs?</v>
      </c>
    </row>
    <row r="16965" ht="15.75" customHeight="1">
      <c r="A16965" s="2" t="s">
        <v>16965</v>
      </c>
      <c r="B16965" s="2" t="str">
        <f>IFERROR(__xludf.DUMMYFUNCTION("GOOGLETRANSLATE(A16965, ""en"", ""mt"")"),"Liema perċentwali tal-popolazzjoni tal-Polonja kienet Lhudija fl-1897?")</f>
        <v>Liema perċentwali tal-popolazzjoni tal-Polonja kienet Lhudija fl-1897?</v>
      </c>
    </row>
    <row r="16966" ht="15.75" customHeight="1">
      <c r="A16966" s="2" t="s">
        <v>16966</v>
      </c>
      <c r="B16966" s="2" t="str">
        <f>IFERROR(__xludf.DUMMYFUNCTION("GOOGLETRANSLATE(A16966, ""en"", ""mt"")"),"Meta seħħew l-ewwel eżempji ta 'diżubbidjenza ċivili kollha kemm hi?")</f>
        <v>Meta seħħew l-ewwel eżempji ta 'diżubbidjenza ċivili kollha kemm hi?</v>
      </c>
    </row>
    <row r="16967" ht="15.75" customHeight="1">
      <c r="A16967" s="2" t="s">
        <v>16967</v>
      </c>
      <c r="B16967" s="2" t="str">
        <f>IFERROR(__xludf.DUMMYFUNCTION("GOOGLETRANSLATE(A16967, ""en"", ""mt"")"),"kondensazzjoni tal-ġid")</f>
        <v>kondensazzjoni tal-ġid</v>
      </c>
    </row>
    <row r="16968" ht="15.75" customHeight="1">
      <c r="A16968" s="2" t="s">
        <v>16968</v>
      </c>
      <c r="B16968" s="2" t="str">
        <f>IFERROR(__xludf.DUMMYFUNCTION("GOOGLETRANSLATE(A16968, ""en"", ""mt"")"),"Liema oċean għandu l-meded trasversali u peninsulari?")</f>
        <v>Liema oċean għandu l-meded trasversali u peninsulari?</v>
      </c>
    </row>
    <row r="16969" ht="15.75" customHeight="1">
      <c r="A16969" s="2" t="s">
        <v>16969</v>
      </c>
      <c r="B16969" s="2" t="str">
        <f>IFERROR(__xludf.DUMMYFUNCTION("GOOGLETRANSLATE(A16969, ""en"", ""mt"")"),"Elie Metchnikoff")</f>
        <v>Elie Metchnikoff</v>
      </c>
    </row>
    <row r="16970" ht="15.75" customHeight="1">
      <c r="A16970" s="2" t="s">
        <v>16970</v>
      </c>
      <c r="B16970" s="2" t="str">
        <f>IFERROR(__xludf.DUMMYFUNCTION("GOOGLETRANSLATE(A16970, ""en"", ""mt"")"),"F’xi pajjiżi fuq kemm passi tista ’tieħu biex tibni fuq art tal-gvern?")</f>
        <v>F’xi pajjiżi fuq kemm passi tista ’tieħu biex tibni fuq art tal-gvern?</v>
      </c>
    </row>
    <row r="16971" ht="15.75" customHeight="1">
      <c r="A16971" s="2" t="s">
        <v>16971</v>
      </c>
      <c r="B16971" s="2" t="str">
        <f>IFERROR(__xludf.DUMMYFUNCTION("GOOGLETRANSLATE(A16971, ""en"", ""mt"")"),"Fejn hu rikonoxxut il-prinċipju tal-proporzjonalità fit-trattat tal-KE?")</f>
        <v>Fejn hu rikonoxxut il-prinċipju tal-proporzjonalità fit-trattat tal-KE?</v>
      </c>
    </row>
    <row r="16972" ht="15.75" customHeight="1">
      <c r="A16972" s="2" t="s">
        <v>16972</v>
      </c>
      <c r="B16972" s="2" t="str">
        <f>IFERROR(__xludf.DUMMYFUNCTION("GOOGLETRANSLATE(A16972, ""en"", ""mt"")"),"Għaliex tabib qatt ma jiddijanjostika numru kbir ta 'kundizzjonijiet?")</f>
        <v>Għaliex tabib qatt ma jiddijanjostika numru kbir ta 'kundizzjonijiet?</v>
      </c>
    </row>
    <row r="16973" ht="15.75" customHeight="1">
      <c r="A16973" s="2" t="s">
        <v>16973</v>
      </c>
      <c r="B16973" s="2" t="str">
        <f>IFERROR(__xludf.DUMMYFUNCTION("GOOGLETRANSLATE(A16973, ""en"", ""mt"")"),"Teknoloġija tal-istampar 3D")</f>
        <v>Teknoloġija tal-istampar 3D</v>
      </c>
    </row>
    <row r="16974" ht="15.75" customHeight="1">
      <c r="A16974" s="2" t="s">
        <v>16974</v>
      </c>
      <c r="B16974" s="2" t="str">
        <f>IFERROR(__xludf.DUMMYFUNCTION("GOOGLETRANSLATE(A16974, ""en"", ""mt"")"),"Kif huwa pprovdut id-dawra billi tirkeb fuq il-port tal-ġenb tad-dħul?")</f>
        <v>Kif huwa pprovdut id-dawra billi tirkeb fuq il-port tal-ġenb tad-dħul?</v>
      </c>
    </row>
    <row r="16975" ht="15.75" customHeight="1">
      <c r="A16975" s="2" t="s">
        <v>16975</v>
      </c>
      <c r="B16975" s="2" t="str">
        <f>IFERROR(__xludf.DUMMYFUNCTION("GOOGLETRANSLATE(A16975, ""en"", ""mt"")"),"qoxra")</f>
        <v>qoxra</v>
      </c>
    </row>
    <row r="16976" ht="15.75" customHeight="1">
      <c r="A16976" s="2" t="s">
        <v>16976</v>
      </c>
      <c r="B16976" s="2" t="str">
        <f>IFERROR(__xludf.DUMMYFUNCTION("GOOGLETRANSLATE(A16976, ""en"", ""mt"")"),"X'tip ta 'labra kienet użata fil-ħolqien tat-tapizzerija ta' Bayeux?")</f>
        <v>X'tip ta 'labra kienet użata fil-ħolqien tat-tapizzerija ta' Bayeux?</v>
      </c>
    </row>
    <row r="16977" ht="15.75" customHeight="1">
      <c r="A16977" s="2" t="s">
        <v>16977</v>
      </c>
      <c r="B16977" s="2" t="str">
        <f>IFERROR(__xludf.DUMMYFUNCTION("GOOGLETRANSLATE(A16977, ""en"", ""mt"")"),"Kemm hija twila l-pjanura tar-Renu ta 'Fuq?")</f>
        <v>Kemm hija twila l-pjanura tar-Renu ta 'Fuq?</v>
      </c>
    </row>
    <row r="16978" ht="15.75" customHeight="1">
      <c r="A16978" s="2" t="s">
        <v>16978</v>
      </c>
      <c r="B16978" s="2" t="str">
        <f>IFERROR(__xludf.DUMMYFUNCTION("GOOGLETRANSLATE(A16978, ""en"", ""mt"")"),"7 ta ’Frar 2009")</f>
        <v>7 ta ’Frar 2009</v>
      </c>
    </row>
    <row r="16979" ht="15.75" customHeight="1">
      <c r="A16979" s="2" t="s">
        <v>16979</v>
      </c>
      <c r="B16979" s="2" t="str">
        <f>IFERROR(__xludf.DUMMYFUNCTION("GOOGLETRANSLATE(A16979, ""en"", ""mt"")"),"Gżira Parris")</f>
        <v>Gżira Parris</v>
      </c>
    </row>
    <row r="16980" ht="15.75" customHeight="1">
      <c r="A16980" s="2" t="s">
        <v>16980</v>
      </c>
      <c r="B16980" s="2" t="str">
        <f>IFERROR(__xludf.DUMMYFUNCTION("GOOGLETRANSLATE(A16980, ""en"", ""mt"")"),"tard fl-1870s")</f>
        <v>tard fl-1870s</v>
      </c>
    </row>
    <row r="16981" ht="15.75" customHeight="1">
      <c r="A16981" s="2" t="s">
        <v>16981</v>
      </c>
      <c r="B16981" s="2" t="str">
        <f>IFERROR(__xludf.DUMMYFUNCTION("GOOGLETRANSLATE(A16981, ""en"", ""mt"")"),"Min jista 'jinforza l-liġi tal-Unjoni Amerikana meta l-istati tal-membri jipprovdu drittijiet inqas?")</f>
        <v>Min jista 'jinforza l-liġi tal-Unjoni Amerikana meta l-istati tal-membri jipprovdu drittijiet inqas?</v>
      </c>
    </row>
    <row r="16982" ht="15.75" customHeight="1">
      <c r="A16982" s="2" t="s">
        <v>16982</v>
      </c>
      <c r="B16982" s="2" t="str">
        <f>IFERROR(__xludf.DUMMYFUNCTION("GOOGLETRANSLATE(A16982, ""en"", ""mt"")"),"Xi Normanni ngħaqdu mal-forzi Torok biex jgħinu fil-qerda tal-istati vassali tal-Armeni ta ’Sassoun u Taron fl-Anatolja tal-Lvant Imbiegħed. Aktar tard, ħafna ħadu servizz mal-Istat Armenjan aktar fin-nofsinhar f'Cilicia u l-Muntanji Taurus. Norman jismu "&amp;"Oursel mexxa forza ta '""Franks"" fil-Wied ta' Upper Euphrates fit-Tramuntana tas-Sirja. Mill-1073 sa 1074, 8,000 mill-20,000 truppa tal-Ġeneral Armenjan Philaretus Brachamius kienu Normanni - formolament ta 'Oursel - Miċħuda minn Raimbaud. Huma saħansitr"&amp;"a sellfu l-etniċità tagħhom għall-isem tal-kastell tagħhom: Afranji, li jfisser ""Franks."" Il-kummerċ magħruf bejn Amalfi u Antijokja u bejn Bari u Tarsu jista 'jkun relatat mal-preżenza ta' Italo-Normans f'dawk l-ibliet waqt li Amalfi u Bari kienu taħt "&amp;"il-ħakma Norman fl-Italja.")</f>
        <v>Xi Normanni ngħaqdu mal-forzi Torok biex jgħinu fil-qerda tal-istati vassali tal-Armeni ta ’Sassoun u Taron fl-Anatolja tal-Lvant Imbiegħed. Aktar tard, ħafna ħadu servizz mal-Istat Armenjan aktar fin-nofsinhar f'Cilicia u l-Muntanji Taurus. Norman jismu Oursel mexxa forza ta '"Franks" fil-Wied ta' Upper Euphrates fit-Tramuntana tas-Sirja. Mill-1073 sa 1074, 8,000 mill-20,000 truppa tal-Ġeneral Armenjan Philaretus Brachamius kienu Normanni - formolament ta 'Oursel - Miċħuda minn Raimbaud. Huma saħansitra sellfu l-etniċità tagħhom għall-isem tal-kastell tagħhom: Afranji, li jfisser "Franks." Il-kummerċ magħruf bejn Amalfi u Antijokja u bejn Bari u Tarsu jista 'jkun relatat mal-preżenza ta' Italo-Normans f'dawk l-ibliet waqt li Amalfi u Bari kienu taħt il-ħakma Norman fl-Italja.</v>
      </c>
    </row>
    <row r="16983" ht="15.75" customHeight="1">
      <c r="A16983" s="2" t="s">
        <v>16983</v>
      </c>
      <c r="B16983" s="2" t="str">
        <f>IFERROR(__xludf.DUMMYFUNCTION("GOOGLETRANSLATE(A16983, ""en"", ""mt"")"),"X'inhuma l-inqas attributi ta 'L attribwiti b'mod komuni f'relazzjoni ma' p?")</f>
        <v>X'inhuma l-inqas attributi ta 'L attribwiti b'mod komuni f'relazzjoni ma' p?</v>
      </c>
    </row>
    <row r="16984" ht="15.75" customHeight="1">
      <c r="A16984" s="2" t="s">
        <v>16984</v>
      </c>
      <c r="B16984" s="2" t="str">
        <f>IFERROR(__xludf.DUMMYFUNCTION("GOOGLETRANSLATE(A16984, ""en"", ""mt"")"),"Wara li n-nimeiry ġie mwaqqa 'fl-1985 il-partit ma tantx fl-elezzjonijiet nazzjonali, iżda fl-1989 kien kapaċi jwaqqa' l-gvern elett wara l-al-nimeiry bl-għajnuna tal-militar. Turabi ġie nnutat talli pproklama l-appoġġ tiegħu għall-proċess demokratiku u g"&amp;"vern liberali qabel ma jasal għall-poter, iżda applikazzjoni stretta tal-liġi tax-sharia, tortura u ħabs tal-massa tal-oppożizzjoni, u intensifikazzjoni tal-gwerra li ilha għaddejja fin-Nofsinhar tas-Sudan, darba qawwa. Ir-reġim tal-NIF ukoll qabeż lil Os"&amp;"ama bin Laden għal żmien (qabel id-9/11), u ħadem biex jgħaqqad l-oppożizzjoni Iżlamista għall-attakk Amerikan fuq l-Iraq fil-Gwerra tal-Golf tal-1991.")</f>
        <v>Wara li n-nimeiry ġie mwaqqa 'fl-1985 il-partit ma tantx fl-elezzjonijiet nazzjonali, iżda fl-1989 kien kapaċi jwaqqa' l-gvern elett wara l-al-nimeiry bl-għajnuna tal-militar. Turabi ġie nnutat talli pproklama l-appoġġ tiegħu għall-proċess demokratiku u gvern liberali qabel ma jasal għall-poter, iżda applikazzjoni stretta tal-liġi tax-sharia, tortura u ħabs tal-massa tal-oppożizzjoni, u intensifikazzjoni tal-gwerra li ilha għaddejja fin-Nofsinhar tas-Sudan, darba qawwa. Ir-reġim tal-NIF ukoll qabeż lil Osama bin Laden għal żmien (qabel id-9/11), u ħadem biex jgħaqqad l-oppożizzjoni Iżlamista għall-attakk Amerikan fuq l-Iraq fil-Gwerra tal-Golf tal-1991.</v>
      </c>
    </row>
    <row r="16985" ht="15.75" customHeight="1">
      <c r="A16985" s="2" t="s">
        <v>16985</v>
      </c>
      <c r="B16985" s="2" t="str">
        <f>IFERROR(__xludf.DUMMYFUNCTION("GOOGLETRANSLATE(A16985, ""en"", ""mt"")"),"Liema organizzazzjoni summarizzat b'mod leali r-rapport tal-WGI?")</f>
        <v>Liema organizzazzjoni summarizzat b'mod leali r-rapport tal-WGI?</v>
      </c>
    </row>
    <row r="16986" ht="15.75" customHeight="1">
      <c r="A16986" s="2" t="s">
        <v>16986</v>
      </c>
      <c r="B16986" s="2" t="str">
        <f>IFERROR(__xludf.DUMMYFUNCTION("GOOGLETRANSLATE(A16986, ""en"", ""mt"")"),"Il-Knisja Kattolika fi Franza u ħafna mill-membri tagħha opponew il-Huguenots. Xi predikaturi u kongreganti Huguenot ġew attakkati waqt li ppruvaw jiltaqgħu għall-qima. L-eqqel ta 'din il-persekuzzjoni kien il-massakru ta' Jum San Bartolomew meta nqatlu 5"&amp;",000 sa 30,000, għalkemm kien hemm ukoll raġunijiet politiċi sottostanti għal dan ukoll, peress li wħud mill-Huguenots kienu nobbli li ppruvaw jistabbilixxu ċentri separati ta 'poter fin-Nofsinhar ta' Franza. Ir-ritaljazzjoni kontra l-Kattoliċi Franċiżi, "&amp;"il-Huguenots kellhom il-milizja tagħhom stess.")</f>
        <v>Il-Knisja Kattolika fi Franza u ħafna mill-membri tagħha opponew il-Huguenots. Xi predikaturi u kongreganti Huguenot ġew attakkati waqt li ppruvaw jiltaqgħu għall-qima. L-eqqel ta 'din il-persekuzzjoni kien il-massakru ta' Jum San Bartolomew meta nqatlu 5,000 sa 30,000, għalkemm kien hemm ukoll raġunijiet politiċi sottostanti għal dan ukoll, peress li wħud mill-Huguenots kienu nobbli li ppruvaw jistabbilixxu ċentri separati ta 'poter fin-Nofsinhar ta' Franza. Ir-ritaljazzjoni kontra l-Kattoliċi Franċiżi, il-Huguenots kellhom il-milizja tagħhom stess.</v>
      </c>
    </row>
    <row r="16987" ht="15.75" customHeight="1">
      <c r="A16987" s="2" t="s">
        <v>16987</v>
      </c>
      <c r="B16987" s="2" t="str">
        <f>IFERROR(__xludf.DUMMYFUNCTION("GOOGLETRANSLATE(A16987, ""en"", ""mt"")"),"F’liema seklu ntużat is-sistema ta ’bilanċ ta’ Yarrow-Schlick-Tweedy?")</f>
        <v>F’liema seklu ntużat is-sistema ta ’bilanċ ta’ Yarrow-Schlick-Tweedy?</v>
      </c>
    </row>
    <row r="16988" ht="15.75" customHeight="1">
      <c r="A16988" s="2" t="s">
        <v>16988</v>
      </c>
      <c r="B16988" s="2" t="str">
        <f>IFERROR(__xludf.DUMMYFUNCTION("GOOGLETRANSLATE(A16988, ""en"", ""mt"")"),"X’gruppat Paul Baran")</f>
        <v>X’gruppat Paul Baran</v>
      </c>
    </row>
    <row r="16989" ht="15.75" customHeight="1">
      <c r="A16989" s="2" t="s">
        <v>16989</v>
      </c>
      <c r="B16989" s="2" t="str">
        <f>IFERROR(__xludf.DUMMYFUNCTION("GOOGLETRANSLATE(A16989, ""en"", ""mt"")"),"BSKYB iġorr xi kontroll fuq il-kwalità tal-istampa ta 'kanal?")</f>
        <v>BSKYB iġorr xi kontroll fuq il-kwalità tal-istampa ta 'kanal?</v>
      </c>
    </row>
    <row r="16990" ht="15.75" customHeight="1">
      <c r="A16990" s="2" t="s">
        <v>16990</v>
      </c>
      <c r="B16990" s="2" t="str">
        <f>IFERROR(__xludf.DUMMYFUNCTION("GOOGLETRANSLATE(A16990, ""en"", ""mt"")"),"Għal xiex kien magħruf Tugh Temur?")</f>
        <v>Għal xiex kien magħruf Tugh Temur?</v>
      </c>
    </row>
    <row r="16991" ht="15.75" customHeight="1">
      <c r="A16991" s="2" t="s">
        <v>16991</v>
      </c>
      <c r="B16991" s="2" t="str">
        <f>IFERROR(__xludf.DUMMYFUNCTION("GOOGLETRANSLATE(A16991, ""en"", ""mt"")"),"X'inhu t-terminu għas-sett tal-graffs konnessi kollha relatati ma 'din il-problema ta' deċiżjoni?")</f>
        <v>X'inhu t-terminu għas-sett tal-graffs konnessi kollha relatati ma 'din il-problema ta' deċiżjoni?</v>
      </c>
    </row>
    <row r="16992" ht="15.75" customHeight="1">
      <c r="A16992" s="2" t="s">
        <v>16992</v>
      </c>
      <c r="B16992" s="2" t="str">
        <f>IFERROR(__xludf.DUMMYFUNCTION("GOOGLETRANSLATE(A16992, ""en"", ""mt"")"),"Fil-Letteratura, awtur ta ’The New York Times Bestseller Qabel I Fall Lauren Oliver, Pulitzer Premju Ir-rumanzier rebbieħ Philip Roth, il-Premju Pulitzer tat-twelid Kanadiż u l-Premju Nobel għall-kittieb rebbieħ tal-letteratura Saul Bellow, filosofu polit"&amp;"iku, kritiku letterarju, kritiku letterarju, kritiku letterarju u awtur ta’ New York Times bestseller ""The Closing of the American Mind"" Allan Bloom, """" The Good War ""awtur studs Terkel, kittieb Amerikan, essayist, produttur, għalliem, u attivista po"&amp;"litika Susan Sontag, filosofu analitiku u professur tal-Università ta 'Stanford tal-letteratura komparattiva Richard Rorty, u Kittieb u satirist Amerikan Kurt Vonnegut huma alumni notevoli.")</f>
        <v>Fil-Letteratura, awtur ta ’The New York Times Bestseller Qabel I Fall Lauren Oliver, Pulitzer Premju Ir-rumanzier rebbieħ Philip Roth, il-Premju Pulitzer tat-twelid Kanadiż u l-Premju Nobel għall-kittieb rebbieħ tal-letteratura Saul Bellow, filosofu politiku, kritiku letterarju, kritiku letterarju, kritiku letterarju u awtur ta’ New York Times bestseller "The Closing of the American Mind" Allan Bloom, "" The Good War "awtur studs Terkel, kittieb Amerikan, essayist, produttur, għalliem, u attivista politika Susan Sontag, filosofu analitiku u professur tal-Università ta 'Stanford tal-letteratura komparattiva Richard Rorty, u Kittieb u satirist Amerikan Kurt Vonnegut huma alumni notevoli.</v>
      </c>
    </row>
    <row r="16993" ht="15.75" customHeight="1">
      <c r="A16993" s="2" t="s">
        <v>16993</v>
      </c>
      <c r="B16993" s="2" t="str">
        <f>IFERROR(__xludf.DUMMYFUNCTION("GOOGLETRANSLATE(A16993, ""en"", ""mt"")"),"Kieku kellek tieħu ferrovija lejn il-punent jew in-nofsinhar barra mill-belt ta 'Fresno, liema ferrovija tieħu?")</f>
        <v>Kieku kellek tieħu ferrovija lejn il-punent jew in-nofsinhar barra mill-belt ta 'Fresno, liema ferrovija tieħu?</v>
      </c>
    </row>
    <row r="16994" ht="15.75" customHeight="1">
      <c r="A16994" s="2" t="s">
        <v>16994</v>
      </c>
      <c r="B16994" s="2" t="str">
        <f>IFERROR(__xludf.DUMMYFUNCTION("GOOGLETRANSLATE(A16994, ""en"", ""mt"")"),"X'kienet Warner korretta dwarha?")</f>
        <v>X'kienet Warner korretta dwarha?</v>
      </c>
    </row>
    <row r="16995" ht="15.75" customHeight="1">
      <c r="A16995" s="2" t="s">
        <v>16995</v>
      </c>
      <c r="B16995" s="2" t="str">
        <f>IFERROR(__xludf.DUMMYFUNCTION("GOOGLETRANSLATE(A16995, ""en"", ""mt"")"),"Liema proġett Harvard waqaf minħabba l-kriżi finanzjarja?")</f>
        <v>Liema proġett Harvard waqaf minħabba l-kriżi finanzjarja?</v>
      </c>
    </row>
    <row r="16996" ht="15.75" customHeight="1">
      <c r="A16996" s="2" t="s">
        <v>16996</v>
      </c>
      <c r="B16996" s="2" t="str">
        <f>IFERROR(__xludf.DUMMYFUNCTION("GOOGLETRANSLATE(A16996, ""en"", ""mt"")"),"L-Artikolu 65 ma jaqbilx dwaru?")</f>
        <v>L-Artikolu 65 ma jaqbilx dwaru?</v>
      </c>
    </row>
    <row r="16997" ht="15.75" customHeight="1">
      <c r="A16997" s="2" t="s">
        <v>16997</v>
      </c>
      <c r="B16997" s="2" t="str">
        <f>IFERROR(__xludf.DUMMYFUNCTION("GOOGLETRANSLATE(A16997, ""en"", ""mt"")"),"Liema entità ma żviluppatx il-prinċipji tal-liġi tal-Unjoni Ewropea?")</f>
        <v>Liema entità ma żviluppatx il-prinċipji tal-liġi tal-Unjoni Ewropea?</v>
      </c>
    </row>
    <row r="16998" ht="15.75" customHeight="1">
      <c r="A16998" s="2" t="s">
        <v>16998</v>
      </c>
      <c r="B16998" s="2" t="str">
        <f>IFERROR(__xludf.DUMMYFUNCTION("GOOGLETRANSLATE(A16998, ""en"", ""mt"")"),"Akkademja tal-Padiljun tal-Istilla tal-Letteratura")</f>
        <v>Akkademja tal-Padiljun tal-Istilla tal-Letteratura</v>
      </c>
    </row>
    <row r="16999" ht="15.75" customHeight="1">
      <c r="A16999" s="2" t="s">
        <v>16999</v>
      </c>
      <c r="B16999" s="2" t="str">
        <f>IFERROR(__xludf.DUMMYFUNCTION("GOOGLETRANSLATE(A16999, ""en"", ""mt"")"),"Liema ċelloli m'għandhomx rwol fil-memorja attiva fit-tul?")</f>
        <v>Liema ċelloli m'għandhomx rwol fil-memorja attiva fit-tul?</v>
      </c>
    </row>
    <row r="17000" ht="15.75" customHeight="1">
      <c r="A17000" s="2" t="s">
        <v>17000</v>
      </c>
      <c r="B17000" s="2" t="str">
        <f>IFERROR(__xludf.DUMMYFUNCTION("GOOGLETRANSLATE(A17000, ""en"", ""mt"")"),"B'liema mod ieħor jista 'jiġi applikat id-diżubbidjenza għal organizzazzjonijiet u gvernijiet internazzjonali?")</f>
        <v>B'liema mod ieħor jista 'jiġi applikat id-diżubbidjenza għal organizzazzjonijiet u gvernijiet internazzjonali?</v>
      </c>
    </row>
    <row r="17001" ht="15.75" customHeight="1">
      <c r="A17001" s="2" t="s">
        <v>17001</v>
      </c>
      <c r="B17001" s="2" t="str">
        <f>IFERROR(__xludf.DUMMYFUNCTION("GOOGLETRANSLATE(A17001, ""en"", ""mt"")"),"Diffie - Hellman")</f>
        <v>Diffie - Hellman</v>
      </c>
    </row>
    <row r="17002" ht="15.75" customHeight="1">
      <c r="A17002" s="2" t="s">
        <v>17002</v>
      </c>
      <c r="B17002" s="2" t="str">
        <f>IFERROR(__xludf.DUMMYFUNCTION("GOOGLETRANSLATE(A17002, ""en"", ""mt"")"),"Liema direttiva msemmija nħolqot fl-1994?")</f>
        <v>Liema direttiva msemmija nħolqot fl-1994?</v>
      </c>
    </row>
    <row r="17003" ht="15.75" customHeight="1">
      <c r="A17003" s="2" t="s">
        <v>17003</v>
      </c>
      <c r="B17003" s="2" t="str">
        <f>IFERROR(__xludf.DUMMYFUNCTION("GOOGLETRANSLATE(A17003, ""en"", ""mt"")"),"il-mantell")</f>
        <v>il-mantell</v>
      </c>
    </row>
    <row r="17004" ht="15.75" customHeight="1">
      <c r="A17004" s="2" t="s">
        <v>17004</v>
      </c>
      <c r="B17004" s="2" t="str">
        <f>IFERROR(__xludf.DUMMYFUNCTION("GOOGLETRANSLATE(A17004, ""en"", ""mt"")"),"Meta Ġappun ħareġ dikjarazzjoni li tgħid lill-Iżraeljani biex jirtiraw mill-Palestina?")</f>
        <v>Meta Ġappun ħareġ dikjarazzjoni li tgħid lill-Iżraeljani biex jirtiraw mill-Palestina?</v>
      </c>
    </row>
    <row r="17005" ht="15.75" customHeight="1">
      <c r="A17005" s="2" t="s">
        <v>17005</v>
      </c>
      <c r="B17005" s="2" t="str">
        <f>IFERROR(__xludf.DUMMYFUNCTION("GOOGLETRANSLATE(A17005, ""en"", ""mt"")"),"Sa wara t-tmiem tal-Gwerra tal-Messiku")</f>
        <v>Sa wara t-tmiem tal-Gwerra tal-Messiku</v>
      </c>
    </row>
    <row r="17006" ht="15.75" customHeight="1">
      <c r="A17006" s="2" t="s">
        <v>17006</v>
      </c>
      <c r="B17006" s="2" t="str">
        <f>IFERROR(__xludf.DUMMYFUNCTION("GOOGLETRANSLATE(A17006, ""en"", ""mt"")"),"Papillomavirus uman")</f>
        <v>Papillomavirus uman</v>
      </c>
    </row>
    <row r="17007" ht="15.75" customHeight="1">
      <c r="A17007" s="2" t="s">
        <v>17007</v>
      </c>
      <c r="B17007" s="2" t="str">
        <f>IFERROR(__xludf.DUMMYFUNCTION("GOOGLETRANSLATE(A17007, ""en"", ""mt"")"),"Sir Galileo Galilei kkoreġi n-nuqqas ta 'ftehim preċedenti dwar xiex?")</f>
        <v>Sir Galileo Galilei kkoreġi n-nuqqas ta 'ftehim preċedenti dwar xiex?</v>
      </c>
    </row>
    <row r="17008" ht="15.75" customHeight="1">
      <c r="A17008" s="2" t="s">
        <v>17008</v>
      </c>
      <c r="B17008" s="2" t="str">
        <f>IFERROR(__xludf.DUMMYFUNCTION("GOOGLETRANSLATE(A17008, ""en"", ""mt"")"),"Iberia")</f>
        <v>Iberia</v>
      </c>
    </row>
    <row r="17009" ht="15.75" customHeight="1">
      <c r="A17009" s="2" t="s">
        <v>17009</v>
      </c>
      <c r="B17009" s="2" t="str">
        <f>IFERROR(__xludf.DUMMYFUNCTION("GOOGLETRANSLATE(A17009, ""en"", ""mt"")"),"L-input kontinwu tas-sediment fil-lag se joħroġ il-lag")</f>
        <v>L-input kontinwu tas-sediment fil-lag se joħroġ il-lag</v>
      </c>
    </row>
    <row r="17010" ht="15.75" customHeight="1">
      <c r="A17010" s="2" t="s">
        <v>17010</v>
      </c>
      <c r="B17010" s="2" t="str">
        <f>IFERROR(__xludf.DUMMYFUNCTION("GOOGLETRANSLATE(A17010, ""en"", ""mt"")"),"Mudelli ta 'unifikazzjoni awto-konsistenti li jgħaqqdu l-erba' interazzjonijiet fundamentali kollha")</f>
        <v>Mudelli ta 'unifikazzjoni awto-konsistenti li jgħaqqdu l-erba' interazzjonijiet fundamentali kollha</v>
      </c>
    </row>
    <row r="17011" ht="15.75" customHeight="1">
      <c r="A17011" s="2" t="s">
        <v>17011</v>
      </c>
      <c r="B17011" s="2" t="str">
        <f>IFERROR(__xludf.DUMMYFUNCTION("GOOGLETRANSLATE(A17011, ""en"", ""mt"")")," Meta tela 'l-Imperu Ottoman?")</f>
        <v> Meta tela 'l-Imperu Ottoman?</v>
      </c>
    </row>
    <row r="17012" ht="15.75" customHeight="1">
      <c r="A17012" s="2" t="s">
        <v>17012</v>
      </c>
      <c r="B17012" s="2" t="str">
        <f>IFERROR(__xludf.DUMMYFUNCTION("GOOGLETRANSLATE(A17012, ""en"", ""mt"")"),"Min kiseb il-kontroll ta ’Florida wara l-konklużjoni tal-Gwerra Rivoluzzjonarja?")</f>
        <v>Min kiseb il-kontroll ta ’Florida wara l-konklużjoni tal-Gwerra Rivoluzzjonarja?</v>
      </c>
    </row>
    <row r="17013" ht="15.75" customHeight="1">
      <c r="A17013" s="2" t="s">
        <v>17013</v>
      </c>
      <c r="B17013" s="2" t="str">
        <f>IFERROR(__xludf.DUMMYFUNCTION("GOOGLETRANSLATE(A17013, ""en"", ""mt"")"),"L-ogħla bini fl-orizzont ta ’Downtown Jacksonville huwa t-Torri tal-Bank of America, mibni fl-1990 bħala ċ-Ċentru Barnett. Għandu għoli ta '617 ft (188 m) u jinkludi 42 sular. Strutturi oħra notevoli jinkludu ċ-Ċentru Fargo Wells 37-Istorja (bil-bażi flar"&amp;"ed distintiva tiegħu li tagħmilha l-bini li jiddefinixxi fl-orizzont ta 'Jacksonville), oriġinarjament mibni fl-1972-74 mill-Kumpanija Indipendenti tal-Ħajja u l-Inċidenti tal-Inċidenti, u t-28 Torri tax-Xmara Floor li , meta tlestiet fl-1967, kienet l-og"&amp;"ħla struttura tal-konkrit precast, wara t-tensjoni fid-dinja.")</f>
        <v>L-ogħla bini fl-orizzont ta ’Downtown Jacksonville huwa t-Torri tal-Bank of America, mibni fl-1990 bħala ċ-Ċentru Barnett. Għandu għoli ta '617 ft (188 m) u jinkludi 42 sular. Strutturi oħra notevoli jinkludu ċ-Ċentru Fargo Wells 37-Istorja (bil-bażi flared distintiva tiegħu li tagħmilha l-bini li jiddefinixxi fl-orizzont ta 'Jacksonville), oriġinarjament mibni fl-1972-74 mill-Kumpanija Indipendenti tal-Ħajja u l-Inċidenti tal-Inċidenti, u t-28 Torri tax-Xmara Floor li , meta tlestiet fl-1967, kienet l-ogħla struttura tal-konkrit precast, wara t-tensjoni fid-dinja.</v>
      </c>
    </row>
    <row r="17014" ht="15.75" customHeight="1">
      <c r="A17014" s="2" t="s">
        <v>17014</v>
      </c>
      <c r="B17014" s="2" t="str">
        <f>IFERROR(__xludf.DUMMYFUNCTION("GOOGLETRANSLATE(A17014, ""en"", ""mt"")"),"Liema inerzja teżisti minħabba r-Raba 'Liġi tal-Mozzjoni ta' Newton?")</f>
        <v>Liema inerzja teżisti minħabba r-Raba 'Liġi tal-Mozzjoni ta' Newton?</v>
      </c>
    </row>
    <row r="17015" ht="15.75" customHeight="1">
      <c r="A17015" s="2" t="s">
        <v>17015</v>
      </c>
      <c r="B17015" s="2" t="str">
        <f>IFERROR(__xludf.DUMMYFUNCTION("GOOGLETRANSLATE(A17015, ""en"", ""mt"")"),"Proporzjonalment man-numru ta 'voti riċevuti fit-tieni vot tal-votazzjoni bl-użu tal-metodu D'Hondt")</f>
        <v>Proporzjonalment man-numru ta 'voti riċevuti fit-tieni vot tal-votazzjoni bl-użu tal-metodu D'Hondt</v>
      </c>
    </row>
    <row r="17016" ht="15.75" customHeight="1">
      <c r="A17016" s="2" t="s">
        <v>17016</v>
      </c>
      <c r="B17016" s="2" t="str">
        <f>IFERROR(__xludf.DUMMYFUNCTION("GOOGLETRANSLATE(A17016, ""en"", ""mt"")"),"Bourgeois")</f>
        <v>Bourgeois</v>
      </c>
    </row>
    <row r="17017" ht="15.75" customHeight="1">
      <c r="A17017" s="2" t="s">
        <v>17017</v>
      </c>
      <c r="B17017" s="2" t="str">
        <f>IFERROR(__xludf.DUMMYFUNCTION("GOOGLETRANSLATE(A17017, ""en"", ""mt"")"),"irrazzjonali u lura")</f>
        <v>irrazzjonali u lura</v>
      </c>
    </row>
    <row r="17018" ht="15.75" customHeight="1">
      <c r="A17018" s="2" t="s">
        <v>17018</v>
      </c>
      <c r="B17018" s="2" t="str">
        <f>IFERROR(__xludf.DUMMYFUNCTION("GOOGLETRANSLATE(A17018, ""en"", ""mt"")"),"F'liema sena Fresno esperjenza l-iktar xita?")</f>
        <v>F'liema sena Fresno esperjenza l-iktar xita?</v>
      </c>
    </row>
    <row r="17019" ht="15.75" customHeight="1">
      <c r="A17019" s="2" t="s">
        <v>17019</v>
      </c>
      <c r="B17019" s="2" t="str">
        <f>IFERROR(__xludf.DUMMYFUNCTION("GOOGLETRANSLATE(A17019, ""en"", ""mt"")"),"Drittijiet tal-liċenzja tal-minjieri")</f>
        <v>Drittijiet tal-liċenzja tal-minjieri</v>
      </c>
    </row>
    <row r="17020" ht="15.75" customHeight="1">
      <c r="A17020" s="2" t="s">
        <v>17020</v>
      </c>
      <c r="B17020" s="2" t="str">
        <f>IFERROR(__xludf.DUMMYFUNCTION("GOOGLETRANSLATE(A17020, ""en"", ""mt"")"),"Meta l-Qorti tal-Ġustizzja ddeċidiet li l-Kummissjoni setgħet tipproponi biss li jrid ikun hemm xi sanzjonijiet kriminali?")</f>
        <v>Meta l-Qorti tal-Ġustizzja ddeċidiet li l-Kummissjoni setgħet tipproponi biss li jrid ikun hemm xi sanzjonijiet kriminali?</v>
      </c>
    </row>
    <row r="17021" ht="15.75" customHeight="1">
      <c r="A17021" s="2" t="s">
        <v>17021</v>
      </c>
      <c r="B17021" s="2" t="str">
        <f>IFERROR(__xludf.DUMMYFUNCTION("GOOGLETRANSLATE(A17021, ""en"", ""mt"")"),"Liema dipartiment fl-Istati Uniti mexxa l-isforzi biex jappoġġja l-Iżlamiżmu?")</f>
        <v>Liema dipartiment fl-Istati Uniti mexxa l-isforzi biex jappoġġja l-Iżlamiżmu?</v>
      </c>
    </row>
    <row r="17022" ht="15.75" customHeight="1">
      <c r="A17022" s="2" t="s">
        <v>17022</v>
      </c>
      <c r="B17022" s="2" t="str">
        <f>IFERROR(__xludf.DUMMYFUNCTION("GOOGLETRANSLATE(A17022, ""en"", ""mt"")"),"Liema persentaġġ ta 'elettriku sar bit-turbina tal-fwar fis-snin disgħin?")</f>
        <v>Liema persentaġġ ta 'elettriku sar bit-turbina tal-fwar fis-snin disgħin?</v>
      </c>
    </row>
    <row r="17023" ht="15.75" customHeight="1">
      <c r="A17023" s="2" t="s">
        <v>17023</v>
      </c>
      <c r="B17023" s="2" t="str">
        <f>IFERROR(__xludf.DUMMYFUNCTION("GOOGLETRANSLATE(A17023, ""en"", ""mt"")"),"kbir")</f>
        <v>kbir</v>
      </c>
    </row>
    <row r="17024" ht="15.75" customHeight="1">
      <c r="A17024" s="2" t="s">
        <v>17024</v>
      </c>
      <c r="B17024" s="2" t="str">
        <f>IFERROR(__xludf.DUMMYFUNCTION("GOOGLETRANSLATE(A17024, ""en"", ""mt"")"),"Imwaqqfa mis-Soċjetà tal-Edukazzjoni Battista Amerikana b'donazzjoni mill-magnate taż-żejt u l-aktar raġel sinjur fl-istorja John D. Rockefeller, l-Università ta 'Chicago ġiet inkorporata fl-1890; William Rainey Harper sar l-ewwel president tal-università"&amp;" fl-1891, u l-ewwel klassijiet saru fl-1892. Kemm Harper kif ukoll il-President futur Robert Maynard Hutchins favur il-kurrikulu ta 'Chicago li huma bbażati fuq kwistjonijiet teoretiċi u perenni aktar milli fuq ix-xjenzi applikati u l-utilità kummerċjali."&amp;" Bil-viżjoni ta 'Harper f'moħħha, l-Università ta' Chicago saret ukoll waħda mill-14-il membru fundatur tal-Assoċjazzjoni ta 'l-Universitajiet Amerikani, organizzazzjoni internazzjonali ta' universitajiet ewlenin ta 'riċerka, fl-1900.")</f>
        <v>Imwaqqfa mis-Soċjetà tal-Edukazzjoni Battista Amerikana b'donazzjoni mill-magnate taż-żejt u l-aktar raġel sinjur fl-istorja John D. Rockefeller, l-Università ta 'Chicago ġiet inkorporata fl-1890; William Rainey Harper sar l-ewwel president tal-università fl-1891, u l-ewwel klassijiet saru fl-1892. Kemm Harper kif ukoll il-President futur Robert Maynard Hutchins favur il-kurrikulu ta 'Chicago li huma bbażati fuq kwistjonijiet teoretiċi u perenni aktar milli fuq ix-xjenzi applikati u l-utilità kummerċjali. Bil-viżjoni ta 'Harper f'moħħha, l-Università ta' Chicago saret ukoll waħda mill-14-il membru fundatur tal-Assoċjazzjoni ta 'l-Universitajiet Amerikani, organizzazzjoni internazzjonali ta' universitajiet ewlenin ta 'riċerka, fl-1900.</v>
      </c>
    </row>
    <row r="17025" ht="15.75" customHeight="1">
      <c r="A17025" s="2" t="s">
        <v>17025</v>
      </c>
      <c r="B17025" s="2" t="str">
        <f>IFERROR(__xludf.DUMMYFUNCTION("GOOGLETRANSLATE(A17025, ""en"", ""mt"")"),"Meta ġiet meqruda l-letteratura Griega u Indjana mill-konkwisti?")</f>
        <v>Meta ġiet meqruda l-letteratura Griega u Indjana mill-konkwisti?</v>
      </c>
    </row>
    <row r="17026" ht="15.75" customHeight="1">
      <c r="A17026" s="2" t="s">
        <v>17026</v>
      </c>
      <c r="B17026" s="2" t="str">
        <f>IFERROR(__xludf.DUMMYFUNCTION("GOOGLETRANSLATE(A17026, ""en"", ""mt"")"),"Tkabbir tas-siġar")</f>
        <v>Tkabbir tas-siġar</v>
      </c>
    </row>
    <row r="17027" ht="15.75" customHeight="1">
      <c r="A17027" s="2" t="s">
        <v>17027</v>
      </c>
      <c r="B17027" s="2" t="str">
        <f>IFERROR(__xludf.DUMMYFUNCTION("GOOGLETRANSLATE(A17027, ""en"", ""mt"")"),"De Materia Medica")</f>
        <v>De Materia Medica</v>
      </c>
    </row>
    <row r="17028" ht="15.75" customHeight="1">
      <c r="A17028" s="2" t="s">
        <v>17028</v>
      </c>
      <c r="B17028" s="2" t="str">
        <f>IFERROR(__xludf.DUMMYFUNCTION("GOOGLETRANSLATE(A17028, ""en"", ""mt"")")," Għal xiex ma kienx magħruf Tugh Temur?")</f>
        <v> Għal xiex ma kienx magħruf Tugh Temur?</v>
      </c>
    </row>
    <row r="17029" ht="15.75" customHeight="1">
      <c r="A17029" s="2" t="s">
        <v>17029</v>
      </c>
      <c r="B17029" s="2" t="str">
        <f>IFERROR(__xludf.DUMMYFUNCTION("GOOGLETRANSLATE(A17029, ""en"", ""mt"")"),"0.52")</f>
        <v>0.52</v>
      </c>
    </row>
    <row r="17030" ht="15.75" customHeight="1">
      <c r="A17030" s="2" t="s">
        <v>17030</v>
      </c>
      <c r="B17030" s="2" t="str">
        <f>IFERROR(__xludf.DUMMYFUNCTION("GOOGLETRANSLATE(A17030, ""en"", ""mt"")")," Kemm kellu Toghun Temur meta sar Senatur?")</f>
        <v> Kemm kellu Toghun Temur meta sar Senatur?</v>
      </c>
    </row>
    <row r="17031" ht="15.75" customHeight="1">
      <c r="A17031" s="2" t="s">
        <v>17031</v>
      </c>
      <c r="B17031" s="2" t="str">
        <f>IFERROR(__xludf.DUMMYFUNCTION("GOOGLETRANSLATE(A17031, ""en"", ""mt"")"),"Il-fatt li mhux il-fossili kollha jistgħu jinstabu globalment fl-istess ħin jikkawża li l-prinċipju jsir?")</f>
        <v>Il-fatt li mhux il-fossili kollha jistgħu jinstabu globalment fl-istess ħin jikkawża li l-prinċipju jsir?</v>
      </c>
    </row>
    <row r="17032" ht="15.75" customHeight="1">
      <c r="A17032" s="2" t="s">
        <v>17032</v>
      </c>
      <c r="B17032" s="2" t="str">
        <f>IFERROR(__xludf.DUMMYFUNCTION("GOOGLETRANSLATE(A17032, ""en"", ""mt"")"),"Meta r-Rhineland mill-ġdid tal-Armata Ġermaniża?")</f>
        <v>Meta r-Rhineland mill-ġdid tal-Armata Ġermaniża?</v>
      </c>
    </row>
    <row r="17033" ht="15.75" customHeight="1">
      <c r="A17033" s="2" t="s">
        <v>17033</v>
      </c>
      <c r="B17033" s="2" t="str">
        <f>IFERROR(__xludf.DUMMYFUNCTION("GOOGLETRANSLATE(A17033, ""en"", ""mt"")"),"34%")</f>
        <v>34%</v>
      </c>
    </row>
    <row r="17034" ht="15.75" customHeight="1">
      <c r="A17034" s="2" t="s">
        <v>17034</v>
      </c>
      <c r="B17034" s="2" t="str">
        <f>IFERROR(__xludf.DUMMYFUNCTION("GOOGLETRANSLATE(A17034, ""en"", ""mt"")"),"Il-partijiet li jżommu l-minoranza tas-siġġijiet fil-Parlament jiffurmaw xiex?")</f>
        <v>Il-partijiet li jżommu l-minoranza tas-siġġijiet fil-Parlament jiffurmaw xiex?</v>
      </c>
    </row>
    <row r="17035" ht="15.75" customHeight="1">
      <c r="A17035" s="2" t="s">
        <v>17035</v>
      </c>
      <c r="B17035" s="2" t="str">
        <f>IFERROR(__xludf.DUMMYFUNCTION("GOOGLETRANSLATE(A17035, ""en"", ""mt"")"),"Ma 'min ikkompeti l-BSKYB inizjalment?")</f>
        <v>Ma 'min ikkompeti l-BSKYB inizjalment?</v>
      </c>
    </row>
    <row r="17036" ht="15.75" customHeight="1">
      <c r="A17036" s="2" t="s">
        <v>17036</v>
      </c>
      <c r="B17036" s="2" t="str">
        <f>IFERROR(__xludf.DUMMYFUNCTION("GOOGLETRANSLATE(A17036, ""en"", ""mt"")"),"Min kien ir-rivali ta 'Guy?")</f>
        <v>Min kien ir-rivali ta 'Guy?</v>
      </c>
    </row>
    <row r="17037" ht="15.75" customHeight="1">
      <c r="A17037" s="2" t="s">
        <v>17037</v>
      </c>
      <c r="B17037" s="2" t="str">
        <f>IFERROR(__xludf.DUMMYFUNCTION("GOOGLETRANSLATE(A17037, ""en"", ""mt"")"),"Il-mediċina tal-Punent ġiet ipprattikata wkoll fiċ-Ċina mill-Insara Nestorjani tal-Qorti tal-Yuan, fejn xi kultant kienet ittikkettjata bħala Huihui jew Mediċina Musulmana. It-tabib Nestorjan Ġesù l-interpretu waqqaf l-uffiċċju tal-mediċina tal-Punent fl-"&amp;"1263 waqt ir-renju ta ’Kublai. It-tobba tal-Huihui b'persunal f'żewġ sptarijiet imperjali kienu responsabbli biex jittrattaw il-familja Imperjali u l-membri tal-qorti. It-tobba Ċiniżi opponew il-mediċina tal-Punent minħabba li s-sistema umoristika tagħha "&amp;"kienet tikkontradixxi l-filosofija yin-yang u wuxing sottostanti għall-mediċina tradizzjonali Ċiniża. L-ebda traduzzjoni Ċiniża ta 'xogħlijiet mediċi tal-Punent ma hija magħrufa, iżda huwa possibbli li ċ-Ċiniżi kellhom aċċess għall-Canon tal-Mediċina ta' "&amp;"Avicenna.")</f>
        <v>Il-mediċina tal-Punent ġiet ipprattikata wkoll fiċ-Ċina mill-Insara Nestorjani tal-Qorti tal-Yuan, fejn xi kultant kienet ittikkettjata bħala Huihui jew Mediċina Musulmana. It-tabib Nestorjan Ġesù l-interpretu waqqaf l-uffiċċju tal-mediċina tal-Punent fl-1263 waqt ir-renju ta ’Kublai. It-tobba tal-Huihui b'persunal f'żewġ sptarijiet imperjali kienu responsabbli biex jittrattaw il-familja Imperjali u l-membri tal-qorti. It-tobba Ċiniżi opponew il-mediċina tal-Punent minħabba li s-sistema umoristika tagħha kienet tikkontradixxi l-filosofija yin-yang u wuxing sottostanti għall-mediċina tradizzjonali Ċiniża. L-ebda traduzzjoni Ċiniża ta 'xogħlijiet mediċi tal-Punent ma hija magħrufa, iżda huwa possibbli li ċ-Ċiniżi kellhom aċċess għall-Canon tal-Mediċina ta' Avicenna.</v>
      </c>
    </row>
    <row r="17038" ht="15.75" customHeight="1">
      <c r="A17038" s="2" t="s">
        <v>17038</v>
      </c>
      <c r="B17038" s="2" t="str">
        <f>IFERROR(__xludf.DUMMYFUNCTION("GOOGLETRANSLATE(A17038, ""en"", ""mt"")"),"1924")</f>
        <v>1924</v>
      </c>
    </row>
    <row r="17039" ht="15.75" customHeight="1">
      <c r="A17039" s="2" t="s">
        <v>17039</v>
      </c>
      <c r="B17039" s="2" t="str">
        <f>IFERROR(__xludf.DUMMYFUNCTION("GOOGLETRANSLATE(A17039, ""en"", ""mt"")"),"faqar")</f>
        <v>faqar</v>
      </c>
    </row>
    <row r="17040" ht="15.75" customHeight="1">
      <c r="A17040" s="2" t="s">
        <v>17040</v>
      </c>
      <c r="B17040" s="2" t="str">
        <f>IFERROR(__xludf.DUMMYFUNCTION("GOOGLETRANSLATE(A17040, ""en"", ""mt"")"),"Il-gvernaturi kolonjali meta ltaqgħu mal-Ġeneral Edward Braddock dwar attakk fuq il-Franċiżi?")</f>
        <v>Il-gvernaturi kolonjali meta ltaqgħu mal-Ġeneral Edward Braddock dwar attakk fuq il-Franċiżi?</v>
      </c>
    </row>
    <row r="17041" ht="15.75" customHeight="1">
      <c r="A17041" s="2" t="s">
        <v>17041</v>
      </c>
      <c r="B17041" s="2" t="str">
        <f>IFERROR(__xludf.DUMMYFUNCTION("GOOGLETRANSLATE(A17041, ""en"", ""mt"")"),"1568–1609")</f>
        <v>1568–1609</v>
      </c>
    </row>
    <row r="17042" ht="15.75" customHeight="1">
      <c r="A17042" s="2" t="s">
        <v>17042</v>
      </c>
      <c r="B17042" s="2" t="str">
        <f>IFERROR(__xludf.DUMMYFUNCTION("GOOGLETRANSLATE(A17042, ""en"", ""mt"")"),"X'inhi l-abbiltà li tirrikonoxxi u tadatta għal patoġeni speċifiċi ġodda msejħa?")</f>
        <v>X'inhi l-abbiltà li tirrikonoxxi u tadatta għal patoġeni speċifiċi ġodda msejħa?</v>
      </c>
    </row>
    <row r="17043" ht="15.75" customHeight="1">
      <c r="A17043" s="2" t="s">
        <v>17043</v>
      </c>
      <c r="B17043" s="2" t="str">
        <f>IFERROR(__xludf.DUMMYFUNCTION("GOOGLETRANSLATE(A17043, ""en"", ""mt"")"),"Militant estremista")</f>
        <v>Militant estremista</v>
      </c>
    </row>
    <row r="17044" ht="15.75" customHeight="1">
      <c r="A17044" s="2" t="s">
        <v>17044</v>
      </c>
      <c r="B17044" s="2" t="str">
        <f>IFERROR(__xludf.DUMMYFUNCTION("GOOGLETRANSLATE(A17044, ""en"", ""mt"")"),"Liema kanal ġie qabel l-ivvjaġġar tas-sema?")</f>
        <v>Liema kanal ġie qabel l-ivvjaġġar tas-sema?</v>
      </c>
    </row>
    <row r="17045" ht="15.75" customHeight="1">
      <c r="A17045" s="2" t="s">
        <v>17045</v>
      </c>
      <c r="B17045" s="2" t="str">
        <f>IFERROR(__xludf.DUMMYFUNCTION("GOOGLETRANSLATE(A17045, ""en"", ""mt"")"),"formali")</f>
        <v>formali</v>
      </c>
    </row>
    <row r="17046" ht="15.75" customHeight="1">
      <c r="A17046" s="2" t="s">
        <v>17046</v>
      </c>
      <c r="B17046" s="2" t="str">
        <f>IFERROR(__xludf.DUMMYFUNCTION("GOOGLETRANSLATE(A17046, ""en"", ""mt"")"),"Kemm hemm membri fil-Kunsill tal-Belt Miasta?")</f>
        <v>Kemm hemm membri fil-Kunsill tal-Belt Miasta?</v>
      </c>
    </row>
    <row r="17047" ht="15.75" customHeight="1">
      <c r="A17047" s="2" t="s">
        <v>17047</v>
      </c>
      <c r="B17047" s="2" t="str">
        <f>IFERROR(__xludf.DUMMYFUNCTION("GOOGLETRANSLATE(A17047, ""en"", ""mt"")"),"Flimkien mal-Kanada u r-Renju Unit, liema pajjiż ġeneralment ma jirreferix għall-universitajiet bħala skejjel privati?")</f>
        <v>Flimkien mal-Kanada u r-Renju Unit, liema pajjiż ġeneralment ma jirreferix għall-universitajiet bħala skejjel privati?</v>
      </c>
    </row>
    <row r="17048" ht="15.75" customHeight="1">
      <c r="A17048" s="2" t="s">
        <v>17048</v>
      </c>
      <c r="B17048" s="2" t="str">
        <f>IFERROR(__xludf.DUMMYFUNCTION("GOOGLETRANSLATE(A17048, ""en"", ""mt"")"),"Liema kulturi kienu parti mill-amministrazzjoni ta 'Kublai?")</f>
        <v>Liema kulturi kienu parti mill-amministrazzjoni ta 'Kublai?</v>
      </c>
    </row>
    <row r="17049" ht="15.75" customHeight="1">
      <c r="A17049" s="2" t="s">
        <v>17049</v>
      </c>
      <c r="B17049" s="2" t="str">
        <f>IFERROR(__xludf.DUMMYFUNCTION("GOOGLETRANSLATE(A17049, ""en"", ""mt"")"),"Testi bikrija tal-Punent li jirreferu t-Tramuntana jiddeskrivu n-nies bħala xiex?")</f>
        <v>Testi bikrija tal-Punent li jirreferu t-Tramuntana jiddeskrivu n-nies bħala xiex?</v>
      </c>
    </row>
    <row r="17050" ht="15.75" customHeight="1">
      <c r="A17050" s="2" t="s">
        <v>17050</v>
      </c>
      <c r="B17050" s="2" t="str">
        <f>IFERROR(__xludf.DUMMYFUNCTION("GOOGLETRANSLATE(A17050, ""en"", ""mt"")"),"X'inhu l-lag magħruf bħala li nħoloq miż-żieda tal-Muntanji Andes?")</f>
        <v>X'inhu l-lag magħruf bħala li nħoloq miż-żieda tal-Muntanji Andes?</v>
      </c>
    </row>
    <row r="17051" ht="15.75" customHeight="1">
      <c r="A17051" s="2" t="s">
        <v>17051</v>
      </c>
      <c r="B17051" s="2" t="str">
        <f>IFERROR(__xludf.DUMMYFUNCTION("GOOGLETRANSLATE(A17051, ""en"", ""mt"")"),"Flimkien ma 'l-għoti ta' min wettaq ""id-deżerti biss"" tiegħu, il-kisba tal-kontroll tal-kriminalità permezz ta 'inkapaċità u deterrenza hija għan ewlieni ta' piena kriminali. Brownlee jargumenta, ""li ddaħħal id-deterrenza fil-livell ta 'ġustifikazzjoni"&amp;" tnaqqas mill-impenn tal-liġi fi djalogu morali ma' min wettaq ir-reat bħala persuna razzjonali minħabba li tiffoka l-attenzjoni fuq it-theddida ta 'kastig u mhux ir-raġunijiet morali biex issegwi din il-liġi."" Leonard Hubert Hoffmann jikteb, ""Meta jidd"&amp;"eċiedi jekk jimponix kastig jew le, l-iktar konsiderazzjoni importanti tkun jekk tagħmilx iktar ħsara milli ġid. Dan ifisser li l-Objettur m'għandux dritt li ma jiġix ikkastigat. Hija kwistjoni għall-Istat (inklużi l-imħallfin) biex tiddeċiedi għal raġuni"&amp;"jiet utilitarji jekk jagħmlux hekk jew le. """)</f>
        <v>Flimkien ma 'l-għoti ta' min wettaq "id-deżerti biss" tiegħu, il-kisba tal-kontroll tal-kriminalità permezz ta 'inkapaċità u deterrenza hija għan ewlieni ta' piena kriminali. Brownlee jargumenta, "li ddaħħal id-deterrenza fil-livell ta 'ġustifikazzjoni tnaqqas mill-impenn tal-liġi fi djalogu morali ma' min wettaq ir-reat bħala persuna razzjonali minħabba li tiffoka l-attenzjoni fuq it-theddida ta 'kastig u mhux ir-raġunijiet morali biex issegwi din il-liġi." Leonard Hubert Hoffmann jikteb, "Meta jiddeċiedi jekk jimponix kastig jew le, l-iktar konsiderazzjoni importanti tkun jekk tagħmilx iktar ħsara milli ġid. Dan ifisser li l-Objettur m'għandux dritt li ma jiġix ikkastigat. Hija kwistjoni għall-Istat (inklużi l-imħallfin) biex tiddeċiedi għal raġunijiet utilitarji jekk jagħmlux hekk jew le. "</v>
      </c>
    </row>
    <row r="17052" ht="15.75" customHeight="1">
      <c r="A17052" s="2" t="s">
        <v>17052</v>
      </c>
      <c r="B17052" s="2" t="str">
        <f>IFERROR(__xludf.DUMMYFUNCTION("GOOGLETRANSLATE(A17052, ""en"", ""mt"")"),"X'inhu wieħed minn Las Vegas fl-Istati Uniti?")</f>
        <v>X'inhu wieħed minn Las Vegas fl-Istati Uniti?</v>
      </c>
    </row>
    <row r="17053" ht="15.75" customHeight="1">
      <c r="A17053" s="2" t="s">
        <v>17053</v>
      </c>
      <c r="B17053" s="2" t="str">
        <f>IFERROR(__xludf.DUMMYFUNCTION("GOOGLETRANSLATE(A17053, ""en"", ""mt"")"),"Minn xiex irtiraw l-Istati Uniti fl-1971?")</f>
        <v>Minn xiex irtiraw l-Istati Uniti fl-1971?</v>
      </c>
    </row>
    <row r="17054" ht="15.75" customHeight="1">
      <c r="A17054" s="2" t="s">
        <v>17054</v>
      </c>
      <c r="B17054" s="2" t="str">
        <f>IFERROR(__xludf.DUMMYFUNCTION("GOOGLETRANSLATE(A17054, ""en"", ""mt"")"),"Il-bijodiversità tal-ispeċi tal-pjanti hija l-ogħla fid-dinja bi studju wieħed tal-2001 li jsib kwart ta ’kilometru kwadru (62 acres) tal-foresta tropikali Ekwadorjana jappoġġja aktar minn 1,100 speċi ta’ siġra. Studju fl-1999 sab kilometru kwadru wieħed "&amp;"(247 acres) ta 'Amazon Rainforest jista' jkun fih madwar 90,790 tunnellata ta 'pjanti ħajjin. Il-bijomassa medja tal-pjanti hija stmata għal 356 ± 47 tunnellata għal kull ettaru. Sal-lum, stmat li 438,000 speċi ta 'pjanti ta' interess ekonomiku u soċjali "&amp;"ġew irreġistrati fir-reġjun b'ħafna iktar li jibqgħu jiġu skoperti jew katalogati. In-numru totali ta 'speċi ta' siġar fir-reġjun huwa stmat għal 16,000.")</f>
        <v>Il-bijodiversità tal-ispeċi tal-pjanti hija l-ogħla fid-dinja bi studju wieħed tal-2001 li jsib kwart ta ’kilometru kwadru (62 acres) tal-foresta tropikali Ekwadorjana jappoġġja aktar minn 1,100 speċi ta’ siġra. Studju fl-1999 sab kilometru kwadru wieħed (247 acres) ta 'Amazon Rainforest jista' jkun fih madwar 90,790 tunnellata ta 'pjanti ħajjin. Il-bijomassa medja tal-pjanti hija stmata għal 356 ± 47 tunnellata għal kull ettaru. Sal-lum, stmat li 438,000 speċi ta 'pjanti ta' interess ekonomiku u soċjali ġew irreġistrati fir-reġjun b'ħafna iktar li jibqgħu jiġu skoperti jew katalogati. In-numru totali ta 'speċi ta' siġar fir-reġjun huwa stmat għal 16,000.</v>
      </c>
    </row>
    <row r="17055" ht="15.75" customHeight="1">
      <c r="A17055" s="2" t="s">
        <v>17055</v>
      </c>
      <c r="B17055" s="2" t="str">
        <f>IFERROR(__xludf.DUMMYFUNCTION("GOOGLETRANSLATE(A17055, ""en"", ""mt"")"),"Kontea tat-Tramuntana")</f>
        <v>Kontea tat-Tramuntana</v>
      </c>
    </row>
    <row r="17056" ht="15.75" customHeight="1">
      <c r="A17056" s="2" t="s">
        <v>17056</v>
      </c>
      <c r="B17056" s="2" t="str">
        <f>IFERROR(__xludf.DUMMYFUNCTION("GOOGLETRANSLATE(A17056, ""en"", ""mt"")"),"Liema kwalità distinta ta 'kombustjoni kienet assenti mit-teorija ta' Philogiston?")</f>
        <v>Liema kwalità distinta ta 'kombustjoni kienet assenti mit-teorija ta' Philogiston?</v>
      </c>
    </row>
    <row r="17057" ht="15.75" customHeight="1">
      <c r="A17057" s="2" t="s">
        <v>17057</v>
      </c>
      <c r="B17057" s="2" t="str">
        <f>IFERROR(__xludf.DUMMYFUNCTION("GOOGLETRANSLATE(A17057, ""en"", ""mt"")"),"X'għamel il-protokoll ta 'Kyoto?")</f>
        <v>X'għamel il-protokoll ta 'Kyoto?</v>
      </c>
    </row>
    <row r="17058" ht="15.75" customHeight="1">
      <c r="A17058" s="2" t="s">
        <v>17058</v>
      </c>
      <c r="B17058" s="2" t="str">
        <f>IFERROR(__xludf.DUMMYFUNCTION("GOOGLETRANSLATE(A17058, ""en"", ""mt"")"),"X’toqkmet fit-teorija ċellulari kienet fl-humors ta ’organiżmu?")</f>
        <v>X’toqkmet fit-teorija ċellulari kienet fl-humors ta ’organiżmu?</v>
      </c>
    </row>
    <row r="17059" ht="15.75" customHeight="1">
      <c r="A17059" s="2" t="s">
        <v>17059</v>
      </c>
      <c r="B17059" s="2" t="str">
        <f>IFERROR(__xludf.DUMMYFUNCTION("GOOGLETRANSLATE(A17059, ""en"", ""mt"")"),"unjoni doganali, u l-prinċipju ta 'nuqqas ta' diskriminazzjoni")</f>
        <v>unjoni doganali, u l-prinċipju ta 'nuqqas ta' diskriminazzjoni</v>
      </c>
    </row>
    <row r="17060" ht="15.75" customHeight="1">
      <c r="A17060" s="2" t="s">
        <v>17060</v>
      </c>
      <c r="B17060" s="2" t="str">
        <f>IFERROR(__xludf.DUMMYFUNCTION("GOOGLETRANSLATE(A17060, ""en"", ""mt"")"),"Li tivvjaġġa lejn in-nofsinhar fuq l-Interstate 5, id-distakk ewlieni għall-urbanizzazzjoni kontinwa huwa Camp Pendleton. Il-bliet u l-komunitajiet tul l-Interstate 15 u l-Interstate 215 huma daqshekk relatati li Temecula u Murrieta għandhom konnessjoni d"&amp;"aqshekk maż-żona metropolitana ta 'San Diego bħalma jagħmlu ma' l-Imperu Intern. Fil-Lvant, l-Uffiċċju taċ-Ċensiment ta 'l-Istati Uniti jqis iż-żoni tal-Kontea ta' San Bernardino u Riverside, iż-żona ta 'Riverside-san Bernardino bħala żona metropolitana s"&amp;"eparata mill-Kontea ta' Los Angeles. Filwaqt li ħafna jivvjaġġaw lejn il-kontej L.A. u Orange, hemm xi differenzi fl-iżvilupp, peress li l-biċċa l-kbira tal-kontej ta 'San Bernardino u Riverside (il-porzjonijiet mhux deżerta) ġew żviluppati fis-snin 1980 "&amp;"u disgħinijiet. Exurbs li għadhom kemm ġew żviluppati ffurmati fil-Wied ta 'Antelope fit-tramuntana ta' Los Angeles, il-Wied ta 'Victor u l-Wied Coachella mal-Wied Imperjali. Ukoll, it-tkabbir tal-popolazzjoni kien għoli fiż-żoni tal-Kontea ta 'Bakersfiel"&amp;"d-Kern, Santa Maria u San Luis Obispo.")</f>
        <v>Li tivvjaġġa lejn in-nofsinhar fuq l-Interstate 5, id-distakk ewlieni għall-urbanizzazzjoni kontinwa huwa Camp Pendleton. Il-bliet u l-komunitajiet tul l-Interstate 15 u l-Interstate 215 huma daqshekk relatati li Temecula u Murrieta għandhom konnessjoni daqshekk maż-żona metropolitana ta 'San Diego bħalma jagħmlu ma' l-Imperu Intern. Fil-Lvant, l-Uffiċċju taċ-Ċensiment ta 'l-Istati Uniti jqis iż-żoni tal-Kontea ta' San Bernardino u Riverside, iż-żona ta 'Riverside-san Bernardino bħala żona metropolitana separata mill-Kontea ta' Los Angeles. Filwaqt li ħafna jivvjaġġaw lejn il-kontej L.A. u Orange, hemm xi differenzi fl-iżvilupp, peress li l-biċċa l-kbira tal-kontej ta 'San Bernardino u Riverside (il-porzjonijiet mhux deżerta) ġew żviluppati fis-snin 1980 u disgħinijiet. Exurbs li għadhom kemm ġew żviluppati ffurmati fil-Wied ta 'Antelope fit-tramuntana ta' Los Angeles, il-Wied ta 'Victor u l-Wied Coachella mal-Wied Imperjali. Ukoll, it-tkabbir tal-popolazzjoni kien għoli fiż-żoni tal-Kontea ta 'Bakersfield-Kern, Santa Maria u San Luis Obispo.</v>
      </c>
    </row>
    <row r="17061" ht="15.75" customHeight="1">
      <c r="A17061" s="2" t="s">
        <v>17061</v>
      </c>
      <c r="B17061" s="2" t="str">
        <f>IFERROR(__xludf.DUMMYFUNCTION("GOOGLETRANSLATE(A17061, ""en"", ""mt"")"),"Forzi irregolari Franċiżi (Scouts Kanadiżi u Indjani)")</f>
        <v>Forzi irregolari Franċiżi (Scouts Kanadiżi u Indjani)</v>
      </c>
    </row>
    <row r="17062" ht="15.75" customHeight="1">
      <c r="A17062" s="2" t="s">
        <v>17062</v>
      </c>
      <c r="B17062" s="2" t="str">
        <f>IFERROR(__xludf.DUMMYFUNCTION("GOOGLETRANSLATE(A17062, ""en"", ""mt"")"),"Xmara Colorado")</f>
        <v>Xmara Colorado</v>
      </c>
    </row>
    <row r="17063" ht="15.75" customHeight="1">
      <c r="A17063" s="2" t="s">
        <v>17063</v>
      </c>
      <c r="B17063" s="2" t="str">
        <f>IFERROR(__xludf.DUMMYFUNCTION("GOOGLETRANSLATE(A17063, ""en"", ""mt"")"),"Liema territorju ġie ċedut lil Franza?")</f>
        <v>Liema territorju ġie ċedut lil Franza?</v>
      </c>
    </row>
    <row r="17064" ht="15.75" customHeight="1">
      <c r="A17064" s="2" t="s">
        <v>17064</v>
      </c>
      <c r="B17064" s="2" t="str">
        <f>IFERROR(__xludf.DUMMYFUNCTION("GOOGLETRANSLATE(A17064, ""en"", ""mt"")"),"Min ħawwel l-għelieqi tal-alfalfa?")</f>
        <v>Min ħawwel l-għelieqi tal-alfalfa?</v>
      </c>
    </row>
    <row r="17065" ht="15.75" customHeight="1">
      <c r="A17065" s="2" t="s">
        <v>17065</v>
      </c>
      <c r="B17065" s="2" t="str">
        <f>IFERROR(__xludf.DUMMYFUNCTION("GOOGLETRANSLATE(A17065, ""en"", ""mt"")"),"L-Università ta ’Varsavja ġiet stabbilita fl-1816, meta l-qasmiet tal-Polonja separaw lil Varsavja miċ-Ċentru Akkademiku Pollakk l-aktar eqdem u l-iktar influwenti, fi Kraków. L-Università tat-Teknoloġija ta 'Varsavja hija t-tieni skola akkademika tat-tek"&amp;"noloġija fil-pajjiż, u waħda mill-ikbar fl-Ewropa ċentrali tal-lvant, li timpjega 2,000 professuri. Istituzzjonijiet oħra għall-edukazzjoni għolja jinkludu l-Università Medika ta 'Varsav Il-Polonja, u waħda mill-ikbar fl-Ewropa, l-Iskola ta 'l-Ekonomija t"&amp;"a' Varsavja, l-eqdem u l-iktar università ekonomika magħrufa fil-pajjiż, u l-Università tax-Xjenzi tal-Ħajja ta 'Varsavja l-akbar università agrikola mwaqqfa fl-1818.")</f>
        <v>L-Università ta ’Varsavja ġiet stabbilita fl-1816, meta l-qasmiet tal-Polonja separaw lil Varsavja miċ-Ċentru Akkademiku Pollakk l-aktar eqdem u l-iktar influwenti, fi Kraków. L-Università tat-Teknoloġija ta 'Varsavja hija t-tieni skola akkademika tat-teknoloġija fil-pajjiż, u waħda mill-ikbar fl-Ewropa ċentrali tal-lvant, li timpjega 2,000 professuri. Istituzzjonijiet oħra għall-edukazzjoni għolja jinkludu l-Università Medika ta 'Varsav Il-Polonja, u waħda mill-ikbar fl-Ewropa, l-Iskola ta 'l-Ekonomija ta' Varsavja, l-eqdem u l-iktar università ekonomika magħrufa fil-pajjiż, u l-Università tax-Xjenzi tal-Ħajja ta 'Varsavja l-akbar università agrikola mwaqqfa fl-1818.</v>
      </c>
    </row>
    <row r="17066" ht="15.75" customHeight="1">
      <c r="A17066" s="2" t="s">
        <v>17066</v>
      </c>
      <c r="B17066" s="2" t="str">
        <f>IFERROR(__xludf.DUMMYFUNCTION("GOOGLETRANSLATE(A17066, ""en"", ""mt"")"),"Mużajk")</f>
        <v>Mużajk</v>
      </c>
    </row>
    <row r="17067" ht="15.75" customHeight="1">
      <c r="A17067" s="2" t="s">
        <v>17067</v>
      </c>
      <c r="B17067" s="2" t="str">
        <f>IFERROR(__xludf.DUMMYFUNCTION("GOOGLETRANSLATE(A17067, ""en"", ""mt"")")," Il-forzi tal-Lvant meta invadew l-Iraq?")</f>
        <v> Il-forzi tal-Lvant meta invadew l-Iraq?</v>
      </c>
    </row>
    <row r="17068" ht="15.75" customHeight="1">
      <c r="A17068" s="2" t="s">
        <v>17068</v>
      </c>
      <c r="B17068" s="2" t="str">
        <f>IFERROR(__xludf.DUMMYFUNCTION("GOOGLETRANSLATE(A17068, ""en"", ""mt"")"),"il-ħamrija fqira")</f>
        <v>il-ħamrija fqira</v>
      </c>
    </row>
    <row r="17069" ht="15.75" customHeight="1">
      <c r="A17069" s="2" t="s">
        <v>17069</v>
      </c>
      <c r="B17069" s="2" t="str">
        <f>IFERROR(__xludf.DUMMYFUNCTION("GOOGLETRANSLATE(A17069, ""en"", ""mt"")"),"Flimkien ma 'l-ammissjoni, l-exhaust u l-kompressjoni, x'inhu avveniment fiċ-ċiklu tal-magna?")</f>
        <v>Flimkien ma 'l-ammissjoni, l-exhaust u l-kompressjoni, x'inhu avveniment fiċ-ċiklu tal-magna?</v>
      </c>
    </row>
    <row r="17070" ht="15.75" customHeight="1">
      <c r="A17070" s="2" t="s">
        <v>17070</v>
      </c>
      <c r="B17070" s="2" t="str">
        <f>IFERROR(__xludf.DUMMYFUNCTION("GOOGLETRANSLATE(A17070, ""en"", ""mt"")"),"Ibn Sina")</f>
        <v>Ibn Sina</v>
      </c>
    </row>
    <row r="17071" ht="15.75" customHeight="1">
      <c r="A17071" s="2" t="s">
        <v>17071</v>
      </c>
      <c r="B17071" s="2" t="str">
        <f>IFERROR(__xludf.DUMMYFUNCTION("GOOGLETRANSLATE(A17071, ""en"", ""mt"")"),"Struttura Amministrattiva Lokali")</f>
        <v>Struttura Amministrattiva Lokali</v>
      </c>
    </row>
    <row r="17072" ht="15.75" customHeight="1">
      <c r="A17072" s="2" t="s">
        <v>17072</v>
      </c>
      <c r="B17072" s="2" t="str">
        <f>IFERROR(__xludf.DUMMYFUNCTION("GOOGLETRANSLATE(A17072, ""en"", ""mt"")"),"Ma 'min ingħaqad in-Normanni f'Anatolia?")</f>
        <v>Ma 'min ingħaqad in-Normanni f'Anatolia?</v>
      </c>
    </row>
    <row r="17073" ht="15.75" customHeight="1">
      <c r="A17073" s="2" t="s">
        <v>17073</v>
      </c>
      <c r="B17073" s="2" t="str">
        <f>IFERROR(__xludf.DUMMYFUNCTION("GOOGLETRANSLATE(A17073, ""en"", ""mt"")"),"Meta ġiet approvata l-Ispiżerija tal-Kura Ambulatorja bħala ċ-ċertifikazzjoni tagħha stess?")</f>
        <v>Meta ġiet approvata l-Ispiżerija tal-Kura Ambulatorja bħala ċ-ċertifikazzjoni tagħha stess?</v>
      </c>
    </row>
    <row r="17074" ht="15.75" customHeight="1">
      <c r="A17074" s="2" t="s">
        <v>17074</v>
      </c>
      <c r="B17074" s="2" t="str">
        <f>IFERROR(__xludf.DUMMYFUNCTION("GOOGLETRANSLATE(A17074, ""en"", ""mt"")"),"Vantaġġ politiku huwa attribut ta 'liema politiki tal-istat?")</f>
        <v>Vantaġġ politiku huwa attribut ta 'liema politiki tal-istat?</v>
      </c>
    </row>
    <row r="17075" ht="15.75" customHeight="1">
      <c r="A17075" s="2" t="s">
        <v>17075</v>
      </c>
      <c r="B17075" s="2" t="str">
        <f>IFERROR(__xludf.DUMMYFUNCTION("GOOGLETRANSLATE(A17075, ""en"", ""mt"")"),"X'inhu CO?")</f>
        <v>X'inhu CO?</v>
      </c>
    </row>
    <row r="17076" ht="15.75" customHeight="1">
      <c r="A17076" s="2" t="s">
        <v>17076</v>
      </c>
      <c r="B17076" s="2" t="str">
        <f>IFERROR(__xludf.DUMMYFUNCTION("GOOGLETRANSLATE(A17076, ""en"", ""mt"")"),"Dak li juża l-punt Tehachapi u l-muntanji tal-konċepiment bħala l-konfini tat-tramuntana?")</f>
        <v>Dak li juża l-punt Tehachapi u l-muntanji tal-konċepiment bħala l-konfini tat-tramuntana?</v>
      </c>
    </row>
    <row r="17077" ht="15.75" customHeight="1">
      <c r="A17077" s="2" t="s">
        <v>17077</v>
      </c>
      <c r="B17077" s="2" t="str">
        <f>IFERROR(__xludf.DUMMYFUNCTION("GOOGLETRANSLATE(A17077, ""en"", ""mt"")"),"X'inhu użat fil-fotosintesi u rilaxxat mir-respirazzjoni ċellulari?")</f>
        <v>X'inhu użat fil-fotosintesi u rilaxxat mir-respirazzjoni ċellulari?</v>
      </c>
    </row>
    <row r="17078" ht="15.75" customHeight="1">
      <c r="A17078" s="2" t="s">
        <v>17078</v>
      </c>
      <c r="B17078" s="2" t="str">
        <f>IFERROR(__xludf.DUMMYFUNCTION("GOOGLETRANSLATE(A17078, ""en"", ""mt"")"),"il-konservattiv")</f>
        <v>il-konservattiv</v>
      </c>
    </row>
    <row r="17079" ht="15.75" customHeight="1">
      <c r="A17079" s="2" t="s">
        <v>17079</v>
      </c>
      <c r="B17079" s="2" t="str">
        <f>IFERROR(__xludf.DUMMYFUNCTION("GOOGLETRANSLATE(A17079, ""en"", ""mt"")"),"X’kontribwixxa l-Huguenots li stabbilixxa f’Cork?")</f>
        <v>X’kontribwixxa l-Huguenots li stabbilixxa f’Cork?</v>
      </c>
    </row>
    <row r="17080" ht="15.75" customHeight="1">
      <c r="A17080" s="2" t="s">
        <v>17080</v>
      </c>
      <c r="B17080" s="2" t="str">
        <f>IFERROR(__xludf.DUMMYFUNCTION("GOOGLETRANSLATE(A17080, ""en"", ""mt"")"),"arkitettura tal-manjerista")</f>
        <v>arkitettura tal-manjerista</v>
      </c>
    </row>
    <row r="17081" ht="15.75" customHeight="1">
      <c r="A17081" s="2" t="s">
        <v>17081</v>
      </c>
      <c r="B17081" s="2" t="str">
        <f>IFERROR(__xludf.DUMMYFUNCTION("GOOGLETRANSLATE(A17081, ""en"", ""mt"")"),"N2 + 1")</f>
        <v>N2 + 1</v>
      </c>
    </row>
    <row r="17082" ht="15.75" customHeight="1">
      <c r="A17082" s="2" t="s">
        <v>17082</v>
      </c>
      <c r="B17082" s="2" t="str">
        <f>IFERROR(__xludf.DUMMYFUNCTION("GOOGLETRANSLATE(A17082, ""en"", ""mt"")"),"2 millimetri (0.079 in)")</f>
        <v>2 millimetri (0.079 in)</v>
      </c>
    </row>
    <row r="17083" ht="15.75" customHeight="1">
      <c r="A17083" s="2" t="s">
        <v>17083</v>
      </c>
      <c r="B17083" s="2" t="str">
        <f>IFERROR(__xludf.DUMMYFUNCTION("GOOGLETRANSLATE(A17083, ""en"", ""mt"")"),"Liema belt għandha l-akbar port intern fl-Ewropa?")</f>
        <v>Liema belt għandha l-akbar port intern fl-Ewropa?</v>
      </c>
    </row>
    <row r="17084" ht="15.75" customHeight="1">
      <c r="A17084" s="2" t="s">
        <v>17084</v>
      </c>
      <c r="B17084" s="2" t="str">
        <f>IFERROR(__xludf.DUMMYFUNCTION("GOOGLETRANSLATE(A17084, ""en"", ""mt"")"),"X'kien l-isem tal-lokomottiva li ddebutta fl-1808?")</f>
        <v>X'kien l-isem tal-lokomottiva li ddebutta fl-1808?</v>
      </c>
    </row>
    <row r="17085" ht="15.75" customHeight="1">
      <c r="A17085" s="2" t="s">
        <v>17085</v>
      </c>
      <c r="B17085" s="2" t="str">
        <f>IFERROR(__xludf.DUMMYFUNCTION("GOOGLETRANSLATE(A17085, ""en"", ""mt"")"),"Għaliex iċ-Ċiniżi tal-Punent ġew ikklassifikati ogħla?")</f>
        <v>Għaliex iċ-Ċiniżi tal-Punent ġew ikklassifikati ogħla?</v>
      </c>
    </row>
    <row r="17086" ht="15.75" customHeight="1">
      <c r="A17086" s="2" t="s">
        <v>17086</v>
      </c>
      <c r="B17086" s="2" t="str">
        <f>IFERROR(__xludf.DUMMYFUNCTION("GOOGLETRANSLATE(A17086, ""en"", ""mt"")"),"L-ipoteżi li tiddikjara li s-soluzzjoni għal problema tista 'tissolva b'riżorsi raġonevoli jekk wieħed jassumi li jippermetti algoritmu ta' ħin monoinomjali?")</f>
        <v>L-ipoteżi li tiddikjara li s-soluzzjoni għal problema tista 'tissolva b'riżorsi raġonevoli jekk wieħed jassumi li jippermetti algoritmu ta' ħin monoinomjali?</v>
      </c>
    </row>
    <row r="17087" ht="15.75" customHeight="1">
      <c r="A17087" s="2" t="s">
        <v>17087</v>
      </c>
      <c r="B17087" s="2" t="str">
        <f>IFERROR(__xludf.DUMMYFUNCTION("GOOGLETRANSLATE(A17087, ""en"", ""mt"")"),"Kemm kien hemm Huguenots fit-tramuntana ta 'Franza matul dan iż-żmien?")</f>
        <v>Kemm kien hemm Huguenots fit-tramuntana ta 'Franza matul dan iż-żmien?</v>
      </c>
    </row>
    <row r="17088" ht="15.75" customHeight="1">
      <c r="A17088" s="2" t="s">
        <v>17088</v>
      </c>
      <c r="B17088" s="2" t="str">
        <f>IFERROR(__xludf.DUMMYFUNCTION("GOOGLETRANSLATE(A17088, ""en"", ""mt"")"),"In-Netwerk tal-Fondazzjoni Nazzjonali tax-Xjenza (NSFNET) kien programm ta 'proġetti kkoordinati u li qed jevolvu sponsorjati mill-Fondazzjoni Nazzjonali tax-Xjenza (NSF) li jibdew fl-1985 biex jippromwovu netwerking avvanzat ta' riċerka u edukazzjoni fl-"&amp;"Istati Uniti. NSFNET kien ukoll l-isem mogħti lil diversi netwerks tas-sinsla tal-pajjiż li joperaw b'veloċitajiet ta '56 kbit / s, 1.5 mbit / s (T1), u 45 mbit / s (T3) li ġew mibnija biex jappoġġjaw inizjattivi ta 'netwerking ta' NSF mill-1985-1995. Ini"&amp;"zjalment maħluqa biex jgħaqqdu r-riċerkaturi maċ-ċentri tas-superkompjuters iffinanzjati mill-NSF tan-nazzjon, permezz ta 'fondi pubbliċi u sħubijiet ta' l-industrija privata li żviluppaw f'parti ewlenija tas-sinsla tal-internet.")</f>
        <v>In-Netwerk tal-Fondazzjoni Nazzjonali tax-Xjenza (NSFNET) kien programm ta 'proġetti kkoordinati u li qed jevolvu sponsorjati mill-Fondazzjoni Nazzjonali tax-Xjenza (NSF) li jibdew fl-1985 biex jippromwovu netwerking avvanzat ta' riċerka u edukazzjoni fl-Istati Uniti. NSFNET kien ukoll l-isem mogħti lil diversi netwerks tas-sinsla tal-pajjiż li joperaw b'veloċitajiet ta '56 kbit / s, 1.5 mbit / s (T1), u 45 mbit / s (T3) li ġew mibnija biex jappoġġjaw inizjattivi ta 'netwerking ta' NSF mill-1985-1995. Inizjalment maħluqa biex jgħaqqdu r-riċerkaturi maċ-ċentri tas-superkompjuters iffinanzjati mill-NSF tan-nazzjon, permezz ta 'fondi pubbliċi u sħubijiet ta' l-industrija privata li żviluppaw f'parti ewlenija tas-sinsla tal-internet.</v>
      </c>
    </row>
    <row r="17089" ht="15.75" customHeight="1">
      <c r="A17089" s="2" t="s">
        <v>17089</v>
      </c>
      <c r="B17089" s="2" t="str">
        <f>IFERROR(__xludf.DUMMYFUNCTION("GOOGLETRANSLATE(A17089, ""en"", ""mt"")"),"Northwestern Canada")</f>
        <v>Northwestern Canada</v>
      </c>
    </row>
    <row r="17090" ht="15.75" customHeight="1">
      <c r="A17090" s="2" t="s">
        <v>17090</v>
      </c>
      <c r="B17090" s="2" t="str">
        <f>IFERROR(__xludf.DUMMYFUNCTION("GOOGLETRANSLATE(A17090, ""en"", ""mt"")"),"iż-żewġ kobor tal-forza jew jitnaqqsu mill-oħra")</f>
        <v>iż-żewġ kobor tal-forza jew jitnaqqsu mill-oħra</v>
      </c>
    </row>
    <row r="17091" ht="15.75" customHeight="1">
      <c r="A17091" s="2" t="s">
        <v>17091</v>
      </c>
      <c r="B17091" s="2" t="str">
        <f>IFERROR(__xludf.DUMMYFUNCTION("GOOGLETRANSLATE(A17091, ""en"", ""mt"")"),"MSPs eletti")</f>
        <v>MSPs eletti</v>
      </c>
    </row>
    <row r="17092" ht="15.75" customHeight="1">
      <c r="A17092" s="2" t="s">
        <v>17092</v>
      </c>
      <c r="B17092" s="2" t="str">
        <f>IFERROR(__xludf.DUMMYFUNCTION("GOOGLETRANSLATE(A17092, ""en"", ""mt"")"),"X'kien sors ewlieni ta 'tniġġis tal-ilma wara l-bidu tas-snin 1980?")</f>
        <v>X'kien sors ewlieni ta 'tniġġis tal-ilma wara l-bidu tas-snin 1980?</v>
      </c>
    </row>
    <row r="17093" ht="15.75" customHeight="1">
      <c r="A17093" s="2" t="s">
        <v>17093</v>
      </c>
      <c r="B17093" s="2" t="str">
        <f>IFERROR(__xludf.DUMMYFUNCTION("GOOGLETRANSLATE(A17093, ""en"", ""mt"")"),"Nagħmlu l-Paċi ma 'l-Iżrael")</f>
        <v>Nagħmlu l-Paċi ma 'l-Iżrael</v>
      </c>
    </row>
    <row r="17094" ht="15.75" customHeight="1">
      <c r="A17094" s="2" t="s">
        <v>17094</v>
      </c>
      <c r="B17094" s="2" t="str">
        <f>IFERROR(__xludf.DUMMYFUNCTION("GOOGLETRANSLATE(A17094, ""en"", ""mt"")"),"Fejn ma tapplikax il-liġi tal-Unjoni Ewropea?")</f>
        <v>Fejn ma tapplikax il-liġi tal-Unjoni Ewropea?</v>
      </c>
    </row>
    <row r="17095" ht="15.75" customHeight="1">
      <c r="A17095" s="2" t="s">
        <v>17095</v>
      </c>
      <c r="B17095" s="2" t="str">
        <f>IFERROR(__xludf.DUMMYFUNCTION("GOOGLETRANSLATE(A17095, ""en"", ""mt"")"),"X'tip ta 'strumenti mużikali ġab il-wan lejn iċ-Ċina?")</f>
        <v>X'tip ta 'strumenti mużikali ġab il-wan lejn iċ-Ċina?</v>
      </c>
    </row>
    <row r="17096" ht="15.75" customHeight="1">
      <c r="A17096" s="2" t="s">
        <v>17096</v>
      </c>
      <c r="B17096" s="2" t="str">
        <f>IFERROR(__xludf.DUMMYFUNCTION("GOOGLETRANSLATE(A17096, ""en"", ""mt"")"),"Semmi l-mod l-ieħor li l-organizzazzjoni Plowshares ingħalqet temporanjament?")</f>
        <v>Semmi l-mod l-ieħor li l-organizzazzjoni Plowshares ingħalqet temporanjament?</v>
      </c>
    </row>
    <row r="17097" ht="15.75" customHeight="1">
      <c r="A17097" s="2" t="s">
        <v>17097</v>
      </c>
      <c r="B17097" s="2" t="str">
        <f>IFERROR(__xludf.DUMMYFUNCTION("GOOGLETRANSLATE(A17097, ""en"", ""mt"")"),"X'inhu l-iktar effett probabbli tan-nifs tal-ossiġnu?")</f>
        <v>X'inhu l-iktar effett probabbli tan-nifs tal-ossiġnu?</v>
      </c>
    </row>
    <row r="17098" ht="15.75" customHeight="1">
      <c r="A17098" s="2" t="s">
        <v>17098</v>
      </c>
      <c r="B17098" s="2" t="str">
        <f>IFERROR(__xludf.DUMMYFUNCTION("GOOGLETRANSLATE(A17098, ""en"", ""mt"")"),"X'inhu patoġen li ma jużax varjazzjoni antiġenika?")</f>
        <v>X'inhu patoġen li ma jużax varjazzjoni antiġenika?</v>
      </c>
    </row>
    <row r="17099" ht="15.75" customHeight="1">
      <c r="A17099" s="2" t="s">
        <v>17099</v>
      </c>
      <c r="B17099" s="2" t="str">
        <f>IFERROR(__xludf.DUMMYFUNCTION("GOOGLETRANSLATE(A17099, ""en"", ""mt"")"),"L-Afrika tat-Tramuntana u tal-Punent, kif ukoll l-Asja tax-Xlokk, b'konkwisti oħra fl-Afrika Ċentrali u tal-Lvant, kif ukoll il-Paċifiku t'Isfel")</f>
        <v>L-Afrika tat-Tramuntana u tal-Punent, kif ukoll l-Asja tax-Xlokk, b'konkwisti oħra fl-Afrika Ċentrali u tal-Lvant, kif ukoll il-Paċifiku t'Isfel</v>
      </c>
    </row>
    <row r="17100" ht="15.75" customHeight="1">
      <c r="A17100" s="2" t="s">
        <v>17100</v>
      </c>
      <c r="B17100" s="2" t="str">
        <f>IFERROR(__xludf.DUMMYFUNCTION("GOOGLETRANSLATE(A17100, ""en"", ""mt"")")," Ma 'min għamlu l-Imperu Ottoman fil-WWII?")</f>
        <v> Ma 'min għamlu l-Imperu Ottoman fil-WWII?</v>
      </c>
    </row>
    <row r="17101" ht="15.75" customHeight="1">
      <c r="A17101" s="2" t="s">
        <v>17101</v>
      </c>
      <c r="B17101" s="2" t="str">
        <f>IFERROR(__xludf.DUMMYFUNCTION("GOOGLETRANSLATE(A17101, ""en"", ""mt"")"),"il-pressjonijiet totali baxxi użati")</f>
        <v>il-pressjonijiet totali baxxi użati</v>
      </c>
    </row>
    <row r="17102" ht="15.75" customHeight="1">
      <c r="A17102" s="2" t="s">
        <v>17102</v>
      </c>
      <c r="B17102" s="2" t="str">
        <f>IFERROR(__xludf.DUMMYFUNCTION("GOOGLETRANSLATE(A17102, ""en"", ""mt"")"),"l-istudju ta 'saffi sedimentarji")</f>
        <v>l-istudju ta 'saffi sedimentarji</v>
      </c>
    </row>
    <row r="17103" ht="15.75" customHeight="1">
      <c r="A17103" s="2" t="s">
        <v>17103</v>
      </c>
      <c r="B17103" s="2" t="str">
        <f>IFERROR(__xludf.DUMMYFUNCTION("GOOGLETRANSLATE(A17103, ""en"", ""mt"")"),"X'kien qed jiġri għan-numri tal-abbonati f'oqsma oħra tal-Ewropa?")</f>
        <v>X'kien qed jiġri għan-numri tal-abbonati f'oqsma oħra tal-Ewropa?</v>
      </c>
    </row>
    <row r="17104" ht="15.75" customHeight="1">
      <c r="A17104" s="2" t="s">
        <v>17104</v>
      </c>
      <c r="B17104" s="2" t="str">
        <f>IFERROR(__xludf.DUMMYFUNCTION("GOOGLETRANSLATE(A17104, ""en"", ""mt"")"),"Matul in-nofs l-Eoken")</f>
        <v>Matul in-nofs l-Eoken</v>
      </c>
    </row>
    <row r="17105" ht="15.75" customHeight="1">
      <c r="A17105" s="2" t="s">
        <v>17105</v>
      </c>
      <c r="B17105" s="2" t="str">
        <f>IFERROR(__xludf.DUMMYFUNCTION("GOOGLETRANSLATE(A17105, ""en"", ""mt"")"),"Ekwilibriju statiku")</f>
        <v>Ekwilibriju statiku</v>
      </c>
    </row>
    <row r="17106" ht="15.75" customHeight="1">
      <c r="A17106" s="2" t="s">
        <v>17106</v>
      </c>
      <c r="B17106" s="2" t="str">
        <f>IFERROR(__xludf.DUMMYFUNCTION("GOOGLETRANSLATE(A17106, ""en"", ""mt"")"),"Liema suġġett għandhom tipikament il-kontijiet privati?")</f>
        <v>Liema suġġett għandhom tipikament il-kontijiet privati?</v>
      </c>
    </row>
    <row r="17107" ht="15.75" customHeight="1">
      <c r="A17107" s="2" t="s">
        <v>17107</v>
      </c>
      <c r="B17107" s="2" t="str">
        <f>IFERROR(__xludf.DUMMYFUNCTION("GOOGLETRANSLATE(A17107, ""en"", ""mt"")"),"Vicodin, magħruf ġenerikament bħala hydrocodone")</f>
        <v>Vicodin, magħruf ġenerikament bħala hydrocodone</v>
      </c>
    </row>
    <row r="17108" ht="15.75" customHeight="1">
      <c r="A17108" s="2" t="s">
        <v>17108</v>
      </c>
      <c r="B17108" s="2" t="str">
        <f>IFERROR(__xludf.DUMMYFUNCTION("GOOGLETRANSLATE(A17108, ""en"", ""mt"")"),"X'kien l-isem tal-politika ta 'l-imperjalizmu ta' Theodore Roosevelt?")</f>
        <v>X'kien l-isem tal-politika ta 'l-imperjalizmu ta' Theodore Roosevelt?</v>
      </c>
    </row>
    <row r="17109" ht="15.75" customHeight="1">
      <c r="A17109" s="2" t="s">
        <v>17109</v>
      </c>
      <c r="B17109" s="2" t="str">
        <f>IFERROR(__xludf.DUMMYFUNCTION("GOOGLETRANSLATE(A17109, ""en"", ""mt"")"),"F'liema sena bdiet il-pesta fil-Lvant Nofsani?")</f>
        <v>F'liema sena bdiet il-pesta fil-Lvant Nofsani?</v>
      </c>
    </row>
    <row r="17110" ht="15.75" customHeight="1">
      <c r="A17110" s="2" t="s">
        <v>17110</v>
      </c>
      <c r="B17110" s="2" t="str">
        <f>IFERROR(__xludf.DUMMYFUNCTION("GOOGLETRANSLATE(A17110, ""en"", ""mt"")"),"inugwaljanza dejjem tiżdied")</f>
        <v>inugwaljanza dejjem tiżdied</v>
      </c>
    </row>
    <row r="17111" ht="15.75" customHeight="1">
      <c r="A17111" s="2" t="s">
        <v>17111</v>
      </c>
      <c r="B17111" s="2" t="str">
        <f>IFERROR(__xludf.DUMMYFUNCTION("GOOGLETRANSLATE(A17111, ""en"", ""mt"")"),"Appell għal difetti kostituzzjonali")</f>
        <v>Appell għal difetti kostituzzjonali</v>
      </c>
    </row>
    <row r="17112" ht="15.75" customHeight="1">
      <c r="A17112" s="2" t="s">
        <v>17112</v>
      </c>
      <c r="B17112" s="2" t="str">
        <f>IFERROR(__xludf.DUMMYFUNCTION("GOOGLETRANSLATE(A17112, ""en"", ""mt"")"),"funzjoni ta 'appoġġ")</f>
        <v>funzjoni ta 'appoġġ</v>
      </c>
    </row>
    <row r="17113" ht="15.75" customHeight="1">
      <c r="A17113" s="2" t="s">
        <v>17113</v>
      </c>
      <c r="B17113" s="2" t="str">
        <f>IFERROR(__xludf.DUMMYFUNCTION("GOOGLETRANSLATE(A17113, ""en"", ""mt"")"),"Liema skejjel tar-reliġjon ġew integrati fl-iskejjel pubbliċi ta 'New Zealand bejn l-1979 u l-1984?")</f>
        <v>Liema skejjel tar-reliġjon ġew integrati fl-iskejjel pubbliċi ta 'New Zealand bejn l-1979 u l-1984?</v>
      </c>
    </row>
    <row r="17114" ht="15.75" customHeight="1">
      <c r="A17114" s="2" t="s">
        <v>17114</v>
      </c>
      <c r="B17114" s="2" t="str">
        <f>IFERROR(__xludf.DUMMYFUNCTION("GOOGLETRANSLATE(A17114, ""en"", ""mt"")"),"Pjazza tal-Parlament")</f>
        <v>Pjazza tal-Parlament</v>
      </c>
    </row>
    <row r="17115" ht="15.75" customHeight="1">
      <c r="A17115" s="2" t="s">
        <v>17115</v>
      </c>
      <c r="B17115" s="2" t="str">
        <f>IFERROR(__xludf.DUMMYFUNCTION("GOOGLETRANSLATE(A17115, ""en"", ""mt"")"),"Min kien fuq l-ispedizzjoni tal-karfus?")</f>
        <v>Min kien fuq l-ispedizzjoni tal-karfus?</v>
      </c>
    </row>
    <row r="17116" ht="15.75" customHeight="1">
      <c r="A17116" s="2" t="s">
        <v>17116</v>
      </c>
      <c r="B17116" s="2" t="str">
        <f>IFERROR(__xludf.DUMMYFUNCTION("GOOGLETRANSLATE(A17116, ""en"", ""mt"")"),"Min hu l-President tal-Microsoft kif ukoll il-Kummissarju tal-NBA?")</f>
        <v>Min hu l-President tal-Microsoft kif ukoll il-Kummissarju tal-NBA?</v>
      </c>
    </row>
    <row r="17117" ht="15.75" customHeight="1">
      <c r="A17117" s="2" t="s">
        <v>17117</v>
      </c>
      <c r="B17117" s="2" t="str">
        <f>IFERROR(__xludf.DUMMYFUNCTION("GOOGLETRANSLATE(A17117, ""en"", ""mt"")"),"Minn fejn ix-xjenzati jħobbu r-radjazzjoni tal-veġetazzjoni tal-kejl?")</f>
        <v>Minn fejn ix-xjenzati jħobbu r-radjazzjoni tal-veġetazzjoni tal-kejl?</v>
      </c>
    </row>
    <row r="17118" ht="15.75" customHeight="1">
      <c r="A17118" s="2" t="s">
        <v>17118</v>
      </c>
      <c r="B17118" s="2" t="str">
        <f>IFERROR(__xludf.DUMMYFUNCTION("GOOGLETRANSLATE(A17118, ""en"", ""mt"")"),"X’għamlu t-trattati li ma fittxewx mill-fondazzjoni tagħha?")</f>
        <v>X’għamlu t-trattati li ma fittxewx mill-fondazzjoni tagħha?</v>
      </c>
    </row>
    <row r="17119" ht="15.75" customHeight="1">
      <c r="A17119" s="2" t="s">
        <v>17119</v>
      </c>
      <c r="B17119" s="2" t="str">
        <f>IFERROR(__xludf.DUMMYFUNCTION("GOOGLETRANSLATE(A17119, ""en"", ""mt"")"),"X'inhuma l-liġijiet tal-fiżika ta 'Galileo, b'referenza għall-objest fil-moviment u l-mistrieħ?")</f>
        <v>X'inhuma l-liġijiet tal-fiżika ta 'Galileo, b'referenza għall-objest fil-moviment u l-mistrieħ?</v>
      </c>
    </row>
    <row r="17120" ht="15.75" customHeight="1">
      <c r="A17120" s="2" t="s">
        <v>17120</v>
      </c>
      <c r="B17120" s="2" t="str">
        <f>IFERROR(__xludf.DUMMYFUNCTION("GOOGLETRANSLATE(A17120, ""en"", ""mt"")"),"Gvernatur Ċentrifugali")</f>
        <v>Gvernatur Ċentrifugali</v>
      </c>
    </row>
    <row r="17121" ht="15.75" customHeight="1">
      <c r="A17121" s="2" t="s">
        <v>17121</v>
      </c>
      <c r="B17121" s="2" t="str">
        <f>IFERROR(__xludf.DUMMYFUNCTION("GOOGLETRANSLATE(A17121, ""en"", ""mt"")"),"Liema ċelloli jgħinu biex jitrabbew ċelloli li huma infettati bil-viruses?")</f>
        <v>Liema ċelloli jgħinu biex jitrabbew ċelloli li huma infettati bil-viruses?</v>
      </c>
    </row>
    <row r="17122" ht="15.75" customHeight="1">
      <c r="A17122" s="2" t="s">
        <v>17122</v>
      </c>
      <c r="B17122" s="2" t="str">
        <f>IFERROR(__xludf.DUMMYFUNCTION("GOOGLETRANSLATE(A17122, ""en"", ""mt"")"),"Liema entitajiet kienu oriġinarjament imħassba dwar il-prevenzjoni ta 'ksur tad-drittijiet tal-bniedem?")</f>
        <v>Liema entitajiet kienu oriġinarjament imħassba dwar il-prevenzjoni ta 'ksur tad-drittijiet tal-bniedem?</v>
      </c>
    </row>
    <row r="17123" ht="15.75" customHeight="1">
      <c r="A17123" s="2" t="s">
        <v>17123</v>
      </c>
      <c r="B17123" s="2" t="str">
        <f>IFERROR(__xludf.DUMMYFUNCTION("GOOGLETRANSLATE(A17123, ""en"", ""mt"")"),"Siġra tal-Irmied")</f>
        <v>Siġra tal-Irmied</v>
      </c>
    </row>
    <row r="17124" ht="15.75" customHeight="1">
      <c r="A17124" s="2" t="s">
        <v>17124</v>
      </c>
      <c r="B17124" s="2" t="str">
        <f>IFERROR(__xludf.DUMMYFUNCTION("GOOGLETRANSLATE(A17124, ""en"", ""mt"")"),"Min jista 'jinforza l-liġi tal-Unjoni Ewropea?")</f>
        <v>Min jista 'jinforza l-liġi tal-Unjoni Ewropea?</v>
      </c>
    </row>
    <row r="17125" ht="15.75" customHeight="1">
      <c r="A17125" s="2" t="s">
        <v>17125</v>
      </c>
      <c r="B17125" s="2" t="str">
        <f>IFERROR(__xludf.DUMMYFUNCTION("GOOGLETRANSLATE(A17125, ""en"", ""mt"")"),"Meta ġiet ivvintata l-iskritt Phags-Pa?")</f>
        <v>Meta ġiet ivvintata l-iskritt Phags-Pa?</v>
      </c>
    </row>
    <row r="17126" ht="15.75" customHeight="1">
      <c r="A17126" s="2" t="s">
        <v>17126</v>
      </c>
      <c r="B17126" s="2" t="str">
        <f>IFERROR(__xludf.DUMMYFUNCTION("GOOGLETRANSLATE(A17126, ""en"", ""mt"")"),"Southern California")</f>
        <v>Southern California</v>
      </c>
    </row>
    <row r="17127" ht="15.75" customHeight="1">
      <c r="A17127" s="2" t="s">
        <v>17127</v>
      </c>
      <c r="B17127" s="2" t="str">
        <f>IFERROR(__xludf.DUMMYFUNCTION("GOOGLETRANSLATE(A17127, ""en"", ""mt"")"),"Xi jfisser l-istatocyst biex tikkonnettja?")</f>
        <v>Xi jfisser l-istatocyst biex tikkonnettja?</v>
      </c>
    </row>
    <row r="17128" ht="15.75" customHeight="1">
      <c r="A17128" s="2" t="s">
        <v>17128</v>
      </c>
      <c r="B17128" s="2" t="str">
        <f>IFERROR(__xludf.DUMMYFUNCTION("GOOGLETRANSLATE(A17128, ""en"", ""mt"")"),"Min jirrapporta dwar id-daqs ta 'tagħmir havy u coompanies tal-kostruzzjoni?")</f>
        <v>Min jirrapporta dwar id-daqs ta 'tagħmir havy u coompanies tal-kostruzzjoni?</v>
      </c>
    </row>
    <row r="17129" ht="15.75" customHeight="1">
      <c r="A17129" s="2" t="s">
        <v>17129</v>
      </c>
      <c r="B17129" s="2" t="str">
        <f>IFERROR(__xludf.DUMMYFUNCTION("GOOGLETRANSLATE(A17129, ""en"", ""mt"")"),"X'kien aktar tard ifformulat fi 3 ekwazzjonijiet ta 'vettur?")</f>
        <v>X'kien aktar tard ifformulat fi 3 ekwazzjonijiet ta 'vettur?</v>
      </c>
    </row>
    <row r="17130" ht="15.75" customHeight="1">
      <c r="A17130" s="2" t="s">
        <v>17130</v>
      </c>
      <c r="B17130" s="2" t="str">
        <f>IFERROR(__xludf.DUMMYFUNCTION("GOOGLETRANSLATE(A17130, ""en"", ""mt"")"),"X'inhu t-tieni livell ta 'diviżjoni territorjali f'Varsavja?")</f>
        <v>X'inhu t-tieni livell ta 'diviżjoni territorjali f'Varsavja?</v>
      </c>
    </row>
    <row r="17131" ht="15.75" customHeight="1">
      <c r="A17131" s="2" t="s">
        <v>17131</v>
      </c>
      <c r="B17131" s="2" t="str">
        <f>IFERROR(__xludf.DUMMYFUNCTION("GOOGLETRANSLATE(A17131, ""en"", ""mt"")"),"Kemm l-ilma joħroġ mill-Pannerdens Kanaal?")</f>
        <v>Kemm l-ilma joħroġ mill-Pannerdens Kanaal?</v>
      </c>
    </row>
    <row r="17132" ht="15.75" customHeight="1">
      <c r="A17132" s="2" t="s">
        <v>17132</v>
      </c>
      <c r="B17132" s="2" t="str">
        <f>IFERROR(__xludf.DUMMYFUNCTION("GOOGLETRANSLATE(A17132, ""en"", ""mt"")"),"Virgin Media")</f>
        <v>Virgin Media</v>
      </c>
    </row>
    <row r="17133" ht="15.75" customHeight="1">
      <c r="A17133" s="2" t="s">
        <v>17133</v>
      </c>
      <c r="B17133" s="2" t="str">
        <f>IFERROR(__xludf.DUMMYFUNCTION("GOOGLETRANSLATE(A17133, ""en"", ""mt"")"),"il-felċi")</f>
        <v>il-felċi</v>
      </c>
    </row>
    <row r="17134" ht="15.75" customHeight="1">
      <c r="A17134" s="2" t="s">
        <v>17134</v>
      </c>
      <c r="B17134" s="2" t="str">
        <f>IFERROR(__xludf.DUMMYFUNCTION("GOOGLETRANSLATE(A17134, ""en"", ""mt"")"),"Il-Maroons huma apparti liema assoċjazzjoni?")</f>
        <v>Il-Maroons huma apparti liema assoċjazzjoni?</v>
      </c>
    </row>
    <row r="17135" ht="15.75" customHeight="1">
      <c r="A17135" s="2" t="s">
        <v>17135</v>
      </c>
      <c r="B17135" s="2" t="str">
        <f>IFERROR(__xludf.DUMMYFUNCTION("GOOGLETRANSLATE(A17135, ""en"", ""mt"")"),"Xi jfisser it-temperaturi medji fis-sajf?")</f>
        <v>Xi jfisser it-temperaturi medji fis-sajf?</v>
      </c>
    </row>
    <row r="17136" ht="15.75" customHeight="1">
      <c r="A17136" s="2" t="s">
        <v>17136</v>
      </c>
      <c r="B17136" s="2" t="str">
        <f>IFERROR(__xludf.DUMMYFUNCTION("GOOGLETRANSLATE(A17136, ""en"", ""mt"")"),"Kif tissejjaħ id-diżubbidjenza ċivili fejn in-nies jirrifjutaw li jiġu meħlusa?")</f>
        <v>Kif tissejjaħ id-diżubbidjenza ċivili fejn in-nies jirrifjutaw li jiġu meħlusa?</v>
      </c>
    </row>
    <row r="17137" ht="15.75" customHeight="1">
      <c r="A17137" s="2" t="s">
        <v>17137</v>
      </c>
      <c r="B17137" s="2" t="str">
        <f>IFERROR(__xludf.DUMMYFUNCTION("GOOGLETRANSLATE(A17137, ""en"", ""mt"")"),"Liema magni ntużaw matul il-biċċa l-kbira tas-seklu 20 biex jimbottaw vapuri?")</f>
        <v>Liema magni ntużaw matul il-biċċa l-kbira tas-seklu 20 biex jimbottaw vapuri?</v>
      </c>
    </row>
    <row r="17138" ht="15.75" customHeight="1">
      <c r="A17138" s="2" t="s">
        <v>17138</v>
      </c>
      <c r="B17138" s="2" t="str">
        <f>IFERROR(__xludf.DUMMYFUNCTION("GOOGLETRANSLATE(A17138, ""en"", ""mt"")"),"passiv")</f>
        <v>passiv</v>
      </c>
    </row>
    <row r="17139" ht="15.75" customHeight="1">
      <c r="A17139" s="2" t="s">
        <v>17139</v>
      </c>
      <c r="B17139" s="2" t="str">
        <f>IFERROR(__xludf.DUMMYFUNCTION("GOOGLETRANSLATE(A17139, ""en"", ""mt"")"),"Liema ideat kien ir-rapport fl-1964 stat?")</f>
        <v>Liema ideat kien ir-rapport fl-1964 stat?</v>
      </c>
    </row>
    <row r="17140" ht="15.75" customHeight="1">
      <c r="A17140" s="2" t="s">
        <v>17140</v>
      </c>
      <c r="B17140" s="2" t="str">
        <f>IFERROR(__xludf.DUMMYFUNCTION("GOOGLETRANSLATE(A17140, ""en"", ""mt"")"),"Archduke Sigismund tal-Awstrija")</f>
        <v>Archduke Sigismund tal-Awstrija</v>
      </c>
    </row>
    <row r="17141" ht="15.75" customHeight="1">
      <c r="A17141" s="2" t="s">
        <v>17141</v>
      </c>
      <c r="B17141" s="2" t="str">
        <f>IFERROR(__xludf.DUMMYFUNCTION("GOOGLETRANSLATE(A17141, ""en"", ""mt"")"),"X'inhu tip ieħor ta 'algoritmu ta' kriptografija ta 'ċavetta pubblika?")</f>
        <v>X'inhu tip ieħor ta 'algoritmu ta' kriptografija ta 'ċavetta pubblika?</v>
      </c>
    </row>
    <row r="17142" ht="15.75" customHeight="1">
      <c r="A17142" s="2" t="s">
        <v>17142</v>
      </c>
      <c r="B17142" s="2" t="str">
        <f>IFERROR(__xludf.DUMMYFUNCTION("GOOGLETRANSLATE(A17142, ""en"", ""mt"")"),"timpjega spiżjara konsulenti u / jew tipprovdi servizzi ta 'konsultazzjoni")</f>
        <v>timpjega spiżjara konsulenti u / jew tipprovdi servizzi ta 'konsultazzjoni</v>
      </c>
    </row>
    <row r="17143" ht="15.75" customHeight="1">
      <c r="A17143" s="2" t="s">
        <v>17143</v>
      </c>
      <c r="B17143" s="2" t="str">
        <f>IFERROR(__xludf.DUMMYFUNCTION("GOOGLETRANSLATE(A17143, ""en"", ""mt"")"),"X'inhu pajjiż ieħor li ma jippermettix lit-tobba jagħtu d-droga minn ġewwa l-prattika tagħhom?")</f>
        <v>X'inhu pajjiż ieħor li ma jippermettix lit-tobba jagħtu d-droga minn ġewwa l-prattika tagħhom?</v>
      </c>
    </row>
    <row r="17144" ht="15.75" customHeight="1">
      <c r="A17144" s="2" t="s">
        <v>17144</v>
      </c>
      <c r="B17144" s="2" t="str">
        <f>IFERROR(__xludf.DUMMYFUNCTION("GOOGLETRANSLATE(A17144, ""en"", ""mt"")"),"Liema sena twaqqfet l-Università tal-Ekonomija?")</f>
        <v>Liema sena twaqqfet l-Università tal-Ekonomija?</v>
      </c>
    </row>
    <row r="17145" ht="15.75" customHeight="1">
      <c r="A17145" s="2" t="s">
        <v>17145</v>
      </c>
      <c r="B17145" s="2" t="str">
        <f>IFERROR(__xludf.DUMMYFUNCTION("GOOGLETRANSLATE(A17145, ""en"", ""mt"")"),"X'jimporta li fil-fatt ikollha li l-mekkanika Newtonjana ma tindirizzax?")</f>
        <v>X'jimporta li fil-fatt ikollha li l-mekkanika Newtonjana ma tindirizzax?</v>
      </c>
    </row>
    <row r="17146" ht="15.75" customHeight="1">
      <c r="A17146" s="2" t="s">
        <v>17146</v>
      </c>
      <c r="B17146" s="2" t="str">
        <f>IFERROR(__xludf.DUMMYFUNCTION("GOOGLETRANSLATE(A17146, ""en"", ""mt"")"),"Metamorfiku")</f>
        <v>Metamorfiku</v>
      </c>
    </row>
    <row r="17147" ht="15.75" customHeight="1">
      <c r="A17147" s="2" t="s">
        <v>17147</v>
      </c>
      <c r="B17147" s="2" t="str">
        <f>IFERROR(__xludf.DUMMYFUNCTION("GOOGLETRANSLATE(A17147, ""en"", ""mt"")"),"Liema standards stabbiliti tal-gvern jagħmlu biss l-iskejjel magħżula?")</f>
        <v>Liema standards stabbiliti tal-gvern jagħmlu biss l-iskejjel magħżula?</v>
      </c>
    </row>
    <row r="17148" ht="15.75" customHeight="1">
      <c r="A17148" s="2" t="s">
        <v>17148</v>
      </c>
      <c r="B17148" s="2" t="str">
        <f>IFERROR(__xludf.DUMMYFUNCTION("GOOGLETRANSLATE(A17148, ""en"", ""mt"")"),"Charles L. Hutchinson")</f>
        <v>Charles L. Hutchinson</v>
      </c>
    </row>
    <row r="17149" ht="15.75" customHeight="1">
      <c r="A17149" s="2" t="s">
        <v>17149</v>
      </c>
      <c r="B17149" s="2" t="str">
        <f>IFERROR(__xludf.DUMMYFUNCTION("GOOGLETRANSLATE(A17149, ""en"", ""mt"")"),"Immaniġġja d-Dipartiment tal-Ispiżerija")</f>
        <v>Immaniġġja d-Dipartiment tal-Ispiżerija</v>
      </c>
    </row>
    <row r="17150" ht="15.75" customHeight="1">
      <c r="A17150" s="2" t="s">
        <v>17150</v>
      </c>
      <c r="B17150" s="2" t="str">
        <f>IFERROR(__xludf.DUMMYFUNCTION("GOOGLETRANSLATE(A17150, ""en"", ""mt"")"),"Negozjanti jew negozji tal-pil Brittaniċi, Céloron għarrafhom bit-talbiet Franċiżi fit-territorju u qalilhom biex jitilqu.")</f>
        <v>Negozjanti jew negozji tal-pil Brittaniċi, Céloron għarrafhom bit-talbiet Franċiżi fit-territorju u qalilhom biex jitilqu.</v>
      </c>
    </row>
    <row r="17151" ht="15.75" customHeight="1">
      <c r="A17151" s="2" t="s">
        <v>17151</v>
      </c>
      <c r="B17151" s="2" t="str">
        <f>IFERROR(__xludf.DUMMYFUNCTION("GOOGLETRANSLATE(A17151, ""en"", ""mt"")"),"X'ttratta b'suċċess it-tnaqqis tal-ożonu?")</f>
        <v>X'ttratta b'suċċess it-tnaqqis tal-ożonu?</v>
      </c>
    </row>
    <row r="17152" ht="15.75" customHeight="1">
      <c r="A17152" s="2" t="s">
        <v>17152</v>
      </c>
      <c r="B17152" s="2" t="str">
        <f>IFERROR(__xludf.DUMMYFUNCTION("GOOGLETRANSLATE(A17152, ""en"", ""mt"")"),"King Ethelred II")</f>
        <v>King Ethelred II</v>
      </c>
    </row>
    <row r="17153" ht="15.75" customHeight="1">
      <c r="A17153" s="2" t="s">
        <v>17153</v>
      </c>
      <c r="B17153" s="2" t="str">
        <f>IFERROR(__xludf.DUMMYFUNCTION("GOOGLETRANSLATE(A17153, ""en"", ""mt"")"),"Folji tas-silġ")</f>
        <v>Folji tas-silġ</v>
      </c>
    </row>
    <row r="17154" ht="15.75" customHeight="1">
      <c r="A17154" s="2" t="s">
        <v>17154</v>
      </c>
      <c r="B17154" s="2" t="str">
        <f>IFERROR(__xludf.DUMMYFUNCTION("GOOGLETRANSLATE(A17154, ""en"", ""mt"")"),"L-isferi kollha tal-ħajja")</f>
        <v>L-isferi kollha tal-ħajja</v>
      </c>
    </row>
    <row r="17155" ht="15.75" customHeight="1">
      <c r="A17155" s="2" t="s">
        <v>17155</v>
      </c>
      <c r="B17155" s="2" t="str">
        <f>IFERROR(__xludf.DUMMYFUNCTION("GOOGLETRANSLATE(A17155, ""en"", ""mt"")"),"X'kien żviluppat mill-kejl ta 'Watt fuq kunċett atmosferiku?")</f>
        <v>X'kien żviluppat mill-kejl ta 'Watt fuq kunċett atmosferiku?</v>
      </c>
    </row>
    <row r="17156" ht="15.75" customHeight="1">
      <c r="A17156" s="2" t="s">
        <v>17156</v>
      </c>
      <c r="B17156" s="2" t="str">
        <f>IFERROR(__xludf.DUMMYFUNCTION("GOOGLETRANSLATE(A17156, ""en"", ""mt"")"),"Liema annimal li jgħix fix-xmara Amazon jipproduċi xokk ħafif?")</f>
        <v>Liema annimal li jgħix fix-xmara Amazon jipproduċi xokk ħafif?</v>
      </c>
    </row>
    <row r="17157" ht="15.75" customHeight="1">
      <c r="A17157" s="2" t="s">
        <v>17157</v>
      </c>
      <c r="B17157" s="2" t="str">
        <f>IFERROR(__xludf.DUMMYFUNCTION("GOOGLETRANSLATE(A17157, ""en"", ""mt"")"),"Fl-1854 fi Ballarat kien hemm ribelljoni armata kontra l-Gvern tar-Rabat minn minaturi li qed jipprotestaw kontra t-taxxi tal-minjieri (l- ""Eureka Stockade""). Dan kien mgħaffeġ minn truppi Ingliżi, iżda l-iskuntentizza wasslet lill-awtoritajiet kolonjal"&amp;"i biex jirriformaw l-amministrazzjoni (partikolarment it-tnaqqis tal-miżati tal-liċenzja tal-minjieri mibegħda) u jestendu l-franchise. Fi żmien qasir, il-Parlament Imperjali ta lill-gvern responsabbli tar-Rabat bil-passaġġ tal-Att tal-Kolonja tal-Victori"&amp;"a 1855. Uħud mill-mexxejja tar-ribelljoni tal-Eureka komplew isiru membri tal-Parlament Vittorjan.")</f>
        <v>Fl-1854 fi Ballarat kien hemm ribelljoni armata kontra l-Gvern tar-Rabat minn minaturi li qed jipprotestaw kontra t-taxxi tal-minjieri (l- "Eureka Stockade"). Dan kien mgħaffeġ minn truppi Ingliżi, iżda l-iskuntentizza wasslet lill-awtoritajiet kolonjali biex jirriformaw l-amministrazzjoni (partikolarment it-tnaqqis tal-miżati tal-liċenzja tal-minjieri mibegħda) u jestendu l-franchise. Fi żmien qasir, il-Parlament Imperjali ta lill-gvern responsabbli tar-Rabat bil-passaġġ tal-Att tal-Kolonja tal-Victoria 1855. Uħud mill-mexxejja tar-ribelljoni tal-Eureka komplew isiru membri tal-Parlament Vittorjan.</v>
      </c>
    </row>
    <row r="17158" ht="15.75" customHeight="1">
      <c r="A17158" s="2" t="s">
        <v>17158</v>
      </c>
      <c r="B17158" s="2" t="str">
        <f>IFERROR(__xludf.DUMMYFUNCTION("GOOGLETRANSLATE(A17158, ""en"", ""mt"")"),"Min kien influwenzat minn ideat medjevali bikrija?")</f>
        <v>Min kien influwenzat minn ideat medjevali bikrija?</v>
      </c>
    </row>
    <row r="17159" ht="15.75" customHeight="1">
      <c r="A17159" s="2" t="s">
        <v>17159</v>
      </c>
      <c r="B17159" s="2" t="str">
        <f>IFERROR(__xludf.DUMMYFUNCTION("GOOGLETRANSLATE(A17159, ""en"", ""mt"")"),"Id-Distrett tat-Torri")</f>
        <v>Id-Distrett tat-Torri</v>
      </c>
    </row>
    <row r="17160" ht="15.75" customHeight="1">
      <c r="A17160" s="2" t="s">
        <v>17160</v>
      </c>
      <c r="B17160" s="2" t="str">
        <f>IFERROR(__xludf.DUMMYFUNCTION("GOOGLETRANSLATE(A17160, ""en"", ""mt"")"),"X'inhu karatteristika ta 'ermafroditi sekwenzjali?")</f>
        <v>X'inhu karatteristika ta 'ermafroditi sekwenzjali?</v>
      </c>
    </row>
    <row r="17161" ht="15.75" customHeight="1">
      <c r="A17161" s="2" t="s">
        <v>17161</v>
      </c>
      <c r="B17161" s="2" t="str">
        <f>IFERROR(__xludf.DUMMYFUNCTION("GOOGLETRANSLATE(A17161, ""en"", ""mt"")"),"Meta l-gvern Iranjan igawdi xi ħaġa ta 'qawmien mill-ġdid?")</f>
        <v>Meta l-gvern Iranjan igawdi xi ħaġa ta 'qawmien mill-ġdid?</v>
      </c>
    </row>
    <row r="17162" ht="15.75" customHeight="1">
      <c r="A17162" s="2" t="s">
        <v>17162</v>
      </c>
      <c r="B17162" s="2" t="str">
        <f>IFERROR(__xludf.DUMMYFUNCTION("GOOGLETRANSLATE(A17162, ""en"", ""mt"")"),"Isomorfiżmu tal-graff")</f>
        <v>Isomorfiżmu tal-graff</v>
      </c>
    </row>
    <row r="17163" ht="15.75" customHeight="1">
      <c r="A17163" s="2" t="s">
        <v>17163</v>
      </c>
      <c r="B17163" s="2" t="str">
        <f>IFERROR(__xludf.DUMMYFUNCTION("GOOGLETRANSLATE(A17163, ""en"", ""mt"")"),"""zip"" il-ħalq jingħalaq meta l-annimal ma jkunx qed jitma '")</f>
        <v>"zip" il-ħalq jingħalaq meta l-annimal ma jkunx qed jitma '</v>
      </c>
    </row>
    <row r="17164" ht="15.75" customHeight="1">
      <c r="A17164" s="2" t="s">
        <v>17164</v>
      </c>
      <c r="B17164" s="2" t="str">
        <f>IFERROR(__xludf.DUMMYFUNCTION("GOOGLETRANSLATE(A17164, ""en"", ""mt"")"),"Antigone")</f>
        <v>Antigone</v>
      </c>
    </row>
    <row r="17165" ht="15.75" customHeight="1">
      <c r="A17165" s="2" t="s">
        <v>17165</v>
      </c>
      <c r="B17165" s="2" t="str">
        <f>IFERROR(__xludf.DUMMYFUNCTION("GOOGLETRANSLATE(A17165, ""en"", ""mt"")"),"L-iswiċċ tal-pakketti kellu l-għan li joħloq xiex?")</f>
        <v>L-iswiċċ tal-pakketti kellu l-għan li joħloq xiex?</v>
      </c>
    </row>
    <row r="17166" ht="15.75" customHeight="1">
      <c r="A17166" s="2" t="s">
        <v>17166</v>
      </c>
      <c r="B17166" s="2" t="str">
        <f>IFERROR(__xludf.DUMMYFUNCTION("GOOGLETRANSLATE(A17166, ""en"", ""mt"")"),"Sensing fuq il-post qed jintuża minn tribujiet indiġeni għal xiex")</f>
        <v>Sensing fuq il-post qed jintuża minn tribujiet indiġeni għal xiex</v>
      </c>
    </row>
    <row r="17167" ht="15.75" customHeight="1">
      <c r="A17167" s="2" t="s">
        <v>17167</v>
      </c>
      <c r="B17167" s="2" t="str">
        <f>IFERROR(__xludf.DUMMYFUNCTION("GOOGLETRANSLATE(A17167, ""en"", ""mt"")"),"Problema oħra")</f>
        <v>Problema oħra</v>
      </c>
    </row>
    <row r="17168" ht="15.75" customHeight="1">
      <c r="A17168" s="2" t="s">
        <v>17168</v>
      </c>
      <c r="B17168" s="2" t="str">
        <f>IFERROR(__xludf.DUMMYFUNCTION("GOOGLETRANSLATE(A17168, ""en"", ""mt"")"),"Prinċipji tal-Ġeoloġija")</f>
        <v>Prinċipji tal-Ġeoloġija</v>
      </c>
    </row>
    <row r="17169" ht="15.75" customHeight="1">
      <c r="A17169" s="2" t="s">
        <v>17169</v>
      </c>
      <c r="B17169" s="2" t="str">
        <f>IFERROR(__xludf.DUMMYFUNCTION("GOOGLETRANSLATE(A17169, ""en"", ""mt"")"),"Iktar kmieni huma ċedew lill-Mongoli, iktar ikunu tqiegħdu")</f>
        <v>Iktar kmieni huma ċedew lill-Mongoli, iktar ikunu tqiegħdu</v>
      </c>
    </row>
    <row r="17170" ht="15.75" customHeight="1">
      <c r="A17170" s="2" t="s">
        <v>17170</v>
      </c>
      <c r="B17170" s="2" t="str">
        <f>IFERROR(__xludf.DUMMYFUNCTION("GOOGLETRANSLATE(A17170, ""en"", ""mt"")"),"X'inhi barriera mekkanika fl-insetti li tipproteġi l-insett?")</f>
        <v>X'inhi barriera mekkanika fl-insetti li tipproteġi l-insett?</v>
      </c>
    </row>
    <row r="17171" ht="15.75" customHeight="1">
      <c r="A17171" s="2" t="s">
        <v>17171</v>
      </c>
      <c r="B17171" s="2" t="str">
        <f>IFERROR(__xludf.DUMMYFUNCTION("GOOGLETRANSLATE(A17171, ""en"", ""mt"")"),"Rati ta 'żieda fil-livell tal-baħar")</f>
        <v>Rati ta 'żieda fil-livell tal-baħar</v>
      </c>
    </row>
    <row r="17172" ht="15.75" customHeight="1">
      <c r="A17172" s="2" t="s">
        <v>17172</v>
      </c>
      <c r="B17172" s="2" t="str">
        <f>IFERROR(__xludf.DUMMYFUNCTION("GOOGLETRANSLATE(A17172, ""en"", ""mt"")"),"Il-Bureau Parlamentari")</f>
        <v>Il-Bureau Parlamentari</v>
      </c>
    </row>
    <row r="17173" ht="15.75" customHeight="1">
      <c r="A17173" s="2" t="s">
        <v>17173</v>
      </c>
      <c r="B17173" s="2" t="str">
        <f>IFERROR(__xludf.DUMMYFUNCTION("GOOGLETRANSLATE(A17173, ""en"", ""mt"")"),"Kemm idumu d-dibattitu tal-membri?")</f>
        <v>Kemm idumu d-dibattitu tal-membri?</v>
      </c>
    </row>
    <row r="17174" ht="15.75" customHeight="1">
      <c r="A17174" s="2" t="s">
        <v>17174</v>
      </c>
      <c r="B17174" s="2" t="str">
        <f>IFERROR(__xludf.DUMMYFUNCTION("GOOGLETRANSLATE(A17174, ""en"", ""mt"")"),"ċelloli fagoċitiċi")</f>
        <v>ċelloli fagoċitiċi</v>
      </c>
    </row>
    <row r="17175" ht="15.75" customHeight="1">
      <c r="A17175" s="2" t="s">
        <v>17175</v>
      </c>
      <c r="B17175" s="2" t="str">
        <f>IFERROR(__xludf.DUMMYFUNCTION("GOOGLETRANSLATE(A17175, ""en"", ""mt"")"),"63 jum")</f>
        <v>63 jum</v>
      </c>
    </row>
    <row r="17176" ht="15.75" customHeight="1">
      <c r="A17176" s="2" t="s">
        <v>17176</v>
      </c>
      <c r="B17176" s="2" t="str">
        <f>IFERROR(__xludf.DUMMYFUNCTION("GOOGLETRANSLATE(A17176, ""en"", ""mt"")"),"mhedded ""Brittaniku qadim"" b'konsegwenzi severi jekk kompla jinnegozja mal-Ingliżi")</f>
        <v>mhedded "Brittaniku qadim" b'konsegwenzi severi jekk kompla jinnegozja mal-Ingliżi</v>
      </c>
    </row>
    <row r="17177" ht="15.75" customHeight="1">
      <c r="A17177" s="2" t="s">
        <v>17177</v>
      </c>
      <c r="B17177" s="2" t="str">
        <f>IFERROR(__xludf.DUMMYFUNCTION("GOOGLETRANSLATE(A17177, ""en"", ""mt"")"),"1815")</f>
        <v>1815</v>
      </c>
    </row>
    <row r="17178" ht="15.75" customHeight="1">
      <c r="A17178" s="2" t="s">
        <v>17178</v>
      </c>
      <c r="B17178" s="2" t="str">
        <f>IFERROR(__xludf.DUMMYFUNCTION("GOOGLETRANSLATE(A17178, ""en"", ""mt"")"),"il-massa tas-sistema")</f>
        <v>il-massa tas-sistema</v>
      </c>
    </row>
    <row r="17179" ht="15.75" customHeight="1">
      <c r="A17179" s="2" t="s">
        <v>17179</v>
      </c>
      <c r="B17179" s="2" t="str">
        <f>IFERROR(__xludf.DUMMYFUNCTION("GOOGLETRANSLATE(A17179, ""en"", ""mt"")"),"X'inhu l-isem mogħti lis-sekwenza tal-input ta 'soluzzjoni tal-komputazzjoni?")</f>
        <v>X'inhu l-isem mogħti lis-sekwenza tal-input ta 'soluzzjoni tal-komputazzjoni?</v>
      </c>
    </row>
    <row r="17180" ht="15.75" customHeight="1">
      <c r="A17180" s="2" t="s">
        <v>17180</v>
      </c>
      <c r="B17180" s="2" t="str">
        <f>IFERROR(__xludf.DUMMYFUNCTION("GOOGLETRANSLATE(A17180, ""en"", ""mt"")"),"X'qal Joseph Haas fl-email tiegħu?")</f>
        <v>X'qal Joseph Haas fl-email tiegħu?</v>
      </c>
    </row>
    <row r="17181" ht="15.75" customHeight="1">
      <c r="A17181" s="2" t="s">
        <v>17181</v>
      </c>
      <c r="B17181" s="2" t="str">
        <f>IFERROR(__xludf.DUMMYFUNCTION("GOOGLETRANSLATE(A17181, ""en"", ""mt"")"),"X'jikkawża li l-gradjenti topografiċi jiġġarrfu?")</f>
        <v>X'jikkawża li l-gradjenti topografiċi jiġġarrfu?</v>
      </c>
    </row>
    <row r="17182" ht="15.75" customHeight="1">
      <c r="A17182" s="2" t="s">
        <v>17182</v>
      </c>
      <c r="B17182" s="2" t="str">
        <f>IFERROR(__xludf.DUMMYFUNCTION("GOOGLETRANSLATE(A17182, ""en"", ""mt"")"),"L-IPCC ma jwettaqx riċerka u lanqas ma jissorvelja d-dejta relatata mal-klima. L-awturi ewlenin tar-rapporti tal-IPCC jivvalutaw l-informazzjoni disponibbli dwar il-bidla fil-klima bbażata fuq sorsi ppubblikati. Skond il-linji gwida tal-IPCC, l-awturi għa"&amp;"ndhom jagħtu prijorità lil sorsi riveduti mill-pari. L-awturi jistgħu jirreferu għal sorsi mhux riveduti mhux mill-peer (il- ""letteratura griża""), sakemm ikunu ta 'kwalità suffiċjenti. Eżempji ta 'sorsi mhux riveduti mhux mill-peer jinkludu riżultati ta"&amp;"l-mudell, rapporti minn aġenziji tal-gvern u organizzazzjonijiet mhux governattivi, u ġurnali tal-industrija. Kull rapport tal-IPCC sussegwenti jinnota oqsma fejn ix-xjenza tjiebet mir-rapport preċedenti u tinnota wkoll oqsma fejn hija meħtieġa aktar riċe"&amp;"rka.")</f>
        <v>L-IPCC ma jwettaqx riċerka u lanqas ma jissorvelja d-dejta relatata mal-klima. L-awturi ewlenin tar-rapporti tal-IPCC jivvalutaw l-informazzjoni disponibbli dwar il-bidla fil-klima bbażata fuq sorsi ppubblikati. Skond il-linji gwida tal-IPCC, l-awturi għandhom jagħtu prijorità lil sorsi riveduti mill-pari. L-awturi jistgħu jirreferu għal sorsi mhux riveduti mhux mill-peer (il- "letteratura griża"), sakemm ikunu ta 'kwalità suffiċjenti. Eżempji ta 'sorsi mhux riveduti mhux mill-peer jinkludu riżultati tal-mudell, rapporti minn aġenziji tal-gvern u organizzazzjonijiet mhux governattivi, u ġurnali tal-industrija. Kull rapport tal-IPCC sussegwenti jinnota oqsma fejn ix-xjenza tjiebet mir-rapport preċedenti u tinnota wkoll oqsma fejn hija meħtieġa aktar riċerka.</v>
      </c>
    </row>
    <row r="17183" ht="15.75" customHeight="1">
      <c r="A17183" s="2" t="s">
        <v>17183</v>
      </c>
      <c r="B17183" s="2" t="str">
        <f>IFERROR(__xludf.DUMMYFUNCTION("GOOGLETRANSLATE(A17183, ""en"", ""mt"")"),"siġill")</f>
        <v>siġill</v>
      </c>
    </row>
    <row r="17184" ht="15.75" customHeight="1">
      <c r="A17184" s="2" t="s">
        <v>17184</v>
      </c>
      <c r="B17184" s="2" t="str">
        <f>IFERROR(__xludf.DUMMYFUNCTION("GOOGLETRANSLATE(A17184, ""en"", ""mt"")"),"Liema korp iddikjara li t-tobba ma jistgħux iwarrbu l-mediċini taħt kundizzjonijiet speċifiċi?")</f>
        <v>Liema korp iddikjara li t-tobba ma jistgħux iwarrbu l-mediċini taħt kundizzjonijiet speċifiċi?</v>
      </c>
    </row>
    <row r="17185" ht="15.75" customHeight="1">
      <c r="A17185" s="2" t="s">
        <v>17185</v>
      </c>
      <c r="B17185" s="2" t="str">
        <f>IFERROR(__xludf.DUMMYFUNCTION("GOOGLETRANSLATE(A17185, ""en"", ""mt"")"),"Fit-turbina tal-fwar, fuq liema huma mmuntati r-rotors?")</f>
        <v>Fit-turbina tal-fwar, fuq liema huma mmuntati r-rotors?</v>
      </c>
    </row>
    <row r="17186" ht="15.75" customHeight="1">
      <c r="A17186" s="2" t="s">
        <v>17186</v>
      </c>
      <c r="B17186" s="2" t="str">
        <f>IFERROR(__xludf.DUMMYFUNCTION("GOOGLETRANSLATE(A17186, ""en"", ""mt"")"),"Rekwiżiti taż-Żonjar u tal-Kodiċi tal-Bini")</f>
        <v>Rekwiżiti taż-Żonjar u tal-Kodiċi tal-Bini</v>
      </c>
    </row>
    <row r="17187" ht="15.75" customHeight="1">
      <c r="A17187" s="2" t="s">
        <v>17187</v>
      </c>
      <c r="B17187" s="2" t="str">
        <f>IFERROR(__xludf.DUMMYFUNCTION("GOOGLETRANSLATE(A17187, ""en"", ""mt"")"),"Ġeoloġi strutturali")</f>
        <v>Ġeoloġi strutturali</v>
      </c>
    </row>
    <row r="17188" ht="15.75" customHeight="1">
      <c r="A17188" s="2" t="s">
        <v>17188</v>
      </c>
      <c r="B17188" s="2" t="str">
        <f>IFERROR(__xludf.DUMMYFUNCTION("GOOGLETRANSLATE(A17188, ""en"", ""mt"")"),"X'tip ta 'għanijiet ġeneralment isiru l-liġi?")</f>
        <v>X'tip ta 'għanijiet ġeneralment isiru l-liġi?</v>
      </c>
    </row>
    <row r="17189" ht="15.75" customHeight="1">
      <c r="A17189" s="2" t="s">
        <v>17189</v>
      </c>
      <c r="B17189" s="2" t="str">
        <f>IFERROR(__xludf.DUMMYFUNCTION("GOOGLETRANSLATE(A17189, ""en"", ""mt"")"),"Fluttwazzjonijiet fil-klima matul l-aħħar 34 miljun sena")</f>
        <v>Fluttwazzjonijiet fil-klima matul l-aħħar 34 miljun sena</v>
      </c>
    </row>
    <row r="17190" ht="15.75" customHeight="1">
      <c r="A17190" s="2" t="s">
        <v>17190</v>
      </c>
      <c r="B17190" s="2" t="str">
        <f>IFERROR(__xludf.DUMMYFUNCTION("GOOGLETRANSLATE(A17190, ""en"", ""mt"")"),"Liema triq tinsab fil-punent tal-korsa tal-golf?")</f>
        <v>Liema triq tinsab fil-punent tal-korsa tal-golf?</v>
      </c>
    </row>
    <row r="17191" ht="15.75" customHeight="1">
      <c r="A17191" s="2" t="s">
        <v>17191</v>
      </c>
      <c r="B17191" s="2" t="str">
        <f>IFERROR(__xludf.DUMMYFUNCTION("GOOGLETRANSLATE(A17191, ""en"", ""mt"")"),"jinħall")</f>
        <v>jinħall</v>
      </c>
    </row>
    <row r="17192" ht="15.75" customHeight="1">
      <c r="A17192" s="2" t="s">
        <v>17192</v>
      </c>
      <c r="B17192" s="2" t="str">
        <f>IFERROR(__xludf.DUMMYFUNCTION("GOOGLETRANSLATE(A17192, ""en"", ""mt"")"),"Mill-4 ta ’Awwissu 1915 sa Novembru 1918")</f>
        <v>Mill-4 ta ’Awwissu 1915 sa Novembru 1918</v>
      </c>
    </row>
    <row r="17193" ht="15.75" customHeight="1">
      <c r="A17193" s="2" t="s">
        <v>17193</v>
      </c>
      <c r="B17193" s="2" t="str">
        <f>IFERROR(__xludf.DUMMYFUNCTION("GOOGLETRANSLATE(A17193, ""en"", ""mt"")"),"Dak li kien ikkunsidrat bħala pass importanti?")</f>
        <v>Dak li kien ikkunsidrat bħala pass importanti?</v>
      </c>
    </row>
    <row r="17194" ht="15.75" customHeight="1">
      <c r="A17194" s="2" t="s">
        <v>17194</v>
      </c>
      <c r="B17194" s="2" t="str">
        <f>IFERROR(__xludf.DUMMYFUNCTION("GOOGLETRANSLATE(A17194, ""en"", ""mt"")"),"Braddock")</f>
        <v>Braddock</v>
      </c>
    </row>
    <row r="17195" ht="15.75" customHeight="1">
      <c r="A17195" s="2" t="s">
        <v>17195</v>
      </c>
      <c r="B17195" s="2" t="str">
        <f>IFERROR(__xludf.DUMMYFUNCTION("GOOGLETRANSLATE(A17195, ""en"", ""mt"")"),"66 miljun sena ilu")</f>
        <v>66 miljun sena ilu</v>
      </c>
    </row>
    <row r="17196" ht="15.75" customHeight="1">
      <c r="A17196" s="2" t="s">
        <v>17196</v>
      </c>
      <c r="B17196" s="2" t="str">
        <f>IFERROR(__xludf.DUMMYFUNCTION("GOOGLETRANSLATE(A17196, ""en"", ""mt"")"),"Flimkien mal-Ingliż u l-Matematika, liema suġġett issostitwixxa l-valuri tal-edukazzjoni għall-istudenti tar-raba 'sena?")</f>
        <v>Flimkien mal-Ingliż u l-Matematika, liema suġġett issostitwixxa l-valuri tal-edukazzjoni għall-istudenti tar-raba 'sena?</v>
      </c>
    </row>
    <row r="17197" ht="15.75" customHeight="1">
      <c r="A17197" s="2" t="s">
        <v>17197</v>
      </c>
      <c r="B17197" s="2" t="str">
        <f>IFERROR(__xludf.DUMMYFUNCTION("GOOGLETRANSLATE(A17197, ""en"", ""mt"")"),"fl-1041")</f>
        <v>fl-1041</v>
      </c>
    </row>
    <row r="17198" ht="15.75" customHeight="1">
      <c r="A17198" s="2" t="s">
        <v>17198</v>
      </c>
      <c r="B17198" s="2" t="str">
        <f>IFERROR(__xludf.DUMMYFUNCTION("GOOGLETRANSLATE(A17198, ""en"", ""mt"")"),"Meta twaqqfet is-Soċjetà Irjali ta 'Edinburgu?")</f>
        <v>Meta twaqqfet is-Soċjetà Irjali ta 'Edinburgu?</v>
      </c>
    </row>
    <row r="17199" ht="15.75" customHeight="1">
      <c r="A17199" s="2" t="s">
        <v>17199</v>
      </c>
      <c r="B17199" s="2" t="str">
        <f>IFERROR(__xludf.DUMMYFUNCTION("GOOGLETRANSLATE(A17199, ""en"", ""mt"")"),"Ta 'liema forma huma Sophie Germain Primes?")</f>
        <v>Ta 'liema forma huma Sophie Germain Primes?</v>
      </c>
    </row>
    <row r="17200" ht="15.75" customHeight="1">
      <c r="A17200" s="2" t="s">
        <v>17200</v>
      </c>
      <c r="B17200" s="2" t="str">
        <f>IFERROR(__xludf.DUMMYFUNCTION("GOOGLETRANSLATE(A17200, ""en"", ""mt"")"),"Cape of Good Hope")</f>
        <v>Cape of Good Hope</v>
      </c>
    </row>
    <row r="17201" ht="15.75" customHeight="1">
      <c r="A17201" s="2" t="s">
        <v>17201</v>
      </c>
      <c r="B17201" s="2" t="str">
        <f>IFERROR(__xludf.DUMMYFUNCTION("GOOGLETRANSLATE(A17201, ""en"", ""mt"")"),"F'liema stat jintbagħat bl-ossiġnu bl-ingrossa?")</f>
        <v>F'liema stat jintbagħat bl-ossiġnu bl-ingrossa?</v>
      </c>
    </row>
    <row r="17202" ht="15.75" customHeight="1">
      <c r="A17202" s="2" t="s">
        <v>17202</v>
      </c>
      <c r="B17202" s="2" t="str">
        <f>IFERROR(__xludf.DUMMYFUNCTION("GOOGLETRANSLATE(A17202, ""en"", ""mt"")"),"ċirku r")</f>
        <v>ċirku r</v>
      </c>
    </row>
    <row r="17203" ht="15.75" customHeight="1">
      <c r="A17203" s="2" t="s">
        <v>17203</v>
      </c>
      <c r="B17203" s="2" t="str">
        <f>IFERROR(__xludf.DUMMYFUNCTION("GOOGLETRANSLATE(A17203, ""en"", ""mt"")"),"L-ispedizzjoni kienet diżastru")</f>
        <v>L-ispedizzjoni kienet diżastru</v>
      </c>
    </row>
    <row r="17204" ht="15.75" customHeight="1">
      <c r="A17204" s="2" t="s">
        <v>17204</v>
      </c>
      <c r="B17204" s="2" t="str">
        <f>IFERROR(__xludf.DUMMYFUNCTION("GOOGLETRANSLATE(A17204, ""en"", ""mt"")"),"X'inhu l-isem tal-pont li jingħaqad ma 'partijiet tal-kampus tax-xmara Charles?")</f>
        <v>X'inhu l-isem tal-pont li jingħaqad ma 'partijiet tal-kampus tax-xmara Charles?</v>
      </c>
    </row>
    <row r="17205" ht="15.75" customHeight="1">
      <c r="A17205" s="2" t="s">
        <v>17205</v>
      </c>
      <c r="B17205" s="2" t="str">
        <f>IFERROR(__xludf.DUMMYFUNCTION("GOOGLETRANSLATE(A17205, ""en"", ""mt"")"),"B'liema mod xi nies iwettqu diżubbidjenza ċivili b'mod kostruttiv?")</f>
        <v>B'liema mod xi nies iwettqu diżubbidjenza ċivili b'mod kostruttiv?</v>
      </c>
    </row>
    <row r="17206" ht="15.75" customHeight="1">
      <c r="A17206" s="2" t="s">
        <v>17206</v>
      </c>
      <c r="B17206" s="2" t="str">
        <f>IFERROR(__xludf.DUMMYFUNCTION("GOOGLETRANSLATE(A17206, ""en"", ""mt"")"),"Għaliex Toghun Temur ċaħad Toghtogha?")</f>
        <v>Għaliex Toghun Temur ċaħad Toghtogha?</v>
      </c>
    </row>
    <row r="17207" ht="15.75" customHeight="1">
      <c r="A17207" s="2" t="s">
        <v>17207</v>
      </c>
      <c r="B17207" s="2" t="str">
        <f>IFERROR(__xludf.DUMMYFUNCTION("GOOGLETRANSLATE(A17207, ""en"", ""mt"")"),"X'inhi funzjoni oħra li l-primes għandhom dak in-numru 15 ma għandux?")</f>
        <v>X'inhi funzjoni oħra li l-primes għandhom dak in-numru 15 ma għandux?</v>
      </c>
    </row>
    <row r="17208" ht="15.75" customHeight="1">
      <c r="A17208" s="2" t="s">
        <v>17208</v>
      </c>
      <c r="B17208" s="2" t="str">
        <f>IFERROR(__xludf.DUMMYFUNCTION("GOOGLETRANSLATE(A17208, ""en"", ""mt"")"),"Liema telf nett sofrew il-Konservattivi?")</f>
        <v>Liema telf nett sofrew il-Konservattivi?</v>
      </c>
    </row>
    <row r="17209" ht="15.75" customHeight="1">
      <c r="A17209" s="2" t="s">
        <v>17209</v>
      </c>
      <c r="B17209" s="2" t="str">
        <f>IFERROR(__xludf.DUMMYFUNCTION("GOOGLETRANSLATE(A17209, ""en"", ""mt"")"),"L-espansjoni tal-Istati Uniti lejn il-punent tista 'titqies bħala x'tip ta' kolonjaliżmu?")</f>
        <v>L-espansjoni tal-Istati Uniti lejn il-punent tista 'titqies bħala x'tip ta' kolonjaliżmu?</v>
      </c>
    </row>
    <row r="17210" ht="15.75" customHeight="1">
      <c r="A17210" s="2" t="s">
        <v>17210</v>
      </c>
      <c r="B17210" s="2" t="str">
        <f>IFERROR(__xludf.DUMMYFUNCTION("GOOGLETRANSLATE(A17210, ""en"", ""mt"")"),"L-Iran kien liema daqs tal-esportatur taż-żejt?")</f>
        <v>L-Iran kien liema daqs tal-esportatur taż-żejt?</v>
      </c>
    </row>
    <row r="17211" ht="15.75" customHeight="1">
      <c r="A17211" s="2" t="s">
        <v>17211</v>
      </c>
      <c r="B17211" s="2" t="str">
        <f>IFERROR(__xludf.DUMMYFUNCTION("GOOGLETRANSLATE(A17211, ""en"", ""mt"")"),"klijent")</f>
        <v>klijent</v>
      </c>
    </row>
    <row r="17212" ht="15.75" customHeight="1">
      <c r="A17212" s="2" t="s">
        <v>17212</v>
      </c>
      <c r="B17212" s="2" t="str">
        <f>IFERROR(__xludf.DUMMYFUNCTION("GOOGLETRANSLATE(A17212, ""en"", ""mt"")"),"Minn fejn testendi t-8 Megaregion tal-Kontea?")</f>
        <v>Minn fejn testendi t-8 Megaregion tal-Kontea?</v>
      </c>
    </row>
    <row r="17213" ht="15.75" customHeight="1">
      <c r="A17213" s="2" t="s">
        <v>17213</v>
      </c>
      <c r="B17213" s="2" t="str">
        <f>IFERROR(__xludf.DUMMYFUNCTION("GOOGLETRANSLATE(A17213, ""en"", ""mt"")"),"X'inhuma l-mekkaniżmi inqas kumplessi użati?")</f>
        <v>X'inhuma l-mekkaniżmi inqas kumplessi użati?</v>
      </c>
    </row>
    <row r="17214" ht="15.75" customHeight="1">
      <c r="A17214" s="2" t="s">
        <v>17214</v>
      </c>
      <c r="B17214" s="2" t="str">
        <f>IFERROR(__xludf.DUMMYFUNCTION("GOOGLETRANSLATE(A17214, ""en"", ""mt"")"),"Paċi Mongolja")</f>
        <v>Paċi Mongolja</v>
      </c>
    </row>
    <row r="17215" ht="15.75" customHeight="1">
      <c r="A17215" s="2" t="s">
        <v>17215</v>
      </c>
      <c r="B17215" s="2" t="str">
        <f>IFERROR(__xludf.DUMMYFUNCTION("GOOGLETRANSLATE(A17215, ""en"", ""mt"")"),"Liema belt Franċiża ġiet imsemmija New Rochelle wara?")</f>
        <v>Liema belt Franċiża ġiet imsemmija New Rochelle wara?</v>
      </c>
    </row>
    <row r="17216" ht="15.75" customHeight="1">
      <c r="A17216" s="2" t="s">
        <v>17216</v>
      </c>
      <c r="B17216" s="2" t="str">
        <f>IFERROR(__xludf.DUMMYFUNCTION("GOOGLETRANSLATE(A17216, ""en"", ""mt"")"),"Kif tissejjaħ iż-żona ħdejn il-Gorge Rhine bil-kastelli mill-Medju Evu?")</f>
        <v>Kif tissejjaħ iż-żona ħdejn il-Gorge Rhine bil-kastelli mill-Medju Evu?</v>
      </c>
    </row>
    <row r="17217" ht="15.75" customHeight="1">
      <c r="A17217" s="2" t="s">
        <v>17217</v>
      </c>
      <c r="B17217" s="2" t="str">
        <f>IFERROR(__xludf.DUMMYFUNCTION("GOOGLETRANSLATE(A17217, ""en"", ""mt"")"),"irribellaw kontra dak li jqisu li huma inġusti")</f>
        <v>irribellaw kontra dak li jqisu li huma inġusti</v>
      </c>
    </row>
    <row r="17218" ht="15.75" customHeight="1">
      <c r="A17218" s="2" t="s">
        <v>17218</v>
      </c>
      <c r="B17218" s="2" t="str">
        <f>IFERROR(__xludf.DUMMYFUNCTION("GOOGLETRANSLATE(A17218, ""en"", ""mt"")"),"X'inhuma r-riżervi ta 'Harvard Pell Grant?")</f>
        <v>X'inhuma r-riżervi ta 'Harvard Pell Grant?</v>
      </c>
    </row>
    <row r="17219" ht="15.75" customHeight="1">
      <c r="A17219" s="2" t="s">
        <v>17219</v>
      </c>
      <c r="B17219" s="2" t="str">
        <f>IFERROR(__xludf.DUMMYFUNCTION("GOOGLETRANSLATE(A17219, ""en"", ""mt"")"),"X'inhu magħruf għall-adattament u l-evoluzzjoni bil-mod?")</f>
        <v>X'inhu magħruf għall-adattament u l-evoluzzjoni bil-mod?</v>
      </c>
    </row>
    <row r="17220" ht="15.75" customHeight="1">
      <c r="A17220" s="2" t="s">
        <v>17220</v>
      </c>
      <c r="B17220" s="2" t="str">
        <f>IFERROR(__xludf.DUMMYFUNCTION("GOOGLETRANSLATE(A17220, ""en"", ""mt"")"),"restorant")</f>
        <v>restorant</v>
      </c>
    </row>
    <row r="17221" ht="15.75" customHeight="1">
      <c r="A17221" s="2" t="s">
        <v>17221</v>
      </c>
      <c r="B17221" s="2" t="str">
        <f>IFERROR(__xludf.DUMMYFUNCTION("GOOGLETRANSLATE(A17221, ""en"", ""mt"")"),"Liema żona għandha popolazzjoni ta '17,786,914?")</f>
        <v>Liema żona għandha popolazzjoni ta '17,786,914?</v>
      </c>
    </row>
    <row r="17222" ht="15.75" customHeight="1">
      <c r="A17222" s="2" t="s">
        <v>17222</v>
      </c>
      <c r="B17222" s="2" t="str">
        <f>IFERROR(__xludf.DUMMYFUNCTION("GOOGLETRANSLATE(A17222, ""en"", ""mt"")"),"X'għandu mibgħut fid-29 ta 'Diċembru, 1877?")</f>
        <v>X'għandu mibgħut fid-29 ta 'Diċembru, 1877?</v>
      </c>
    </row>
    <row r="17223" ht="15.75" customHeight="1">
      <c r="A17223" s="2" t="s">
        <v>17223</v>
      </c>
      <c r="B17223" s="2" t="str">
        <f>IFERROR(__xludf.DUMMYFUNCTION("GOOGLETRANSLATE(A17223, ""en"", ""mt"")"),"Kemm ismijiet tal-familja Franċiżi huma komunement użati fl-Olanda?")</f>
        <v>Kemm ismijiet tal-familja Franċiżi huma komunement użati fl-Olanda?</v>
      </c>
    </row>
    <row r="17224" ht="15.75" customHeight="1">
      <c r="A17224" s="2" t="s">
        <v>17224</v>
      </c>
      <c r="B17224" s="2" t="str">
        <f>IFERROR(__xludf.DUMMYFUNCTION("GOOGLETRANSLATE(A17224, ""en"", ""mt"")"),"X'inhu l-isem tas-sistema ferrovjarja tal-vjaġġatur?")</f>
        <v>X'inhu l-isem tas-sistema ferrovjarja tal-vjaġġatur?</v>
      </c>
    </row>
    <row r="17225" ht="15.75" customHeight="1">
      <c r="A17225" s="2" t="s">
        <v>17225</v>
      </c>
      <c r="B17225" s="2" t="str">
        <f>IFERROR(__xludf.DUMMYFUNCTION("GOOGLETRANSLATE(A17225, ""en"", ""mt"")"),"F'liema kolonja kienet il-belt ta 'Delft?")</f>
        <v>F'liema kolonja kienet il-belt ta 'Delft?</v>
      </c>
    </row>
    <row r="17226" ht="15.75" customHeight="1">
      <c r="A17226" s="2" t="s">
        <v>17226</v>
      </c>
      <c r="B17226" s="2" t="str">
        <f>IFERROR(__xludf.DUMMYFUNCTION("GOOGLETRANSLATE(A17226, ""en"", ""mt"")"),"Minn madwar is-sena 2000, numru dejjem jikber ta 'spiżeriji tal-internet ġew stabbiliti mad-dinja kollha. Ħafna minn dawn l-ispiżeriji huma simili għall-ispiżeriji tal-komunità, u fil-fatt, ħafna minnhom huma attwalment imħaddma minn spiżeriji tal-komunit"&amp;"à tal-briks u l-ġir li jservu lill-konsumaturi online u dawk li jimxu fil-bieb tagħhom. Id-differenza primarja hija l-metodu li bih il-mediċini huma mitluba u riċevuti. Xi klijenti jqisu li dan huwa metodu aktar konvenjenti u privat aktar milli jivvjaġġaw"&amp;" lejn mediċina tal-komunità fejn klijent ieħor jista 'jisma' dwar il-mediċini li jieħdu. L-ispiżeriji tal-Internet (magħrufa wkoll bħala spiżeriji onlajn) huma rrakkomandati wkoll lil xi pazjenti mit-tobba tagħhom jekk huma homebound.")</f>
        <v>Minn madwar is-sena 2000, numru dejjem jikber ta 'spiżeriji tal-internet ġew stabbiliti mad-dinja kollha. Ħafna minn dawn l-ispiżeriji huma simili għall-ispiżeriji tal-komunità, u fil-fatt, ħafna minnhom huma attwalment imħaddma minn spiżeriji tal-komunità tal-briks u l-ġir li jservu lill-konsumaturi online u dawk li jimxu fil-bieb tagħhom. Id-differenza primarja hija l-metodu li bih il-mediċini huma mitluba u riċevuti. Xi klijenti jqisu li dan huwa metodu aktar konvenjenti u privat aktar milli jivvjaġġaw lejn mediċina tal-komunità fejn klijent ieħor jista 'jisma' dwar il-mediċini li jieħdu. L-ispiżeriji tal-Internet (magħrufa wkoll bħala spiżeriji onlajn) huma rrakkomandati wkoll lil xi pazjenti mit-tobba tagħhom jekk huma homebound.</v>
      </c>
    </row>
    <row r="17227" ht="15.75" customHeight="1">
      <c r="A17227" s="2" t="s">
        <v>17227</v>
      </c>
      <c r="B17227" s="2" t="str">
        <f>IFERROR(__xludf.DUMMYFUNCTION("GOOGLETRANSLATE(A17227, ""en"", ""mt"")"),"Liema dramm wera stampa bikrija ta 'diżubbidjenza ċivili?")</f>
        <v>Liema dramm wera stampa bikrija ta 'diżubbidjenza ċivili?</v>
      </c>
    </row>
    <row r="17228" ht="15.75" customHeight="1">
      <c r="A17228" s="2" t="s">
        <v>17228</v>
      </c>
      <c r="B17228" s="2" t="str">
        <f>IFERROR(__xludf.DUMMYFUNCTION("GOOGLETRANSLATE(A17228, ""en"", ""mt"")"),"Wied tax-Xmara San Lawrenz")</f>
        <v>Wied tax-Xmara San Lawrenz</v>
      </c>
    </row>
    <row r="17229" ht="15.75" customHeight="1">
      <c r="A17229" s="2" t="s">
        <v>17229</v>
      </c>
      <c r="B17229" s="2" t="str">
        <f>IFERROR(__xludf.DUMMYFUNCTION("GOOGLETRANSLATE(A17229, ""en"", ""mt"")"),"Kunsill Farmaċewtiku Ġenerali (GPHC)")</f>
        <v>Kunsill Farmaċewtiku Ġenerali (GPHC)</v>
      </c>
    </row>
    <row r="17230" ht="15.75" customHeight="1">
      <c r="A17230" s="2" t="s">
        <v>17230</v>
      </c>
      <c r="B17230" s="2" t="str">
        <f>IFERROR(__xludf.DUMMYFUNCTION("GOOGLETRANSLATE(A17230, ""en"", ""mt"")"),"KMJ-TV")</f>
        <v>KMJ-TV</v>
      </c>
    </row>
    <row r="17231" ht="15.75" customHeight="1">
      <c r="A17231" s="2" t="s">
        <v>17231</v>
      </c>
      <c r="B17231" s="2" t="str">
        <f>IFERROR(__xludf.DUMMYFUNCTION("GOOGLETRANSLATE(A17231, ""en"", ""mt"")"),"Sett Sakya")</f>
        <v>Sett Sakya</v>
      </c>
    </row>
    <row r="17232" ht="15.75" customHeight="1">
      <c r="A17232" s="2" t="s">
        <v>17232</v>
      </c>
      <c r="B17232" s="2" t="str">
        <f>IFERROR(__xludf.DUMMYFUNCTION("GOOGLETRANSLATE(A17232, ""en"", ""mt"")"),"Għal liema ċertifikat il-Leġislatura twettaq eżamijiet?")</f>
        <v>Għal liema ċertifikat il-Leġislatura twettaq eżamijiet?</v>
      </c>
    </row>
    <row r="17233" ht="15.75" customHeight="1">
      <c r="A17233" s="2" t="s">
        <v>17233</v>
      </c>
      <c r="B17233" s="2" t="str">
        <f>IFERROR(__xludf.DUMMYFUNCTION("GOOGLETRANSLATE(A17233, ""en"", ""mt"")"),"malajr tgħolli l-popolazzjoni u t-traffiku fi bliet tul SR 99")</f>
        <v>malajr tgħolli l-popolazzjoni u t-traffiku fi bliet tul SR 99</v>
      </c>
    </row>
    <row r="17234" ht="15.75" customHeight="1">
      <c r="A17234" s="2" t="s">
        <v>17234</v>
      </c>
      <c r="B17234" s="2" t="str">
        <f>IFERROR(__xludf.DUMMYFUNCTION("GOOGLETRANSLATE(A17234, ""en"", ""mt"")"),"Minn liema sena l-università offriet dottorat fiċ-ċinema u l-istudji tal-midja?")</f>
        <v>Minn liema sena l-università offriet dottorat fiċ-ċinema u l-istudji tal-midja?</v>
      </c>
    </row>
    <row r="17235" ht="15.75" customHeight="1">
      <c r="A17235" s="2" t="s">
        <v>17235</v>
      </c>
      <c r="B17235" s="2" t="str">
        <f>IFERROR(__xludf.DUMMYFUNCTION("GOOGLETRANSLATE(A17235, ""en"", ""mt"")"),"2 Differenzi Beten X.25 u Arpnet Cita Technologies")</f>
        <v>2 Differenzi Beten X.25 u Arpnet Cita Technologies</v>
      </c>
    </row>
    <row r="17236" ht="15.75" customHeight="1">
      <c r="A17236" s="2" t="s">
        <v>17236</v>
      </c>
      <c r="B17236" s="2" t="str">
        <f>IFERROR(__xludf.DUMMYFUNCTION("GOOGLETRANSLATE(A17236, ""en"", ""mt"")"),"Yale kif introduċa era ġdida fil-futbol?")</f>
        <v>Yale kif introduċa era ġdida fil-futbol?</v>
      </c>
    </row>
    <row r="17237" ht="15.75" customHeight="1">
      <c r="A17237" s="2" t="s">
        <v>17237</v>
      </c>
      <c r="B17237" s="2" t="str">
        <f>IFERROR(__xludf.DUMMYFUNCTION("GOOGLETRANSLATE(A17237, ""en"", ""mt"")"),"55.1%")</f>
        <v>55.1%</v>
      </c>
    </row>
    <row r="17238" ht="15.75" customHeight="1">
      <c r="A17238" s="2" t="s">
        <v>17238</v>
      </c>
      <c r="B17238" s="2" t="str">
        <f>IFERROR(__xludf.DUMMYFUNCTION("GOOGLETRANSLATE(A17238, ""en"", ""mt"")"),"Meta twaqqaf l-Uffiċċju tal-Mediċina tal-Punent?")</f>
        <v>Meta twaqqaf l-Uffiċċju tal-Mediċina tal-Punent?</v>
      </c>
    </row>
    <row r="17239" ht="15.75" customHeight="1">
      <c r="A17239" s="2" t="s">
        <v>17239</v>
      </c>
      <c r="B17239" s="2" t="str">
        <f>IFERROR(__xludf.DUMMYFUNCTION("GOOGLETRANSLATE(A17239, ""en"", ""mt"")"),"Port ta 'Long Beach")</f>
        <v>Port ta 'Long Beach</v>
      </c>
    </row>
    <row r="17240" ht="15.75" customHeight="1">
      <c r="A17240" s="2" t="s">
        <v>17240</v>
      </c>
      <c r="B17240" s="2" t="str">
        <f>IFERROR(__xludf.DUMMYFUNCTION("GOOGLETRANSLATE(A17240, ""en"", ""mt"")"),"Jekk m'hemmx radju jew 10Base5, kif jiġu kkonsenjati l-pakketti?")</f>
        <v>Jekk m'hemmx radju jew 10Base5, kif jiġu kkonsenjati l-pakketti?</v>
      </c>
    </row>
    <row r="17241" ht="15.75" customHeight="1">
      <c r="A17241" s="2" t="s">
        <v>17241</v>
      </c>
      <c r="B17241" s="2" t="str">
        <f>IFERROR(__xludf.DUMMYFUNCTION("GOOGLETRANSLATE(A17241, ""en"", ""mt"")"),"Liema pubblikazzjoni nkitbet minn Stephen Eilmann?")</f>
        <v>Liema pubblikazzjoni nkitbet minn Stephen Eilmann?</v>
      </c>
    </row>
    <row r="17242" ht="15.75" customHeight="1">
      <c r="A17242" s="2" t="s">
        <v>17242</v>
      </c>
      <c r="B17242" s="2" t="str">
        <f>IFERROR(__xludf.DUMMYFUNCTION("GOOGLETRANSLATE(A17242, ""en"", ""mt"")"),"Ferrovija tal-Wied ta 'San Joaquin")</f>
        <v>Ferrovija tal-Wied ta 'San Joaquin</v>
      </c>
    </row>
    <row r="17243" ht="15.75" customHeight="1">
      <c r="A17243" s="2" t="s">
        <v>17243</v>
      </c>
      <c r="B17243" s="2" t="str">
        <f>IFERROR(__xludf.DUMMYFUNCTION("GOOGLETRANSLATE(A17243, ""en"", ""mt"")"),"Għaliex il-pjanċi oċeaniċi u l-kurrenti tal-konvezzjoni tal-mantell jimxu f'direzzjonijiet opposti?")</f>
        <v>Għaliex il-pjanċi oċeaniċi u l-kurrenti tal-konvezzjoni tal-mantell jimxu f'direzzjonijiet opposti?</v>
      </c>
    </row>
    <row r="17244" ht="15.75" customHeight="1">
      <c r="A17244" s="2" t="s">
        <v>17244</v>
      </c>
      <c r="B17244" s="2" t="str">
        <f>IFERROR(__xludf.DUMMYFUNCTION("GOOGLETRANSLATE(A17244, ""en"", ""mt"")"),"Li l-pesta kienet ikkawżata minn arja ħażina")</f>
        <v>Li l-pesta kienet ikkawżata minn arja ħażina</v>
      </c>
    </row>
    <row r="17245" ht="15.75" customHeight="1">
      <c r="A17245" s="2" t="s">
        <v>17245</v>
      </c>
      <c r="B17245" s="2" t="str">
        <f>IFERROR(__xludf.DUMMYFUNCTION("GOOGLETRANSLATE(A17245, ""en"", ""mt"")"),"""Iġbed""")</f>
        <v>"Iġbed"</v>
      </c>
    </row>
    <row r="17246" ht="15.75" customHeight="1">
      <c r="A17246" s="2" t="s">
        <v>17246</v>
      </c>
      <c r="B17246" s="2" t="str">
        <f>IFERROR(__xludf.DUMMYFUNCTION("GOOGLETRANSLATE(A17246, ""en"", ""mt"")"),"X'kienet ħalliet il-Gwerra Ċivili l-istat ta 'l-ekonomija ta' l-Afganistan?")</f>
        <v>X'kienet ħalliet il-Gwerra Ċivili l-istat ta 'l-ekonomija ta' l-Afganistan?</v>
      </c>
    </row>
    <row r="17247" ht="15.75" customHeight="1">
      <c r="A17247" s="2" t="s">
        <v>17247</v>
      </c>
      <c r="B17247" s="2" t="str">
        <f>IFERROR(__xludf.DUMMYFUNCTION("GOOGLETRANSLATE(A17247, ""en"", ""mt"")"),"Liema oġġetti nbiegħu fi farmaċewtiċi?")</f>
        <v>Liema oġġetti nbiegħu fi farmaċewtiċi?</v>
      </c>
    </row>
    <row r="17248" ht="15.75" customHeight="1">
      <c r="A17248" s="2" t="s">
        <v>17248</v>
      </c>
      <c r="B17248" s="2" t="str">
        <f>IFERROR(__xludf.DUMMYFUNCTION("GOOGLETRANSLATE(A17248, ""en"", ""mt"")"),"X'inhu eżempju ta 'enzima li tista' tittrasforma ċ-ċelloli tal-ġilda f'tumuri meta espressa f'livelli għoljin?")</f>
        <v>X'inhu eżempju ta 'enzima li tista' tittrasforma ċ-ċelloli tal-ġilda f'tumuri meta espressa f'livelli għoljin?</v>
      </c>
    </row>
    <row r="17249" ht="15.75" customHeight="1">
      <c r="A17249" s="2" t="s">
        <v>17249</v>
      </c>
      <c r="B17249" s="2" t="str">
        <f>IFERROR(__xludf.DUMMYFUNCTION("GOOGLETRANSLATE(A17249, ""en"", ""mt"")"),"Lista kompluta ta 'primes sa hija magħrufa")</f>
        <v>Lista kompluta ta 'primes sa hija magħrufa</v>
      </c>
    </row>
    <row r="17250" ht="15.75" customHeight="1">
      <c r="A17250" s="2" t="s">
        <v>17250</v>
      </c>
      <c r="B17250" s="2" t="str">
        <f>IFERROR(__xludf.DUMMYFUNCTION("GOOGLETRANSLATE(A17250, ""en"", ""mt"")"),"Kemm għandu għalliema full-time?")</f>
        <v>Kemm għandu għalliema full-time?</v>
      </c>
    </row>
    <row r="17251" ht="15.75" customHeight="1">
      <c r="A17251" s="2" t="s">
        <v>17251</v>
      </c>
      <c r="B17251" s="2" t="str">
        <f>IFERROR(__xludf.DUMMYFUNCTION("GOOGLETRANSLATE(A17251, ""en"", ""mt"")"),"Kemm id-dikjarazzjoni bassret li t-temperatura globali tal-wiċċ tiżdied sal-2100?")</f>
        <v>Kemm id-dikjarazzjoni bassret li t-temperatura globali tal-wiċċ tiżdied sal-2100?</v>
      </c>
    </row>
    <row r="17252" ht="15.75" customHeight="1">
      <c r="A17252" s="2" t="s">
        <v>17252</v>
      </c>
      <c r="B17252" s="2" t="str">
        <f>IFERROR(__xludf.DUMMYFUNCTION("GOOGLETRANSLATE(A17252, ""en"", ""mt"")"),"b’saħħtu,")</f>
        <v>b’saħħtu,</v>
      </c>
    </row>
    <row r="17253" ht="15.75" customHeight="1">
      <c r="A17253" s="2" t="s">
        <v>17253</v>
      </c>
      <c r="B17253" s="2" t="str">
        <f>IFERROR(__xludf.DUMMYFUNCTION("GOOGLETRANSLATE(A17253, ""en"", ""mt"")"),"Liema imperu storiku uża l-imperjalizmu kulturali biex ibandal l-elite lokali?")</f>
        <v>Liema imperu storiku uża l-imperjalizmu kulturali biex ibandal l-elite lokali?</v>
      </c>
    </row>
    <row r="17254" ht="15.75" customHeight="1">
      <c r="A17254" s="2" t="s">
        <v>17254</v>
      </c>
      <c r="B17254" s="2" t="str">
        <f>IFERROR(__xludf.DUMMYFUNCTION("GOOGLETRANSLATE(A17254, ""en"", ""mt"")"),"X'għandhom il-phyla l-oħra tal-annimali l-oħra?")</f>
        <v>X'għandhom il-phyla l-oħra tal-annimali l-oħra?</v>
      </c>
    </row>
    <row r="17255" ht="15.75" customHeight="1">
      <c r="A17255" s="2" t="s">
        <v>17255</v>
      </c>
      <c r="B17255" s="2" t="str">
        <f>IFERROR(__xludf.DUMMYFUNCTION("GOOGLETRANSLATE(A17255, ""en"", ""mt"")"),"1950s")</f>
        <v>1950s</v>
      </c>
    </row>
    <row r="17256" ht="15.75" customHeight="1">
      <c r="A17256" s="2" t="s">
        <v>17256</v>
      </c>
      <c r="B17256" s="2" t="str">
        <f>IFERROR(__xludf.DUMMYFUNCTION("GOOGLETRANSLATE(A17256, ""en"", ""mt"")"),"Lil min jissottometti l-abbozz finali?")</f>
        <v>Lil min jissottometti l-abbozz finali?</v>
      </c>
    </row>
    <row r="17257" ht="15.75" customHeight="1">
      <c r="A17257" s="2" t="s">
        <v>17257</v>
      </c>
      <c r="B17257" s="2" t="str">
        <f>IFERROR(__xludf.DUMMYFUNCTION("GOOGLETRANSLATE(A17257, ""en"", ""mt"")"),"1775-1795")</f>
        <v>1775-1795</v>
      </c>
    </row>
    <row r="17258" ht="15.75" customHeight="1">
      <c r="A17258" s="2" t="s">
        <v>17258</v>
      </c>
      <c r="B17258" s="2" t="str">
        <f>IFERROR(__xludf.DUMMYFUNCTION("GOOGLETRANSLATE(A17258, ""en"", ""mt"")"),"finali")</f>
        <v>finali</v>
      </c>
    </row>
    <row r="17259" ht="15.75" customHeight="1">
      <c r="A17259" s="2" t="s">
        <v>17259</v>
      </c>
      <c r="B17259" s="2" t="str">
        <f>IFERROR(__xludf.DUMMYFUNCTION("GOOGLETRANSLATE(A17259, ""en"", ""mt"")"),"X'tip ta 'mozzjoni pproduċiet kontinwament il-magna tal-fwar ta' Watt?")</f>
        <v>X'tip ta 'mozzjoni pproduċiet kontinwament il-magna tal-fwar ta' Watt?</v>
      </c>
    </row>
    <row r="17260" ht="15.75" customHeight="1">
      <c r="A17260" s="2" t="s">
        <v>17260</v>
      </c>
      <c r="B17260" s="2" t="str">
        <f>IFERROR(__xludf.DUMMYFUNCTION("GOOGLETRANSLATE(A17260, ""en"", ""mt"")"),"Il-pakketti jistgħu qatt jaħbtu fir-rotta?")</f>
        <v>Il-pakketti jistgħu qatt jaħbtu fir-rotta?</v>
      </c>
    </row>
    <row r="17261" ht="15.75" customHeight="1">
      <c r="A17261" s="2" t="s">
        <v>17261</v>
      </c>
      <c r="B17261" s="2" t="str">
        <f>IFERROR(__xludf.DUMMYFUNCTION("GOOGLETRANSLATE(A17261, ""en"", ""mt"")"),"Fejn hu diffiċli li tidentifika l-fdalijiet tas-salamun?")</f>
        <v>Fejn hu diffiċli li tidentifika l-fdalijiet tas-salamun?</v>
      </c>
    </row>
    <row r="17262" ht="15.75" customHeight="1">
      <c r="A17262" s="2" t="s">
        <v>17262</v>
      </c>
      <c r="B17262" s="2" t="str">
        <f>IFERROR(__xludf.DUMMYFUNCTION("GOOGLETRANSLATE(A17262, ""en"", ""mt"")"),"valv tal-plagg")</f>
        <v>valv tal-plagg</v>
      </c>
    </row>
    <row r="17263" ht="15.75" customHeight="1">
      <c r="A17263" s="2" t="s">
        <v>17263</v>
      </c>
      <c r="B17263" s="2" t="str">
        <f>IFERROR(__xludf.DUMMYFUNCTION("GOOGLETRANSLATE(A17263, ""en"", ""mt"")"),"Min kien maqsum mill-knisja?")</f>
        <v>Min kien maqsum mill-knisja?</v>
      </c>
    </row>
    <row r="17264" ht="15.75" customHeight="1">
      <c r="A17264" s="2" t="s">
        <v>17264</v>
      </c>
      <c r="B17264" s="2" t="str">
        <f>IFERROR(__xludf.DUMMYFUNCTION("GOOGLETRANSLATE(A17264, ""en"", ""mt"")"),"Kemm vawċers tal-iskola nħarġu mill-Iżvezja fl-2008?")</f>
        <v>Kemm vawċers tal-iskola nħarġu mill-Iżvezja fl-2008?</v>
      </c>
    </row>
    <row r="17265" ht="15.75" customHeight="1">
      <c r="A17265" s="2" t="s">
        <v>17265</v>
      </c>
      <c r="B17265" s="2" t="str">
        <f>IFERROR(__xludf.DUMMYFUNCTION("GOOGLETRANSLATE(A17265, ""en"", ""mt"")"),"X'jiġri f'kuntratt ta 'fażi 2?")</f>
        <v>X'jiġri f'kuntratt ta 'fażi 2?</v>
      </c>
    </row>
    <row r="17266" ht="15.75" customHeight="1">
      <c r="A17266" s="2" t="s">
        <v>17266</v>
      </c>
      <c r="B17266" s="2" t="str">
        <f>IFERROR(__xludf.DUMMYFUNCTION("GOOGLETRANSLATE(A17266, ""en"", ""mt"")"),"orizzontali")</f>
        <v>orizzontali</v>
      </c>
    </row>
    <row r="17267" ht="15.75" customHeight="1">
      <c r="A17267" s="2" t="s">
        <v>17267</v>
      </c>
      <c r="B17267" s="2" t="str">
        <f>IFERROR(__xludf.DUMMYFUNCTION("GOOGLETRANSLATE(A17267, ""en"", ""mt"")"),"Sa x-xokk taż-żejt kif kien il-prezz tad-deheb?")</f>
        <v>Sa x-xokk taż-żejt kif kien il-prezz tad-deheb?</v>
      </c>
    </row>
    <row r="17268" ht="15.75" customHeight="1">
      <c r="A17268" s="2" t="s">
        <v>17268</v>
      </c>
      <c r="B17268" s="2" t="str">
        <f>IFERROR(__xludf.DUMMYFUNCTION("GOOGLETRANSLATE(A17268, ""en"", ""mt"")"),"X'tip ta 'hermaphrodite jipproduċi bajd u sperma fi żminijiet differenti?")</f>
        <v>X'tip ta 'hermaphrodite jipproduċi bajd u sperma fi żminijiet differenti?</v>
      </c>
    </row>
    <row r="17269" ht="15.75" customHeight="1">
      <c r="A17269" s="2" t="s">
        <v>17269</v>
      </c>
      <c r="B17269" s="2" t="str">
        <f>IFERROR(__xludf.DUMMYFUNCTION("GOOGLETRANSLATE(A17269, ""en"", ""mt"")")," X'kienet appoġġjata Zia-ul-HAQ għall-użu tal-Iżlamizzazzjoni biex tilleġittimizza?")</f>
        <v> X'kienet appoġġjata Zia-ul-HAQ għall-użu tal-Iżlamizzazzjoni biex tilleġittimizza?</v>
      </c>
    </row>
    <row r="17270" ht="15.75" customHeight="1">
      <c r="A17270" s="2" t="s">
        <v>17270</v>
      </c>
      <c r="B17270" s="2" t="str">
        <f>IFERROR(__xludf.DUMMYFUNCTION("GOOGLETRANSLATE(A17270, ""en"", ""mt"")"),"Meta mqabbel mat-titjib ta 'Smeaton fuq il-magna ta' Newcomen, kemm Steam uża l-magna ta 'Watt?")</f>
        <v>Meta mqabbel mat-titjib ta 'Smeaton fuq il-magna ta' Newcomen, kemm Steam uża l-magna ta 'Watt?</v>
      </c>
    </row>
    <row r="17271" ht="15.75" customHeight="1">
      <c r="A17271" s="2" t="s">
        <v>17271</v>
      </c>
      <c r="B17271" s="2" t="str">
        <f>IFERROR(__xludf.DUMMYFUNCTION("GOOGLETRANSLATE(A17271, ""en"", ""mt"")"),"Renu Romantiku")</f>
        <v>Renu Romantiku</v>
      </c>
    </row>
    <row r="17272" ht="15.75" customHeight="1">
      <c r="A17272" s="2" t="s">
        <v>17272</v>
      </c>
      <c r="B17272" s="2" t="str">
        <f>IFERROR(__xludf.DUMMYFUNCTION("GOOGLETRANSLATE(A17272, ""en"", ""mt"")"),"maġġoranza tas-siġġijiet")</f>
        <v>maġġoranza tas-siġġijiet</v>
      </c>
    </row>
    <row r="17273" ht="15.75" customHeight="1">
      <c r="A17273" s="2" t="s">
        <v>17273</v>
      </c>
      <c r="B17273" s="2" t="str">
        <f>IFERROR(__xludf.DUMMYFUNCTION("GOOGLETRANSLATE(A17273, ""en"", ""mt"")"),"Pakkett li jaqleb il-kuntrast ma 'dak il-prinċipal ieħor")</f>
        <v>Pakkett li jaqleb il-kuntrast ma 'dak il-prinċipal ieħor</v>
      </c>
    </row>
    <row r="17274" ht="15.75" customHeight="1">
      <c r="A17274" s="2" t="s">
        <v>17274</v>
      </c>
      <c r="B17274" s="2" t="str">
        <f>IFERROR(__xludf.DUMMYFUNCTION("GOOGLETRANSLATE(A17274, ""en"", ""mt"")"),"Kont epidemjoloġiku tal-pesta")</f>
        <v>Kont epidemjoloġiku tal-pesta</v>
      </c>
    </row>
    <row r="17275" ht="15.75" customHeight="1">
      <c r="A17275" s="2" t="s">
        <v>17275</v>
      </c>
      <c r="B17275" s="2" t="str">
        <f>IFERROR(__xludf.DUMMYFUNCTION("GOOGLETRANSLATE(A17275, ""en"", ""mt"")"),"Kemm hemm volumi totali fis-sistema tal-librerija ta 'Harvard?")</f>
        <v>Kemm hemm volumi totali fis-sistema tal-librerija ta 'Harvard?</v>
      </c>
    </row>
    <row r="17276" ht="15.75" customHeight="1">
      <c r="A17276" s="2" t="s">
        <v>17276</v>
      </c>
      <c r="B17276" s="2" t="str">
        <f>IFERROR(__xludf.DUMMYFUNCTION("GOOGLETRANSLATE(A17276, ""en"", ""mt"")"),"Unidirezzjonali")</f>
        <v>Unidirezzjonali</v>
      </c>
    </row>
    <row r="17277" ht="15.75" customHeight="1">
      <c r="A17277" s="2" t="s">
        <v>17277</v>
      </c>
      <c r="B17277" s="2" t="str">
        <f>IFERROR(__xludf.DUMMYFUNCTION("GOOGLETRANSLATE(A17277, ""en"", ""mt"")"),"Min ħa Isaacs Place bħala Provost fl-2016?")</f>
        <v>Min ħa Isaacs Place bħala Provost fl-2016?</v>
      </c>
    </row>
    <row r="17278" ht="15.75" customHeight="1">
      <c r="A17278" s="2" t="s">
        <v>17278</v>
      </c>
      <c r="B17278" s="2" t="str">
        <f>IFERROR(__xludf.DUMMYFUNCTION("GOOGLETRANSLATE(A17278, ""en"", ""mt"")"),"X'jagħmlu l-Bathocyroe u l-Ocyropsis biex jaħarbu l-periklu?")</f>
        <v>X'jagħmlu l-Bathocyroe u l-Ocyropsis biex jaħarbu l-periklu?</v>
      </c>
    </row>
    <row r="17279" ht="15.75" customHeight="1">
      <c r="A17279" s="2" t="s">
        <v>17279</v>
      </c>
      <c r="B17279" s="2" t="str">
        <f>IFERROR(__xludf.DUMMYFUNCTION("GOOGLETRANSLATE(A17279, ""en"", ""mt"")"),"Liema tossina tinduċi apoptożi fiċ-ċellula fil-mira?")</f>
        <v>Liema tossina tinduċi apoptożi fiċ-ċellula fil-mira?</v>
      </c>
    </row>
    <row r="17280" ht="15.75" customHeight="1">
      <c r="A17280" s="2" t="s">
        <v>17280</v>
      </c>
      <c r="B17280" s="2" t="str">
        <f>IFERROR(__xludf.DUMMYFUNCTION("GOOGLETRANSLATE(A17280, ""en"", ""mt"")"),"Liema pjaneta bassar li l-astrofiżista jispjega l-problemi bil-merkurju?")</f>
        <v>Liema pjaneta bassar li l-astrofiżista jispjega l-problemi bil-merkurju?</v>
      </c>
    </row>
    <row r="17281" ht="15.75" customHeight="1">
      <c r="A17281" s="2" t="s">
        <v>17281</v>
      </c>
      <c r="B17281" s="2" t="str">
        <f>IFERROR(__xludf.DUMMYFUNCTION("GOOGLETRANSLATE(A17281, ""en"", ""mt"")"),"Liema teorija ta 'Electroweak ma ġietx żviluppata?")</f>
        <v>Liema teorija ta 'Electroweak ma ġietx żviluppata?</v>
      </c>
    </row>
    <row r="17282" ht="15.75" customHeight="1">
      <c r="A17282" s="2" t="s">
        <v>17282</v>
      </c>
      <c r="B17282" s="2" t="str">
        <f>IFERROR(__xludf.DUMMYFUNCTION("GOOGLETRANSLATE(A17282, ""en"", ""mt"")"),"Forma mqassra ta 'l-isem maskili ta' oriġini Slava Warcisław")</f>
        <v>Forma mqassra ta 'l-isem maskili ta' oriġini Slava Warcisław</v>
      </c>
    </row>
    <row r="17283" ht="15.75" customHeight="1">
      <c r="A17283" s="2" t="s">
        <v>17283</v>
      </c>
      <c r="B17283" s="2" t="str">
        <f>IFERROR(__xludf.DUMMYFUNCTION("GOOGLETRANSLATE(A17283, ""en"", ""mt"")"),"Nuqqas ta 'fehim tar-ramifikazzjonijiet legali,")</f>
        <v>Nuqqas ta 'fehim tar-ramifikazzjonijiet legali,</v>
      </c>
    </row>
    <row r="17284" ht="15.75" customHeight="1">
      <c r="A17284" s="2" t="s">
        <v>17284</v>
      </c>
      <c r="B17284" s="2" t="str">
        <f>IFERROR(__xludf.DUMMYFUNCTION("GOOGLETRANSLATE(A17284, ""en"", ""mt"")"),"X'għandu jaqa 'taħt l-Artikolu 56 skond diversi gvernijiet?")</f>
        <v>X'għandu jaqa 'taħt l-Artikolu 56 skond diversi gvernijiet?</v>
      </c>
    </row>
    <row r="17285" ht="15.75" customHeight="1">
      <c r="A17285" s="2" t="s">
        <v>17285</v>
      </c>
      <c r="B17285" s="2" t="str">
        <f>IFERROR(__xludf.DUMMYFUNCTION("GOOGLETRANSLATE(A17285, ""en"", ""mt"")"),"Soċjetà ta ’San Piju X")</f>
        <v>Soċjetà ta ’San Piju X</v>
      </c>
    </row>
    <row r="17286" ht="15.75" customHeight="1">
      <c r="A17286" s="2" t="s">
        <v>17286</v>
      </c>
      <c r="B17286" s="2" t="str">
        <f>IFERROR(__xludf.DUMMYFUNCTION("GOOGLETRANSLATE(A17286, ""en"", ""mt"")"),"Min ċaħad it-triq tal-vjolenza?")</f>
        <v>Min ċaħad it-triq tal-vjolenza?</v>
      </c>
    </row>
    <row r="17287" ht="15.75" customHeight="1">
      <c r="A17287" s="2" t="s">
        <v>17287</v>
      </c>
      <c r="B17287" s="2" t="str">
        <f>IFERROR(__xludf.DUMMYFUNCTION("GOOGLETRANSLATE(A17287, ""en"", ""mt"")"),"Fl-Istati Uniti kemm il-kuntratturi kienu impjegati fil-kostruzzjoni mill-2011?")</f>
        <v>Fl-Istati Uniti kemm il-kuntratturi kienu impjegati fil-kostruzzjoni mill-2011?</v>
      </c>
    </row>
    <row r="17288" ht="15.75" customHeight="1">
      <c r="A17288" s="2" t="s">
        <v>17288</v>
      </c>
      <c r="B17288" s="2" t="str">
        <f>IFERROR(__xludf.DUMMYFUNCTION("GOOGLETRANSLATE(A17288, ""en"", ""mt"")"),"Kif jissejħu wkoll il-korpi taċ-ċili?")</f>
        <v>Kif jissejħu wkoll il-korpi taċ-ċili?</v>
      </c>
    </row>
    <row r="17289" ht="15.75" customHeight="1">
      <c r="A17289" s="2" t="s">
        <v>17289</v>
      </c>
      <c r="B17289" s="2" t="str">
        <f>IFERROR(__xludf.DUMMYFUNCTION("GOOGLETRANSLATE(A17289, ""en"", ""mt"")"),"X’għamel Graham Twigg fl-1984?")</f>
        <v>X’għamel Graham Twigg fl-1984?</v>
      </c>
    </row>
    <row r="17290" ht="15.75" customHeight="1">
      <c r="A17290" s="2" t="s">
        <v>17290</v>
      </c>
      <c r="B17290" s="2" t="str">
        <f>IFERROR(__xludf.DUMMYFUNCTION("GOOGLETRANSLATE(A17290, ""en"", ""mt"")"),"eluf")</f>
        <v>eluf</v>
      </c>
    </row>
    <row r="17291" ht="15.75" customHeight="1">
      <c r="A17291" s="2" t="s">
        <v>17291</v>
      </c>
      <c r="B17291" s="2" t="str">
        <f>IFERROR(__xludf.DUMMYFUNCTION("GOOGLETRANSLATE(A17291, ""en"", ""mt"")"),"Gvernijiet inkompetenti, ineffiċjenti, jew negliċi")</f>
        <v>Gvernijiet inkompetenti, ineffiċjenti, jew negliċi</v>
      </c>
    </row>
    <row r="17292" ht="15.75" customHeight="1">
      <c r="A17292" s="2" t="s">
        <v>17292</v>
      </c>
      <c r="B17292" s="2" t="str">
        <f>IFERROR(__xludf.DUMMYFUNCTION("GOOGLETRANSLATE(A17292, ""en"", ""mt"")"),"X'inhi l-kelma Pollakka għal kunċerti?")</f>
        <v>X'inhi l-kelma Pollakka għal kunċerti?</v>
      </c>
    </row>
    <row r="17293" ht="15.75" customHeight="1">
      <c r="A17293" s="2" t="s">
        <v>17293</v>
      </c>
      <c r="B17293" s="2" t="str">
        <f>IFERROR(__xludf.DUMMYFUNCTION("GOOGLETRANSLATE(A17293, ""en"", ""mt"")"),"Liema standards tal-gvern waqqfu l-iskejjel kollha biex jiltaqgħu?")</f>
        <v>Liema standards tal-gvern waqqfu l-iskejjel kollha biex jiltaqgħu?</v>
      </c>
    </row>
    <row r="17294" ht="15.75" customHeight="1">
      <c r="A17294" s="2" t="s">
        <v>17294</v>
      </c>
      <c r="B17294" s="2" t="str">
        <f>IFERROR(__xludf.DUMMYFUNCTION("GOOGLETRANSLATE(A17294, ""en"", ""mt"")"),"X'inhu ALO?")</f>
        <v>X'inhu ALO?</v>
      </c>
    </row>
    <row r="17295" ht="15.75" customHeight="1">
      <c r="A17295" s="2" t="s">
        <v>17295</v>
      </c>
      <c r="B17295" s="2" t="str">
        <f>IFERROR(__xludf.DUMMYFUNCTION("GOOGLETRANSLATE(A17295, ""en"", ""mt"")"),"Jekk ma hemm l-ebda dissens, l-uffiċjal li jippresiedi jgħid xiex?")</f>
        <v>Jekk ma hemm l-ebda dissens, l-uffiċjal li jippresiedi jgħid xiex?</v>
      </c>
    </row>
    <row r="17296" ht="15.75" customHeight="1">
      <c r="A17296" s="2" t="s">
        <v>17296</v>
      </c>
      <c r="B17296" s="2" t="str">
        <f>IFERROR(__xludf.DUMMYFUNCTION("GOOGLETRANSLATE(A17296, ""en"", ""mt"")"),"Il-bankini u l-faċilitajiet tas-sanità ta 'Varsavja huma xi eżempji ta' affarijiet li għandhom xiex?")</f>
        <v>Il-bankini u l-faċilitajiet tas-sanità ta 'Varsavja huma xi eżempji ta' affarijiet li għandhom xiex?</v>
      </c>
    </row>
    <row r="17297" ht="15.75" customHeight="1">
      <c r="A17297" s="2" t="s">
        <v>17297</v>
      </c>
      <c r="B17297" s="2" t="str">
        <f>IFERROR(__xludf.DUMMYFUNCTION("GOOGLETRANSLATE(A17297, ""en"", ""mt"")"),"Kif ma jkunx meħtieġ iż-żmien biex issolvi problema kkalkulata?")</f>
        <v>Kif ma jkunx meħtieġ iż-żmien biex issolvi problema kkalkulata?</v>
      </c>
    </row>
    <row r="17298" ht="15.75" customHeight="1">
      <c r="A17298" s="2" t="s">
        <v>17298</v>
      </c>
      <c r="B17298" s="2" t="str">
        <f>IFERROR(__xludf.DUMMYFUNCTION("GOOGLETRANSLATE(A17298, ""en"", ""mt"")"),"Lippe")</f>
        <v>Lippe</v>
      </c>
    </row>
    <row r="17299" ht="15.75" customHeight="1">
      <c r="A17299" s="2" t="s">
        <v>17299</v>
      </c>
      <c r="B17299" s="2" t="str">
        <f>IFERROR(__xludf.DUMMYFUNCTION("GOOGLETRANSLATE(A17299, ""en"", ""mt"")"),"X'inbidel il-mod kif jiġi depożitat minerali?")</f>
        <v>X'inbidel il-mod kif jiġi depożitat minerali?</v>
      </c>
    </row>
    <row r="17300" ht="15.75" customHeight="1">
      <c r="A17300" s="2" t="s">
        <v>17300</v>
      </c>
      <c r="B17300" s="2" t="str">
        <f>IFERROR(__xludf.DUMMYFUNCTION("GOOGLETRANSLATE(A17300, ""en"", ""mt"")"),"Il-kumplessitajiet tal-każijiet jipprovdu tliet probabbiltà ta 'liema varjabbli differenti li tibqa' l-istess daqs?")</f>
        <v>Il-kumplessitajiet tal-każijiet jipprovdu tliet probabbiltà ta 'liema varjabbli differenti li tibqa' l-istess daqs?</v>
      </c>
    </row>
    <row r="17301" ht="15.75" customHeight="1">
      <c r="A17301" s="2" t="s">
        <v>17301</v>
      </c>
      <c r="B17301" s="2" t="str">
        <f>IFERROR(__xludf.DUMMYFUNCTION("GOOGLETRANSLATE(A17301, ""en"", ""mt"")"),"Meta kienet it-telfa ta 'Napoleonic France?")</f>
        <v>Meta kienet it-telfa ta 'Napoleonic France?</v>
      </c>
    </row>
    <row r="17302" ht="15.75" customHeight="1">
      <c r="A17302" s="2" t="s">
        <v>17302</v>
      </c>
      <c r="B17302" s="2" t="str">
        <f>IFERROR(__xludf.DUMMYFUNCTION("GOOGLETRANSLATE(A17302, ""en"", ""mt"")"),"Ministru tal-Intern")</f>
        <v>Ministru tal-Intern</v>
      </c>
    </row>
    <row r="17303" ht="15.75" customHeight="1">
      <c r="A17303" s="2" t="s">
        <v>17303</v>
      </c>
      <c r="B17303" s="2" t="str">
        <f>IFERROR(__xludf.DUMMYFUNCTION("GOOGLETRANSLATE(A17303, ""en"", ""mt"")"),"L-Iskola Ortogenika ta 'Sonia Shankman")</f>
        <v>L-Iskola Ortogenika ta 'Sonia Shankman</v>
      </c>
    </row>
    <row r="17304" ht="15.75" customHeight="1">
      <c r="A17304" s="2" t="s">
        <v>17304</v>
      </c>
      <c r="B17304" s="2" t="str">
        <f>IFERROR(__xludf.DUMMYFUNCTION("GOOGLETRANSLATE(A17304, ""en"", ""mt"")"),"X'inhu mħabbra mill-ħoss tad-diviżjoni tal-qanpiena?")</f>
        <v>X'inhu mħabbra mill-ħoss tad-diviżjoni tal-qanpiena?</v>
      </c>
    </row>
    <row r="17305" ht="15.75" customHeight="1">
      <c r="A17305" s="2" t="s">
        <v>17305</v>
      </c>
      <c r="B17305" s="2" t="str">
        <f>IFERROR(__xludf.DUMMYFUNCTION("GOOGLETRANSLATE(A17305, ""en"", ""mt"")"),"X'inhu xogħol ta 'Thomas Piketty?")</f>
        <v>X'inhu xogħol ta 'Thomas Piketty?</v>
      </c>
    </row>
    <row r="17306" ht="15.75" customHeight="1">
      <c r="A17306" s="2" t="s">
        <v>17306</v>
      </c>
      <c r="B17306" s="2" t="str">
        <f>IFERROR(__xludf.DUMMYFUNCTION("GOOGLETRANSLATE(A17306, ""en"", ""mt"")"),"1 jew 0")</f>
        <v>1 jew 0</v>
      </c>
    </row>
    <row r="17307" ht="15.75" customHeight="1">
      <c r="A17307" s="2" t="s">
        <v>17307</v>
      </c>
      <c r="B17307" s="2" t="str">
        <f>IFERROR(__xludf.DUMMYFUNCTION("GOOGLETRANSLATE(A17307, ""en"", ""mt"")"),"Kemm għandu ċilindri l-magna kompost?")</f>
        <v>Kemm għandu ċilindri l-magna kompost?</v>
      </c>
    </row>
    <row r="17308" ht="15.75" customHeight="1">
      <c r="A17308" s="2" t="s">
        <v>17308</v>
      </c>
      <c r="B17308" s="2" t="str">
        <f>IFERROR(__xludf.DUMMYFUNCTION("GOOGLETRANSLATE(A17308, ""en"", ""mt"")"),"X'inhi rata aktar baxxa ta 'oġġetti soċjali?")</f>
        <v>X'inhi rata aktar baxxa ta 'oġġetti soċjali?</v>
      </c>
    </row>
    <row r="17309" ht="15.75" customHeight="1">
      <c r="A17309" s="2" t="s">
        <v>17309</v>
      </c>
      <c r="B17309" s="2" t="str">
        <f>IFERROR(__xludf.DUMMYFUNCTION("GOOGLETRANSLATE(A17309, ""en"", ""mt"")"),"Ħafna kumpaniji tal-kostruzzjoni issa qed ipoġġu aktar enfasi fuq xiex?")</f>
        <v>Ħafna kumpaniji tal-kostruzzjoni issa qed ipoġġu aktar enfasi fuq xiex?</v>
      </c>
    </row>
    <row r="17310" ht="15.75" customHeight="1">
      <c r="A17310" s="2" t="s">
        <v>17310</v>
      </c>
      <c r="B17310" s="2" t="str">
        <f>IFERROR(__xludf.DUMMYFUNCTION("GOOGLETRANSLATE(A17310, ""en"", ""mt"")"),"X'tip ta 'sistemi immuni jinstabu fil-pjanti u l-annimali kollha?")</f>
        <v>X'tip ta 'sistemi immuni jinstabu fil-pjanti u l-annimali kollha?</v>
      </c>
    </row>
    <row r="17311" ht="15.75" customHeight="1">
      <c r="A17311" s="2" t="s">
        <v>17311</v>
      </c>
      <c r="B17311" s="2" t="str">
        <f>IFERROR(__xludf.DUMMYFUNCTION("GOOGLETRANSLATE(A17311, ""en"", ""mt"")"),"X'għamel Tymnet")</f>
        <v>X'għamel Tymnet</v>
      </c>
    </row>
    <row r="17312" ht="15.75" customHeight="1">
      <c r="A17312" s="2" t="s">
        <v>17312</v>
      </c>
      <c r="B17312" s="2" t="str">
        <f>IFERROR(__xludf.DUMMYFUNCTION("GOOGLETRANSLATE(A17312, ""en"", ""mt"")"),"Sistema immunitarja adattiva")</f>
        <v>Sistema immunitarja adattiva</v>
      </c>
    </row>
    <row r="17313" ht="15.75" customHeight="1">
      <c r="A17313" s="2" t="s">
        <v>17313</v>
      </c>
      <c r="B17313" s="2" t="str">
        <f>IFERROR(__xludf.DUMMYFUNCTION("GOOGLETRANSLATE(A17313, ""en"", ""mt"")"),"indirizzi")</f>
        <v>indirizzi</v>
      </c>
    </row>
    <row r="17314" ht="15.75" customHeight="1">
      <c r="A17314" s="2" t="s">
        <v>17314</v>
      </c>
      <c r="B17314" s="2" t="str">
        <f>IFERROR(__xludf.DUMMYFUNCTION("GOOGLETRANSLATE(A17314, ""en"", ""mt"")"),"X'inhu eżaminat ta 'xogħol li l-magna tal-fwar mgħammra mill-gvernatur ċentrifugali ma kinitx adattata?")</f>
        <v>X'inhu eżaminat ta 'xogħol li l-magna tal-fwar mgħammra mill-gvernatur ċentrifugali ma kinitx adattata?</v>
      </c>
    </row>
    <row r="17315" ht="15.75" customHeight="1">
      <c r="A17315" s="2" t="s">
        <v>17315</v>
      </c>
      <c r="B17315" s="2" t="str">
        <f>IFERROR(__xludf.DUMMYFUNCTION("GOOGLETRANSLATE(A17315, ""en"", ""mt"")"),"X'tip ta 'materjali kombustibbli kienu meqjusa li għandhom ftit Philogiston?")</f>
        <v>X'tip ta 'materjali kombustibbli kienu meqjusa li għandhom ftit Philogiston?</v>
      </c>
    </row>
    <row r="17316" ht="15.75" customHeight="1">
      <c r="A17316" s="2" t="s">
        <v>17316</v>
      </c>
      <c r="B17316" s="2" t="str">
        <f>IFERROR(__xludf.DUMMYFUNCTION("GOOGLETRANSLATE(A17316, ""en"", ""mt"")"),"Elettur kbir Frederick William")</f>
        <v>Elettur kbir Frederick William</v>
      </c>
    </row>
    <row r="17317" ht="15.75" customHeight="1">
      <c r="A17317" s="2" t="s">
        <v>17317</v>
      </c>
      <c r="B17317" s="2" t="str">
        <f>IFERROR(__xludf.DUMMYFUNCTION("GOOGLETRANSLATE(A17317, ""en"", ""mt"")"),"X'jista 'jiddependi fuq il-kapaċità tas-sistema immuni li tiddistingwi bejn l-awto u oħrajn?")</f>
        <v>X'jista 'jiddependi fuq il-kapaċità tas-sistema immuni li tiddistingwi bejn l-awto u oħrajn?</v>
      </c>
    </row>
    <row r="17318" ht="15.75" customHeight="1">
      <c r="A17318" s="2" t="s">
        <v>17318</v>
      </c>
      <c r="B17318" s="2" t="str">
        <f>IFERROR(__xludf.DUMMYFUNCTION("GOOGLETRANSLATE(A17318, ""en"", ""mt"")"),"Minbarra l-liġijiet tal-art, x'iktar ma kinux sodisfatti l-Californios?")</f>
        <v>Minbarra l-liġijiet tal-art, x'iktar ma kinux sodisfatti l-Californios?</v>
      </c>
    </row>
    <row r="17319" ht="15.75" customHeight="1">
      <c r="A17319" s="2" t="s">
        <v>17319</v>
      </c>
      <c r="B17319" s="2" t="str">
        <f>IFERROR(__xludf.DUMMYFUNCTION("GOOGLETRANSLATE(A17319, ""en"", ""mt"")"),"negozju")</f>
        <v>negozju</v>
      </c>
    </row>
    <row r="17320" ht="15.75" customHeight="1">
      <c r="A17320" s="2" t="s">
        <v>17320</v>
      </c>
      <c r="B17320" s="2" t="str">
        <f>IFERROR(__xludf.DUMMYFUNCTION("GOOGLETRANSLATE(A17320, ""en"", ""mt"")"),"Kif tintuża l-iskala biex titkejjel is-saħħa tal-uragani msejħa?")</f>
        <v>Kif tintuża l-iskala biex titkejjel is-saħħa tal-uragani msejħa?</v>
      </c>
    </row>
    <row r="17321" ht="15.75" customHeight="1">
      <c r="A17321" s="2" t="s">
        <v>17321</v>
      </c>
      <c r="B17321" s="2" t="str">
        <f>IFERROR(__xludf.DUMMYFUNCTION("GOOGLETRANSLATE(A17321, ""en"", ""mt"")"),"Min jiddikjara li kumpaniji pubbliċi jistgħu wkoll ikunu parti minn diżubbidjenza ċivili?")</f>
        <v>Min jiddikjara li kumpaniji pubbliċi jistgħu wkoll ikunu parti minn diżubbidjenza ċivili?</v>
      </c>
    </row>
    <row r="17322" ht="15.75" customHeight="1">
      <c r="A17322" s="2" t="s">
        <v>17322</v>
      </c>
      <c r="B17322" s="2" t="str">
        <f>IFERROR(__xludf.DUMMYFUNCTION("GOOGLETRANSLATE(A17322, ""en"", ""mt"")"),"F'liema joħroġ l-Oċean Atlantiku?")</f>
        <v>F'liema joħroġ l-Oċean Atlantiku?</v>
      </c>
    </row>
    <row r="17323" ht="15.75" customHeight="1">
      <c r="A17323" s="2" t="s">
        <v>17323</v>
      </c>
      <c r="B17323" s="2" t="str">
        <f>IFERROR(__xludf.DUMMYFUNCTION("GOOGLETRANSLATE(A17323, ""en"", ""mt"")"),"X'inhu wieħed mill-Mużew ta 'l-Irkib ta' Varsavja?")</f>
        <v>X'inhu wieħed mill-Mużew ta 'l-Irkib ta' Varsavja?</v>
      </c>
    </row>
    <row r="17324" ht="15.75" customHeight="1">
      <c r="A17324" s="2" t="s">
        <v>17324</v>
      </c>
      <c r="B17324" s="2" t="str">
        <f>IFERROR(__xludf.DUMMYFUNCTION("GOOGLETRANSLATE(A17324, ""en"", ""mt"")"),"X’wassal il-waqgħa tal-produzzjoni tal-films ta ’Jacksonville?")</f>
        <v>X’wassal il-waqgħa tal-produzzjoni tal-films ta ’Jacksonville?</v>
      </c>
    </row>
    <row r="17325" ht="15.75" customHeight="1">
      <c r="A17325" s="2" t="s">
        <v>17325</v>
      </c>
      <c r="B17325" s="2" t="str">
        <f>IFERROR(__xludf.DUMMYFUNCTION("GOOGLETRANSLATE(A17325, ""en"", ""mt"")"),"Robert Guiscard, avventur Norman ieħor preċedentement elevat għad-dinjità tal-Konti ta 'Apulia bħala riżultat tas-suċċessi militari tiegħu, fl-aħħar mexxa l-Biżantini barra mill-Italja tan-Nofsinhar. Wara li kiseb il-kunsens tal-Papa Gregorju VII u jaġixx"&amp;"i bħala l-vassall tiegħu, Robert kompla l-kampanja tiegħu billi rbaħ il-Peniżola tal-Balkani bħala l-pedament għall-fewdali feudali tal-Punent u l-Knisja Kattolika. Wara li ngħaqad lilu nnifsu mal-Kroazja u l-ibliet Kattoliċi tad-Dalmatia, fl-1081 huwa me"&amp;"xxa armata ta '30, 000 irġiel fi 300 vapur li jinżlu fuq ix-xtut tan-Nofsinhar ta 'l-Albanija, jaqbdu Valona, ​​Kanina, Jericho (Orikumi), u laħaq Butrint wara bosta pillaġġi. Huma ngħaqdu mal-flotta li qabel kienet ħakmet lil Corfu u attakkaw id-Dyrrachi"&amp;"um mill-art u l-baħar, devastanti kollox tul it-triq. Taħt dawn iċ-ċirkostanzi ħorox, in-nies tal-post aċċettaw is-sejħa tal-Imperatur Alexius I Comnenus biex jingħaqdu mal-Biżantini kontra n-Normanni. Il-forzi Albaniżi ma setgħux jieħdu sehem fil-battalj"&amp;"a li ġejja minħabba li kienet bdiet qabel il-wasla tagħhom. Immedjatament qabel il-battalja, il-flotta Venezjana kienet assigurat rebħa fil-kosta li tdawwar il-belt. Imġiegħel jirtira, Alexius ċeda l-kmand lil uffiċjal Albaniż għoli jismu Comiscortes fis-"&amp;"servizz ta 'Bizanju. Il-garnizon tal-belt irreżista sa Frar 1082, meta d-Dyrrachium ġie ingannat lin-Normanni min-negozjanti Venezjani u Amalfitan li kienu stabbilixxew hemmhekk. In-Normanni issa kienu ħielsa li jippenetraw fil-hinterland; Huma ħadu Ioann"&amp;"ina u xi bliet minuri fil-Lbiċ tal-Maċedonja u Tessalja qabel ma dehru fil-gradi ta 'Tessalonica. Id-dissensjoni fost il-gradi għoljin sfurzat in-Normanni biex jirtiraw lejn l-Italja. Huma tilfu Dyrrachium, Valona, ​​u Butrint fl-1085, wara l-mewt ta 'Rob"&amp;"ert.")</f>
        <v>Robert Guiscard, avventur Norman ieħor preċedentement elevat għad-dinjità tal-Konti ta 'Apulia bħala riżultat tas-suċċessi militari tiegħu, fl-aħħar mexxa l-Biżantini barra mill-Italja tan-Nofsinhar. Wara li kiseb il-kunsens tal-Papa Gregorju VII u jaġixxi bħala l-vassall tiegħu, Robert kompla l-kampanja tiegħu billi rbaħ il-Peniżola tal-Balkani bħala l-pedament għall-fewdali feudali tal-Punent u l-Knisja Kattolika. Wara li ngħaqad lilu nnifsu mal-Kroazja u l-ibliet Kattoliċi tad-Dalmatia, fl-1081 huwa mexxa armata ta '30, 000 irġiel fi 300 vapur li jinżlu fuq ix-xtut tan-Nofsinhar ta 'l-Albanija, jaqbdu Valona, ​​Kanina, Jericho (Orikumi), u laħaq Butrint wara bosta pillaġġi. Huma ngħaqdu mal-flotta li qabel kienet ħakmet lil Corfu u attakkaw id-Dyrrachium mill-art u l-baħar, devastanti kollox tul it-triq. Taħt dawn iċ-ċirkostanzi ħorox, in-nies tal-post aċċettaw is-sejħa tal-Imperatur Alexius I Comnenus biex jingħaqdu mal-Biżantini kontra n-Normanni. Il-forzi Albaniżi ma setgħux jieħdu sehem fil-battalja li ġejja minħabba li kienet bdiet qabel il-wasla tagħhom. Immedjatament qabel il-battalja, il-flotta Venezjana kienet assigurat rebħa fil-kosta li tdawwar il-belt. Imġiegħel jirtira, Alexius ċeda l-kmand lil uffiċjal Albaniż għoli jismu Comiscortes fis-servizz ta 'Bizanju. Il-garnizon tal-belt irreżista sa Frar 1082, meta d-Dyrrachium ġie ingannat lin-Normanni min-negozjanti Venezjani u Amalfitan li kienu stabbilixxew hemmhekk. In-Normanni issa kienu ħielsa li jippenetraw fil-hinterland; Huma ħadu Ioannina u xi bliet minuri fil-Lbiċ tal-Maċedonja u Tessalja qabel ma dehru fil-gradi ta 'Tessalonica. Id-dissensjoni fost il-gradi għoljin sfurzat in-Normanni biex jirtiraw lejn l-Italja. Huma tilfu Dyrrachium, Valona, ​​u Butrint fl-1085, wara l-mewt ta 'Robert.</v>
      </c>
    </row>
    <row r="17326" ht="15.75" customHeight="1">
      <c r="A17326" s="2" t="s">
        <v>17326</v>
      </c>
      <c r="B17326" s="2" t="str">
        <f>IFERROR(__xludf.DUMMYFUNCTION("GOOGLETRANSLATE(A17326, ""en"", ""mt"")"),"Los Angeles Times")</f>
        <v>Los Angeles Times</v>
      </c>
    </row>
    <row r="17327" ht="15.75" customHeight="1">
      <c r="A17327" s="2" t="s">
        <v>17327</v>
      </c>
      <c r="B17327" s="2" t="str">
        <f>IFERROR(__xludf.DUMMYFUNCTION("GOOGLETRANSLATE(A17327, ""en"", ""mt"")"),"Fejn kien jinsab it-Teatru tas-Sajf?")</f>
        <v>Fejn kien jinsab it-Teatru tas-Sajf?</v>
      </c>
    </row>
    <row r="17328" ht="15.75" customHeight="1">
      <c r="A17328" s="2" t="s">
        <v>17328</v>
      </c>
      <c r="B17328" s="2" t="str">
        <f>IFERROR(__xludf.DUMMYFUNCTION("GOOGLETRANSLATE(A17328, ""en"", ""mt"")"),"Emissjonijiet relatati mal-karbonju")</f>
        <v>Emissjonijiet relatati mal-karbonju</v>
      </c>
    </row>
    <row r="17329" ht="15.75" customHeight="1">
      <c r="A17329" s="2" t="s">
        <v>17329</v>
      </c>
      <c r="B17329" s="2" t="str">
        <f>IFERROR(__xludf.DUMMYFUNCTION("GOOGLETRANSLATE(A17329, ""en"", ""mt"")"),"Valv tal-Privattivi")</f>
        <v>Valv tal-Privattivi</v>
      </c>
    </row>
    <row r="17330" ht="15.75" customHeight="1">
      <c r="A17330" s="2" t="s">
        <v>17330</v>
      </c>
      <c r="B17330" s="2" t="str">
        <f>IFERROR(__xludf.DUMMYFUNCTION("GOOGLETRANSLATE(A17330, ""en"", ""mt"")"),"Otilling")</f>
        <v>Otilling</v>
      </c>
    </row>
    <row r="17331" ht="15.75" customHeight="1">
      <c r="A17331" s="2" t="s">
        <v>17331</v>
      </c>
      <c r="B17331" s="2" t="str">
        <f>IFERROR(__xludf.DUMMYFUNCTION("GOOGLETRANSLATE(A17331, ""en"", ""mt"")"),"Matul is-seklu 18, l-ideat tal-kjarifika tal-poter tar-raġuni u r-rieda ħielsa saru mifruxa fost il-ministri kongregazzjonalisti, li jpoġġu lil dawk il-ministri u l-kongregazzjonijiet tagħhom f'tensjoni ma 'aktar tradizzjonalisti, partiti kalvinisti. 1803"&amp;" u l-president ta 'Harvard Joseph Willard mietu sena wara, fl-1804, faqqgħet ġlieda fuq is-sostituzzjonijiet tagħhom. Henry Ware ġie elett fuq is-siġġu fl-1805, u l-Liberali Samuel Webber inħatar għall-Presidenza ta ’Harvard sentejn wara, li ta sinjal li "&amp;"t-tibdil tal-marea mid-dominanza ta’ ideat tradizzjonali f’Harvard għad-dominanza ta ’ideat liberali u Arminjani ( definiti mit-tradizzjonalisti bħala ideat unitarji).: 4–5: 24")</f>
        <v>Matul is-seklu 18, l-ideat tal-kjarifika tal-poter tar-raġuni u r-rieda ħielsa saru mifruxa fost il-ministri kongregazzjonalisti, li jpoġġu lil dawk il-ministri u l-kongregazzjonijiet tagħhom f'tensjoni ma 'aktar tradizzjonalisti, partiti kalvinisti. 1803 u l-president ta 'Harvard Joseph Willard mietu sena wara, fl-1804, faqqgħet ġlieda fuq is-sostituzzjonijiet tagħhom. Henry Ware ġie elett fuq is-siġġu fl-1805, u l-Liberali Samuel Webber inħatar għall-Presidenza ta ’Harvard sentejn wara, li ta sinjal li t-tibdil tal-marea mid-dominanza ta’ ideat tradizzjonali f’Harvard għad-dominanza ta ’ideat liberali u Arminjani ( definiti mit-tradizzjonalisti bħala ideat unitarji).: 4–5: 24</v>
      </c>
    </row>
    <row r="17332" ht="15.75" customHeight="1">
      <c r="A17332" s="2" t="s">
        <v>17332</v>
      </c>
      <c r="B17332" s="2" t="str">
        <f>IFERROR(__xludf.DUMMYFUNCTION("GOOGLETRANSLATE(A17332, ""en"", ""mt"")"),"Fuq xiex konċentrat il-midja Virgin minflok toffri kanali lineari?")</f>
        <v>Fuq xiex konċentrat il-midja Virgin minflok toffri kanali lineari?</v>
      </c>
    </row>
    <row r="17333" ht="15.75" customHeight="1">
      <c r="A17333" s="2" t="s">
        <v>17333</v>
      </c>
      <c r="B17333" s="2" t="str">
        <f>IFERROR(__xludf.DUMMYFUNCTION("GOOGLETRANSLATE(A17333, ""en"", ""mt"")")," Liema relazzjoni ma 'Iżrael hija Sadat kontra?")</f>
        <v> Liema relazzjoni ma 'Iżrael hija Sadat kontra?</v>
      </c>
    </row>
    <row r="17334" ht="15.75" customHeight="1">
      <c r="A17334" s="2" t="s">
        <v>17334</v>
      </c>
      <c r="B17334" s="2" t="str">
        <f>IFERROR(__xludf.DUMMYFUNCTION("GOOGLETRANSLATE(A17334, ""en"", ""mt"")"),"Ħafna klassijiet ta 'kumplessità magħrufa huma suspettati li huma inugwali")</f>
        <v>Ħafna klassijiet ta 'kumplessità magħrufa huma suspettati li huma inugwali</v>
      </c>
    </row>
    <row r="17335" ht="15.75" customHeight="1">
      <c r="A17335" s="2" t="s">
        <v>17335</v>
      </c>
      <c r="B17335" s="2" t="str">
        <f>IFERROR(__xludf.DUMMYFUNCTION("GOOGLETRANSLATE(A17335, ""en"", ""mt"")"),"L-angolu huwa l-ekwivalenti rotazzjonali għall-pożizzjoni")</f>
        <v>L-angolu huwa l-ekwivalenti rotazzjonali għall-pożizzjoni</v>
      </c>
    </row>
    <row r="17336" ht="15.75" customHeight="1">
      <c r="A17336" s="2" t="s">
        <v>17336</v>
      </c>
      <c r="B17336" s="2" t="str">
        <f>IFERROR(__xludf.DUMMYFUNCTION("GOOGLETRANSLATE(A17336, ""en"", ""mt"")"),"X'kienet l-ewwel magna vera li kienet suċċess kummerċjalment?")</f>
        <v>X'kienet l-ewwel magna vera li kienet suċċess kummerċjalment?</v>
      </c>
    </row>
    <row r="17337" ht="15.75" customHeight="1">
      <c r="A17337" s="2" t="s">
        <v>17337</v>
      </c>
      <c r="B17337" s="2" t="str">
        <f>IFERROR(__xludf.DUMMYFUNCTION("GOOGLETRANSLATE(A17337, ""en"", ""mt"")")," Min kien ikun il-klassi l-iktar klassifikata?")</f>
        <v> Min kien ikun il-klassi l-iktar klassifikata?</v>
      </c>
    </row>
    <row r="17338" ht="15.75" customHeight="1">
      <c r="A17338" s="2" t="s">
        <v>17338</v>
      </c>
      <c r="B17338" s="2" t="str">
        <f>IFERROR(__xludf.DUMMYFUNCTION("GOOGLETRANSLATE(A17338, ""en"", ""mt"")"),"Tehachapis")</f>
        <v>Tehachapis</v>
      </c>
    </row>
    <row r="17339" ht="15.75" customHeight="1">
      <c r="A17339" s="2" t="s">
        <v>17339</v>
      </c>
      <c r="B17339" s="2" t="str">
        <f>IFERROR(__xludf.DUMMYFUNCTION("GOOGLETRANSLATE(A17339, ""en"", ""mt"")"),"Teoriji oħra tal-oriġini tal-kelma jistgħu ġeneralment jiġu kklassifikati bħala xiex?")</f>
        <v>Teoriji oħra tal-oriġini tal-kelma jistgħu ġeneralment jiġu kklassifikati bħala xiex?</v>
      </c>
    </row>
    <row r="17340" ht="15.75" customHeight="1">
      <c r="A17340" s="2" t="s">
        <v>17340</v>
      </c>
      <c r="B17340" s="2" t="str">
        <f>IFERROR(__xludf.DUMMYFUNCTION("GOOGLETRANSLATE(A17340, ""en"", ""mt"")"),"Liema tweġibiet jipproteġu l-pulmuni billi jeħilsu mekkanikament patoġeni mis-sistema respiratorja?")</f>
        <v>Liema tweġibiet jipproteġu l-pulmuni billi jeħilsu mekkanikament patoġeni mis-sistema respiratorja?</v>
      </c>
    </row>
    <row r="17341" ht="15.75" customHeight="1">
      <c r="A17341" s="2" t="s">
        <v>17341</v>
      </c>
      <c r="B17341" s="2" t="str">
        <f>IFERROR(__xludf.DUMMYFUNCTION("GOOGLETRANSLATE(A17341, ""en"", ""mt"")"),"€ 5,000")</f>
        <v>€ 5,000</v>
      </c>
    </row>
    <row r="17342" ht="15.75" customHeight="1">
      <c r="A17342" s="2" t="s">
        <v>17342</v>
      </c>
      <c r="B17342" s="2" t="str">
        <f>IFERROR(__xludf.DUMMYFUNCTION("GOOGLETRANSLATE(A17342, ""en"", ""mt"")"),"Bħal ħafna bliet fl-Ewropa Ċentrali u tal-Lvant, l-infrastruttura f'Varsavja sofriet konsiderevolment matul iż-żmien tagħha bħala ekonomija tal-blokk tal-Lvant - għalkemm ta 'min isemmi li l-pjan inizjali ta' tliet snin biex jerġa 'jibni l-Polonja (speċja"&amp;"lment Varsavja) kien suċċess kbir, imma dak li segwa kien ħafna l-oppost. Madankollu, matul l-aħħar għaxar snin Varsavja rat bosta titjib minħabba tkabbir ekonomiku solidu, żieda fl-investiment barrani kif ukoll fondi mill-Unjoni Ewropea. B'mod partikolar"&amp;"i, il-metro tal-belt, toroq, bankini, faċilitajiet tal-kura tas-saħħa u faċilitajiet ta 'sanità tjiebu sew.")</f>
        <v>Bħal ħafna bliet fl-Ewropa Ċentrali u tal-Lvant, l-infrastruttura f'Varsavja sofriet konsiderevolment matul iż-żmien tagħha bħala ekonomija tal-blokk tal-Lvant - għalkemm ta 'min isemmi li l-pjan inizjali ta' tliet snin biex jerġa 'jibni l-Polonja (speċjalment Varsavja) kien suċċess kbir, imma dak li segwa kien ħafna l-oppost. Madankollu, matul l-aħħar għaxar snin Varsavja rat bosta titjib minħabba tkabbir ekonomiku solidu, żieda fl-investiment barrani kif ukoll fondi mill-Unjoni Ewropea. B'mod partikolari, il-metro tal-belt, toroq, bankini, faċilitajiet tal-kura tas-saħħa u faċilitajiet ta 'sanità tjiebu sew.</v>
      </c>
    </row>
    <row r="17343" ht="15.75" customHeight="1">
      <c r="A17343" s="2" t="s">
        <v>17343</v>
      </c>
      <c r="B17343" s="2" t="str">
        <f>IFERROR(__xludf.DUMMYFUNCTION("GOOGLETRANSLATE(A17343, ""en"", ""mt"")"),"X'inhi t-tifsira oriġinali tal-kelma Norman?")</f>
        <v>X'inhi t-tifsira oriġinali tal-kelma Norman?</v>
      </c>
    </row>
    <row r="17344" ht="15.75" customHeight="1">
      <c r="A17344" s="2" t="s">
        <v>17344</v>
      </c>
      <c r="B17344" s="2" t="str">
        <f>IFERROR(__xludf.DUMMYFUNCTION("GOOGLETRANSLATE(A17344, ""en"", ""mt"")"),"Liema knisja tmexxi xi skejjel privati ​​fir-Rabat?")</f>
        <v>Liema knisja tmexxi xi skejjel privati ​​fir-Rabat?</v>
      </c>
    </row>
    <row r="17345" ht="15.75" customHeight="1">
      <c r="A17345" s="2" t="s">
        <v>17345</v>
      </c>
      <c r="B17345" s="2" t="str">
        <f>IFERROR(__xludf.DUMMYFUNCTION("GOOGLETRANSLATE(A17345, ""en"", ""mt"")"),"F'liema sena Louis XIV beda jiċħad lill-Protestanti l-abbiltà li jaħdmu f'ċerti professjonijiet?")</f>
        <v>F'liema sena Louis XIV beda jiċħad lill-Protestanti l-abbiltà li jaħdmu f'ċerti professjonijiet?</v>
      </c>
    </row>
    <row r="17346" ht="15.75" customHeight="1">
      <c r="A17346" s="2" t="s">
        <v>17346</v>
      </c>
      <c r="B17346" s="2" t="str">
        <f>IFERROR(__xludf.DUMMYFUNCTION("GOOGLETRANSLATE(A17346, ""en"", ""mt"")"),"L-intervalli tan-numru ewlieni bejn il-emerġenzi jagħmluha diffiċli ħafna għall-predaturi li jevolvu li jistgħu jispeċjalizzaw bħala predaturi fuq magicicadas")</f>
        <v>L-intervalli tan-numru ewlieni bejn il-emerġenzi jagħmluha diffiċli ħafna għall-predaturi li jevolvu li jistgħu jispeċjalizzaw bħala predaturi fuq magicicadas</v>
      </c>
    </row>
    <row r="17347" ht="15.75" customHeight="1">
      <c r="A17347" s="2" t="s">
        <v>17347</v>
      </c>
      <c r="B17347" s="2" t="str">
        <f>IFERROR(__xludf.DUMMYFUNCTION("GOOGLETRANSLATE(A17347, ""en"", ""mt"")"),"X’jipprevjenu livelli baxxi ta ’inugwaljanza lil hinn mill-prosperità ekonomika?")</f>
        <v>X’jipprevjenu livelli baxxi ta ’inugwaljanza lil hinn mill-prosperità ekonomika?</v>
      </c>
    </row>
    <row r="17348" ht="15.75" customHeight="1">
      <c r="A17348" s="2" t="s">
        <v>17348</v>
      </c>
      <c r="B17348" s="2" t="str">
        <f>IFERROR(__xludf.DUMMYFUNCTION("GOOGLETRANSLATE(A17348, ""en"", ""mt"")"),"Servizzi tal-merkanzija")</f>
        <v>Servizzi tal-merkanzija</v>
      </c>
    </row>
    <row r="17349" ht="15.75" customHeight="1">
      <c r="A17349" s="2" t="s">
        <v>17349</v>
      </c>
      <c r="B17349" s="2" t="str">
        <f>IFERROR(__xludf.DUMMYFUNCTION("GOOGLETRANSLATE(A17349, ""en"", ""mt"")"),"seba 'u tmienja")</f>
        <v>seba 'u tmienja</v>
      </c>
    </row>
    <row r="17350" ht="15.75" customHeight="1">
      <c r="A17350" s="2" t="s">
        <v>17350</v>
      </c>
      <c r="B17350" s="2" t="str">
        <f>IFERROR(__xludf.DUMMYFUNCTION("GOOGLETRANSLATE(A17350, ""en"", ""mt"")"),"sodisfazzjon u hena madwar il-popolazzjoni")</f>
        <v>sodisfazzjon u hena madwar il-popolazzjoni</v>
      </c>
    </row>
    <row r="17351" ht="15.75" customHeight="1">
      <c r="A17351" s="2" t="s">
        <v>17351</v>
      </c>
      <c r="B17351" s="2" t="str">
        <f>IFERROR(__xludf.DUMMYFUNCTION("GOOGLETRANSLATE(A17351, ""en"", ""mt"")"),"40 km")</f>
        <v>40 km</v>
      </c>
    </row>
    <row r="17352" ht="15.75" customHeight="1">
      <c r="A17352" s="2" t="s">
        <v>17352</v>
      </c>
      <c r="B17352" s="2" t="str">
        <f>IFERROR(__xludf.DUMMYFUNCTION("GOOGLETRANSLATE(A17352, ""en"", ""mt"")"),"Liema pajjiż ġiegħel il-Ġappun f'alleanza?")</f>
        <v>Liema pajjiż ġiegħel il-Ġappun f'alleanza?</v>
      </c>
    </row>
    <row r="17353" ht="15.75" customHeight="1">
      <c r="A17353" s="2" t="s">
        <v>17353</v>
      </c>
      <c r="B17353" s="2" t="str">
        <f>IFERROR(__xludf.DUMMYFUNCTION("GOOGLETRANSLATE(A17353, ""en"", ""mt"")"),"Il-Kunsill Ewropew")</f>
        <v>Il-Kunsill Ewropew</v>
      </c>
    </row>
    <row r="17354" ht="15.75" customHeight="1">
      <c r="A17354" s="2" t="s">
        <v>17354</v>
      </c>
      <c r="B17354" s="2" t="str">
        <f>IFERROR(__xludf.DUMMYFUNCTION("GOOGLETRANSLATE(A17354, ""en"", ""mt"")"),"Frar 1082")</f>
        <v>Frar 1082</v>
      </c>
    </row>
    <row r="17355" ht="15.75" customHeight="1">
      <c r="A17355" s="2" t="s">
        <v>17355</v>
      </c>
      <c r="B17355" s="2" t="str">
        <f>IFERROR(__xludf.DUMMYFUNCTION("GOOGLETRANSLATE(A17355, ""en"", ""mt"")"),"Artifact tal-qasam potenzjali")</f>
        <v>Artifact tal-qasam potenzjali</v>
      </c>
    </row>
    <row r="17356" ht="15.75" customHeight="1">
      <c r="A17356" s="2" t="s">
        <v>17356</v>
      </c>
      <c r="B17356" s="2" t="str">
        <f>IFERROR(__xludf.DUMMYFUNCTION("GOOGLETRANSLATE(A17356, ""en"", ""mt"")"),"Ma 'xiex jikkorrelataw il-moviment tax-xogħol dgħajjef?")</f>
        <v>Ma 'xiex jikkorrelataw il-moviment tax-xogħol dgħajjef?</v>
      </c>
    </row>
    <row r="17357" ht="15.75" customHeight="1">
      <c r="A17357" s="2" t="s">
        <v>17357</v>
      </c>
      <c r="B17357" s="2" t="str">
        <f>IFERROR(__xludf.DUMMYFUNCTION("GOOGLETRANSLATE(A17357, ""en"", ""mt"")"),"X'tip ta 'prattiki l-Yuan reġa' introduċju fil-gvern?")</f>
        <v>X'tip ta 'prattiki l-Yuan reġa' introduċju fil-gvern?</v>
      </c>
    </row>
    <row r="17358" ht="15.75" customHeight="1">
      <c r="A17358" s="2" t="s">
        <v>17358</v>
      </c>
      <c r="B17358" s="2" t="str">
        <f>IFERROR(__xludf.DUMMYFUNCTION("GOOGLETRANSLATE(A17358, ""en"", ""mt"")"),"L-ewwel vot tal-votazzjoni juża liema metodu biex jakkwista l-voti?")</f>
        <v>L-ewwel vot tal-votazzjoni juża liema metodu biex jakkwista l-voti?</v>
      </c>
    </row>
    <row r="17359" ht="15.75" customHeight="1">
      <c r="A17359" s="2" t="s">
        <v>17359</v>
      </c>
      <c r="B17359" s="2" t="str">
        <f>IFERROR(__xludf.DUMMYFUNCTION("GOOGLETRANSLATE(A17359, ""en"", ""mt"")"),"Kif ma ħassx Celeron dwar ir-relazzjonijiet indiġeni?")</f>
        <v>Kif ma ħassx Celeron dwar ir-relazzjonijiet indiġeni?</v>
      </c>
    </row>
    <row r="17360" ht="15.75" customHeight="1">
      <c r="A17360" s="2" t="s">
        <v>17360</v>
      </c>
      <c r="B17360" s="2" t="str">
        <f>IFERROR(__xludf.DUMMYFUNCTION("GOOGLETRANSLATE(A17360, ""en"", ""mt"")"),"Sa Awwissu 2010 kemm l-iskejjel tal-kummerċ kellhom Victoria?")</f>
        <v>Sa Awwissu 2010 kemm l-iskejjel tal-kummerċ kellhom Victoria?</v>
      </c>
    </row>
    <row r="17361" ht="15.75" customHeight="1">
      <c r="A17361" s="2" t="s">
        <v>17361</v>
      </c>
      <c r="B17361" s="2" t="str">
        <f>IFERROR(__xludf.DUMMYFUNCTION("GOOGLETRANSLATE(A17361, ""en"", ""mt"")"),"Turbina tal-fwar")</f>
        <v>Turbina tal-fwar</v>
      </c>
    </row>
    <row r="17362" ht="15.75" customHeight="1">
      <c r="A17362" s="2" t="s">
        <v>17362</v>
      </c>
      <c r="B17362" s="2" t="str">
        <f>IFERROR(__xludf.DUMMYFUNCTION("GOOGLETRANSLATE(A17362, ""en"", ""mt"")"),"Liema kumpaniji qatt ma qablu li jtemmu l-proċeduri tal-qorti tagħhom kontra xulxin?")</f>
        <v>Liema kumpaniji qatt ma qablu li jtemmu l-proċeduri tal-qorti tagħhom kontra xulxin?</v>
      </c>
    </row>
    <row r="17363" ht="15.75" customHeight="1">
      <c r="A17363" s="2" t="s">
        <v>17363</v>
      </c>
      <c r="B17363" s="2" t="str">
        <f>IFERROR(__xludf.DUMMYFUNCTION("GOOGLETRANSLATE(A17363, ""en"", ""mt"")"),"Interferenza RNA")</f>
        <v>Interferenza RNA</v>
      </c>
    </row>
    <row r="17364" ht="15.75" customHeight="1">
      <c r="A17364" s="2" t="s">
        <v>17364</v>
      </c>
      <c r="B17364" s="2" t="str">
        <f>IFERROR(__xludf.DUMMYFUNCTION("GOOGLETRANSLATE(A17364, ""en"", ""mt"")"),"X'jipproduċi ħafna sedimentazzjoni li tiċċirkola fix-xmajjar tal-madwar?")</f>
        <v>X'jipproduċi ħafna sedimentazzjoni li tiċċirkola fix-xmajjar tal-madwar?</v>
      </c>
    </row>
    <row r="17365" ht="15.75" customHeight="1">
      <c r="A17365" s="2" t="s">
        <v>17365</v>
      </c>
      <c r="B17365" s="2" t="str">
        <f>IFERROR(__xludf.DUMMYFUNCTION("GOOGLETRANSLATE(A17365, ""en"", ""mt"")"),"Skejjel tal-Laboratorju tal-Università ta ’Chicago")</f>
        <v>Skejjel tal-Laboratorju tal-Università ta ’Chicago</v>
      </c>
    </row>
    <row r="17366" ht="15.75" customHeight="1">
      <c r="A17366" s="2" t="s">
        <v>17366</v>
      </c>
      <c r="B17366" s="2" t="str">
        <f>IFERROR(__xludf.DUMMYFUNCTION("GOOGLETRANSLATE(A17366, ""en"", ""mt"")"),"Ir-Renju Unit u Franza kellhom interruzzjonijiet mhux fil-provvista taż-żejt tagħhom peress li ma ħallewx liema pajjiż jużaw il-mitjar tagħhom?")</f>
        <v>Ir-Renju Unit u Franza kellhom interruzzjonijiet mhux fil-provvista taż-żejt tagħhom peress li ma ħallewx liema pajjiż jużaw il-mitjar tagħhom?</v>
      </c>
    </row>
    <row r="17367" ht="15.75" customHeight="1">
      <c r="A17367" s="2" t="s">
        <v>17367</v>
      </c>
      <c r="B17367" s="2" t="str">
        <f>IFERROR(__xludf.DUMMYFUNCTION("GOOGLETRANSLATE(A17367, ""en"", ""mt"")"),"1859")</f>
        <v>1859</v>
      </c>
    </row>
    <row r="17368" ht="15.75" customHeight="1">
      <c r="A17368" s="2" t="s">
        <v>17368</v>
      </c>
      <c r="B17368" s="2" t="str">
        <f>IFERROR(__xludf.DUMMYFUNCTION("GOOGLETRANSLATE(A17368, ""en"", ""mt"")"),"Kemm huma mistennija li l-livelli tas-CO2 jiżdiedu taħt ix-xenarju tas-soltu?")</f>
        <v>Kemm huma mistennija li l-livelli tas-CO2 jiżdiedu taħt ix-xenarju tas-soltu?</v>
      </c>
    </row>
    <row r="17369" ht="15.75" customHeight="1">
      <c r="A17369" s="2" t="s">
        <v>17369</v>
      </c>
      <c r="B17369" s="2" t="str">
        <f>IFERROR(__xludf.DUMMYFUNCTION("GOOGLETRANSLATE(A17369, ""en"", ""mt"")"),"emissjonijiet għal kull persuna")</f>
        <v>emissjonijiet għal kull persuna</v>
      </c>
    </row>
    <row r="17370" ht="15.75" customHeight="1">
      <c r="A17370" s="2" t="s">
        <v>17370</v>
      </c>
      <c r="B17370" s="2" t="str">
        <f>IFERROR(__xludf.DUMMYFUNCTION("GOOGLETRANSLATE(A17370, ""en"", ""mt"")"),"X'kien l-isem tal-kolonja primarja ta 'Franza fid-Dinja l-Ġdida?")</f>
        <v>X'kien l-isem tal-kolonja primarja ta 'Franza fid-Dinja l-Ġdida?</v>
      </c>
    </row>
    <row r="17371" ht="15.75" customHeight="1">
      <c r="A17371" s="2" t="s">
        <v>17371</v>
      </c>
      <c r="B17371" s="2" t="str">
        <f>IFERROR(__xludf.DUMMYFUNCTION("GOOGLETRANSLATE(A17371, ""en"", ""mt"")"),"Meta dehret l-ewwel Bibbja tal-Lingwa Franċiża?")</f>
        <v>Meta dehret l-ewwel Bibbja tal-Lingwa Franċiża?</v>
      </c>
    </row>
    <row r="17372" ht="15.75" customHeight="1">
      <c r="A17372" s="2" t="s">
        <v>17372</v>
      </c>
      <c r="B17372" s="2" t="str">
        <f>IFERROR(__xludf.DUMMYFUNCTION("GOOGLETRANSLATE(A17372, ""en"", ""mt"")"),"X'inhu l-proċess li jitneħħew siġar minn foresta magħrufa bħala?")</f>
        <v>X'inhu l-proċess li jitneħħew siġar minn foresta magħrufa bħala?</v>
      </c>
    </row>
    <row r="17373" ht="15.75" customHeight="1">
      <c r="A17373" s="2" t="s">
        <v>17373</v>
      </c>
      <c r="B17373" s="2" t="str">
        <f>IFERROR(__xludf.DUMMYFUNCTION("GOOGLETRANSLATE(A17373, ""en"", ""mt"")"),"1598")</f>
        <v>1598</v>
      </c>
    </row>
    <row r="17374" ht="15.75" customHeight="1">
      <c r="A17374" s="2" t="s">
        <v>17374</v>
      </c>
      <c r="B17374" s="2" t="str">
        <f>IFERROR(__xludf.DUMMYFUNCTION("GOOGLETRANSLATE(A17374, ""en"", ""mt"")"),"Kif wieħed jikteb t (n) = 7n2 + 15n + 40 fin-notazzjoni kbira?")</f>
        <v>Kif wieħed jikteb t (n) = 7n2 + 15n + 40 fin-notazzjoni kbira?</v>
      </c>
    </row>
    <row r="17375" ht="15.75" customHeight="1">
      <c r="A17375" s="2" t="s">
        <v>17375</v>
      </c>
      <c r="B17375" s="2" t="str">
        <f>IFERROR(__xludf.DUMMYFUNCTION("GOOGLETRANSLATE(A17375, ""en"", ""mt"")"),"Lil nies li jagħtu servizzi ""għar-remunerazzjoni""")</f>
        <v>Lil nies li jagħtu servizzi "għar-remunerazzjoni"</v>
      </c>
    </row>
    <row r="17376" ht="15.75" customHeight="1">
      <c r="A17376" s="2" t="s">
        <v>17376</v>
      </c>
      <c r="B17376" s="2" t="str">
        <f>IFERROR(__xludf.DUMMYFUNCTION("GOOGLETRANSLATE(A17376, ""en"", ""mt"")"),"Kemm mili fin-Nofsinhar ta 'San Jose jinsab il-punt tan-nofsinhar tat-tramuntana?")</f>
        <v>Kemm mili fin-Nofsinhar ta 'San Jose jinsab il-punt tan-nofsinhar tat-tramuntana?</v>
      </c>
    </row>
    <row r="17377" ht="15.75" customHeight="1">
      <c r="A17377" s="2" t="s">
        <v>17377</v>
      </c>
      <c r="B17377" s="2" t="str">
        <f>IFERROR(__xludf.DUMMYFUNCTION("GOOGLETRANSLATE(A17377, ""en"", ""mt"")"),"X'inhuma wħud mill-aktar esperimenti magħrufa fix-xejriet ta 'difetti?")</f>
        <v>X'inhuma wħud mill-aktar esperimenti magħrufa fix-xejriet ta 'difetti?</v>
      </c>
    </row>
    <row r="17378" ht="15.75" customHeight="1">
      <c r="A17378" s="2" t="s">
        <v>17378</v>
      </c>
      <c r="B17378" s="2" t="str">
        <f>IFERROR(__xludf.DUMMYFUNCTION("GOOGLETRANSLATE(A17378, ""en"", ""mt"")"),"Uighurs")</f>
        <v>Uighurs</v>
      </c>
    </row>
    <row r="17379" ht="15.75" customHeight="1">
      <c r="A17379" s="2" t="s">
        <v>17379</v>
      </c>
      <c r="B17379" s="2" t="str">
        <f>IFERROR(__xludf.DUMMYFUNCTION("GOOGLETRANSLATE(A17379, ""en"", ""mt"")"),"Kemm hemm imħallfin totali fl-UE?")</f>
        <v>Kemm hemm imħallfin totali fl-UE?</v>
      </c>
    </row>
    <row r="17380" ht="15.75" customHeight="1">
      <c r="A17380" s="2" t="s">
        <v>17380</v>
      </c>
      <c r="B17380" s="2" t="str">
        <f>IFERROR(__xludf.DUMMYFUNCTION("GOOGLETRANSLATE(A17380, ""en"", ""mt"")"),"Urarina")</f>
        <v>Urarina</v>
      </c>
    </row>
    <row r="17381" ht="15.75" customHeight="1">
      <c r="A17381" s="2" t="s">
        <v>17381</v>
      </c>
      <c r="B17381" s="2" t="str">
        <f>IFERROR(__xludf.DUMMYFUNCTION("GOOGLETRANSLATE(A17381, ""en"", ""mt"")"),"Bitħa li tmiss mal-Assemblea tas-Sala")</f>
        <v>Bitħa li tmiss mal-Assemblea tas-Sala</v>
      </c>
    </row>
    <row r="17382" ht="15.75" customHeight="1">
      <c r="A17382" s="2" t="s">
        <v>17382</v>
      </c>
      <c r="B17382" s="2" t="str">
        <f>IFERROR(__xludf.DUMMYFUNCTION("GOOGLETRANSLATE(A17382, ""en"", ""mt"")"),"Fejn huma l-aktar komuni s-saħħa u l-problemi soċjali?")</f>
        <v>Fejn huma l-aktar komuni s-saħħa u l-problemi soċjali?</v>
      </c>
    </row>
    <row r="17383" ht="15.75" customHeight="1">
      <c r="A17383" s="2" t="s">
        <v>17383</v>
      </c>
      <c r="B17383" s="2" t="str">
        <f>IFERROR(__xludf.DUMMYFUNCTION("GOOGLETRANSLATE(A17383, ""en"", ""mt"")"),"X'tipi ta 'organizzazzjonijiet qegħdin jonqsu fl-Istati Uniti li jaffettwa ħażin l-immobilità ekonomika?")</f>
        <v>X'tipi ta 'organizzazzjonijiet qegħdin jonqsu fl-Istati Uniti li jaffettwa ħażin l-immobilità ekonomika?</v>
      </c>
    </row>
    <row r="17384" ht="15.75" customHeight="1">
      <c r="A17384" s="2" t="s">
        <v>17384</v>
      </c>
      <c r="B17384" s="2" t="str">
        <f>IFERROR(__xludf.DUMMYFUNCTION("GOOGLETRANSLATE(A17384, ""en"", ""mt"")"),"Ministru Federali tal-Intern")</f>
        <v>Ministru Federali tal-Intern</v>
      </c>
    </row>
    <row r="17385" ht="15.75" customHeight="1">
      <c r="A17385" s="2" t="s">
        <v>17385</v>
      </c>
      <c r="B17385" s="2" t="str">
        <f>IFERROR(__xludf.DUMMYFUNCTION("GOOGLETRANSLATE(A17385, ""en"", ""mt"")"),"In-negozju tagħhom huwa kronikament sottovalutat")</f>
        <v>In-negozju tagħhom huwa kronikament sottovalutat</v>
      </c>
    </row>
    <row r="17386" ht="15.75" customHeight="1">
      <c r="A17386" s="2" t="s">
        <v>17386</v>
      </c>
      <c r="B17386" s="2" t="str">
        <f>IFERROR(__xludf.DUMMYFUNCTION("GOOGLETRANSLATE(A17386, ""en"", ""mt"")"),"karozzi")</f>
        <v>karozzi</v>
      </c>
    </row>
    <row r="17387" ht="15.75" customHeight="1">
      <c r="A17387" s="2" t="s">
        <v>17387</v>
      </c>
      <c r="B17387" s="2" t="str">
        <f>IFERROR(__xludf.DUMMYFUNCTION("GOOGLETRANSLATE(A17387, ""en"", ""mt"")"),"Xjenza")</f>
        <v>Xjenza</v>
      </c>
    </row>
    <row r="17388" ht="15.75" customHeight="1">
      <c r="A17388" s="2" t="s">
        <v>17388</v>
      </c>
      <c r="B17388" s="2" t="str">
        <f>IFERROR(__xludf.DUMMYFUNCTION("GOOGLETRANSLATE(A17388, ""en"", ""mt"")"),"it-tieni")</f>
        <v>it-tieni</v>
      </c>
    </row>
    <row r="17389" ht="15.75" customHeight="1">
      <c r="A17389" s="2" t="s">
        <v>17389</v>
      </c>
      <c r="B17389" s="2" t="str">
        <f>IFERROR(__xludf.DUMMYFUNCTION("GOOGLETRANSLATE(A17389, ""en"", ""mt"")"),"X'inhu l-isem ta 'magna uniflow li tieħu fwar f'żoni sħan u teżawrixxiha meta tgħaddi?")</f>
        <v>X'inhu l-isem ta 'magna uniflow li tieħu fwar f'żoni sħan u teżawrixxiha meta tgħaddi?</v>
      </c>
    </row>
    <row r="17390" ht="15.75" customHeight="1">
      <c r="A17390" s="2" t="s">
        <v>17390</v>
      </c>
      <c r="B17390" s="2" t="str">
        <f>IFERROR(__xludf.DUMMYFUNCTION("GOOGLETRANSLATE(A17390, ""en"", ""mt"")"),"X'inhu każ wieħed sempliċi ta 'test probabilistiku?")</f>
        <v>X'inhu każ wieħed sempliċi ta 'test probabilistiku?</v>
      </c>
    </row>
    <row r="17391" ht="15.75" customHeight="1">
      <c r="A17391" s="2" t="s">
        <v>17391</v>
      </c>
      <c r="B17391" s="2" t="str">
        <f>IFERROR(__xludf.DUMMYFUNCTION("GOOGLETRANSLATE(A17391, ""en"", ""mt"")"),"Il-Battalja ta 'Bạch ằng")</f>
        <v>Il-Battalja ta 'Bạch ằng</v>
      </c>
    </row>
    <row r="17392" ht="15.75" customHeight="1">
      <c r="A17392" s="2" t="s">
        <v>17392</v>
      </c>
      <c r="B17392" s="2" t="str">
        <f>IFERROR(__xludf.DUMMYFUNCTION("GOOGLETRANSLATE(A17392, ""en"", ""mt"")"),"Apologie")</f>
        <v>Apologie</v>
      </c>
    </row>
    <row r="17393" ht="15.75" customHeight="1">
      <c r="A17393" s="2" t="s">
        <v>17393</v>
      </c>
      <c r="B17393" s="2" t="str">
        <f>IFERROR(__xludf.DUMMYFUNCTION("GOOGLETRANSLATE(A17393, ""en"", ""mt"")"),"Kumitat għall-Kummerċ, ix-Xjenza u t-Trasport")</f>
        <v>Kumitat għall-Kummerċ, ix-Xjenza u t-Trasport</v>
      </c>
    </row>
    <row r="17394" ht="15.75" customHeight="1">
      <c r="A17394" s="2" t="s">
        <v>17394</v>
      </c>
      <c r="B17394" s="2" t="str">
        <f>IFERROR(__xludf.DUMMYFUNCTION("GOOGLETRANSLATE(A17394, ""en"", ""mt"")"),"F'liema tip ta 'kamra jagħmlu speċi fil-ġeneru Ocryopsis iżommu l-bajd tagħhom sakemm ifaqqsu?")</f>
        <v>F'liema tip ta 'kamra jagħmlu speċi fil-ġeneru Ocryopsis iżommu l-bajd tagħhom sakemm ifaqqsu?</v>
      </c>
    </row>
    <row r="17395" ht="15.75" customHeight="1">
      <c r="A17395" s="2" t="s">
        <v>17395</v>
      </c>
      <c r="B17395" s="2" t="str">
        <f>IFERROR(__xludf.DUMMYFUNCTION("GOOGLETRANSLATE(A17395, ""en"", ""mt"")"),"Liema teorija l-inqas tiddeskrivi l-aħjar gravità?")</f>
        <v>Liema teorija l-inqas tiddeskrivi l-aħjar gravità?</v>
      </c>
    </row>
    <row r="17396" ht="15.75" customHeight="1">
      <c r="A17396" s="2" t="s">
        <v>17396</v>
      </c>
      <c r="B17396" s="2" t="str">
        <f>IFERROR(__xludf.DUMMYFUNCTION("GOOGLETRANSLATE(A17396, ""en"", ""mt"")"),"Min hu magħruf għall-ħidma fuq it-teorija tal-qbid tal-portafoll?")</f>
        <v>Min hu magħruf għall-ħidma fuq it-teorija tal-qbid tal-portafoll?</v>
      </c>
    </row>
    <row r="17397" ht="15.75" customHeight="1">
      <c r="A17397" s="2" t="s">
        <v>17397</v>
      </c>
      <c r="B17397" s="2" t="str">
        <f>IFERROR(__xludf.DUMMYFUNCTION("GOOGLETRANSLATE(A17397, ""en"", ""mt"")"),"Min mar Radcliffe u ġie mħarreġ hemm bħala studenti fil-jiem bikrija tiegħu?")</f>
        <v>Min mar Radcliffe u ġie mħarreġ hemm bħala studenti fil-jiem bikrija tiegħu?</v>
      </c>
    </row>
    <row r="17398" ht="15.75" customHeight="1">
      <c r="A17398" s="2" t="s">
        <v>17398</v>
      </c>
      <c r="B17398" s="2" t="str">
        <f>IFERROR(__xludf.DUMMYFUNCTION("GOOGLETRANSLATE(A17398, ""en"", ""mt"")"),"X'jarixxi l-post tal-qlub tat-tħaffir?")</f>
        <v>X'jarixxi l-post tal-qlub tat-tħaffir?</v>
      </c>
    </row>
    <row r="17399" ht="15.75" customHeight="1">
      <c r="A17399" s="2" t="s">
        <v>17399</v>
      </c>
      <c r="B17399" s="2" t="str">
        <f>IFERROR(__xludf.DUMMYFUNCTION("GOOGLETRANSLATE(A17399, ""en"", ""mt"")"),"William E. Simon")</f>
        <v>William E. Simon</v>
      </c>
    </row>
    <row r="17400" ht="15.75" customHeight="1">
      <c r="A17400" s="2" t="s">
        <v>17400</v>
      </c>
      <c r="B17400" s="2" t="str">
        <f>IFERROR(__xludf.DUMMYFUNCTION("GOOGLETRANSLATE(A17400, ""en"", ""mt"")"),"Kontej oranġjo")</f>
        <v>Kontej oranġjo</v>
      </c>
    </row>
    <row r="17401" ht="15.75" customHeight="1">
      <c r="A17401" s="2" t="s">
        <v>17401</v>
      </c>
      <c r="B17401" s="2" t="str">
        <f>IFERROR(__xludf.DUMMYFUNCTION("GOOGLETRANSLATE(A17401, ""en"", ""mt"")"),"Il-Parlament Skoċċiż jista 'jilleġiżla għax jogħġob sakemm il-poteri ma jkunux diġà riservati minn fejn?")</f>
        <v>Il-Parlament Skoċċiż jista 'jilleġiżla għax jogħġob sakemm il-poteri ma jkunux diġà riservati minn fejn?</v>
      </c>
    </row>
    <row r="17402" ht="15.75" customHeight="1">
      <c r="A17402" s="2" t="s">
        <v>17402</v>
      </c>
      <c r="B17402" s="2" t="str">
        <f>IFERROR(__xludf.DUMMYFUNCTION("GOOGLETRANSLATE(A17402, ""en"", ""mt"")"),"Il-ktieb ta ’Lyell naqas milli jirreklama liema veduta?")</f>
        <v>Il-ktieb ta ’Lyell naqas milli jirreklama liema veduta?</v>
      </c>
    </row>
    <row r="17403" ht="15.75" customHeight="1">
      <c r="A17403" s="2" t="s">
        <v>17403</v>
      </c>
      <c r="B17403" s="2" t="str">
        <f>IFERROR(__xludf.DUMMYFUNCTION("GOOGLETRANSLATE(A17403, ""en"", ""mt"")"),"X'inhu l-isem tax-xmara li tinsab kompletament barra minn Jacksonville?")</f>
        <v>X'inhu l-isem tax-xmara li tinsab kompletament barra minn Jacksonville?</v>
      </c>
    </row>
    <row r="17404" ht="15.75" customHeight="1">
      <c r="A17404" s="2" t="s">
        <v>17404</v>
      </c>
      <c r="B17404" s="2" t="str">
        <f>IFERROR(__xludf.DUMMYFUNCTION("GOOGLETRANSLATE(A17404, ""en"", ""mt"")"),"Għal kemm snin intwera evidenza li l-bnedmin iffurmaw l-Amażonja?")</f>
        <v>Għal kemm snin intwera evidenza li l-bnedmin iffurmaw l-Amażonja?</v>
      </c>
    </row>
    <row r="17405" ht="15.75" customHeight="1">
      <c r="A17405" s="2" t="s">
        <v>17405</v>
      </c>
      <c r="B17405" s="2" t="str">
        <f>IFERROR(__xludf.DUMMYFUNCTION("GOOGLETRANSLATE(A17405, ""en"", ""mt"")"),"Taxxa aktar wieqfa")</f>
        <v>Taxxa aktar wieqfa</v>
      </c>
    </row>
    <row r="17406" ht="15.75" customHeight="1">
      <c r="A17406" s="2" t="s">
        <v>17406</v>
      </c>
      <c r="B17406" s="2" t="str">
        <f>IFERROR(__xludf.DUMMYFUNCTION("GOOGLETRANSLATE(A17406, ""en"", ""mt"")"),"Matul liema għaxar snin beda l-kampus jidher aktar modern?")</f>
        <v>Matul liema għaxar snin beda l-kampus jidher aktar modern?</v>
      </c>
    </row>
    <row r="17407" ht="15.75" customHeight="1">
      <c r="A17407" s="2" t="s">
        <v>17407</v>
      </c>
      <c r="B17407" s="2" t="str">
        <f>IFERROR(__xludf.DUMMYFUNCTION("GOOGLETRANSLATE(A17407, ""en"", ""mt"")"),"Sistema autokratika-burokratika")</f>
        <v>Sistema autokratika-burokratika</v>
      </c>
    </row>
    <row r="17408" ht="15.75" customHeight="1">
      <c r="A17408" s="2" t="s">
        <v>17408</v>
      </c>
      <c r="B17408" s="2" t="str">
        <f>IFERROR(__xludf.DUMMYFUNCTION("GOOGLETRANSLATE(A17408, ""en"", ""mt"")"),"Magni tat-Turing deterministiċi")</f>
        <v>Magni tat-Turing deterministiċi</v>
      </c>
    </row>
    <row r="17409" ht="15.75" customHeight="1">
      <c r="A17409" s="2" t="s">
        <v>17409</v>
      </c>
      <c r="B17409" s="2" t="str">
        <f>IFERROR(__xludf.DUMMYFUNCTION("GOOGLETRANSLATE(A17409, ""en"", ""mt"")"),"golf")</f>
        <v>golf</v>
      </c>
    </row>
    <row r="17410" ht="15.75" customHeight="1">
      <c r="A17410" s="2" t="s">
        <v>17410</v>
      </c>
      <c r="B17410" s="2" t="str">
        <f>IFERROR(__xludf.DUMMYFUNCTION("GOOGLETRANSLATE(A17410, ""en"", ""mt"")"),"Meta nħareġ ir-rapport speċjali dwar is-sorsi ta 'enerġija rinnovabbli u l-mitigazzjoni tal-bidla fil-klima (SREN)?")</f>
        <v>Meta nħareġ ir-rapport speċjali dwar is-sorsi ta 'enerġija rinnovabbli u l-mitigazzjoni tal-bidla fil-klima (SREN)?</v>
      </c>
    </row>
    <row r="17411" ht="15.75" customHeight="1">
      <c r="A17411" s="2" t="s">
        <v>17411</v>
      </c>
      <c r="B17411" s="2" t="str">
        <f>IFERROR(__xludf.DUMMYFUNCTION("GOOGLETRANSLATE(A17411, ""en"", ""mt"")"),"Issottometti għall-Piena")</f>
        <v>Issottometti għall-Piena</v>
      </c>
    </row>
    <row r="17412" ht="15.75" customHeight="1">
      <c r="A17412" s="2" t="s">
        <v>17412</v>
      </c>
      <c r="B17412" s="2" t="str">
        <f>IFERROR(__xludf.DUMMYFUNCTION("GOOGLETRANSLATE(A17412, ""en"", ""mt"")"),"X'jistgħu jagħmlu l-membri mhux eletti mill-gvern Skoċċiż?")</f>
        <v>X'jistgħu jagħmlu l-membri mhux eletti mill-gvern Skoċċiż?</v>
      </c>
    </row>
    <row r="17413" ht="15.75" customHeight="1">
      <c r="A17413" s="2" t="s">
        <v>17413</v>
      </c>
      <c r="B17413" s="2" t="str">
        <f>IFERROR(__xludf.DUMMYFUNCTION("GOOGLETRANSLATE(A17413, ""en"", ""mt"")"),"raħal")</f>
        <v>raħal</v>
      </c>
    </row>
    <row r="17414" ht="15.75" customHeight="1">
      <c r="A17414" s="2" t="s">
        <v>17414</v>
      </c>
      <c r="B17414" s="2" t="str">
        <f>IFERROR(__xludf.DUMMYFUNCTION("GOOGLETRANSLATE(A17414, ""en"", ""mt"")"),"Liema skola kienet Walter Camp kaptan għat-tim tal-futbol?")</f>
        <v>Liema skola kienet Walter Camp kaptan għat-tim tal-futbol?</v>
      </c>
    </row>
    <row r="17415" ht="15.75" customHeight="1">
      <c r="A17415" s="2" t="s">
        <v>17415</v>
      </c>
      <c r="B17415" s="2" t="str">
        <f>IFERROR(__xludf.DUMMYFUNCTION("GOOGLETRANSLATE(A17415, ""en"", ""mt"")"),"X'ġara għar-rata ta 'deforestazzjoni fir-reġjun tal-Amażonja tal-Brażil bejn l-2004 u l-2014?")</f>
        <v>X'ġara għar-rata ta 'deforestazzjoni fir-reġjun tal-Amażonja tal-Brażil bejn l-2004 u l-2014?</v>
      </c>
    </row>
    <row r="17416" ht="15.75" customHeight="1">
      <c r="A17416" s="2" t="s">
        <v>17416</v>
      </c>
      <c r="B17416" s="2" t="str">
        <f>IFERROR(__xludf.DUMMYFUNCTION("GOOGLETRANSLATE(A17416, ""en"", ""mt"")"),"Liema aġent ta 'projbizzjoni kien ukoll alumni fl-università?")</f>
        <v>Liema aġent ta 'projbizzjoni kien ukoll alumni fl-università?</v>
      </c>
    </row>
    <row r="17417" ht="15.75" customHeight="1">
      <c r="A17417" s="2" t="s">
        <v>17417</v>
      </c>
      <c r="B17417" s="2" t="str">
        <f>IFERROR(__xludf.DUMMYFUNCTION("GOOGLETRANSLATE(A17417, ""en"", ""mt"")"),"F'liema bini jħarrġu atleti Olimpiċi?")</f>
        <v>F'liema bini jħarrġu atleti Olimpiċi?</v>
      </c>
    </row>
    <row r="17418" ht="15.75" customHeight="1">
      <c r="A17418" s="2" t="s">
        <v>17418</v>
      </c>
      <c r="B17418" s="2" t="str">
        <f>IFERROR(__xludf.DUMMYFUNCTION("GOOGLETRANSLATE(A17418, ""en"", ""mt"")"),"X'tip ta 'rwol li jfittex l-Iżlamiżmu jagħmilha mhux kunċett kontroversjali?")</f>
        <v>X'tip ta 'rwol li jfittex l-Iżlamiżmu jagħmilha mhux kunċett kontroversjali?</v>
      </c>
    </row>
    <row r="17419" ht="15.75" customHeight="1">
      <c r="A17419" s="2" t="s">
        <v>17419</v>
      </c>
      <c r="B17419" s="2" t="str">
        <f>IFERROR(__xludf.DUMMYFUNCTION("GOOGLETRANSLATE(A17419, ""en"", ""mt"")"),"limfoċiti")</f>
        <v>limfoċiti</v>
      </c>
    </row>
    <row r="17420" ht="15.75" customHeight="1">
      <c r="A17420" s="2" t="s">
        <v>17420</v>
      </c>
      <c r="B17420" s="2" t="str">
        <f>IFERROR(__xludf.DUMMYFUNCTION("GOOGLETRANSLATE(A17420, ""en"", ""mt"")"),"B'differenza mill-annimali, il-pjanti m'għandhomx ċelloli fagoċitiċi, iżda ħafna risponsi immuni tal-pjanti jinvolvu sinjali kimiċi sistemiċi li jintbagħtu minn pjanta. Iċ-ċelloli tal-pjanti individwali jirrispondu għal molekuli assoċjati ma 'patoġeni mag"&amp;"ħrufa bħala mudelli molekulari assoċjati ma' patoġeni jew PAMPs. Meta parti minn impjant tiġi infettata, l-impjant jipproduċi rispons ipersensittiv lokalizzat, li bih iċ-ċelloli fis-sit ta 'infezzjoni jgħaddu minn apoptożi rapida biex jipprevjenu t-tixrid"&amp;" tal-marda għal partijiet oħra tal-pjanta. Reżistenza Sistemika Akkwistata (SAR) hija tip ta 'rispons difensiv użat minn pjanti li jirrendi l-impjant kollu reżistenti għal aġent infettiv partikolari. Il-mekkaniżmi ta 'silenzjar ta' l-RNA huma partikolarme"&amp;"nt importanti f'dan ir-rispons sistemiku peress li jistgħu jimblokkaw ir-replikazzjoni tal-virus.")</f>
        <v>B'differenza mill-annimali, il-pjanti m'għandhomx ċelloli fagoċitiċi, iżda ħafna risponsi immuni tal-pjanti jinvolvu sinjali kimiċi sistemiċi li jintbagħtu minn pjanta. Iċ-ċelloli tal-pjanti individwali jirrispondu għal molekuli assoċjati ma 'patoġeni magħrufa bħala mudelli molekulari assoċjati ma' patoġeni jew PAMPs. Meta parti minn impjant tiġi infettata, l-impjant jipproduċi rispons ipersensittiv lokalizzat, li bih iċ-ċelloli fis-sit ta 'infezzjoni jgħaddu minn apoptożi rapida biex jipprevjenu t-tixrid tal-marda għal partijiet oħra tal-pjanta. Reżistenza Sistemika Akkwistata (SAR) hija tip ta 'rispons difensiv użat minn pjanti li jirrendi l-impjant kollu reżistenti għal aġent infettiv partikolari. Il-mekkaniżmi ta 'silenzjar ta' l-RNA huma partikolarment importanti f'dan ir-rispons sistemiku peress li jistgħu jimblokkaw ir-replikazzjoni tal-virus.</v>
      </c>
    </row>
    <row r="17421" ht="15.75" customHeight="1">
      <c r="A17421" s="2" t="s">
        <v>17421</v>
      </c>
      <c r="B17421" s="2" t="str">
        <f>IFERROR(__xludf.DUMMYFUNCTION("GOOGLETRANSLATE(A17421, ""en"", ""mt"")"),"Zhongtong. Ariq Böke")</f>
        <v>Zhongtong. Ariq Böke</v>
      </c>
    </row>
    <row r="17422" ht="15.75" customHeight="1">
      <c r="A17422" s="2" t="s">
        <v>17422</v>
      </c>
      <c r="B17422" s="2" t="str">
        <f>IFERROR(__xludf.DUMMYFUNCTION("GOOGLETRANSLATE(A17422, ""en"", ""mt"")"),"Il-ħin u l-ispazju huma t-tnejn eżempji ta 'liema tip ta' riżorsa?")</f>
        <v>Il-ħin u l-ispazju huma t-tnejn eżempji ta 'liema tip ta' riżorsa?</v>
      </c>
    </row>
    <row r="17423" ht="15.75" customHeight="1">
      <c r="A17423" s="2" t="s">
        <v>17423</v>
      </c>
      <c r="B17423" s="2" t="str">
        <f>IFERROR(__xludf.DUMMYFUNCTION("GOOGLETRANSLATE(A17423, ""en"", ""mt"")"),"żieda fid-daqs tal-input")</f>
        <v>żieda fid-daqs tal-input</v>
      </c>
    </row>
    <row r="17424" ht="15.75" customHeight="1">
      <c r="A17424" s="2" t="s">
        <v>17424</v>
      </c>
      <c r="B17424" s="2" t="str">
        <f>IFERROR(__xludf.DUMMYFUNCTION("GOOGLETRANSLATE(A17424, ""en"", ""mt"")"),"Kif baqa 'ħaj l-arti Ingliża fin-Normandija?")</f>
        <v>Kif baqa 'ħaj l-arti Ingliża fin-Normandija?</v>
      </c>
    </row>
    <row r="17425" ht="15.75" customHeight="1">
      <c r="A17425" s="2" t="s">
        <v>17425</v>
      </c>
      <c r="B17425" s="2" t="str">
        <f>IFERROR(__xludf.DUMMYFUNCTION("GOOGLETRANSLATE(A17425, ""en"", ""mt"")"),"Meta ġew inklużi r-regoli tal-kompetizzjoni fit-Trattat ta 'Ruma?")</f>
        <v>Meta ġew inklużi r-regoli tal-kompetizzjoni fit-Trattat ta 'Ruma?</v>
      </c>
    </row>
    <row r="17426" ht="15.75" customHeight="1">
      <c r="A17426" s="2" t="s">
        <v>17426</v>
      </c>
      <c r="B17426" s="2" t="str">
        <f>IFERROR(__xludf.DUMMYFUNCTION("GOOGLETRANSLATE(A17426, ""en"", ""mt"")"),"24 sena mandat")</f>
        <v>24 sena mandat</v>
      </c>
    </row>
    <row r="17427" ht="15.75" customHeight="1">
      <c r="A17427" s="2" t="s">
        <v>17427</v>
      </c>
      <c r="B17427" s="2" t="str">
        <f>IFERROR(__xludf.DUMMYFUNCTION("GOOGLETRANSLATE(A17427, ""en"", ""mt"")"),"Fejn il-Franċiżi bagħtu numru kbir ta 'kolonizzaturi?")</f>
        <v>Fejn il-Franċiżi bagħtu numru kbir ta 'kolonizzaturi?</v>
      </c>
    </row>
    <row r="17428" ht="15.75" customHeight="1">
      <c r="A17428" s="2" t="s">
        <v>17428</v>
      </c>
      <c r="B17428" s="2" t="str">
        <f>IFERROR(__xludf.DUMMYFUNCTION("GOOGLETRANSLATE(A17428, ""en"", ""mt"")"),"Kemm iż-żona tkopri l-Ġnien tal-Librerija tal-Università?")</f>
        <v>Kemm iż-żona tkopri l-Ġnien tal-Librerija tal-Università?</v>
      </c>
    </row>
    <row r="17429" ht="15.75" customHeight="1">
      <c r="A17429" s="2" t="s">
        <v>17429</v>
      </c>
      <c r="B17429" s="2" t="str">
        <f>IFERROR(__xludf.DUMMYFUNCTION("GOOGLETRANSLATE(A17429, ""en"", ""mt"")"),"Xmajjar Skoċċiżi")</f>
        <v>Xmajjar Skoċċiżi</v>
      </c>
    </row>
    <row r="17430" ht="15.75" customHeight="1">
      <c r="A17430" s="2" t="s">
        <v>17430</v>
      </c>
      <c r="B17430" s="2" t="str">
        <f>IFERROR(__xludf.DUMMYFUNCTION("GOOGLETRANSLATE(A17430, ""en"", ""mt"")"),"Min hu bħalissa l-Viċi President tal-Kunsill?")</f>
        <v>Min hu bħalissa l-Viċi President tal-Kunsill?</v>
      </c>
    </row>
    <row r="17431" ht="15.75" customHeight="1">
      <c r="A17431" s="2" t="s">
        <v>17431</v>
      </c>
      <c r="B17431" s="2" t="str">
        <f>IFERROR(__xludf.DUMMYFUNCTION("GOOGLETRANSLATE(A17431, ""en"", ""mt"")"),"Mill-1978 kemm korsijiet għandhom studenti fil-programm ta 'raġunament etiku?")</f>
        <v>Mill-1978 kemm korsijiet għandhom studenti fil-programm ta 'raġunament etiku?</v>
      </c>
    </row>
    <row r="17432" ht="15.75" customHeight="1">
      <c r="A17432" s="2" t="s">
        <v>17432</v>
      </c>
      <c r="B17432" s="2" t="str">
        <f>IFERROR(__xludf.DUMMYFUNCTION("GOOGLETRANSLATE(A17432, ""en"", ""mt"")"),"Jekk il-Parlament jaqbel f'vot għall-prinċipju ġenerali ta 'abbozz ta' liġi, x'jiġri mbagħad?")</f>
        <v>Jekk il-Parlament jaqbel f'vot għall-prinċipju ġenerali ta 'abbozz ta' liġi, x'jiġri mbagħad?</v>
      </c>
    </row>
    <row r="17433" ht="15.75" customHeight="1">
      <c r="A17433" s="2" t="s">
        <v>17433</v>
      </c>
      <c r="B17433" s="2" t="str">
        <f>IFERROR(__xludf.DUMMYFUNCTION("GOOGLETRANSLATE(A17433, ""en"", ""mt"")"),"Movimenti anti-kolonjali")</f>
        <v>Movimenti anti-kolonjali</v>
      </c>
    </row>
    <row r="17434" ht="15.75" customHeight="1">
      <c r="A17434" s="2" t="s">
        <v>17434</v>
      </c>
      <c r="B17434" s="2" t="str">
        <f>IFERROR(__xludf.DUMMYFUNCTION("GOOGLETRANSLATE(A17434, ""en"", ""mt"")"),"biex sistema tiffunzjona")</f>
        <v>biex sistema tiffunzjona</v>
      </c>
    </row>
    <row r="17435" ht="15.75" customHeight="1">
      <c r="A17435" s="2" t="s">
        <v>17435</v>
      </c>
      <c r="B17435" s="2" t="str">
        <f>IFERROR(__xludf.DUMMYFUNCTION("GOOGLETRANSLATE(A17435, ""en"", ""mt"")"),"Ħafna siġġijiet fl-Assemblea Leġiżlattiva")</f>
        <v>Ħafna siġġijiet fl-Assemblea Leġiżlattiva</v>
      </c>
    </row>
    <row r="17436" ht="15.75" customHeight="1">
      <c r="A17436" s="2" t="s">
        <v>17436</v>
      </c>
      <c r="B17436" s="2" t="str">
        <f>IFERROR(__xludf.DUMMYFUNCTION("GOOGLETRANSLATE(A17436, ""en"", ""mt"")"),"Funzjoni Zeta")</f>
        <v>Funzjoni Zeta</v>
      </c>
    </row>
    <row r="17437" ht="15.75" customHeight="1">
      <c r="A17437" s="2" t="s">
        <v>17437</v>
      </c>
      <c r="B17437" s="2" t="str">
        <f>IFERROR(__xludf.DUMMYFUNCTION("GOOGLETRANSLATE(A17437, ""en"", ""mt"")"),"260")</f>
        <v>260</v>
      </c>
    </row>
    <row r="17438" ht="15.75" customHeight="1">
      <c r="A17438" s="2" t="s">
        <v>17438</v>
      </c>
      <c r="B17438" s="2" t="str">
        <f>IFERROR(__xludf.DUMMYFUNCTION("GOOGLETRANSLATE(A17438, ""en"", ""mt"")"),"Kemm hemm speċi ta 'għasafar u mammiferi fir-reġjun tal-Amażonja?")</f>
        <v>Kemm hemm speċi ta 'għasafar u mammiferi fir-reġjun tal-Amażonja?</v>
      </c>
    </row>
    <row r="17439" ht="15.75" customHeight="1">
      <c r="A17439" s="2" t="s">
        <v>17439</v>
      </c>
      <c r="B17439" s="2" t="str">
        <f>IFERROR(__xludf.DUMMYFUNCTION("GOOGLETRANSLATE(A17439, ""en"", ""mt"")"),"Kemm inqatlu mill-pesta f'Napli fl-1656?")</f>
        <v>Kemm inqatlu mill-pesta f'Napli fl-1656?</v>
      </c>
    </row>
    <row r="17440" ht="15.75" customHeight="1">
      <c r="A17440" s="2" t="s">
        <v>17440</v>
      </c>
      <c r="B17440" s="2" t="str">
        <f>IFERROR(__xludf.DUMMYFUNCTION("GOOGLETRANSLATE(A17440, ""en"", ""mt"")"),"X'inhuma l-iskejjel pubbliċi li jitħallew jagħmlu biex iżommu studenti b'talent?")</f>
        <v>X'inhuma l-iskejjel pubbliċi li jitħallew jagħmlu biex iżommu studenti b'talent?</v>
      </c>
    </row>
    <row r="17441" ht="15.75" customHeight="1">
      <c r="A17441" s="2" t="s">
        <v>17441</v>
      </c>
      <c r="B17441" s="2" t="str">
        <f>IFERROR(__xludf.DUMMYFUNCTION("GOOGLETRANSLATE(A17441, ""en"", ""mt"")"),"Kemm hemm acres ta 'art li tinsab id-dar tal-istat?")</f>
        <v>Kemm hemm acres ta 'art li tinsab id-dar tal-istat?</v>
      </c>
    </row>
    <row r="17442" ht="15.75" customHeight="1">
      <c r="A17442" s="2" t="s">
        <v>17442</v>
      </c>
      <c r="B17442" s="2" t="str">
        <f>IFERROR(__xludf.DUMMYFUNCTION("GOOGLETRANSLATE(A17442, ""en"", ""mt"")"),"Li taċċetta l-ħabs b'mod penitenti bħala adeżjoni għal 'Ir-Regoli' hija li taqleb f'daqqa għal spirtu ta 'sussistenza")</f>
        <v>Li taċċetta l-ħabs b'mod penitenti bħala adeżjoni għal 'Ir-Regoli' hija li taqleb f'daqqa għal spirtu ta 'sussistenza</v>
      </c>
    </row>
    <row r="17443" ht="15.75" customHeight="1">
      <c r="A17443" s="2" t="s">
        <v>17443</v>
      </c>
      <c r="B17443" s="2" t="str">
        <f>IFERROR(__xludf.DUMMYFUNCTION("GOOGLETRANSLATE(A17443, ""en"", ""mt"")"),"Kemm inqatlu mill-pesta fl-Italja fis-seklu 17?")</f>
        <v>Kemm inqatlu mill-pesta fl-Italja fis-seklu 17?</v>
      </c>
    </row>
    <row r="17444" ht="15.75" customHeight="1">
      <c r="A17444" s="2" t="s">
        <v>17444</v>
      </c>
      <c r="B17444" s="2" t="str">
        <f>IFERROR(__xludf.DUMMYFUNCTION("GOOGLETRANSLATE(A17444, ""en"", ""mt"")"),"il-kunċett tal-forza")</f>
        <v>il-kunċett tal-forza</v>
      </c>
    </row>
    <row r="17445" ht="15.75" customHeight="1">
      <c r="A17445" s="2" t="s">
        <v>17445</v>
      </c>
      <c r="B17445" s="2" t="str">
        <f>IFERROR(__xludf.DUMMYFUNCTION("GOOGLETRANSLATE(A17445, ""en"", ""mt"")"),"Liema kampanja bdiet ir-reġim komunista wara d-DWWII?")</f>
        <v>Liema kampanja bdiet ir-reġim komunista wara d-DWWII?</v>
      </c>
    </row>
    <row r="17446" ht="15.75" customHeight="1">
      <c r="A17446" s="2" t="s">
        <v>17446</v>
      </c>
      <c r="B17446" s="2" t="str">
        <f>IFERROR(__xludf.DUMMYFUNCTION("GOOGLETRANSLATE(A17446, ""en"", ""mt"")"),"X'inhi espressjoni li tista 'tintuża biex turi l-inugwaljanza suspettata ta' klassijiet ta 'kumplessità?")</f>
        <v>X'inhi espressjoni li tista 'tintuża biex turi l-inugwaljanza suspettata ta' klassijiet ta 'kumplessità?</v>
      </c>
    </row>
    <row r="17447" ht="15.75" customHeight="1">
      <c r="A17447" s="2" t="s">
        <v>17447</v>
      </c>
      <c r="B17447" s="2" t="str">
        <f>IFERROR(__xludf.DUMMYFUNCTION("GOOGLETRANSLATE(A17447, ""en"", ""mt"")"),"Fil-laboratorju, l-istratigrafiji janalizzaw kampjuni ta 'sezzjonijiet stratigrafiċi li jistgħu jintbagħtu lura mill-qasam, bħal dawk minn qlub tat-tħaffir. Stratigraphers janalizzaw ukoll dejta minn stħarriġ ġeofiżiku li juru l-postijiet ta 'unitajiet st"&amp;"ratigrafiċi fis-sub-wiċċ. Dejta ġeofiżika u zkuk tal-bir jistgħu jiġu kkombinati biex jipproduċu veduta aħjar tas-sub-wiċċ, u l-istratigrafiċi spiss jużaw programmi tal-kompjuter biex jagħmlu dan fi tliet dimensjonijiet. Stratigraphers jistgħu mbagħad już"&amp;"aw din id-dejta biex jibnu mill-ġdid proċessi antiki li jseħħu fuq il-wiċċ tad-dinja, jinterpretaw ambjenti tal-passat, u jsibu żoni għall-ilma, il-faħam u l-estrazzjoni tal-idrokarburi.")</f>
        <v>Fil-laboratorju, l-istratigrafiji janalizzaw kampjuni ta 'sezzjonijiet stratigrafiċi li jistgħu jintbagħtu lura mill-qasam, bħal dawk minn qlub tat-tħaffir. Stratigraphers janalizzaw ukoll dejta minn stħarriġ ġeofiżiku li juru l-postijiet ta 'unitajiet stratigrafiċi fis-sub-wiċċ. Dejta ġeofiżika u zkuk tal-bir jistgħu jiġu kkombinati biex jipproduċu veduta aħjar tas-sub-wiċċ, u l-istratigrafiċi spiss jużaw programmi tal-kompjuter biex jagħmlu dan fi tliet dimensjonijiet. Stratigraphers jistgħu mbagħad jużaw din id-dejta biex jibnu mill-ġdid proċessi antiki li jseħħu fuq il-wiċċ tad-dinja, jinterpretaw ambjenti tal-passat, u jsibu żoni għall-ilma, il-faħam u l-estrazzjoni tal-idrokarburi.</v>
      </c>
    </row>
    <row r="17448" ht="15.75" customHeight="1">
      <c r="A17448" s="2" t="s">
        <v>17448</v>
      </c>
      <c r="B17448" s="2" t="str">
        <f>IFERROR(__xludf.DUMMYFUNCTION("GOOGLETRANSLATE(A17448, ""en"", ""mt"")"),"rinnovazzjonijiet żgħar")</f>
        <v>rinnovazzjonijiet żgħar</v>
      </c>
    </row>
    <row r="17449" ht="15.75" customHeight="1">
      <c r="A17449" s="2" t="s">
        <v>17449</v>
      </c>
      <c r="B17449" s="2" t="str">
        <f>IFERROR(__xludf.DUMMYFUNCTION("GOOGLETRANSLATE(A17449, ""en"", ""mt"")"),"Ko-President ta 'Tar WGI")</f>
        <v>Ko-President ta 'Tar WGI</v>
      </c>
    </row>
    <row r="17450" ht="15.75" customHeight="1">
      <c r="A17450" s="2" t="s">
        <v>17450</v>
      </c>
      <c r="B17450" s="2" t="str">
        <f>IFERROR(__xludf.DUMMYFUNCTION("GOOGLETRANSLATE(A17450, ""en"", ""mt"")"),"L-iżgħar partit fil-Parlament qiegħed f'nofs xiex?")</f>
        <v>L-iżgħar partit fil-Parlament qiegħed f'nofs xiex?</v>
      </c>
    </row>
    <row r="17451" ht="15.75" customHeight="1">
      <c r="A17451" s="2" t="s">
        <v>17451</v>
      </c>
      <c r="B17451" s="2" t="str">
        <f>IFERROR(__xludf.DUMMYFUNCTION("GOOGLETRANSLATE(A17451, ""en"", ""mt"")"),"Il-lobati għandhom tmien rewwix, li joriġinaw mill-arblu aboral u ġeneralment ma jestendux lil hinn mill-ġisem sal-lobi; Fi speċi bi (erba ') aurikoli, iċ-ċili li jtajru l-aurikoli huma estensjonijiet ta' cili f'erba 'ringieli tal-moxt. Il-biċċa l-kbira t"&amp;"al-lobati huma pjuttost passivi meta jiċċaqalqu mill-ilma, billi jużaw iċ-ċili fuq ir-ringieli tal-moxt tagħhom għall-propulsjoni, għalkemm Leucothea għandha aurikoli twal u attivi li l-movimenti tagħhom jikkontribwixxu wkoll għall-propulsjoni. Il-membri "&amp;"tal-ġeneru tal-lobate u l-bathocyroe u l-ocyropsis jistgħu jaħarbu mill-periklu billi jagħlqu l-lobi tagħhom, sabiex il-ġett ta 'l-ilma mkeċċi jmexxihom lura malajr ħafna. B'differenza miċ-ċidippids, il-movimenti tal-pettnijiet tal-lobates huma kkoordinat"&amp;"i min-nervituri aktar milli minn disturbi fl-ilma maħluqa miċ-ċili, iżda l-pettnijiet fuq l-istess ringiela jegħlbu fl-istess stil tal-mewġ Messikani bħall-moxt ikkoordinat mekkanikament ta 'ringieli ta' cydippids u beroids. Dan jista 'jkun ippermetta l-l"&amp;"obati jikbru akbar minn cydippids u biex ikollhom forom li huma inqas simili għall-bajd.")</f>
        <v>Il-lobati għandhom tmien rewwix, li joriġinaw mill-arblu aboral u ġeneralment ma jestendux lil hinn mill-ġisem sal-lobi; Fi speċi bi (erba ') aurikoli, iċ-ċili li jtajru l-aurikoli huma estensjonijiet ta' cili f'erba 'ringieli tal-moxt. Il-biċċa l-kbira tal-lobati huma pjuttost passivi meta jiċċaqalqu mill-ilma, billi jużaw iċ-ċili fuq ir-ringieli tal-moxt tagħhom għall-propulsjoni, għalkemm Leucothea għandha aurikoli twal u attivi li l-movimenti tagħhom jikkontribwixxu wkoll għall-propulsjoni. Il-membri tal-ġeneru tal-lobate u l-bathocyroe u l-ocyropsis jistgħu jaħarbu mill-periklu billi jagħlqu l-lobi tagħhom, sabiex il-ġett ta 'l-ilma mkeċċi jmexxihom lura malajr ħafna. B'differenza miċ-ċidippids, il-movimenti tal-pettnijiet tal-lobates huma kkoordinati min-nervituri aktar milli minn disturbi fl-ilma maħluqa miċ-ċili, iżda l-pettnijiet fuq l-istess ringiela jegħlbu fl-istess stil tal-mewġ Messikani bħall-moxt ikkoordinat mekkanikament ta 'ringieli ta' cydippids u beroids. Dan jista 'jkun ippermetta l-lobati jikbru akbar minn cydippids u biex ikollhom forom li huma inqas simili għall-bajd.</v>
      </c>
    </row>
    <row r="17452" ht="15.75" customHeight="1">
      <c r="A17452" s="2" t="s">
        <v>17452</v>
      </c>
      <c r="B17452" s="2" t="str">
        <f>IFERROR(__xludf.DUMMYFUNCTION("GOOGLETRANSLATE(A17452, ""en"", ""mt"")"),"Liema Stat Membru ma aċċettax li jiffirma l-Karta Soċjali?")</f>
        <v>Liema Stat Membru ma aċċettax li jiffirma l-Karta Soċjali?</v>
      </c>
    </row>
    <row r="17453" ht="15.75" customHeight="1">
      <c r="A17453" s="2" t="s">
        <v>17453</v>
      </c>
      <c r="B17453" s="2" t="str">
        <f>IFERROR(__xludf.DUMMYFUNCTION("GOOGLETRANSLATE(A17453, ""en"", ""mt"")"),"Liema Parlament għandu bilqiegħda rranġat f'linja dritta?")</f>
        <v>Liema Parlament għandu bilqiegħda rranġat f'linja dritta?</v>
      </c>
    </row>
    <row r="17454" ht="15.75" customHeight="1">
      <c r="A17454" s="2" t="s">
        <v>17454</v>
      </c>
      <c r="B17454" s="2" t="str">
        <f>IFERROR(__xludf.DUMMYFUNCTION("GOOGLETRANSLATE(A17454, ""en"", ""mt"")"),"Minn xiex isiru xenoliti?")</f>
        <v>Minn xiex isiru xenoliti?</v>
      </c>
    </row>
    <row r="17455" ht="15.75" customHeight="1">
      <c r="A17455" s="2" t="s">
        <v>17455</v>
      </c>
      <c r="B17455" s="2" t="str">
        <f>IFERROR(__xludf.DUMMYFUNCTION("GOOGLETRANSLATE(A17455, ""en"", ""mt"")"),"X'azzjoni l-Istati Uniti ppjanaw li jieħdu fl-2004 minħabba żieda fil-prezzijiet taż-żejt?")</f>
        <v>X'azzjoni l-Istati Uniti ppjanaw li jieħdu fl-2004 minħabba żieda fil-prezzijiet taż-żejt?</v>
      </c>
    </row>
    <row r="17456" ht="15.75" customHeight="1">
      <c r="A17456" s="2" t="s">
        <v>17456</v>
      </c>
      <c r="B17456" s="2" t="str">
        <f>IFERROR(__xludf.DUMMYFUNCTION("GOOGLETRANSLATE(A17456, ""en"", ""mt"")"),"Min kien l-ewwel president ta 'Varsavja?")</f>
        <v>Min kien l-ewwel president ta 'Varsavja?</v>
      </c>
    </row>
    <row r="17457" ht="15.75" customHeight="1">
      <c r="A17457" s="2" t="s">
        <v>17457</v>
      </c>
      <c r="B17457" s="2" t="str">
        <f>IFERROR(__xludf.DUMMYFUNCTION("GOOGLETRANSLATE(A17457, ""en"", ""mt"")"),"Kemm hemm nisa ikbar minn tmintax-il sena għal kull 100 irġiel?")</f>
        <v>Kemm hemm nisa ikbar minn tmintax-il sena għal kull 100 irġiel?</v>
      </c>
    </row>
    <row r="17458" ht="15.75" customHeight="1">
      <c r="A17458" s="2" t="s">
        <v>17458</v>
      </c>
      <c r="B17458" s="2" t="str">
        <f>IFERROR(__xludf.DUMMYFUNCTION("GOOGLETRANSLATE(A17458, ""en"", ""mt"")"),"Editt ta 'Nantes")</f>
        <v>Editt ta 'Nantes</v>
      </c>
    </row>
    <row r="17459" ht="15.75" customHeight="1">
      <c r="A17459" s="2" t="s">
        <v>17459</v>
      </c>
      <c r="B17459" s="2" t="str">
        <f>IFERROR(__xludf.DUMMYFUNCTION("GOOGLETRANSLATE(A17459, ""en"", ""mt"")"),"Kif l-Aboral juża r-ringieli tal-moxt tiegħu?")</f>
        <v>Kif l-Aboral juża r-ringieli tal-moxt tiegħu?</v>
      </c>
    </row>
    <row r="17460" ht="15.75" customHeight="1">
      <c r="A17460" s="2" t="s">
        <v>17460</v>
      </c>
      <c r="B17460" s="2" t="str">
        <f>IFERROR(__xludf.DUMMYFUNCTION("GOOGLETRANSLATE(A17460, ""en"", ""mt"")"),"fertilità")</f>
        <v>fertilità</v>
      </c>
    </row>
    <row r="17461" ht="15.75" customHeight="1">
      <c r="A17461" s="2" t="s">
        <v>17461</v>
      </c>
      <c r="B17461" s="2" t="str">
        <f>IFERROR(__xludf.DUMMYFUNCTION("GOOGLETRANSLATE(A17461, ""en"", ""mt"")"),"tħeġġeġ l-investiment")</f>
        <v>tħeġġeġ l-investiment</v>
      </c>
    </row>
    <row r="17462" ht="15.75" customHeight="1">
      <c r="A17462" s="2" t="s">
        <v>17462</v>
      </c>
      <c r="B17462" s="2" t="str">
        <f>IFERROR(__xludf.DUMMYFUNCTION("GOOGLETRANSLATE(A17462, ""en"", ""mt"")"),"Liema servizz huwa riċevitur tal-vidjow tar-Renju Unit iddedikat għad-decrypt?")</f>
        <v>Liema servizz huwa riċevitur tal-vidjow tar-Renju Unit iddedikat għad-decrypt?</v>
      </c>
    </row>
    <row r="17463" ht="15.75" customHeight="1">
      <c r="A17463" s="2" t="s">
        <v>17463</v>
      </c>
      <c r="B17463" s="2" t="str">
        <f>IFERROR(__xludf.DUMMYFUNCTION("GOOGLETRANSLATE(A17463, ""en"", ""mt"")"),"Biex tikkastiga lill-poplu Miami ta 'Pickawillany")</f>
        <v>Biex tikkastiga lill-poplu Miami ta 'Pickawillany</v>
      </c>
    </row>
    <row r="17464" ht="15.75" customHeight="1">
      <c r="A17464" s="2" t="s">
        <v>17464</v>
      </c>
      <c r="B17464" s="2" t="str">
        <f>IFERROR(__xludf.DUMMYFUNCTION("GOOGLETRANSLATE(A17464, ""en"", ""mt"")"),"19 minn 28 mediċini approvati mill-FDA ġodda")</f>
        <v>19 minn 28 mediċini approvati mill-FDA ġodda</v>
      </c>
    </row>
    <row r="17465" ht="15.75" customHeight="1">
      <c r="A17465" s="2" t="s">
        <v>17465</v>
      </c>
      <c r="B17465" s="2" t="str">
        <f>IFERROR(__xludf.DUMMYFUNCTION("GOOGLETRANSLATE(A17465, ""en"", ""mt"")"),"Meta Varsavja bdiet terġa 'tinbena?")</f>
        <v>Meta Varsavja bdiet terġa 'tinbena?</v>
      </c>
    </row>
    <row r="17466" ht="15.75" customHeight="1">
      <c r="A17466" s="2" t="s">
        <v>17466</v>
      </c>
      <c r="B17466" s="2" t="str">
        <f>IFERROR(__xludf.DUMMYFUNCTION("GOOGLETRANSLATE(A17466, ""en"", ""mt"")"),"Meta ġiet proposta l-ipoteżi ta 'Riemann?")</f>
        <v>Meta ġiet proposta l-ipoteżi ta 'Riemann?</v>
      </c>
    </row>
    <row r="17467" ht="15.75" customHeight="1">
      <c r="A17467" s="2" t="s">
        <v>17467</v>
      </c>
      <c r="B17467" s="2" t="str">
        <f>IFERROR(__xludf.DUMMYFUNCTION("GOOGLETRANSLATE(A17467, ""en"", ""mt"")"),"Liema ilma jaqa 'ħesrem fil-fond minħabba d-densità akbar ta' ilma aktar sħun?")</f>
        <v>Liema ilma jaqa 'ħesrem fil-fond minħabba d-densità akbar ta' ilma aktar sħun?</v>
      </c>
    </row>
    <row r="17468" ht="15.75" customHeight="1">
      <c r="A17468" s="2" t="s">
        <v>17468</v>
      </c>
      <c r="B17468" s="2" t="str">
        <f>IFERROR(__xludf.DUMMYFUNCTION("GOOGLETRANSLATE(A17468, ""en"", ""mt"")"),"X'tip ta 'post huwa l-Wielki tal-Ħarifa?")</f>
        <v>X'tip ta 'post huwa l-Wielki tal-Ħarifa?</v>
      </c>
    </row>
    <row r="17469" ht="15.75" customHeight="1">
      <c r="A17469" s="2" t="s">
        <v>17469</v>
      </c>
      <c r="B17469" s="2" t="str">
        <f>IFERROR(__xludf.DUMMYFUNCTION("GOOGLETRANSLATE(A17469, ""en"", ""mt"")"),"Mekkaniżmi Newtonjani huma d-definizzjoni ta 'xiex?")</f>
        <v>Mekkaniżmi Newtonjani huma d-definizzjoni ta 'xiex?</v>
      </c>
    </row>
    <row r="17470" ht="15.75" customHeight="1">
      <c r="A17470" s="2" t="s">
        <v>17470</v>
      </c>
      <c r="B17470" s="2" t="str">
        <f>IFERROR(__xludf.DUMMYFUNCTION("GOOGLETRANSLATE(A17470, ""en"", ""mt"")"),"Imfakkar u mibdul minn Jeffery Amherst, Victor fi Louisbourg.")</f>
        <v>Imfakkar u mibdul minn Jeffery Amherst, Victor fi Louisbourg.</v>
      </c>
    </row>
    <row r="17471" ht="15.75" customHeight="1">
      <c r="A17471" s="2" t="s">
        <v>17471</v>
      </c>
      <c r="B17471" s="2" t="str">
        <f>IFERROR(__xludf.DUMMYFUNCTION("GOOGLETRANSLATE(A17471, ""en"", ""mt"")"),"Kunflitt bejn Franza u l-Gran Brittanja")</f>
        <v>Kunflitt bejn Franza u l-Gran Brittanja</v>
      </c>
    </row>
    <row r="17472" ht="15.75" customHeight="1">
      <c r="A17472" s="2" t="s">
        <v>17472</v>
      </c>
      <c r="B17472" s="2" t="str">
        <f>IFERROR(__xludf.DUMMYFUNCTION("GOOGLETRANSLATE(A17472, ""en"", ""mt"")"),"Għal xiex qed jiġi kkumpensat triq waħda billi l-kumitati jservu rwol daqshekk kbir?")</f>
        <v>Għal xiex qed jiġi kkumpensat triq waħda billi l-kumitati jservu rwol daqshekk kbir?</v>
      </c>
    </row>
    <row r="17473" ht="15.75" customHeight="1">
      <c r="A17473" s="2" t="s">
        <v>17473</v>
      </c>
      <c r="B17473" s="2" t="str">
        <f>IFERROR(__xludf.DUMMYFUNCTION("GOOGLETRANSLATE(A17473, ""en"", ""mt"")"),"żewġ terzi tal-popolazzjoni tagħha")</f>
        <v>żewġ terzi tal-popolazzjoni tagħha</v>
      </c>
    </row>
    <row r="17474" ht="15.75" customHeight="1">
      <c r="A17474" s="2" t="s">
        <v>17474</v>
      </c>
      <c r="B17474" s="2" t="str">
        <f>IFERROR(__xludf.DUMMYFUNCTION("GOOGLETRANSLATE(A17474, ""en"", ""mt"")"),"Iż-żieda ta 'unitajiet ta' blat ġodda, kemm depożizzjonalment kif ukoll intrusivament, ħafna drabi sseħħ waqt deformazzjoni. Ħsarat u proċessi oħra ta 'deformazzjoni jirriżultaw fil-ħolqien ta' gradjenti topografiċi, li jikkawżaw materjal fuq l-unità tal-"&amp;"blat li qed tiżdied fl-elevazzjoni biex titnaqqar minn għoljiet u kanali. Dawn is-sedimenti huma depożitati fuq l-unità tal-blat li se tinżel. Mozzjoni kontinwa tul it-tort iżżomm il-gradjent topografiku minkejja l-moviment tas-sediment, u tkompli toħloq "&amp;"spazju ta 'akkomodazzjoni biex il-materjal jiddepożita. Avvenimenti deformazzjonali huma spiss assoċjati wkoll ma 'vulkaniżmu u attività igneous. Irmied vulkaniku u lavas jakkumulaw fuq il-wiċċ, u intrużjonijiet igneous jidħlu minn taħt. Digi, intrużjonij"&amp;"iet igneous twal, planar, jidħlu tul xquq, u għalhekk ħafna drabi jiffurmaw f'numru kbir f'żoni li qed jiġu deformati b'mod attiv. Dan jista 'jirriżulta fl-enfasi ta' swarms tad-dike, bħal dawk li jistgħu jiġu osservati madwar it-tarka Kanadiża, jew ċriek"&amp;"i ta 'digi madwar it-tubu tal-lava ta' vulkan.")</f>
        <v>Iż-żieda ta 'unitajiet ta' blat ġodda, kemm depożizzjonalment kif ukoll intrusivament, ħafna drabi sseħħ waqt deformazzjoni. Ħsarat u proċessi oħra ta 'deformazzjoni jirriżultaw fil-ħolqien ta' gradjenti topografiċi, li jikkawżaw materjal fuq l-unità tal-blat li qed tiżdied fl-elevazzjoni biex titnaqqar minn għoljiet u kanali. Dawn is-sedimenti huma depożitati fuq l-unità tal-blat li se tinżel. Mozzjoni kontinwa tul it-tort iżżomm il-gradjent topografiku minkejja l-moviment tas-sediment, u tkompli toħloq spazju ta 'akkomodazzjoni biex il-materjal jiddepożita. Avvenimenti deformazzjonali huma spiss assoċjati wkoll ma 'vulkaniżmu u attività igneous. Irmied vulkaniku u lavas jakkumulaw fuq il-wiċċ, u intrużjonijiet igneous jidħlu minn taħt. Digi, intrużjonijiet igneous twal, planar, jidħlu tul xquq, u għalhekk ħafna drabi jiffurmaw f'numru kbir f'żoni li qed jiġu deformati b'mod attiv. Dan jista 'jirriżulta fl-enfasi ta' swarms tad-dike, bħal dawk li jistgħu jiġu osservati madwar it-tarka Kanadiża, jew ċrieki ta 'digi madwar it-tubu tal-lava ta' vulkan.</v>
      </c>
    </row>
    <row r="17475" ht="15.75" customHeight="1">
      <c r="A17475" s="2" t="s">
        <v>17475</v>
      </c>
      <c r="B17475" s="2" t="str">
        <f>IFERROR(__xludf.DUMMYFUNCTION("GOOGLETRANSLATE(A17475, ""en"", ""mt"")"),"Id-Delegazzjoni Amerikana mill-Konferenza tal-Paċi ta ’Pariġi")</f>
        <v>Id-Delegazzjoni Amerikana mill-Konferenza tal-Paċi ta ’Pariġi</v>
      </c>
    </row>
    <row r="17476" ht="15.75" customHeight="1">
      <c r="A17476" s="2" t="s">
        <v>17476</v>
      </c>
      <c r="B17476" s="2" t="str">
        <f>IFERROR(__xludf.DUMMYFUNCTION("GOOGLETRANSLATE(A17476, ""en"", ""mt"")"),"Piranha fil-fatt ma għamlitx xiex?")</f>
        <v>Piranha fil-fatt ma għamlitx xiex?</v>
      </c>
    </row>
    <row r="17477" ht="15.75" customHeight="1">
      <c r="A17477" s="2" t="s">
        <v>17477</v>
      </c>
      <c r="B17477" s="2" t="str">
        <f>IFERROR(__xludf.DUMMYFUNCTION("GOOGLETRANSLATE(A17477, ""en"", ""mt"")"),"Liema sena l-Irlanda qablet mal-bidliet fit-Trattat ta 'Lisbona?")</f>
        <v>Liema sena l-Irlanda qablet mal-bidliet fit-Trattat ta 'Lisbona?</v>
      </c>
    </row>
    <row r="17478" ht="15.75" customHeight="1">
      <c r="A17478" s="2" t="s">
        <v>17478</v>
      </c>
      <c r="B17478" s="2" t="str">
        <f>IFERROR(__xludf.DUMMYFUNCTION("GOOGLETRANSLATE(A17478, ""en"", ""mt"")"),"attività ekonomika")</f>
        <v>attività ekonomika</v>
      </c>
    </row>
    <row r="17479" ht="15.75" customHeight="1">
      <c r="A17479" s="2" t="s">
        <v>17479</v>
      </c>
      <c r="B17479" s="2" t="str">
        <f>IFERROR(__xludf.DUMMYFUNCTION("GOOGLETRANSLATE(A17479, ""en"", ""mt"")"),"Dynasty Song")</f>
        <v>Dynasty Song</v>
      </c>
    </row>
    <row r="17480" ht="15.75" customHeight="1">
      <c r="A17480" s="2" t="s">
        <v>17480</v>
      </c>
      <c r="B17480" s="2" t="str">
        <f>IFERROR(__xludf.DUMMYFUNCTION("GOOGLETRANSLATE(A17480, ""en"", ""mt"")"),"Liema komposti jistgħu jiġu mgħottija bil-molekuli taċ-ċellula ospitanti sabiex virus jevadi d-detezzjoni?")</f>
        <v>Liema komposti jistgħu jiġu mgħottija bil-molekuli taċ-ċellula ospitanti sabiex virus jevadi d-detezzjoni?</v>
      </c>
    </row>
    <row r="17481" ht="15.75" customHeight="1">
      <c r="A17481" s="2" t="s">
        <v>17481</v>
      </c>
      <c r="B17481" s="2" t="str">
        <f>IFERROR(__xludf.DUMMYFUNCTION("GOOGLETRANSLATE(A17481, ""en"", ""mt"")"),"Alfabett binarju")</f>
        <v>Alfabett binarju</v>
      </c>
    </row>
    <row r="17482" ht="15.75" customHeight="1">
      <c r="A17482" s="2" t="s">
        <v>17482</v>
      </c>
      <c r="B17482" s="2" t="str">
        <f>IFERROR(__xludf.DUMMYFUNCTION("GOOGLETRANSLATE(A17482, ""en"", ""mt"")"),"X'inhuma ż-żewġ subsistemi ewlenin tas-sistema immuni?")</f>
        <v>X'inhuma ż-żewġ subsistemi ewlenin tas-sistema immuni?</v>
      </c>
    </row>
    <row r="17483" ht="15.75" customHeight="1">
      <c r="A17483" s="2" t="s">
        <v>17483</v>
      </c>
      <c r="B17483" s="2" t="str">
        <f>IFERROR(__xludf.DUMMYFUNCTION("GOOGLETRANSLATE(A17483, ""en"", ""mt"")"),"Diversi avvenimenti kommemorattivi jsiru kull sena. Laqgħat ta 'eluf ta' nies fuq il-banek tal-Vistula fil-lejl ta 'nofs is-sajf għal festival imsejjaħ Wianki (lustrar għall-kuruni) saru tradizzjoni u avveniment annwali fil-programm ta' avvenimenti kultur"&amp;"ali f'Varsavja. Il-festival jittraċċa l-għeruq tiegħu għal ritwali pagan paċifiku fejn ix-xebbiet kienu jżommu l-kuruni tagħhom ta 'ħwawar fuq l-ilma biex ibassru meta kienu se jiżżewġu, u ma' min. Sas-seklu 19 din it-tradizzjoni kienet saret avveniment f"&amp;"estiv, u din tkompli llum. Il-Kunsill tal-Belt jorganizza kunċerti u avvenimenti oħra. Lejliet kull nofs is-sajf, apparti l-wiċċ uffiċjali tal-kuruni, jaqbeż fuq in-nirien, ifittex il-fjura tal-felċi, hemm wirjiet mużikali, diskorsi, fieri u logħob tan-na"&amp;"r tad-dinjitarji mill-bank tax-xmara.")</f>
        <v>Diversi avvenimenti kommemorattivi jsiru kull sena. Laqgħat ta 'eluf ta' nies fuq il-banek tal-Vistula fil-lejl ta 'nofs is-sajf għal festival imsejjaħ Wianki (lustrar għall-kuruni) saru tradizzjoni u avveniment annwali fil-programm ta' avvenimenti kulturali f'Varsavja. Il-festival jittraċċa l-għeruq tiegħu għal ritwali pagan paċifiku fejn ix-xebbiet kienu jżommu l-kuruni tagħhom ta 'ħwawar fuq l-ilma biex ibassru meta kienu se jiżżewġu, u ma' min. Sas-seklu 19 din it-tradizzjoni kienet saret avveniment festiv, u din tkompli llum. Il-Kunsill tal-Belt jorganizza kunċerti u avvenimenti oħra. Lejliet kull nofs is-sajf, apparti l-wiċċ uffiċjali tal-kuruni, jaqbeż fuq in-nirien, ifittex il-fjura tal-felċi, hemm wirjiet mużikali, diskorsi, fieri u logħob tan-nar tad-dinjitarji mill-bank tax-xmara.</v>
      </c>
    </row>
    <row r="17484" ht="15.75" customHeight="1">
      <c r="A17484" s="2" t="s">
        <v>17484</v>
      </c>
      <c r="B17484" s="2" t="str">
        <f>IFERROR(__xludf.DUMMYFUNCTION("GOOGLETRANSLATE(A17484, ""en"", ""mt"")"),"Ħafna Ċiniżi Han u Khitan iddefendu lill-Mongoli biex jiġġieldu kontra l-Jin. Żewġ mexxejja Ċiniżi Han, Shi Tianze, Liu Heima (劉黑馬, Liu ni), u l-Khitan Xiao Zhala (蕭札剌) iddefendu u kkmandaw it-3 tumens fl-armata tal-Mongolja. Liu Heima u Shi Tianze servew"&amp;" Ogödei Khan. Liu Heima u Shi Tianxiang mexxew armati kontra l-Punent Xia għall-Mongoli. Kien hemm 4 tumens han u 3 tumens khitan, b'kull tumen li jikkonsisti minn 10,000 truppa. The three Khitan Generals Shimobeidier (石抹孛迭兒), Tabuyir (塔不已兒) and Xiaozhaci"&amp;"zhizizhongxi (蕭札刺之子重喜) commanded the three Khitan Tumens and the four Han Generals Zhang Rou, Yan Shi, Shi Tianze, and Liu Heima ikkmanda l-erba 'Tumens Han taħt Ogödei Khan.")</f>
        <v>Ħafna Ċiniżi Han u Khitan iddefendu lill-Mongoli biex jiġġieldu kontra l-Jin. Żewġ mexxejja Ċiniżi Han, Shi Tianze, Liu Heima (劉黑馬, Liu ni), u l-Khitan Xiao Zhala (蕭札剌) iddefendu u kkmandaw it-3 tumens fl-armata tal-Mongolja. Liu Heima u Shi Tianze servew Ogödei Khan. Liu Heima u Shi Tianxiang mexxew armati kontra l-Punent Xia għall-Mongoli. Kien hemm 4 tumens han u 3 tumens khitan, b'kull tumen li jikkonsisti minn 10,000 truppa. The three Khitan Generals Shimobeidier (石抹孛迭兒), Tabuyir (塔不已兒) and Xiaozhacizhizizhongxi (蕭札刺之子重喜) commanded the three Khitan Tumens and the four Han Generals Zhang Rou, Yan Shi, Shi Tianze, and Liu Heima ikkmanda l-erba 'Tumens Han taħt Ogödei Khan.</v>
      </c>
    </row>
    <row r="17485" ht="15.75" customHeight="1">
      <c r="A17485" s="2" t="s">
        <v>17485</v>
      </c>
      <c r="B17485" s="2" t="str">
        <f>IFERROR(__xludf.DUMMYFUNCTION("GOOGLETRANSLATE(A17485, ""en"", ""mt"")"),"It-teorema fundamentali tal-aritmetika tkompli żżomm f'oqsma uniċi ta 'fatturizzazzjoni. Eżempju ta 'dominju bħal dan huwa l-Integers Gaussjani Z [i], jiġifieri, is-sett ta' numri kumplessi tal-forma A + Bi fejn nindika l-unità immaġinarja u A u B huma nu"&amp;"mri interi arbitrarji. L-elementi ewlenin tagħha huma magħrufa bħala primes Gaussjani. Mhux kull prim (f'Z) huwa prim Gaussjan: fiċ-ċirku ikbar z [i], 2 fatturi fil-prodott taż-żewġ primes Gaussjani (1 + I) u (1 - i). Primes razzjonali (i.e. elementi ewle"&amp;"nin f'Z) tal-Formola 4K + 3 huma primes Gaussjani, filwaqt li l-primes razzjonali tal-Formola 4K + 1 mhumiex.")</f>
        <v>It-teorema fundamentali tal-aritmetika tkompli żżomm f'oqsma uniċi ta 'fatturizzazzjoni. Eżempju ta 'dominju bħal dan huwa l-Integers Gaussjani Z [i], jiġifieri, is-sett ta' numri kumplessi tal-forma A + Bi fejn nindika l-unità immaġinarja u A u B huma numri interi arbitrarji. L-elementi ewlenin tagħha huma magħrufa bħala primes Gaussjani. Mhux kull prim (f'Z) huwa prim Gaussjan: fiċ-ċirku ikbar z [i], 2 fatturi fil-prodott taż-żewġ primes Gaussjani (1 + I) u (1 - i). Primes razzjonali (i.e. elementi ewlenin f'Z) tal-Formola 4K + 3 huma primes Gaussjani, filwaqt li l-primes razzjonali tal-Formola 4K + 1 mhumiex.</v>
      </c>
    </row>
    <row r="17486" ht="15.75" customHeight="1">
      <c r="A17486" s="2" t="s">
        <v>17486</v>
      </c>
      <c r="B17486" s="2" t="str">
        <f>IFERROR(__xludf.DUMMYFUNCTION("GOOGLETRANSLATE(A17486, ""en"", ""mt"")"),"X'inhu isem ieħor għal kwalunkwe miżura mogħtija ta 'input assoċjata ma' problema?")</f>
        <v>X'inhu isem ieħor għal kwalunkwe miżura mogħtija ta 'input assoċjata ma' problema?</v>
      </c>
    </row>
    <row r="17487" ht="15.75" customHeight="1">
      <c r="A17487" s="2" t="s">
        <v>17487</v>
      </c>
      <c r="B17487" s="2" t="str">
        <f>IFERROR(__xludf.DUMMYFUNCTION("GOOGLETRANSLATE(A17487, ""en"", ""mt"")"),"Minn fejn huma l-forom varjanti tal-isem tar-Renu f'lingwi antiki derivati?")</f>
        <v>Minn fejn huma l-forom varjanti tal-isem tar-Renu f'lingwi antiki derivati?</v>
      </c>
    </row>
    <row r="17488" ht="15.75" customHeight="1">
      <c r="A17488" s="2" t="s">
        <v>17488</v>
      </c>
      <c r="B17488" s="2" t="str">
        <f>IFERROR(__xludf.DUMMYFUNCTION("GOOGLETRANSLATE(A17488, ""en"", ""mt"")"),"Ġeorġja")</f>
        <v>Ġeorġja</v>
      </c>
    </row>
    <row r="17489" ht="15.75" customHeight="1">
      <c r="A17489" s="2" t="s">
        <v>17489</v>
      </c>
      <c r="B17489" s="2" t="str">
        <f>IFERROR(__xludf.DUMMYFUNCTION("GOOGLETRANSLATE(A17489, ""en"", ""mt"")"),"438,000")</f>
        <v>438,000</v>
      </c>
    </row>
    <row r="17490" ht="15.75" customHeight="1">
      <c r="A17490" s="2" t="s">
        <v>17490</v>
      </c>
      <c r="B17490" s="2" t="str">
        <f>IFERROR(__xludf.DUMMYFUNCTION("GOOGLETRANSLATE(A17490, ""en"", ""mt"")"),"Liema perit kien prominenti f'Jacksonville qabel in-nar?")</f>
        <v>Liema perit kien prominenti f'Jacksonville qabel in-nar?</v>
      </c>
    </row>
    <row r="17491" ht="15.75" customHeight="1">
      <c r="A17491" s="2" t="s">
        <v>17491</v>
      </c>
      <c r="B17491" s="2" t="str">
        <f>IFERROR(__xludf.DUMMYFUNCTION("GOOGLETRANSLATE(A17491, ""en"", ""mt"")"),"Kemm-il darba jiltaqa 'l-Kunsill Ewropew?")</f>
        <v>Kemm-il darba jiltaqa 'l-Kunsill Ewropew?</v>
      </c>
    </row>
    <row r="17492" ht="15.75" customHeight="1">
      <c r="A17492" s="2" t="s">
        <v>17492</v>
      </c>
      <c r="B17492" s="2" t="str">
        <f>IFERROR(__xludf.DUMMYFUNCTION("GOOGLETRANSLATE(A17492, ""en"", ""mt"")"),"Latin")</f>
        <v>Latin</v>
      </c>
    </row>
    <row r="17493" ht="15.75" customHeight="1">
      <c r="A17493" s="2" t="s">
        <v>17493</v>
      </c>
      <c r="B17493" s="2" t="str">
        <f>IFERROR(__xludf.DUMMYFUNCTION("GOOGLETRANSLATE(A17493, ""en"", ""mt"")"),"Min normalment jissorvelja xogħol ta 'kostruzzjoni?")</f>
        <v>Min normalment jissorvelja xogħol ta 'kostruzzjoni?</v>
      </c>
    </row>
    <row r="17494" ht="15.75" customHeight="1">
      <c r="A17494" s="2" t="s">
        <v>17494</v>
      </c>
      <c r="B17494" s="2" t="str">
        <f>IFERROR(__xludf.DUMMYFUNCTION("GOOGLETRANSLATE(A17494, ""en"", ""mt"")"),"Fejn ġiet miġġielda l-gwerra?")</f>
        <v>Fejn ġiet miġġielda l-gwerra?</v>
      </c>
    </row>
    <row r="17495" ht="15.75" customHeight="1">
      <c r="A17495" s="2" t="s">
        <v>17495</v>
      </c>
      <c r="B17495" s="2" t="str">
        <f>IFERROR(__xludf.DUMMYFUNCTION("GOOGLETRANSLATE(A17495, ""en"", ""mt"")"),"X'tip ta 'dikjarazzjoni hija magħmula fl-isforz li tistabbilixxi r-rekwiżiti tal-ħin u l-ispazju meħtieġa biex titjieb in-numru aħħari ta' problemi solvuti?")</f>
        <v>X'tip ta 'dikjarazzjoni hija magħmula fl-isforz li tistabbilixxi r-rekwiżiti tal-ħin u l-ispazju meħtieġa biex titjieb in-numru aħħari ta' problemi solvuti?</v>
      </c>
    </row>
    <row r="17496" ht="15.75" customHeight="1">
      <c r="A17496" s="2" t="s">
        <v>17496</v>
      </c>
      <c r="B17496" s="2" t="str">
        <f>IFERROR(__xludf.DUMMYFUNCTION("GOOGLETRANSLATE(A17496, ""en"", ""mt"")"),"Metodoloġija tar-rotta tal-messaġġi")</f>
        <v>Metodoloġija tar-rotta tal-messaġġi</v>
      </c>
    </row>
    <row r="17497" ht="15.75" customHeight="1">
      <c r="A17497" s="2" t="s">
        <v>17497</v>
      </c>
      <c r="B17497" s="2" t="str">
        <f>IFERROR(__xludf.DUMMYFUNCTION("GOOGLETRANSLATE(A17497, ""en"", ""mt"")"),"L-Imperatur tal-Kanzunetta għal Quzhou")</f>
        <v>L-Imperatur tal-Kanzunetta għal Quzhou</v>
      </c>
    </row>
    <row r="17498" ht="15.75" customHeight="1">
      <c r="A17498" s="2" t="s">
        <v>17498</v>
      </c>
      <c r="B17498" s="2" t="str">
        <f>IFERROR(__xludf.DUMMYFUNCTION("GOOGLETRANSLATE(A17498, ""en"", ""mt"")"),"X'inhuma xi kultant preżenti fil-kuruna tal-plugbox tal-plagg?")</f>
        <v>X'inhuma xi kultant preżenti fil-kuruna tal-plugbox tal-plagg?</v>
      </c>
    </row>
    <row r="17499" ht="15.75" customHeight="1">
      <c r="A17499" s="2" t="s">
        <v>17499</v>
      </c>
      <c r="B17499" s="2" t="str">
        <f>IFERROR(__xludf.DUMMYFUNCTION("GOOGLETRANSLATE(A17499, ""en"", ""mt"")"),"Liema mexxej mexxa r-rewwixta Olandiża u kiteb apologie?")</f>
        <v>Liema mexxej mexxa r-rewwixta Olandiża u kiteb apologie?</v>
      </c>
    </row>
    <row r="17500" ht="15.75" customHeight="1">
      <c r="A17500" s="2" t="s">
        <v>17500</v>
      </c>
      <c r="B17500" s="2" t="str">
        <f>IFERROR(__xludf.DUMMYFUNCTION("GOOGLETRANSLATE(A17500, ""en"", ""mt"")"),"tħeġġeġ it-tkabbir")</f>
        <v>tħeġġeġ it-tkabbir</v>
      </c>
    </row>
    <row r="17501" ht="15.75" customHeight="1">
      <c r="A17501" s="2" t="s">
        <v>17501</v>
      </c>
      <c r="B17501" s="2" t="str">
        <f>IFERROR(__xludf.DUMMYFUNCTION("GOOGLETRANSLATE(A17501, ""en"", ""mt"")"),"115.7 metri")</f>
        <v>115.7 metri</v>
      </c>
    </row>
    <row r="17502" ht="15.75" customHeight="1">
      <c r="A17502" s="2" t="s">
        <v>17502</v>
      </c>
      <c r="B17502" s="2" t="str">
        <f>IFERROR(__xludf.DUMMYFUNCTION("GOOGLETRANSLATE(A17502, ""en"", ""mt"")"),"12")</f>
        <v>12</v>
      </c>
    </row>
    <row r="17503" ht="15.75" customHeight="1">
      <c r="A17503" s="2" t="s">
        <v>17503</v>
      </c>
      <c r="B17503" s="2" t="str">
        <f>IFERROR(__xludf.DUMMYFUNCTION("GOOGLETRANSLATE(A17503, ""en"", ""mt"")"),"X’użat Gou għall-Astronomija?")</f>
        <v>X’użat Gou għall-Astronomija?</v>
      </c>
    </row>
    <row r="17504" ht="15.75" customHeight="1">
      <c r="A17504" s="2" t="s">
        <v>17504</v>
      </c>
      <c r="B17504" s="2" t="str">
        <f>IFERROR(__xludf.DUMMYFUNCTION("GOOGLETRANSLATE(A17504, ""en"", ""mt"")"),"Liema entità oħra ġiet stabbilita fl-istess ħin bħall-Konvenzjoni Ewropea dwar id-Drittijiet tal-Bniedem?")</f>
        <v>Liema entità oħra ġiet stabbilita fl-istess ħin bħall-Konvenzjoni Ewropea dwar id-Drittijiet tal-Bniedem?</v>
      </c>
    </row>
    <row r="17505" ht="15.75" customHeight="1">
      <c r="A17505" s="2" t="s">
        <v>17505</v>
      </c>
      <c r="B17505" s="2" t="str">
        <f>IFERROR(__xludf.DUMMYFUNCTION("GOOGLETRANSLATE(A17505, ""en"", ""mt"")"),"F'liema sena ġiet ippubblikata r-riċerka ta 'Scott u Duncan?")</f>
        <v>F'liema sena ġiet ippubblikata r-riċerka ta 'Scott u Duncan?</v>
      </c>
    </row>
    <row r="17506" ht="15.75" customHeight="1">
      <c r="A17506" s="2" t="s">
        <v>17506</v>
      </c>
      <c r="B17506" s="2" t="str">
        <f>IFERROR(__xludf.DUMMYFUNCTION("GOOGLETRANSLATE(A17506, ""en"", ""mt"")"),"Tramuntana")</f>
        <v>Tramuntana</v>
      </c>
    </row>
    <row r="17507" ht="15.75" customHeight="1">
      <c r="A17507" s="2" t="s">
        <v>17507</v>
      </c>
      <c r="B17507" s="2" t="str">
        <f>IFERROR(__xludf.DUMMYFUNCTION("GOOGLETRANSLATE(A17507, ""en"", ""mt"")"),"Ħdejn Sargans")</f>
        <v>Ħdejn Sargans</v>
      </c>
    </row>
    <row r="17508" ht="15.75" customHeight="1">
      <c r="A17508" s="2" t="s">
        <v>17508</v>
      </c>
      <c r="B17508" s="2" t="str">
        <f>IFERROR(__xludf.DUMMYFUNCTION("GOOGLETRANSLATE(A17508, ""en"", ""mt"")"),"Yale")</f>
        <v>Yale</v>
      </c>
    </row>
    <row r="17509" ht="15.75" customHeight="1">
      <c r="A17509" s="2" t="s">
        <v>17509</v>
      </c>
      <c r="B17509" s="2" t="str">
        <f>IFERROR(__xludf.DUMMYFUNCTION("GOOGLETRANSLATE(A17509, ""en"", ""mt"")"),"differenza fl-enerġija potenzjali")</f>
        <v>differenza fl-enerġija potenzjali</v>
      </c>
    </row>
    <row r="17510" ht="15.75" customHeight="1">
      <c r="A17510" s="2" t="s">
        <v>17510</v>
      </c>
      <c r="B17510" s="2" t="str">
        <f>IFERROR(__xludf.DUMMYFUNCTION("GOOGLETRANSLATE(A17510, ""en"", ""mt"")"),"Lag Constance")</f>
        <v>Lag Constance</v>
      </c>
    </row>
    <row r="17511" ht="15.75" customHeight="1">
      <c r="A17511" s="2" t="s">
        <v>17511</v>
      </c>
      <c r="B17511" s="2" t="str">
        <f>IFERROR(__xludf.DUMMYFUNCTION("GOOGLETRANSLATE(A17511, ""en"", ""mt"")"),"Matul it-Tieni Gwerra Dinjija")</f>
        <v>Matul it-Tieni Gwerra Dinjija</v>
      </c>
    </row>
    <row r="17512" ht="15.75" customHeight="1">
      <c r="A17512" s="2" t="s">
        <v>17512</v>
      </c>
      <c r="B17512" s="2" t="str">
        <f>IFERROR(__xludf.DUMMYFUNCTION("GOOGLETRANSLATE(A17512, ""en"", ""mt"")"),"Ħodor")</f>
        <v>Ħodor</v>
      </c>
    </row>
    <row r="17513" ht="15.75" customHeight="1">
      <c r="A17513" s="2" t="s">
        <v>17513</v>
      </c>
      <c r="B17513" s="2" t="str">
        <f>IFERROR(__xludf.DUMMYFUNCTION("GOOGLETRANSLATE(A17513, ""en"", ""mt"")"),"Neofundamentalist")</f>
        <v>Neofundamentalist</v>
      </c>
    </row>
    <row r="17514" ht="15.75" customHeight="1">
      <c r="A17514" s="2" t="s">
        <v>17514</v>
      </c>
      <c r="B17514" s="2" t="str">
        <f>IFERROR(__xludf.DUMMYFUNCTION("GOOGLETRANSLATE(A17514, ""en"", ""mt"")"),"progressiv")</f>
        <v>progressiv</v>
      </c>
    </row>
    <row r="17515" ht="15.75" customHeight="1">
      <c r="A17515" s="2" t="s">
        <v>17515</v>
      </c>
      <c r="B17515" s="2" t="str">
        <f>IFERROR(__xludf.DUMMYFUNCTION("GOOGLETRANSLATE(A17515, ""en"", ""mt"")"),"L-Isvizzera")</f>
        <v>L-Isvizzera</v>
      </c>
    </row>
    <row r="17516" ht="15.75" customHeight="1">
      <c r="A17516" s="2" t="s">
        <v>17516</v>
      </c>
      <c r="B17516" s="2" t="str">
        <f>IFERROR(__xludf.DUMMYFUNCTION("GOOGLETRANSLATE(A17516, ""en"", ""mt"")"),"Liema sena akkwista BSKYB Sky Italia?")</f>
        <v>Liema sena akkwista BSKYB Sky Italia?</v>
      </c>
    </row>
    <row r="17517" ht="15.75" customHeight="1">
      <c r="A17517" s="2" t="s">
        <v>17517</v>
      </c>
      <c r="B17517" s="2" t="str">
        <f>IFERROR(__xludf.DUMMYFUNCTION("GOOGLETRANSLATE(A17517, ""en"", ""mt"")"),"Liema mard ħafna xjenzati jemmnu li kkontribwew għall-pandemija tal-pesta?")</f>
        <v>Liema mard ħafna xjenzati jemmnu li kkontribwew għall-pandemija tal-pesta?</v>
      </c>
    </row>
    <row r="17518" ht="15.75" customHeight="1">
      <c r="A17518" s="2" t="s">
        <v>17518</v>
      </c>
      <c r="B17518" s="2" t="str">
        <f>IFERROR(__xludf.DUMMYFUNCTION("GOOGLETRANSLATE(A17518, ""en"", ""mt"")"),"L-industrija taċ-ċinema, it-televiżjoni u l-mużika hija ċċentrata fuq il-Los Angeles fin-Nofsinhar ta ’California. Hollywood, distrett fi ħdan Los Angeles, huwa wkoll isem assoċjat mal-industrija tal-istampi taċ-ċinema. Bil-kwartjieri ġenerali fin-Nofsinh"&amp;"ar tal-Kalifornja huma l-Walt Disney Company (li hija wkoll il-proprjetarja ABC), Sony Pictures, Universal, MGM, Paramount Pictures, 20th Century Fox, u Warner Brothers. Universal, Warner Brothers, u Sony jmexxu wkoll kumpaniji tad-diski ewlenin ukoll.")</f>
        <v>L-industrija taċ-ċinema, it-televiżjoni u l-mużika hija ċċentrata fuq il-Los Angeles fin-Nofsinhar ta ’California. Hollywood, distrett fi ħdan Los Angeles, huwa wkoll isem assoċjat mal-industrija tal-istampi taċ-ċinema. Bil-kwartjieri ġenerali fin-Nofsinhar tal-Kalifornja huma l-Walt Disney Company (li hija wkoll il-proprjetarja ABC), Sony Pictures, Universal, MGM, Paramount Pictures, 20th Century Fox, u Warner Brothers. Universal, Warner Brothers, u Sony jmexxu wkoll kumpaniji tad-diski ewlenin ukoll.</v>
      </c>
    </row>
    <row r="17519" ht="15.75" customHeight="1">
      <c r="A17519" s="2" t="s">
        <v>17519</v>
      </c>
      <c r="B17519" s="2" t="str">
        <f>IFERROR(__xludf.DUMMYFUNCTION("GOOGLETRANSLATE(A17519, ""en"", ""mt"")"),"[256kn + 1, 256k (n + 1) - 1]")</f>
        <v>[256kn + 1, 256k (n + 1) - 1]</v>
      </c>
    </row>
    <row r="17520" ht="15.75" customHeight="1">
      <c r="A17520" s="2" t="s">
        <v>17520</v>
      </c>
      <c r="B17520" s="2" t="str">
        <f>IFERROR(__xludf.DUMMYFUNCTION("GOOGLETRANSLATE(A17520, ""en"", ""mt"")"),"Min ikkonkluda li d-differenza dejjem tiżdied fl-inugwaljanza kienet qed titjieb?")</f>
        <v>Min ikkonkluda li d-differenza dejjem tiżdied fl-inugwaljanza kienet qed titjieb?</v>
      </c>
    </row>
    <row r="17521" ht="15.75" customHeight="1">
      <c r="A17521" s="2" t="s">
        <v>17521</v>
      </c>
      <c r="B17521" s="2" t="str">
        <f>IFERROR(__xludf.DUMMYFUNCTION("GOOGLETRANSLATE(A17521, ""en"", ""mt"")"),"X'kien miktub minn Ghandi fl-1819?")</f>
        <v>X'kien miktub minn Ghandi fl-1819?</v>
      </c>
    </row>
    <row r="17522" ht="15.75" customHeight="1">
      <c r="A17522" s="2" t="s">
        <v>17522</v>
      </c>
      <c r="B17522" s="2" t="str">
        <f>IFERROR(__xludf.DUMMYFUNCTION("GOOGLETRANSLATE(A17522, ""en"", ""mt"")"),"żewġ klassijiet ewlenin")</f>
        <v>żewġ klassijiet ewlenin</v>
      </c>
    </row>
    <row r="17523" ht="15.75" customHeight="1">
      <c r="A17523" s="2" t="s">
        <v>17523</v>
      </c>
      <c r="B17523" s="2" t="str">
        <f>IFERROR(__xludf.DUMMYFUNCTION("GOOGLETRANSLATE(A17523, ""en"", ""mt"")"),"tagħbija tas-sediment")</f>
        <v>tagħbija tas-sediment</v>
      </c>
    </row>
    <row r="17524" ht="15.75" customHeight="1">
      <c r="A17524" s="2" t="s">
        <v>17524</v>
      </c>
      <c r="B17524" s="2" t="str">
        <f>IFERROR(__xludf.DUMMYFUNCTION("GOOGLETRANSLATE(A17524, ""en"", ""mt"")"),"X'inhu ogħla jekk kien hemm inqas nies?")</f>
        <v>X'inhu ogħla jekk kien hemm inqas nies?</v>
      </c>
    </row>
    <row r="17525" ht="15.75" customHeight="1">
      <c r="A17525" s="2" t="s">
        <v>17525</v>
      </c>
      <c r="B17525" s="2" t="str">
        <f>IFERROR(__xludf.DUMMYFUNCTION("GOOGLETRANSLATE(A17525, ""en"", ""mt"")"),"Taħt kondizzjonijiet normali, iċ-ċelloli T u l-antikorpi jipproduċu x'tip ta 'peptidi?")</f>
        <v>Taħt kondizzjonijiet normali, iċ-ċelloli T u l-antikorpi jipproduċu x'tip ta 'peptidi?</v>
      </c>
    </row>
    <row r="17526" ht="15.75" customHeight="1">
      <c r="A17526" s="2" t="s">
        <v>17526</v>
      </c>
      <c r="B17526" s="2" t="str">
        <f>IFERROR(__xludf.DUMMYFUNCTION("GOOGLETRANSLATE(A17526, ""en"", ""mt"")"),"Aktar minn 100%")</f>
        <v>Aktar minn 100%</v>
      </c>
    </row>
    <row r="17527" ht="15.75" customHeight="1">
      <c r="A17527" s="2" t="s">
        <v>17527</v>
      </c>
      <c r="B17527" s="2" t="str">
        <f>IFERROR(__xludf.DUMMYFUNCTION("GOOGLETRANSLATE(A17527, ""en"", ""mt"")"),"pagi mnaqqsa")</f>
        <v>pagi mnaqqsa</v>
      </c>
    </row>
    <row r="17528" ht="15.75" customHeight="1">
      <c r="A17528" s="2" t="s">
        <v>17528</v>
      </c>
      <c r="B17528" s="2" t="str">
        <f>IFERROR(__xludf.DUMMYFUNCTION("GOOGLETRANSLATE(A17528, ""en"", ""mt"")"),"It-teorija tal-kumplessità tal-komputazzjoni hija fergħa tat-teorija tal-komputazzjoni fix-xjenza teoretika tal-kompjuter li tiffoka fuq il-klassifikazzjoni tal-problemi tal-komputazzjoni skont id-diffikultà inerenti tagħhom, u tirrelata dawk il-klassijie"&amp;"t ma 'xulxin. Problema tal-komputazzjoni hija mifhuma bħala kompitu li fil-prinċipju huwa li jista 'jiġi solvut minn kompjuter, li huwa ekwivalenti li jiddikjara li l-problema tista' tissolva bl-applikazzjoni mekkanika ta 'passi matematiċi, bħal algoritmu"&amp;".")</f>
        <v>It-teorija tal-kumplessità tal-komputazzjoni hija fergħa tat-teorija tal-komputazzjoni fix-xjenza teoretika tal-kompjuter li tiffoka fuq il-klassifikazzjoni tal-problemi tal-komputazzjoni skont id-diffikultà inerenti tagħhom, u tirrelata dawk il-klassijiet ma 'xulxin. Problema tal-komputazzjoni hija mifhuma bħala kompitu li fil-prinċipju huwa li jista 'jiġi solvut minn kompjuter, li huwa ekwivalenti li jiddikjara li l-problema tista' tissolva bl-applikazzjoni mekkanika ta 'passi matematiċi, bħal algoritmu.</v>
      </c>
    </row>
    <row r="17529" ht="15.75" customHeight="1">
      <c r="A17529" s="2" t="s">
        <v>17529</v>
      </c>
      <c r="B17529" s="2" t="str">
        <f>IFERROR(__xludf.DUMMYFUNCTION("GOOGLETRANSLATE(A17529, ""en"", ""mt"")"),"Minn liema reġjun taċ-Ċina huwa parti minn Hebei?")</f>
        <v>Minn liema reġjun taċ-Ċina huwa parti minn Hebei?</v>
      </c>
    </row>
    <row r="17530" ht="15.75" customHeight="1">
      <c r="A17530" s="2" t="s">
        <v>17530</v>
      </c>
      <c r="B17530" s="2" t="str">
        <f>IFERROR(__xludf.DUMMYFUNCTION("GOOGLETRANSLATE(A17530, ""en"", ""mt"")"),"X'inhu l-isem Franċiż għar-Rhine?")</f>
        <v>X'inhu l-isem Franċiż għar-Rhine?</v>
      </c>
    </row>
    <row r="17531" ht="15.75" customHeight="1">
      <c r="A17531" s="2" t="s">
        <v>17531</v>
      </c>
      <c r="B17531" s="2" t="str">
        <f>IFERROR(__xludf.DUMMYFUNCTION("GOOGLETRANSLATE(A17531, ""en"", ""mt"")"),"Minħabba li wieħed jista 'jinkludi b'mod arbitrarju ħafna każijiet ta' 1 fi kwalunkwe fatorizzazzjoni")</f>
        <v>Minħabba li wieħed jista 'jinkludi b'mod arbitrarju ħafna każijiet ta' 1 fi kwalunkwe fatorizzazzjoni</v>
      </c>
    </row>
    <row r="17532" ht="15.75" customHeight="1">
      <c r="A17532" s="2" t="s">
        <v>17532</v>
      </c>
      <c r="B17532" s="2" t="str">
        <f>IFERROR(__xludf.DUMMYFUNCTION("GOOGLETRANSLATE(A17532, ""en"", ""mt"")"),"X'inhuma tnejn mit-tliet bliet ewlenin li jinsabu fin-Nofsinhar ta 'California?")</f>
        <v>X'inhuma tnejn mit-tliet bliet ewlenin li jinsabu fin-Nofsinhar ta 'California?</v>
      </c>
    </row>
    <row r="17533" ht="15.75" customHeight="1">
      <c r="A17533" s="2" t="s">
        <v>17533</v>
      </c>
      <c r="B17533" s="2" t="str">
        <f>IFERROR(__xludf.DUMMYFUNCTION("GOOGLETRANSLATE(A17533, ""en"", ""mt"")"),"Min skopra Y. pestis?")</f>
        <v>Min skopra Y. pestis?</v>
      </c>
    </row>
    <row r="17534" ht="15.75" customHeight="1">
      <c r="A17534" s="2" t="s">
        <v>17534</v>
      </c>
      <c r="B17534" s="2" t="str">
        <f>IFERROR(__xludf.DUMMYFUNCTION("GOOGLETRANSLATE(A17534, ""en"", ""mt"")"),"Kapaċi tivvota fuq leġislazzjoni domestika li tapplika biss għall-Ingilterra, Wales u l-Irlanda ta 'Fuq")</f>
        <v>Kapaċi tivvota fuq leġislazzjoni domestika li tapplika biss għall-Ingilterra, Wales u l-Irlanda ta 'Fuq</v>
      </c>
    </row>
    <row r="17535" ht="15.75" customHeight="1">
      <c r="A17535" s="2" t="s">
        <v>17535</v>
      </c>
      <c r="B17535" s="2" t="str">
        <f>IFERROR(__xludf.DUMMYFUNCTION("GOOGLETRANSLATE(A17535, ""en"", ""mt"")"),"Liema grupp iżomm il-bajd huma fertilizzati u miżmuma ġewwa l-ġisem tal-ġenitur sakemm ifaqqsu?")</f>
        <v>Liema grupp iżomm il-bajd huma fertilizzati u miżmuma ġewwa l-ġisem tal-ġenitur sakemm ifaqqsu?</v>
      </c>
    </row>
    <row r="17536" ht="15.75" customHeight="1">
      <c r="A17536" s="2" t="s">
        <v>17536</v>
      </c>
      <c r="B17536" s="2" t="str">
        <f>IFERROR(__xludf.DUMMYFUNCTION("GOOGLETRANSLATE(A17536, ""en"", ""mt"")"),"Quadrangles ewlenin")</f>
        <v>Quadrangles ewlenin</v>
      </c>
    </row>
    <row r="17537" ht="15.75" customHeight="1">
      <c r="A17537" s="2" t="s">
        <v>17537</v>
      </c>
      <c r="B17537" s="2" t="str">
        <f>IFERROR(__xludf.DUMMYFUNCTION("GOOGLETRANSLATE(A17537, ""en"", ""mt"")"),"il-bilanċ tal-partijiet madwar il-parlament")</f>
        <v>il-bilanċ tal-partijiet madwar il-parlament</v>
      </c>
    </row>
    <row r="17538" ht="15.75" customHeight="1">
      <c r="A17538" s="2" t="s">
        <v>17538</v>
      </c>
      <c r="B17538" s="2" t="str">
        <f>IFERROR(__xludf.DUMMYFUNCTION("GOOGLETRANSLATE(A17538, ""en"", ""mt"")"),"Liema sistema ma tiddefinixxix ħafna drabi klassijiet bħal IP u AM /")</f>
        <v>Liema sistema ma tiddefinixxix ħafna drabi klassijiet bħal IP u AM /</v>
      </c>
    </row>
    <row r="17539" ht="15.75" customHeight="1">
      <c r="A17539" s="2" t="s">
        <v>17539</v>
      </c>
      <c r="B17539" s="2" t="str">
        <f>IFERROR(__xludf.DUMMYFUNCTION("GOOGLETRANSLATE(A17539, ""en"", ""mt"")"),"L-ex bini amministrattiv tal-Kunsill Reġjonali Lothian fuq George V Bridge intuża għal xiex?")</f>
        <v>L-ex bini amministrattiv tal-Kunsill Reġjonali Lothian fuq George V Bridge intuża għal xiex?</v>
      </c>
    </row>
    <row r="17540" ht="15.75" customHeight="1">
      <c r="A17540" s="2" t="s">
        <v>17540</v>
      </c>
      <c r="B17540" s="2" t="str">
        <f>IFERROR(__xludf.DUMMYFUNCTION("GOOGLETRANSLATE(A17540, ""en"", ""mt"")"),"Bell Northern Research żviluppa Transpac bħala impriża konġunta bejn liema żewġ kumpaniji?")</f>
        <v>Bell Northern Research żviluppa Transpac bħala impriża konġunta bejn liema żewġ kumpaniji?</v>
      </c>
    </row>
    <row r="17541" ht="15.75" customHeight="1">
      <c r="A17541" s="2" t="s">
        <v>17541</v>
      </c>
      <c r="B17541" s="2" t="str">
        <f>IFERROR(__xludf.DUMMYFUNCTION("GOOGLETRANSLATE(A17541, ""en"", ""mt"")"),"Meta twaqqfet il-Librerija tal-Università?")</f>
        <v>Meta twaqqfet il-Librerija tal-Università?</v>
      </c>
    </row>
    <row r="17542" ht="15.75" customHeight="1">
      <c r="A17542" s="2" t="s">
        <v>17542</v>
      </c>
      <c r="B17542" s="2" t="str">
        <f>IFERROR(__xludf.DUMMYFUNCTION("GOOGLETRANSLATE(A17542, ""en"", ""mt"")"),"Kemm hemm ringieli ta 'statokisti?")</f>
        <v>Kemm hemm ringieli ta 'statokisti?</v>
      </c>
    </row>
    <row r="17543" ht="15.75" customHeight="1">
      <c r="A17543" s="2" t="s">
        <v>17543</v>
      </c>
      <c r="B17543" s="2" t="str">
        <f>IFERROR(__xludf.DUMMYFUNCTION("GOOGLETRANSLATE(A17543, ""en"", ""mt"")"),"Rand kif uża dan in-netwerk?")</f>
        <v>Rand kif uża dan in-netwerk?</v>
      </c>
    </row>
    <row r="17544" ht="15.75" customHeight="1">
      <c r="A17544" s="2" t="s">
        <v>17544</v>
      </c>
      <c r="B17544" s="2" t="str">
        <f>IFERROR(__xludf.DUMMYFUNCTION("GOOGLETRANSLATE(A17544, ""en"", ""mt"")"),"X'inhu l-isem taċ-cydippid b'żewġ tentazzjonijiet li jitma 'fuq is-salps imsejħa?")</f>
        <v>X'inhu l-isem taċ-cydippid b'żewġ tentazzjonijiet li jitma 'fuq is-salps imsejħa?</v>
      </c>
    </row>
    <row r="17545" ht="15.75" customHeight="1">
      <c r="A17545" s="2" t="s">
        <v>17545</v>
      </c>
      <c r="B17545" s="2" t="str">
        <f>IFERROR(__xludf.DUMMYFUNCTION("GOOGLETRANSLATE(A17545, ""en"", ""mt"")"),"Inbiddel il-proċess kollu ta 'valutazzjoni tax-xjenza dwar il-klima f'wikipedia-IPCC moderat ""ħaj""")</f>
        <v>Inbiddel il-proċess kollu ta 'valutazzjoni tax-xjenza dwar il-klima f'wikipedia-IPCC moderat "ħaj"</v>
      </c>
    </row>
    <row r="17546" ht="15.75" customHeight="1">
      <c r="A17546" s="2" t="s">
        <v>17546</v>
      </c>
      <c r="B17546" s="2" t="str">
        <f>IFERROR(__xludf.DUMMYFUNCTION("GOOGLETRANSLATE(A17546, ""en"", ""mt"")"),"Kelliema tal-għeluq jingħataw bejn 5 u kemm minuti?")</f>
        <v>Kelliema tal-għeluq jingħataw bejn 5 u kemm minuti?</v>
      </c>
    </row>
    <row r="17547" ht="15.75" customHeight="1">
      <c r="A17547" s="2" t="s">
        <v>17547</v>
      </c>
      <c r="B17547" s="2" t="str">
        <f>IFERROR(__xludf.DUMMYFUNCTION("GOOGLETRANSLATE(A17547, ""en"", ""mt"")"),"Liema pajjiż invada n-Normanni fl-1169?")</f>
        <v>Liema pajjiż invada n-Normanni fl-1169?</v>
      </c>
    </row>
    <row r="17548" ht="15.75" customHeight="1">
      <c r="A17548" s="2" t="s">
        <v>17548</v>
      </c>
      <c r="B17548" s="2" t="str">
        <f>IFERROR(__xludf.DUMMYFUNCTION("GOOGLETRANSLATE(A17548, ""en"", ""mt"")")," Min kellu Toghtogha pprova jiddefendi?")</f>
        <v> Min kellu Toghtogha pprova jiddefendi?</v>
      </c>
    </row>
    <row r="17549" ht="15.75" customHeight="1">
      <c r="A17549" s="2" t="s">
        <v>17549</v>
      </c>
      <c r="B17549" s="2" t="str">
        <f>IFERROR(__xludf.DUMMYFUNCTION("GOOGLETRANSLATE(A17549, ""en"", ""mt"")"),"Wenzong")</f>
        <v>Wenzong</v>
      </c>
    </row>
    <row r="17550" ht="15.75" customHeight="1">
      <c r="A17550" s="2" t="s">
        <v>17550</v>
      </c>
      <c r="B17550" s="2" t="str">
        <f>IFERROR(__xludf.DUMMYFUNCTION("GOOGLETRANSLATE(A17550, ""en"", ""mt"")"),"proċess edukattiv")</f>
        <v>proċess edukattiv</v>
      </c>
    </row>
    <row r="17551" ht="15.75" customHeight="1">
      <c r="A17551" s="2" t="s">
        <v>17551</v>
      </c>
      <c r="B17551" s="2" t="str">
        <f>IFERROR(__xludf.DUMMYFUNCTION("GOOGLETRANSLATE(A17551, ""en"", ""mt"")"),"Min rebaħ il-Premju Pulritzer kif ukoll il-Premju Nobel?")</f>
        <v>Min rebaħ il-Premju Pulritzer kif ukoll il-Premju Nobel?</v>
      </c>
    </row>
    <row r="17552" ht="15.75" customHeight="1">
      <c r="A17552" s="2" t="s">
        <v>17552</v>
      </c>
      <c r="B17552" s="2" t="str">
        <f>IFERROR(__xludf.DUMMYFUNCTION("GOOGLETRANSLATE(A17552, ""en"", ""mt"")"),"Min iħallas lill-ispiżjara Awstraljani talli għamlu reviżjonijiet ta 'mediċini fid-dar?")</f>
        <v>Min iħallas lill-ispiżjara Awstraljani talli għamlu reviżjonijiet ta 'mediċini fid-dar?</v>
      </c>
    </row>
    <row r="17553" ht="15.75" customHeight="1">
      <c r="A17553" s="2" t="s">
        <v>17553</v>
      </c>
      <c r="B17553" s="2" t="str">
        <f>IFERROR(__xludf.DUMMYFUNCTION("GOOGLETRANSLATE(A17553, ""en"", ""mt"")"),"Minbarra l-għargħar kostanti, għaliex inkella kien hemm regolazzjoni tar-Renu?")</f>
        <v>Minbarra l-għargħar kostanti, għaliex inkella kien hemm regolazzjoni tar-Renu?</v>
      </c>
    </row>
    <row r="17554" ht="15.75" customHeight="1">
      <c r="A17554" s="2" t="s">
        <v>17554</v>
      </c>
      <c r="B17554" s="2" t="str">
        <f>IFERROR(__xludf.DUMMYFUNCTION("GOOGLETRANSLATE(A17554, ""en"", ""mt"")"),"Liema apparat jintuża biex jirriċikla l-ilma tal-bojler fil-biċċa l-kbira tal-magni tal-ġett?")</f>
        <v>Liema apparat jintuża biex jirriċikla l-ilma tal-bojler fil-biċċa l-kbira tal-magni tal-ġett?</v>
      </c>
    </row>
    <row r="17555" ht="15.75" customHeight="1">
      <c r="A17555" s="2" t="s">
        <v>17555</v>
      </c>
      <c r="B17555" s="2" t="str">
        <f>IFERROR(__xludf.DUMMYFUNCTION("GOOGLETRANSLATE(A17555, ""en"", ""mt"")"),"94 libbra")</f>
        <v>94 libbra</v>
      </c>
    </row>
    <row r="17556" ht="15.75" customHeight="1">
      <c r="A17556" s="2" t="s">
        <v>17556</v>
      </c>
      <c r="B17556" s="2" t="str">
        <f>IFERROR(__xludf.DUMMYFUNCTION("GOOGLETRANSLATE(A17556, ""en"", ""mt"")"),"Liema konġettura ssostni li hemm ammont infinit ta 'primes twin?")</f>
        <v>Liema konġettura ssostni li hemm ammont infinit ta 'primes twin?</v>
      </c>
    </row>
    <row r="17557" ht="15.75" customHeight="1">
      <c r="A17557" s="2" t="s">
        <v>17557</v>
      </c>
      <c r="B17557" s="2" t="str">
        <f>IFERROR(__xludf.DUMMYFUNCTION("GOOGLETRANSLATE(A17557, ""en"", ""mt"")"),"X'jistgħu jużaw l-isponoż tagħhom biex jaqbdu?")</f>
        <v>X'jistgħu jużaw l-isponoż tagħhom biex jaqbdu?</v>
      </c>
    </row>
    <row r="17558" ht="15.75" customHeight="1">
      <c r="A17558" s="2" t="s">
        <v>17558</v>
      </c>
      <c r="B17558" s="2" t="str">
        <f>IFERROR(__xludf.DUMMYFUNCTION("GOOGLETRANSLATE(A17558, ""en"", ""mt"")"),"Hyde Park")</f>
        <v>Hyde Park</v>
      </c>
    </row>
    <row r="17559" ht="15.75" customHeight="1">
      <c r="A17559" s="2" t="s">
        <v>17559</v>
      </c>
      <c r="B17559" s="2" t="str">
        <f>IFERROR(__xludf.DUMMYFUNCTION("GOOGLETRANSLATE(A17559, ""en"", ""mt"")"),"Notazzjoni Big O tipprovdi awtonomija għal-limiti ta 'fuq u t'isfel b'relazzjoni ma' xiex?")</f>
        <v>Notazzjoni Big O tipprovdi awtonomija għal-limiti ta 'fuq u t'isfel b'relazzjoni ma' xiex?</v>
      </c>
    </row>
    <row r="17560" ht="15.75" customHeight="1">
      <c r="A17560" s="2" t="s">
        <v>17560</v>
      </c>
      <c r="B17560" s="2" t="str">
        <f>IFERROR(__xludf.DUMMYFUNCTION("GOOGLETRANSLATE(A17560, ""en"", ""mt"")"),"Esperimenti fiżiċi ta 'temperatura għolja u pressjoni")</f>
        <v>Esperimenti fiżiċi ta 'temperatura għolja u pressjoni</v>
      </c>
    </row>
    <row r="17561" ht="15.75" customHeight="1">
      <c r="A17561" s="2" t="s">
        <v>17561</v>
      </c>
      <c r="B17561" s="2" t="str">
        <f>IFERROR(__xludf.DUMMYFUNCTION("GOOGLETRANSLATE(A17561, ""en"", ""mt"")"),"Liema organizzazzjoni tmexxi l-immaniġġjar tal-iskart fir-Rabat?")</f>
        <v>Liema organizzazzjoni tmexxi l-immaniġġjar tal-iskart fir-Rabat?</v>
      </c>
    </row>
    <row r="17562" ht="15.75" customHeight="1">
      <c r="A17562" s="2" t="s">
        <v>17562</v>
      </c>
      <c r="B17562" s="2" t="str">
        <f>IFERROR(__xludf.DUMMYFUNCTION("GOOGLETRANSLATE(A17562, ""en"", ""mt"")"),"It-Taliban kien daqshekk simili għal mumenti oħra li jistgħu jiġu deskritti b'mod aktar preċiż bħala x'inhu?")</f>
        <v>It-Taliban kien daqshekk simili għal mumenti oħra li jistgħu jiġu deskritti b'mod aktar preċiż bħala x'inhu?</v>
      </c>
    </row>
    <row r="17563" ht="15.75" customHeight="1">
      <c r="A17563" s="2" t="s">
        <v>17563</v>
      </c>
      <c r="B17563" s="2" t="str">
        <f>IFERROR(__xludf.DUMMYFUNCTION("GOOGLETRANSLATE(A17563, ""en"", ""mt"")"),"Pitt")</f>
        <v>Pitt</v>
      </c>
    </row>
    <row r="17564" ht="15.75" customHeight="1">
      <c r="A17564" s="2" t="s">
        <v>17564</v>
      </c>
      <c r="B17564" s="2" t="str">
        <f>IFERROR(__xludf.DUMMYFUNCTION("GOOGLETRANSLATE(A17564, ""en"", ""mt"")"),"il-ġlieda kontra l-apartheid")</f>
        <v>il-ġlieda kontra l-apartheid</v>
      </c>
    </row>
    <row r="17565" ht="15.75" customHeight="1">
      <c r="A17565" s="2" t="s">
        <v>17565</v>
      </c>
      <c r="B17565" s="2" t="str">
        <f>IFERROR(__xludf.DUMMYFUNCTION("GOOGLETRANSLATE(A17565, ""en"", ""mt"")"),"Tibda f'liema sena Harvard qabeż il-klassifiki akkademiċi ta 'universitajiet dinjija?")</f>
        <v>Tibda f'liema sena Harvard qabeż il-klassifiki akkademiċi ta 'universitajiet dinjija?</v>
      </c>
    </row>
    <row r="17566" ht="15.75" customHeight="1">
      <c r="A17566" s="2" t="s">
        <v>17566</v>
      </c>
      <c r="B17566" s="2" t="str">
        <f>IFERROR(__xludf.DUMMYFUNCTION("GOOGLETRANSLATE(A17566, ""en"", ""mt"")"),"X'tifhem li l-atleti professjonali jfittxu li jagħtu spinta mill-ossiġnu tan-nifs?")</f>
        <v>X'tifhem li l-atleti professjonali jfittxu li jagħtu spinta mill-ossiġnu tan-nifs?</v>
      </c>
    </row>
    <row r="17567" ht="15.75" customHeight="1">
      <c r="A17567" s="2" t="s">
        <v>17567</v>
      </c>
      <c r="B17567" s="2" t="str">
        <f>IFERROR(__xludf.DUMMYFUNCTION("GOOGLETRANSLATE(A17567, ""en"", ""mt"")"),"Liema mexxej Protestant Ewropew ieħor ġie edukat fl-Università ta 'Pariġi?")</f>
        <v>Liema mexxej Protestant Ewropew ieħor ġie edukat fl-Università ta 'Pariġi?</v>
      </c>
    </row>
    <row r="17568" ht="15.75" customHeight="1">
      <c r="A17568" s="2" t="s">
        <v>17568</v>
      </c>
      <c r="B17568" s="2" t="str">
        <f>IFERROR(__xludf.DUMMYFUNCTION("GOOGLETRANSLATE(A17568, ""en"", ""mt"")"),"Liema ċellula qatt ma tirreaġixxi ma 'peptidi personali?")</f>
        <v>Liema ċellula qatt ma tirreaġixxi ma 'peptidi personali?</v>
      </c>
    </row>
    <row r="17569" ht="15.75" customHeight="1">
      <c r="A17569" s="2" t="s">
        <v>17569</v>
      </c>
      <c r="B17569" s="2" t="str">
        <f>IFERROR(__xludf.DUMMYFUNCTION("GOOGLETRANSLATE(A17569, ""en"", ""mt"")"),"Microsoft x’ħabbret li se tibdel l-isem ta ’OneDrive għan-negozju?")</f>
        <v>Microsoft x’ħabbret li se tibdel l-isem ta ’OneDrive għan-negozju?</v>
      </c>
    </row>
    <row r="17570" ht="15.75" customHeight="1">
      <c r="A17570" s="2" t="s">
        <v>17570</v>
      </c>
      <c r="B17570" s="2" t="str">
        <f>IFERROR(__xludf.DUMMYFUNCTION("GOOGLETRANSLATE(A17570, ""en"", ""mt"")"),"X’eżamina studju tal-1969 minn Perotti?")</f>
        <v>X’eżamina studju tal-1969 minn Perotti?</v>
      </c>
    </row>
    <row r="17571" ht="15.75" customHeight="1">
      <c r="A17571" s="2" t="s">
        <v>17571</v>
      </c>
      <c r="B17571" s="2" t="str">
        <f>IFERROR(__xludf.DUMMYFUNCTION("GOOGLETRANSLATE(A17571, ""en"", ""mt"")"),"Politika tat-Taxxa fuq il-Propjetà")</f>
        <v>Politika tat-Taxxa fuq il-Propjetà</v>
      </c>
    </row>
    <row r="17572" ht="15.75" customHeight="1">
      <c r="A17572" s="2" t="s">
        <v>17572</v>
      </c>
      <c r="B17572" s="2" t="str">
        <f>IFERROR(__xludf.DUMMYFUNCTION("GOOGLETRANSLATE(A17572, ""en"", ""mt"")"),"X'tip ta 'impjant tal-manifattura qed isir Victoria dalwaqt?")</f>
        <v>X'tip ta 'impjant tal-manifattura qed isir Victoria dalwaqt?</v>
      </c>
    </row>
    <row r="17573" ht="15.75" customHeight="1">
      <c r="A17573" s="2" t="s">
        <v>17573</v>
      </c>
      <c r="B17573" s="2" t="str">
        <f>IFERROR(__xludf.DUMMYFUNCTION("GOOGLETRANSLATE(A17573, ""en"", ""mt"")"),"qbid tan-nixxiegħa")</f>
        <v>qbid tan-nixxiegħa</v>
      </c>
    </row>
    <row r="17574" ht="15.75" customHeight="1">
      <c r="A17574" s="2" t="s">
        <v>17574</v>
      </c>
      <c r="B17574" s="2" t="str">
        <f>IFERROR(__xludf.DUMMYFUNCTION("GOOGLETRANSLATE(A17574, ""en"", ""mt"")"),"Liema gass jifforma 20.8% tal-atmosfera tad-Dinja?")</f>
        <v>Liema gass jifforma 20.8% tal-atmosfera tad-Dinja?</v>
      </c>
    </row>
    <row r="17575" ht="15.75" customHeight="1">
      <c r="A17575" s="2" t="s">
        <v>17575</v>
      </c>
      <c r="B17575" s="2" t="str">
        <f>IFERROR(__xludf.DUMMYFUNCTION("GOOGLETRANSLATE(A17575, ""en"", ""mt"")"),"pompa tal-fwar")</f>
        <v>pompa tal-fwar</v>
      </c>
    </row>
    <row r="17576" ht="15.75" customHeight="1">
      <c r="A17576" s="2" t="s">
        <v>17576</v>
      </c>
      <c r="B17576" s="2" t="str">
        <f>IFERROR(__xludf.DUMMYFUNCTION("GOOGLETRANSLATE(A17576, ""en"", ""mt"")"),"F’liema sena l-5 President tal-università ngħata l-pożizzjoni tiegħu?")</f>
        <v>F’liema sena l-5 President tal-università ngħata l-pożizzjoni tiegħu?</v>
      </c>
    </row>
    <row r="17577" ht="15.75" customHeight="1">
      <c r="A17577" s="2" t="s">
        <v>17577</v>
      </c>
      <c r="B17577" s="2" t="str">
        <f>IFERROR(__xludf.DUMMYFUNCTION("GOOGLETRANSLATE(A17577, ""en"", ""mt"")"),"X'intemm l-ambizzjonijiet Imperjali Torok?")</f>
        <v>X'intemm l-ambizzjonijiet Imperjali Torok?</v>
      </c>
    </row>
    <row r="17578" ht="15.75" customHeight="1">
      <c r="A17578" s="2" t="s">
        <v>17578</v>
      </c>
      <c r="B17578" s="2" t="str">
        <f>IFERROR(__xludf.DUMMYFUNCTION("GOOGLETRANSLATE(A17578, ""en"", ""mt"")"),"Liema matematiku kien ukoll apparti l-fakultà tal-università?")</f>
        <v>Liema matematiku kien ukoll apparti l-fakultà tal-università?</v>
      </c>
    </row>
    <row r="17579" ht="15.75" customHeight="1">
      <c r="A17579" s="2" t="s">
        <v>17579</v>
      </c>
      <c r="B17579" s="2" t="str">
        <f>IFERROR(__xludf.DUMMYFUNCTION("GOOGLETRANSLATE(A17579, ""en"", ""mt"")"),"il-biċċa l-kbira tas-siġġijiet")</f>
        <v>il-biċċa l-kbira tas-siġġijiet</v>
      </c>
    </row>
    <row r="17580" ht="15.75" customHeight="1">
      <c r="A17580" s="2" t="s">
        <v>17580</v>
      </c>
      <c r="B17580" s="2" t="str">
        <f>IFERROR(__xludf.DUMMYFUNCTION("GOOGLETRANSLATE(A17580, ""en"", ""mt"")"),"F'liema stat jinsab Yale?")</f>
        <v>F'liema stat jinsab Yale?</v>
      </c>
    </row>
    <row r="17581" ht="15.75" customHeight="1">
      <c r="A17581" s="2" t="s">
        <v>17581</v>
      </c>
      <c r="B17581" s="2" t="str">
        <f>IFERROR(__xludf.DUMMYFUNCTION("GOOGLETRANSLATE(A17581, ""en"", ""mt"")"),"Fejn tista 'tidher is-sekwenza sedimentarja kollha tal-Grand Canyon f'inqas mit-tul ta' metru?")</f>
        <v>Fejn tista 'tidher is-sekwenza sedimentarja kollha tal-Grand Canyon f'inqas mit-tul ta' metru?</v>
      </c>
    </row>
    <row r="17582" ht="15.75" customHeight="1">
      <c r="A17582" s="2" t="s">
        <v>17582</v>
      </c>
      <c r="B17582" s="2" t="str">
        <f>IFERROR(__xludf.DUMMYFUNCTION("GOOGLETRANSLATE(A17582, ""en"", ""mt"")"),"Puritan")</f>
        <v>Puritan</v>
      </c>
    </row>
    <row r="17583" ht="15.75" customHeight="1">
      <c r="A17583" s="2" t="s">
        <v>17583</v>
      </c>
      <c r="B17583" s="2" t="str">
        <f>IFERROR(__xludf.DUMMYFUNCTION("GOOGLETRANSLATE(A17583, ""en"", ""mt"")"),"Meta kienet il-porzjon Ewropew tas-seba 'snin tal-gwerra mhux kompluta?")</f>
        <v>Meta kienet il-porzjon Ewropew tas-seba 'snin tal-gwerra mhux kompluta?</v>
      </c>
    </row>
    <row r="17584" ht="15.75" customHeight="1">
      <c r="A17584" s="2" t="s">
        <v>17584</v>
      </c>
      <c r="B17584" s="2" t="str">
        <f>IFERROR(__xludf.DUMMYFUNCTION("GOOGLETRANSLATE(A17584, ""en"", ""mt"")"),"antiġeni")</f>
        <v>antiġeni</v>
      </c>
    </row>
    <row r="17585" ht="15.75" customHeight="1">
      <c r="A17585" s="2" t="s">
        <v>17585</v>
      </c>
      <c r="B17585" s="2" t="str">
        <f>IFERROR(__xludf.DUMMYFUNCTION("GOOGLETRANSLATE(A17585, ""en"", ""mt"")"),"Twaqqif ta '""Fruntieri Naturali"" fuq ir-Renu")</f>
        <v>Twaqqif ta '"Fruntieri Naturali" fuq ir-Renu</v>
      </c>
    </row>
    <row r="17586" ht="15.75" customHeight="1">
      <c r="A17586" s="2" t="s">
        <v>17586</v>
      </c>
      <c r="B17586" s="2" t="str">
        <f>IFERROR(__xludf.DUMMYFUNCTION("GOOGLETRANSLATE(A17586, ""en"", ""mt"")"),"ħsara fil-proprjetà")</f>
        <v>ħsara fil-proprjetà</v>
      </c>
    </row>
    <row r="17587" ht="15.75" customHeight="1">
      <c r="A17587" s="2" t="s">
        <v>17587</v>
      </c>
      <c r="B17587" s="2" t="str">
        <f>IFERROR(__xludf.DUMMYFUNCTION("GOOGLETRANSLATE(A17587, ""en"", ""mt"")"),"Ir-reġjuni distintivi tan-Nofsinhar ta 'California huma maqsuma kulturalment, politikament u liema karatteristika oħra?")</f>
        <v>Ir-reġjuni distintivi tan-Nofsinhar ta 'California huma maqsuma kulturalment, politikament u liema karatteristika oħra?</v>
      </c>
    </row>
    <row r="17588" ht="15.75" customHeight="1">
      <c r="A17588" s="2" t="s">
        <v>17588</v>
      </c>
      <c r="B17588" s="2" t="str">
        <f>IFERROR(__xludf.DUMMYFUNCTION("GOOGLETRANSLATE(A17588, ""en"", ""mt"")"),"Amazon Rainforest")</f>
        <v>Amazon Rainforest</v>
      </c>
    </row>
    <row r="17589" ht="15.75" customHeight="1">
      <c r="A17589" s="2" t="s">
        <v>17589</v>
      </c>
      <c r="B17589" s="2" t="str">
        <f>IFERROR(__xludf.DUMMYFUNCTION("GOOGLETRANSLATE(A17589, ""en"", ""mt"")"),"larva tal-ħut u organiżmi")</f>
        <v>larva tal-ħut u organiżmi</v>
      </c>
    </row>
    <row r="17590" ht="15.75" customHeight="1">
      <c r="A17590" s="2" t="s">
        <v>17590</v>
      </c>
      <c r="B17590" s="2" t="str">
        <f>IFERROR(__xludf.DUMMYFUNCTION("GOOGLETRANSLATE(A17590, ""en"", ""mt"")"),"Meta sabet il-Qorti Għolja Ingliża li l-użu ta 'Microsoft tat-terminu ""SkyDrive"" kiser id-dritt ta' Sky?")</f>
        <v>Meta sabet il-Qorti Għolja Ingliża li l-użu ta 'Microsoft tat-terminu "SkyDrive" kiser id-dritt ta' Sky?</v>
      </c>
    </row>
    <row r="17591" ht="15.75" customHeight="1">
      <c r="A17591" s="2" t="s">
        <v>17591</v>
      </c>
      <c r="B17591" s="2" t="str">
        <f>IFERROR(__xludf.DUMMYFUNCTION("GOOGLETRANSLATE(A17591, ""en"", ""mt"")"),"Charles W. Eliot, il-President 1869–1909, elimina l-pożizzjoni favorita tal-Kristjaneżmu mill-kurrikulu waqt li fetaħha għall-awto-direzzjoni tal-istudenti. Filwaqt li Eliot kien l-iktar figura kruċjali fis-sekularizzazzjoni tal-edukazzjoni għolja Amerika"&amp;"na, huwa kien motivat mhux minn xewqa li sekularizza l-edukazzjoni, iżda minn kundanni unitarji traxxendentisti. Derivati ​​minn William Ellery Channing u Ralph Waldo Emerson, dawn il-kundanni kienu ffokati fuq id-dinjità u l-valur tan-natura umana, id-dr"&amp;"itt u l-abbiltà ta 'kull persuna li tipperċepixxi l-verità, u l-alla li qed toqgħod f'kull persuna.")</f>
        <v>Charles W. Eliot, il-President 1869–1909, elimina l-pożizzjoni favorita tal-Kristjaneżmu mill-kurrikulu waqt li fetaħha għall-awto-direzzjoni tal-istudenti. Filwaqt li Eliot kien l-iktar figura kruċjali fis-sekularizzazzjoni tal-edukazzjoni għolja Amerikana, huwa kien motivat mhux minn xewqa li sekularizza l-edukazzjoni, iżda minn kundanni unitarji traxxendentisti. Derivati ​​minn William Ellery Channing u Ralph Waldo Emerson, dawn il-kundanni kienu ffokati fuq id-dinjità u l-valur tan-natura umana, id-dritt u l-abbiltà ta 'kull persuna li tipperċepixxi l-verità, u l-alla li qed toqgħod f'kull persuna.</v>
      </c>
    </row>
    <row r="17592" ht="15.75" customHeight="1">
      <c r="A17592" s="2" t="s">
        <v>17592</v>
      </c>
      <c r="B17592" s="2" t="str">
        <f>IFERROR(__xludf.DUMMYFUNCTION("GOOGLETRANSLATE(A17592, ""en"", ""mt"")"),"Kemm aktar flussi jġorru ammonti insinifikanti ta 'ilma?")</f>
        <v>Kemm aktar flussi jġorru ammonti insinifikanti ta 'ilma?</v>
      </c>
    </row>
    <row r="17593" ht="15.75" customHeight="1">
      <c r="A17593" s="2" t="s">
        <v>17593</v>
      </c>
      <c r="B17593" s="2" t="str">
        <f>IFERROR(__xludf.DUMMYFUNCTION("GOOGLETRANSLATE(A17593, ""en"", ""mt"")"),"Cobham's")</f>
        <v>Cobham's</v>
      </c>
    </row>
    <row r="17594" ht="15.75" customHeight="1">
      <c r="A17594" s="2" t="s">
        <v>17594</v>
      </c>
      <c r="B17594" s="2" t="str">
        <f>IFERROR(__xludf.DUMMYFUNCTION("GOOGLETRANSLATE(A17594, ""en"", ""mt"")"),"madwar wieħed minn tmienja")</f>
        <v>madwar wieħed minn tmienja</v>
      </c>
    </row>
    <row r="17595" ht="15.75" customHeight="1">
      <c r="A17595" s="2" t="s">
        <v>17595</v>
      </c>
      <c r="B17595" s="2" t="str">
        <f>IFERROR(__xludf.DUMMYFUNCTION("GOOGLETRANSLATE(A17595, ""en"", ""mt"")"),"Maskri tal-ossiġnu")</f>
        <v>Maskri tal-ossiġnu</v>
      </c>
    </row>
    <row r="17596" ht="15.75" customHeight="1">
      <c r="A17596" s="2" t="s">
        <v>17596</v>
      </c>
      <c r="B17596" s="2" t="str">
        <f>IFERROR(__xludf.DUMMYFUNCTION("GOOGLETRANSLATE(A17596, ""en"", ""mt"")"),"Taħt liema qrati hija applikata l-iktar liġi tal-UE?")</f>
        <v>Taħt liema qrati hija applikata l-iktar liġi tal-UE?</v>
      </c>
    </row>
    <row r="17597" ht="15.75" customHeight="1">
      <c r="A17597" s="2" t="s">
        <v>17597</v>
      </c>
      <c r="B17597" s="2" t="str">
        <f>IFERROR(__xludf.DUMMYFUNCTION("GOOGLETRANSLATE(A17597, ""en"", ""mt"")"),"X'wassal CT scans għat-tobba u l-pazjenti tagħhom?")</f>
        <v>X'wassal CT scans għat-tobba u l-pazjenti tagħhom?</v>
      </c>
    </row>
    <row r="17598" ht="15.75" customHeight="1">
      <c r="A17598" s="2" t="s">
        <v>17598</v>
      </c>
      <c r="B17598" s="2" t="str">
        <f>IFERROR(__xludf.DUMMYFUNCTION("GOOGLETRANSLATE(A17598, ""en"", ""mt"")"),"Xi konvenuti tad-diżubbidjenza ċivili jagħżlu li jagħmlu diskors sfidanti, jew diskors li jispjega l-azzjonijiet tagħhom, fl-allokazzjoni. Fl-Istati Uniti v. Burgos-Andujar, konvenut li kien involut f'moviment biex iwaqqaf eżerċizzji militari billi jaqbeż"&amp;" fuq il-propjetà tan-Navy tal-Istati Uniti argumentat lill-qorti fl-allokazzjoni li ""dawk li qed jiksru l-liġi akbar huma l-membri tan-Navy"". Bħala riżultat, l-imħallef żied is-sentenza tagħha minn 40 għal 60 jum. Din l-azzjoni ġiet ikkonfermata għaliex"&amp;", skont il-Qorti tal-Appelli tal-Istati Uniti għall-Ewwel Ċirkwit, id-dikjarazzjoni tagħha ssuġġeriet nuqqas ta ’dispjaċir, tentattiv biex tevita r-responsabbiltà għall-azzjonijiet tagħha, u anke probabbiltà li tirrepeti l-azzjonijiet illegali tagħha. Uħu"&amp;"d mid-diskorsi l-oħra ta ’allokazzjoni mogħtija mill-protestanti ilmentaw dwar trattament ħażin minn uffiċjali tal-gvern.")</f>
        <v>Xi konvenuti tad-diżubbidjenza ċivili jagħżlu li jagħmlu diskors sfidanti, jew diskors li jispjega l-azzjonijiet tagħhom, fl-allokazzjoni. Fl-Istati Uniti v. Burgos-Andujar, konvenut li kien involut f'moviment biex iwaqqaf eżerċizzji militari billi jaqbeż fuq il-propjetà tan-Navy tal-Istati Uniti argumentat lill-qorti fl-allokazzjoni li "dawk li qed jiksru l-liġi akbar huma l-membri tan-Navy". Bħala riżultat, l-imħallef żied is-sentenza tagħha minn 40 għal 60 jum. Din l-azzjoni ġiet ikkonfermata għaliex, skont il-Qorti tal-Appelli tal-Istati Uniti għall-Ewwel Ċirkwit, id-dikjarazzjoni tagħha ssuġġeriet nuqqas ta ’dispjaċir, tentattiv biex tevita r-responsabbiltà għall-azzjonijiet tagħha, u anke probabbiltà li tirrepeti l-azzjonijiet illegali tagħha. Uħud mid-diskorsi l-oħra ta ’allokazzjoni mogħtija mill-protestanti ilmentaw dwar trattament ħażin minn uffiċjali tal-gvern.</v>
      </c>
    </row>
    <row r="17599" ht="15.75" customHeight="1">
      <c r="A17599" s="2" t="s">
        <v>17599</v>
      </c>
      <c r="B17599" s="2" t="str">
        <f>IFERROR(__xludf.DUMMYFUNCTION("GOOGLETRANSLATE(A17599, ""en"", ""mt"")"),"Liema president elimina l-pożizzjoni Nisranija fil-kurrikulu?")</f>
        <v>Liema president elimina l-pożizzjoni Nisranija fil-kurrikulu?</v>
      </c>
    </row>
    <row r="17600" ht="15.75" customHeight="1">
      <c r="A17600" s="2" t="s">
        <v>17600</v>
      </c>
      <c r="B17600" s="2" t="str">
        <f>IFERROR(__xludf.DUMMYFUNCTION("GOOGLETRANSLATE(A17600, ""en"", ""mt"")"),"""Cydippids"" mhumiex monofiletiċi")</f>
        <v>"Cydippids" mhumiex monofiletiċi</v>
      </c>
    </row>
    <row r="17601" ht="15.75" customHeight="1">
      <c r="A17601" s="2" t="s">
        <v>17601</v>
      </c>
      <c r="B17601" s="2" t="str">
        <f>IFERROR(__xludf.DUMMYFUNCTION("GOOGLETRANSLATE(A17601, ""en"", ""mt"")"),"ħamsin fil-mija")</f>
        <v>ħamsin fil-mija</v>
      </c>
    </row>
    <row r="17602" ht="15.75" customHeight="1">
      <c r="A17602" s="2" t="s">
        <v>17602</v>
      </c>
      <c r="B17602" s="2" t="str">
        <f>IFERROR(__xludf.DUMMYFUNCTION("GOOGLETRANSLATE(A17602, ""en"", ""mt"")"),"Min mexxa l-klann Borjigin Mongoljan?")</f>
        <v>Min mexxa l-klann Borjigin Mongoljan?</v>
      </c>
    </row>
    <row r="17603" ht="15.75" customHeight="1">
      <c r="A17603" s="2" t="s">
        <v>17603</v>
      </c>
      <c r="B17603" s="2" t="str">
        <f>IFERROR(__xludf.DUMMYFUNCTION("GOOGLETRANSLATE(A17603, ""en"", ""mt"")"),"X'inhu terminu derogatorju għall-akkademji Kristjani li qamu wara d-desegregazzjoni tal-iskola?")</f>
        <v>X'inhu terminu derogatorju għall-akkademji Kristjani li qamu wara d-desegregazzjoni tal-iskola?</v>
      </c>
    </row>
    <row r="17604" ht="15.75" customHeight="1">
      <c r="A17604" s="2" t="s">
        <v>17604</v>
      </c>
      <c r="B17604" s="2" t="str">
        <f>IFERROR(__xludf.DUMMYFUNCTION("GOOGLETRANSLATE(A17604, ""en"", ""mt"")"),"Id-distakk fil-produttività bejn professjonijiet imħallsa ħafna u professjonijiet bi ħlas aktar baxx")</f>
        <v>Id-distakk fil-produttività bejn professjonijiet imħallsa ħafna u professjonijiet bi ħlas aktar baxx</v>
      </c>
    </row>
    <row r="17605" ht="15.75" customHeight="1">
      <c r="A17605" s="2" t="s">
        <v>17605</v>
      </c>
      <c r="B17605" s="2" t="str">
        <f>IFERROR(__xludf.DUMMYFUNCTION("GOOGLETRANSLATE(A17605, ""en"", ""mt"")"),"X'tip ta 'valv jintuża minn valvi ta' sigurtà reċenti?")</f>
        <v>X'tip ta 'valv jintuża minn valvi ta' sigurtà reċenti?</v>
      </c>
    </row>
    <row r="17606" ht="15.75" customHeight="1">
      <c r="A17606" s="2" t="s">
        <v>17606</v>
      </c>
      <c r="B17606" s="2" t="str">
        <f>IFERROR(__xludf.DUMMYFUNCTION("GOOGLETRANSLATE(A17606, ""en"", ""mt"")"),"jista 'jkun ta' interess għal qasam partikolari bħal kostitwenza ta 'membru")</f>
        <v>jista 'jkun ta' interess għal qasam partikolari bħal kostitwenza ta 'membru</v>
      </c>
    </row>
    <row r="17607" ht="15.75" customHeight="1">
      <c r="A17607" s="2" t="s">
        <v>17607</v>
      </c>
      <c r="B17607" s="2" t="str">
        <f>IFERROR(__xludf.DUMMYFUNCTION("GOOGLETRANSLATE(A17607, ""en"", ""mt"")"),"Fejn jispiċċa l-kejl tax-Xmara Rhine?")</f>
        <v>Fejn jispiċċa l-kejl tax-Xmara Rhine?</v>
      </c>
    </row>
    <row r="17608" ht="15.75" customHeight="1">
      <c r="A17608" s="2" t="s">
        <v>17608</v>
      </c>
      <c r="B17608" s="2" t="str">
        <f>IFERROR(__xludf.DUMMYFUNCTION("GOOGLETRANSLATE(A17608, ""en"", ""mt"")"),"Fl-1940, liema persentaġġ tal-popolazzjoni fi Fresno kien Asjatiku?")</f>
        <v>Fl-1940, liema persentaġġ tal-popolazzjoni fi Fresno kien Asjatiku?</v>
      </c>
    </row>
    <row r="17609" ht="15.75" customHeight="1">
      <c r="A17609" s="2" t="s">
        <v>17609</v>
      </c>
      <c r="B17609" s="2" t="str">
        <f>IFERROR(__xludf.DUMMYFUNCTION("GOOGLETRANSLATE(A17609, ""en"", ""mt"")"),"X'inhi l-professjoni ta 'Jake Rosenfield?")</f>
        <v>X'inhi l-professjoni ta 'Jake Rosenfield?</v>
      </c>
    </row>
    <row r="17610" ht="15.75" customHeight="1">
      <c r="A17610" s="2" t="s">
        <v>17610</v>
      </c>
      <c r="B17610" s="2" t="str">
        <f>IFERROR(__xludf.DUMMYFUNCTION("GOOGLETRANSLATE(A17610, ""en"", ""mt"")"),"Aspetti Alġebriċi")</f>
        <v>Aspetti Alġebriċi</v>
      </c>
    </row>
    <row r="17611" ht="15.75" customHeight="1">
      <c r="A17611" s="2" t="s">
        <v>17611</v>
      </c>
      <c r="B17611" s="2" t="str">
        <f>IFERROR(__xludf.DUMMYFUNCTION("GOOGLETRANSLATE(A17611, ""en"", ""mt"")"),"X'sar DECNET Fażi 2")</f>
        <v>X'sar DECNET Fażi 2</v>
      </c>
    </row>
    <row r="17612" ht="15.75" customHeight="1">
      <c r="A17612" s="2" t="s">
        <v>17612</v>
      </c>
      <c r="B17612" s="2" t="str">
        <f>IFERROR(__xludf.DUMMYFUNCTION("GOOGLETRANSLATE(A17612, ""en"", ""mt"")"),"Kemm djar il-passaġġ ta 'Alta Vista kellhom ħames snin wara li Billings &amp; Meyering akkwistawh?")</f>
        <v>Kemm djar il-passaġġ ta 'Alta Vista kellhom ħames snin wara li Billings &amp; Meyering akkwistawh?</v>
      </c>
    </row>
    <row r="17613" ht="15.75" customHeight="1">
      <c r="A17613" s="2" t="s">
        <v>17613</v>
      </c>
      <c r="B17613" s="2" t="str">
        <f>IFERROR(__xludf.DUMMYFUNCTION("GOOGLETRANSLATE(A17613, ""en"", ""mt"")"),"DC Elettriku")</f>
        <v>DC Elettriku</v>
      </c>
    </row>
    <row r="17614" ht="15.75" customHeight="1">
      <c r="A17614" s="2" t="s">
        <v>17614</v>
      </c>
      <c r="B17614" s="2" t="str">
        <f>IFERROR(__xludf.DUMMYFUNCTION("GOOGLETRANSLATE(A17614, ""en"", ""mt"")"),"X'jiġġeneraw fortuni akbar?")</f>
        <v>X'jiġġeneraw fortuni akbar?</v>
      </c>
    </row>
    <row r="17615" ht="15.75" customHeight="1">
      <c r="A17615" s="2" t="s">
        <v>17615</v>
      </c>
      <c r="B17615" s="2" t="str">
        <f>IFERROR(__xludf.DUMMYFUNCTION("GOOGLETRANSLATE(A17615, ""en"", ""mt"")"),"F'sistema ta 'sekrezzjoni tat-tip III, il-proteini jiġu ttrasportati lejn iċ-ċellula ospitanti sabiex jagħmlu xiex?")</f>
        <v>F'sistema ta 'sekrezzjoni tat-tip III, il-proteini jiġu ttrasportati lejn iċ-ċellula ospitanti sabiex jagħmlu xiex?</v>
      </c>
    </row>
    <row r="17616" ht="15.75" customHeight="1">
      <c r="A17616" s="2" t="s">
        <v>17616</v>
      </c>
      <c r="B17616" s="2" t="str">
        <f>IFERROR(__xludf.DUMMYFUNCTION("GOOGLETRANSLATE(A17616, ""en"", ""mt"")"),"morali")</f>
        <v>morali</v>
      </c>
    </row>
    <row r="17617" ht="15.75" customHeight="1">
      <c r="A17617" s="2" t="s">
        <v>17617</v>
      </c>
      <c r="B17617" s="2" t="str">
        <f>IFERROR(__xludf.DUMMYFUNCTION("GOOGLETRANSLATE(A17617, ""en"", ""mt"")"),"Liema tipi ta 'programmi jgħinu biex jerġgħu jqassmu l-ġid?")</f>
        <v>Liema tipi ta 'programmi jgħinu biex jerġgħu jqassmu l-ġid?</v>
      </c>
    </row>
    <row r="17618" ht="15.75" customHeight="1">
      <c r="A17618" s="2" t="s">
        <v>17618</v>
      </c>
      <c r="B17618" s="2" t="str">
        <f>IFERROR(__xludf.DUMMYFUNCTION("GOOGLETRANSLATE(A17618, ""en"", ""mt"")"),"Meta gruppi kbar ta 'nies jibbojkottjaw sistema kollha jew ma jħallsux taxxi jista' jiġi kkunsidrat?")</f>
        <v>Meta gruppi kbar ta 'nies jibbojkottjaw sistema kollha jew ma jħallsux taxxi jista' jiġi kkunsidrat?</v>
      </c>
    </row>
    <row r="17619" ht="15.75" customHeight="1">
      <c r="A17619" s="2" t="s">
        <v>17619</v>
      </c>
      <c r="B17619" s="2" t="str">
        <f>IFERROR(__xludf.DUMMYFUNCTION("GOOGLETRANSLATE(A17619, ""en"", ""mt"")"),"1884")</f>
        <v>1884</v>
      </c>
    </row>
    <row r="17620" ht="15.75" customHeight="1">
      <c r="A17620" s="2" t="s">
        <v>17620</v>
      </c>
      <c r="B17620" s="2" t="str">
        <f>IFERROR(__xludf.DUMMYFUNCTION("GOOGLETRANSLATE(A17620, ""en"", ""mt"")"),"ir-raba ’gwerra interkolonjali u l-gwerra kbira għall-imperu")</f>
        <v>ir-raba ’gwerra interkolonjali u l-gwerra kbira għall-imperu</v>
      </c>
    </row>
    <row r="17621" ht="15.75" customHeight="1">
      <c r="A17621" s="2" t="s">
        <v>17621</v>
      </c>
      <c r="B17621" s="2" t="str">
        <f>IFERROR(__xludf.DUMMYFUNCTION("GOOGLETRANSLATE(A17621, ""en"", ""mt"")")," Sal-aħħar tas-seklu 19, liema pajjiż kellu l-iżgħar imperu li qatt kien jeżisti fid-dinja?")</f>
        <v> Sal-aħħar tas-seklu 19, liema pajjiż kellu l-iżgħar imperu li qatt kien jeżisti fid-dinja?</v>
      </c>
    </row>
    <row r="17622" ht="15.75" customHeight="1">
      <c r="A17622" s="2" t="s">
        <v>17622</v>
      </c>
      <c r="B17622" s="2" t="str">
        <f>IFERROR(__xludf.DUMMYFUNCTION("GOOGLETRANSLATE(A17622, ""en"", ""mt"")"),"Min mar il-Fort Dusquesne f'Lulju 1755?")</f>
        <v>Min mar il-Fort Dusquesne f'Lulju 1755?</v>
      </c>
    </row>
    <row r="17623" ht="15.75" customHeight="1">
      <c r="A17623" s="2" t="s">
        <v>17623</v>
      </c>
      <c r="B17623" s="2" t="str">
        <f>IFERROR(__xludf.DUMMYFUNCTION("GOOGLETRANSLATE(A17623, ""en"", ""mt"")"),"Id-Dukes")</f>
        <v>Id-Dukes</v>
      </c>
    </row>
    <row r="17624" ht="15.75" customHeight="1">
      <c r="A17624" s="2" t="s">
        <v>17624</v>
      </c>
      <c r="B17624" s="2" t="str">
        <f>IFERROR(__xludf.DUMMYFUNCTION("GOOGLETRANSLATE(A17624, ""en"", ""mt"")"),"faċilità li biha n-nies, b'mod partikolari ż-żgħażagħ, jistgħu jiksbu sustanzi kkontrollati")</f>
        <v>faċilità li biha n-nies, b'mod partikolari ż-żgħażagħ, jistgħu jiksbu sustanzi kkontrollati</v>
      </c>
    </row>
    <row r="17625" ht="15.75" customHeight="1">
      <c r="A17625" s="2" t="s">
        <v>17625</v>
      </c>
      <c r="B17625" s="2" t="str">
        <f>IFERROR(__xludf.DUMMYFUNCTION("GOOGLETRANSLATE(A17625, ""en"", ""mt"")"),"Xejn")</f>
        <v>Xejn</v>
      </c>
    </row>
    <row r="17626" ht="15.75" customHeight="1">
      <c r="A17626" s="2" t="s">
        <v>17626</v>
      </c>
      <c r="B17626" s="2" t="str">
        <f>IFERROR(__xludf.DUMMYFUNCTION("GOOGLETRANSLATE(A17626, ""en"", ""mt"")"),"Il-Qorti Ewropea")</f>
        <v>Il-Qorti Ewropea</v>
      </c>
    </row>
    <row r="17627" ht="15.75" customHeight="1">
      <c r="A17627" s="2" t="s">
        <v>17627</v>
      </c>
      <c r="B17627" s="2" t="str">
        <f>IFERROR(__xludf.DUMMYFUNCTION("GOOGLETRANSLATE(A17627, ""en"", ""mt"")"),"Liema qasam tax-xjenza tal-kompjuter janalizza l-algoritmi kollha possibbli biex jiddeterminaw ir-rekwiżiti tar-riżorsi meħtieġa biex isolvu għal problema partikolari?")</f>
        <v>Liema qasam tax-xjenza tal-kompjuter janalizza l-algoritmi kollha possibbli biex jiddeterminaw ir-rekwiżiti tar-riżorsi meħtieġa biex isolvu għal problema partikolari?</v>
      </c>
    </row>
    <row r="17628" ht="15.75" customHeight="1">
      <c r="A17628" s="2" t="s">
        <v>17628</v>
      </c>
      <c r="B17628" s="2" t="str">
        <f>IFERROR(__xludf.DUMMYFUNCTION("GOOGLETRANSLATE(A17628, ""en"", ""mt"")"),"Makroekonomiku")</f>
        <v>Makroekonomiku</v>
      </c>
    </row>
    <row r="17629" ht="15.75" customHeight="1">
      <c r="A17629" s="2" t="s">
        <v>17629</v>
      </c>
      <c r="B17629" s="2" t="str">
        <f>IFERROR(__xludf.DUMMYFUNCTION("GOOGLETRANSLATE(A17629, ""en"", ""mt"")"),"ma ġewx restawrati")</f>
        <v>ma ġewx restawrati</v>
      </c>
    </row>
    <row r="17630" ht="15.75" customHeight="1">
      <c r="A17630" s="2" t="s">
        <v>17630</v>
      </c>
      <c r="B17630" s="2" t="str">
        <f>IFERROR(__xludf.DUMMYFUNCTION("GOOGLETRANSLATE(A17630, ""en"", ""mt"")")," X’għamel Basset wara li wasal għall-konklużjonijiet tiegħu?")</f>
        <v> X’għamel Basset wara li wasal għall-konklużjonijiet tiegħu?</v>
      </c>
    </row>
    <row r="17631" ht="15.75" customHeight="1">
      <c r="A17631" s="2" t="s">
        <v>17631</v>
      </c>
      <c r="B17631" s="2" t="str">
        <f>IFERROR(__xludf.DUMMYFUNCTION("GOOGLETRANSLATE(A17631, ""en"", ""mt"")"),"Kemm mix-xemx hija magħmula minn ossiġnu?")</f>
        <v>Kemm mix-xemx hija magħmula minn ossiġnu?</v>
      </c>
    </row>
    <row r="17632" ht="15.75" customHeight="1">
      <c r="A17632" s="2" t="s">
        <v>17632</v>
      </c>
      <c r="B17632" s="2" t="str">
        <f>IFERROR(__xludf.DUMMYFUNCTION("GOOGLETRANSLATE(A17632, ""en"", ""mt"")"),"""Ċaħda tal-kapaċità""")</f>
        <v>"Ċaħda tal-kapaċità"</v>
      </c>
    </row>
    <row r="17633" ht="15.75" customHeight="1">
      <c r="A17633" s="2" t="s">
        <v>17633</v>
      </c>
      <c r="B17633" s="2" t="str">
        <f>IFERROR(__xludf.DUMMYFUNCTION("GOOGLETRANSLATE(A17633, ""en"", ""mt"")"),"Xi jfisser ir-regoli li jsegwu biex jippreservaw bi protesta?")</f>
        <v>Xi jfisser ir-regoli li jsegwu biex jippreservaw bi protesta?</v>
      </c>
    </row>
    <row r="17634" ht="15.75" customHeight="1">
      <c r="A17634" s="2" t="s">
        <v>17634</v>
      </c>
      <c r="B17634" s="2" t="str">
        <f>IFERROR(__xludf.DUMMYFUNCTION("GOOGLETRANSLATE(A17634, ""en"", ""mt"")"),"il-bidu tas-snin 1950")</f>
        <v>il-bidu tas-snin 1950</v>
      </c>
    </row>
    <row r="17635" ht="15.75" customHeight="1">
      <c r="A17635" s="2" t="s">
        <v>17635</v>
      </c>
      <c r="B17635" s="2" t="str">
        <f>IFERROR(__xludf.DUMMYFUNCTION("GOOGLETRANSLATE(A17635, ""en"", ""mt"")"),"Liġi tal-provvista u d-domanda")</f>
        <v>Liġi tal-provvista u d-domanda</v>
      </c>
    </row>
    <row r="17636" ht="15.75" customHeight="1">
      <c r="A17636" s="2" t="s">
        <v>17636</v>
      </c>
      <c r="B17636" s="2" t="str">
        <f>IFERROR(__xludf.DUMMYFUNCTION("GOOGLETRANSLATE(A17636, ""en"", ""mt"")"),"il-monarka")</f>
        <v>il-monarka</v>
      </c>
    </row>
    <row r="17637" ht="15.75" customHeight="1">
      <c r="A17637" s="2" t="s">
        <v>17637</v>
      </c>
      <c r="B17637" s="2" t="str">
        <f>IFERROR(__xludf.DUMMYFUNCTION("GOOGLETRANSLATE(A17637, ""en"", ""mt"")"),"Min Kublai għamel il-ħakkiem tal-Korea?")</f>
        <v>Min Kublai għamel il-ħakkiem tal-Korea?</v>
      </c>
    </row>
    <row r="17638" ht="15.75" customHeight="1">
      <c r="A17638" s="2" t="s">
        <v>17638</v>
      </c>
      <c r="B17638" s="2" t="str">
        <f>IFERROR(__xludf.DUMMYFUNCTION("GOOGLETRANSLATE(A17638, ""en"", ""mt"")"),"Kawża oħra hija r-rata li biha d-dħul jiġi ntaxxat flimkien mal-progressività tas-sistema tat-taxxa. Taxxa progressiva hija taxxa li biha r-rata tat-taxxa tiżdied hekk kif l-ammont ta 'bażi ​​taxxabbli jiżdied. F'sistema ta 'taxxa progressiva, il-livell t"&amp;"ar-rata ta' taxxa l-aqwa spiss ikollu impatt dirett fuq il-livell ta 'inugwaljanza fi ħdan soċjetà, jew iżidha jew jonqosha, sakemm id-dħul ma jinbidilx bħala riżultat tal-bidla fir-reġim tat-taxxa - Barra minn hekk, progressività tat-taxxa aktar wieqfa a"&amp;"pplikata għall-infiq soċjali tista 'tirriżulta f'distribuzzjoni aktar ugwali tad-dħul madwar il-bord. Id-differenza bejn l-indiċi Gini għal distribuzzjoni tad-dħul qabel it-tassazzjoni u l-indiċi Gini wara t-tassazzjoni hija indikatur għall-effetti ta 'ta"&amp;"li tassazzjoni.")</f>
        <v>Kawża oħra hija r-rata li biha d-dħul jiġi ntaxxat flimkien mal-progressività tas-sistema tat-taxxa. Taxxa progressiva hija taxxa li biha r-rata tat-taxxa tiżdied hekk kif l-ammont ta 'bażi ​​taxxabbli jiżdied. F'sistema ta 'taxxa progressiva, il-livell tar-rata ta' taxxa l-aqwa spiss ikollu impatt dirett fuq il-livell ta 'inugwaljanza fi ħdan soċjetà, jew iżidha jew jonqosha, sakemm id-dħul ma jinbidilx bħala riżultat tal-bidla fir-reġim tat-taxxa - Barra minn hekk, progressività tat-taxxa aktar wieqfa applikata għall-infiq soċjali tista 'tirriżulta f'distribuzzjoni aktar ugwali tad-dħul madwar il-bord. Id-differenza bejn l-indiċi Gini għal distribuzzjoni tad-dħul qabel it-tassazzjoni u l-indiċi Gini wara t-tassazzjoni hija indikatur għall-effetti ta 'tali tassazzjoni.</v>
      </c>
    </row>
    <row r="17639" ht="15.75" customHeight="1">
      <c r="A17639" s="2" t="s">
        <v>17639</v>
      </c>
      <c r="B17639" s="2" t="str">
        <f>IFERROR(__xludf.DUMMYFUNCTION("GOOGLETRANSLATE(A17639, ""en"", ""mt"")"),"Meta ġiet inkorporata l-Bolelsaw Duchy Recorporated fil-Kuruna Pollakka?")</f>
        <v>Meta ġiet inkorporata l-Bolelsaw Duchy Recorporated fil-Kuruna Pollakka?</v>
      </c>
    </row>
    <row r="17640" ht="15.75" customHeight="1">
      <c r="A17640" s="2" t="s">
        <v>17640</v>
      </c>
      <c r="B17640" s="2" t="str">
        <f>IFERROR(__xludf.DUMMYFUNCTION("GOOGLETRANSLATE(A17640, ""en"", ""mt"")"),"It-trasport ferrovjarju fir-Rabat huwa pprovdut minn diversi operaturi tal-ferrovija privati ​​u pubbliċi li joperaw fuq linji tal-gvern. Operaturi ewlenin jinkludu: Metro Trains Melbourne li tmexxi sistema estensiva, elettrifikata, tal-passiġġieri madwar"&amp;" Melbourne u subborgi; V / linja li issa hija proprjetà tal-gvern Vittorjan, topera servizz ikkonċentrat għal ċentri reġjonali ewlenin, kif ukoll servizzi fuq distanza twila fuq linji oħra; Nazzjonali tal-Paċifiku, CFCL Australia li joperaw servizzi tal-m"&amp;"erkanzija; Ferrovija tan-Nofsinhar kbira li topera l-Overland Melbourne - Adelaide; u NSW Trainlink li jopera XPTS Melbourne - Sydney.")</f>
        <v>It-trasport ferrovjarju fir-Rabat huwa pprovdut minn diversi operaturi tal-ferrovija privati ​​u pubbliċi li joperaw fuq linji tal-gvern. Operaturi ewlenin jinkludu: Metro Trains Melbourne li tmexxi sistema estensiva, elettrifikata, tal-passiġġieri madwar Melbourne u subborgi; V / linja li issa hija proprjetà tal-gvern Vittorjan, topera servizz ikkonċentrat għal ċentri reġjonali ewlenin, kif ukoll servizzi fuq distanza twila fuq linji oħra; Nazzjonali tal-Paċifiku, CFCL Australia li joperaw servizzi tal-merkanzija; Ferrovija tan-Nofsinhar kbira li topera l-Overland Melbourne - Adelaide; u NSW Trainlink li jopera XPTS Melbourne - Sydney.</v>
      </c>
    </row>
    <row r="17641" ht="15.75" customHeight="1">
      <c r="A17641" s="2" t="s">
        <v>17641</v>
      </c>
      <c r="B17641" s="2" t="str">
        <f>IFERROR(__xludf.DUMMYFUNCTION("GOOGLETRANSLATE(A17641, ""en"", ""mt"")"),"Min hu bħalissa l-President tal-Kunsill?")</f>
        <v>Min hu bħalissa l-President tal-Kunsill?</v>
      </c>
    </row>
    <row r="17642" ht="15.75" customHeight="1">
      <c r="A17642" s="2" t="s">
        <v>17642</v>
      </c>
      <c r="B17642" s="2" t="str">
        <f>IFERROR(__xludf.DUMMYFUNCTION("GOOGLETRANSLATE(A17642, ""en"", ""mt"")"),"Profeta Mohammad")</f>
        <v>Profeta Mohammad</v>
      </c>
    </row>
    <row r="17643" ht="15.75" customHeight="1">
      <c r="A17643" s="2" t="s">
        <v>17643</v>
      </c>
      <c r="B17643" s="2" t="str">
        <f>IFERROR(__xludf.DUMMYFUNCTION("GOOGLETRANSLATE(A17643, ""en"", ""mt"")"),"F'liema sena Pearson Friedman ta donazzjoni ta '$ 300 miljun lill-Iskola tan-Negozju tal-Kabina?")</f>
        <v>F'liema sena Pearson Friedman ta donazzjoni ta '$ 300 miljun lill-Iskola tan-Negozju tal-Kabina?</v>
      </c>
    </row>
    <row r="17644" ht="15.75" customHeight="1">
      <c r="A17644" s="2" t="s">
        <v>17644</v>
      </c>
      <c r="B17644" s="2" t="str">
        <f>IFERROR(__xludf.DUMMYFUNCTION("GOOGLETRANSLATE(A17644, ""en"", ""mt"")")," Li ssaltan fuq l-Imperu Ottoman meta kien l-iktar dgħajjef tiegħu.")</f>
        <v> Li ssaltan fuq l-Imperu Ottoman meta kien l-iktar dgħajjef tiegħu.</v>
      </c>
    </row>
    <row r="17645" ht="15.75" customHeight="1">
      <c r="A17645" s="2" t="s">
        <v>17645</v>
      </c>
      <c r="B17645" s="2" t="str">
        <f>IFERROR(__xludf.DUMMYFUNCTION("GOOGLETRANSLATE(A17645, ""en"", ""mt"")"),"X'kienet l-iktar skoperta importanti li wasslet għall-fehim li l-litosfera tad-Dinja hija separata fi pjanċi tettoniċi?")</f>
        <v>X'kienet l-iktar skoperta importanti li wasslet għall-fehim li l-litosfera tad-Dinja hija separata fi pjanċi tettoniċi?</v>
      </c>
    </row>
    <row r="17646" ht="15.75" customHeight="1">
      <c r="A17646" s="2" t="s">
        <v>17646</v>
      </c>
      <c r="B17646" s="2" t="str">
        <f>IFERROR(__xludf.DUMMYFUNCTION("GOOGLETRANSLATE(A17646, ""en"", ""mt"")"),"It-tieni liġi tikkontradixxi liema twemmin?")</f>
        <v>It-tieni liġi tikkontradixxi liema twemmin?</v>
      </c>
    </row>
    <row r="17647" ht="15.75" customHeight="1">
      <c r="A17647" s="2" t="s">
        <v>17647</v>
      </c>
      <c r="B17647" s="2" t="str">
        <f>IFERROR(__xludf.DUMMYFUNCTION("GOOGLETRANSLATE(A17647, ""en"", ""mt"")"),"X'tip ta 'ċirku kommutattiv it-teorema ta' Lasker-Noether jesprimi kull ideali bħala intersezzjoni ta 'ideali primarji?")</f>
        <v>X'tip ta 'ċirku kommutattiv it-teorema ta' Lasker-Noether jesprimi kull ideali bħala intersezzjoni ta 'ideali primarji?</v>
      </c>
    </row>
    <row r="17648" ht="15.75" customHeight="1">
      <c r="A17648" s="2" t="s">
        <v>17648</v>
      </c>
      <c r="B17648" s="2" t="str">
        <f>IFERROR(__xludf.DUMMYFUNCTION("GOOGLETRANSLATE(A17648, ""en"", ""mt"")"),"X’għamlu l-aktar sinjuri 40 Amerikani bħala tfal li għenuhom ikunu adulti ta ’suċċess?")</f>
        <v>X’għamlu l-aktar sinjuri 40 Amerikani bħala tfal li għenuhom ikunu adulti ta ’suċċess?</v>
      </c>
    </row>
    <row r="17649" ht="15.75" customHeight="1">
      <c r="A17649" s="2" t="s">
        <v>17649</v>
      </c>
      <c r="B17649" s="2" t="str">
        <f>IFERROR(__xludf.DUMMYFUNCTION("GOOGLETRANSLATE(A17649, ""en"", ""mt"")"),"ożonu")</f>
        <v>ożonu</v>
      </c>
    </row>
    <row r="17650" ht="15.75" customHeight="1">
      <c r="A17650" s="2" t="s">
        <v>17650</v>
      </c>
      <c r="B17650" s="2" t="str">
        <f>IFERROR(__xludf.DUMMYFUNCTION("GOOGLETRANSLATE(A17650, ""en"", ""mt"")"),"X'inhuma d-differenzjali tad-dħul jekk il-kontribuzzjonijiet individwali ma kinux rilevanti għall-prodott soċjali?")</f>
        <v>X'inhuma d-differenzjali tad-dħul jekk il-kontribuzzjonijiet individwali ma kinux rilevanti għall-prodott soċjali?</v>
      </c>
    </row>
    <row r="17651" ht="15.75" customHeight="1">
      <c r="A17651" s="2" t="s">
        <v>17651</v>
      </c>
      <c r="B17651" s="2" t="str">
        <f>IFERROR(__xludf.DUMMYFUNCTION("GOOGLETRANSLATE(A17651, ""en"", ""mt"")"),"Meta jsir il-festival ta 'Wianki?")</f>
        <v>Meta jsir il-festival ta 'Wianki?</v>
      </c>
    </row>
    <row r="17652" ht="15.75" customHeight="1">
      <c r="A17652" s="2" t="s">
        <v>17652</v>
      </c>
      <c r="B17652" s="2" t="str">
        <f>IFERROR(__xludf.DUMMYFUNCTION("GOOGLETRANSLATE(A17652, ""en"", ""mt"")"),"Il-liġijiet tal-fiżika jinbidlu milli jkunu fil-mistrieħ meta jivvjaġġaw f'liema?")</f>
        <v>Il-liġijiet tal-fiżika jinbidlu milli jkunu fil-mistrieħ meta jivvjaġġaw f'liema?</v>
      </c>
    </row>
    <row r="17653" ht="15.75" customHeight="1">
      <c r="A17653" s="2" t="s">
        <v>17653</v>
      </c>
      <c r="B17653" s="2" t="str">
        <f>IFERROR(__xludf.DUMMYFUNCTION("GOOGLETRANSLATE(A17653, ""en"", ""mt"")"),"Lagos u Quiberon Bay.")</f>
        <v>Lagos u Quiberon Bay.</v>
      </c>
    </row>
    <row r="17654" ht="15.75" customHeight="1">
      <c r="A17654" s="2" t="s">
        <v>17654</v>
      </c>
      <c r="B17654" s="2" t="str">
        <f>IFERROR(__xludf.DUMMYFUNCTION("GOOGLETRANSLATE(A17654, ""en"", ""mt"")"),"Fil-Gran Brittanja, l-arti Norman tibqa 'ħajja primarjament bħala xogħol tal-ġebel jew xogħol tal-metall, bħal kapitali u fonts tal-magħmudija. Fin-Nofsinhar tal-Italja, madankollu, ix-xogħol artistiku Norman jibqa 'ħaj f'forom influwenzati sew mill-foreb"&amp;"ears Griegi, Lombard u Għarab tiegħu. Ir-regalia rjali ppreservata f'Palermo, il-kuruna hija bizantina fl-istil u l-mantar tal-inkurunazzjoni huwa ta 'sengħa Għarbija bl-iskrizzjonijiet Għarbi. Ħafna knejjes jippreservaw fonts skolpiti, kapitali u aktar i"&amp;"mportanti mill-mużajk, li kienu komuni fl-Italja Norman u ġibdu ħafna fuq il-wirt Grieg. Lombard Salerno kien ċentru ta 'l-avorju fis-seklu 11 u dan kompla taħt il-ħakma Norman. Fl-aħħarnett għandu jkun innutat l-att sesswali bejn il-Kruċjati Franċiżi li "&amp;"jivvjaġġaw lejn l-Art Imqaddsa li ġabu magħhom artefatti Franċiżi li bihom jagħtu rigal il-knejjes li fihom waqfu fin-Nofsinhar tal-Italja fost il-kuġini Norman tagħhom. Għal din ir-raġuni ħafna knejjes Taljani t'Isfel jippreservaw xogħlijiet minn Franza "&amp;"flimkien mal-biċċiet indiġeni tagħhom.")</f>
        <v>Fil-Gran Brittanja, l-arti Norman tibqa 'ħajja primarjament bħala xogħol tal-ġebel jew xogħol tal-metall, bħal kapitali u fonts tal-magħmudija. Fin-Nofsinhar tal-Italja, madankollu, ix-xogħol artistiku Norman jibqa 'ħaj f'forom influwenzati sew mill-forebears Griegi, Lombard u Għarab tiegħu. Ir-regalia rjali ppreservata f'Palermo, il-kuruna hija bizantina fl-istil u l-mantar tal-inkurunazzjoni huwa ta 'sengħa Għarbija bl-iskrizzjonijiet Għarbi. Ħafna knejjes jippreservaw fonts skolpiti, kapitali u aktar importanti mill-mużajk, li kienu komuni fl-Italja Norman u ġibdu ħafna fuq il-wirt Grieg. Lombard Salerno kien ċentru ta 'l-avorju fis-seklu 11 u dan kompla taħt il-ħakma Norman. Fl-aħħarnett għandu jkun innutat l-att sesswali bejn il-Kruċjati Franċiżi li jivvjaġġaw lejn l-Art Imqaddsa li ġabu magħhom artefatti Franċiżi li bihom jagħtu rigal il-knejjes li fihom waqfu fin-Nofsinhar tal-Italja fost il-kuġini Norman tagħhom. Għal din ir-raġuni ħafna knejjes Taljani t'Isfel jippreservaw xogħlijiet minn Franza flimkien mal-biċċiet indiġeni tagħhom.</v>
      </c>
    </row>
    <row r="17655" ht="15.75" customHeight="1">
      <c r="A17655" s="2" t="s">
        <v>17655</v>
      </c>
      <c r="B17655" s="2" t="str">
        <f>IFERROR(__xludf.DUMMYFUNCTION("GOOGLETRANSLATE(A17655, ""en"", ""mt"")"),"Magna tat-Turing mhux Deterministika")</f>
        <v>Magna tat-Turing mhux Deterministika</v>
      </c>
    </row>
    <row r="17656" ht="15.75" customHeight="1">
      <c r="A17656" s="2" t="s">
        <v>17656</v>
      </c>
      <c r="B17656" s="2" t="str">
        <f>IFERROR(__xludf.DUMMYFUNCTION("GOOGLETRANSLATE(A17656, ""en"", ""mt"")"),"sistema magħluqa")</f>
        <v>sistema magħluqa</v>
      </c>
    </row>
    <row r="17657" ht="15.75" customHeight="1">
      <c r="A17657" s="2" t="s">
        <v>17657</v>
      </c>
      <c r="B17657" s="2" t="str">
        <f>IFERROR(__xludf.DUMMYFUNCTION("GOOGLETRANSLATE(A17657, ""en"", ""mt"")"),"Liema pajjiż sar mexxej fl-importazzjoni ta 'karozzi kbar?")</f>
        <v>Liema pajjiż sar mexxej fl-importazzjoni ta 'karozzi kbar?</v>
      </c>
    </row>
    <row r="17658" ht="15.75" customHeight="1">
      <c r="A17658" s="2" t="s">
        <v>17658</v>
      </c>
      <c r="B17658" s="2" t="str">
        <f>IFERROR(__xludf.DUMMYFUNCTION("GOOGLETRANSLATE(A17658, ""en"", ""mt"")"),"Cambrian Sessiile Frond-Fossili Stromatoveris")</f>
        <v>Cambrian Sessiile Frond-Fossili Stromatoveris</v>
      </c>
    </row>
    <row r="17659" ht="15.75" customHeight="1">
      <c r="A17659" s="2" t="s">
        <v>17659</v>
      </c>
      <c r="B17659" s="2" t="str">
        <f>IFERROR(__xludf.DUMMYFUNCTION("GOOGLETRANSLATE(A17659, ""en"", ""mt"")"),"Legrande jikteb li ""l-formulazzjoni ta 'definizzjoni waħda li tiġbor fiha t-terminu hija estremament diffiċli, jekk mhux impossibbli. Meta tirrevedi l-letteratura voluminuża dwar is-suġġett, l-istudent ta' diżubbidjenza ċivili malajr isib ruħu mdawwar mi"&amp;"nn labirint ta 'problemi semantiċi u grammatikali Niceties. Bħal Alice in Wonderland, huwa spiss isib li t-terminoloġija speċifika m'għandhiex aktar (jew xejn inqas) tifsira minn dak li l-orator individwali għandu l-intenzjoni li jkollu. "" Huwa jinkoraġġ"&amp;"ixxi distinzjoni bejn dimostrazzjoni ta 'protesta legali, diżubbidjenza ċivili mhux vjolenti, u diżubbidjenza ċivili vjolenti.")</f>
        <v>Legrande jikteb li "l-formulazzjoni ta 'definizzjoni waħda li tiġbor fiha t-terminu hija estremament diffiċli, jekk mhux impossibbli. Meta tirrevedi l-letteratura voluminuża dwar is-suġġett, l-istudent ta' diżubbidjenza ċivili malajr isib ruħu mdawwar minn labirint ta 'problemi semantiċi u grammatikali Niceties. Bħal Alice in Wonderland, huwa spiss isib li t-terminoloġija speċifika m'għandhiex aktar (jew xejn inqas) tifsira minn dak li l-orator individwali għandu l-intenzjoni li jkollu. " Huwa jinkoraġġixxi distinzjoni bejn dimostrazzjoni ta 'protesta legali, diżubbidjenza ċivili mhux vjolenti, u diżubbidjenza ċivili vjolenti.</v>
      </c>
    </row>
    <row r="17660" ht="15.75" customHeight="1">
      <c r="A17660" s="2" t="s">
        <v>17660</v>
      </c>
      <c r="B17660" s="2" t="str">
        <f>IFERROR(__xludf.DUMMYFUNCTION("GOOGLETRANSLATE(A17660, ""en"", ""mt"")"),"Mongoli u Semuren")</f>
        <v>Mongoli u Semuren</v>
      </c>
    </row>
    <row r="17661" ht="15.75" customHeight="1">
      <c r="A17661" s="2" t="s">
        <v>17661</v>
      </c>
      <c r="B17661" s="2" t="str">
        <f>IFERROR(__xludf.DUMMYFUNCTION("GOOGLETRANSLATE(A17661, ""en"", ""mt"")"),"1234")</f>
        <v>1234</v>
      </c>
    </row>
    <row r="17662" ht="15.75" customHeight="1">
      <c r="A17662" s="2" t="s">
        <v>17662</v>
      </c>
      <c r="B17662" s="2" t="str">
        <f>IFERROR(__xludf.DUMMYFUNCTION("GOOGLETRANSLATE(A17662, ""en"", ""mt"")"),"Il-forzi konservattivi jinkludu xiex?")</f>
        <v>Il-forzi konservattivi jinkludu xiex?</v>
      </c>
    </row>
    <row r="17663" ht="15.75" customHeight="1">
      <c r="A17663" s="2" t="s">
        <v>17663</v>
      </c>
      <c r="B17663" s="2" t="str">
        <f>IFERROR(__xludf.DUMMYFUNCTION("GOOGLETRANSLATE(A17663, ""en"", ""mt"")"),"Ħafna mill-irziezet fil-Provinċja tal-Kap tal-Punent fl-Afrika t'Isfel għadhom iġorru ismijiet Franċiżi. Ħafna familji, illum l-aktar l-Afrikani li jitkellmu, għandhom kunjomijiet li jindikaw l-antenati tiegħu Huguenot. Eżempji jinkludu: Blignaut, Cillier"&amp;"s, De Klerk (Le Clercq), De Villiers, Du Plessis, Du Preez (Des Pres), Du Randt (Durand), Du Toit, Duvenhage (Du VinAge), Franck, Fouche, Fourie (Fleurit) , Gervais, Giliomee (Guilliaume), Gous / Gouws (Gauch), Hugo, Jordaan (Jourdan), Joubert, Kriek, Lab"&amp;"uschagne (La Buscagne), Le Roux, Lombard, Malan, Malherbe, Marais, Maree, Minnaar (Mesnard), Nel (Nell), Naude ', Nortje (Nortier), Pienaar (Pinard), RETIEF (Retif), Rossouw (Rousseau), Taljaard (Taillard), Terblanche, Theron, Viljoen (Villion) u Visagie "&amp;"(Visage). L-industrija tal-inbid fl-Afrika t'Isfel għandha dejn sinifikanti lill-Huguenots, li wħud minnhom kellhom dwieli fi Franza, jew kienu distillaturi tal-brandi, u użaw il-ħiliet tagħhom fid-dar il-ġdida tagħhom.")</f>
        <v>Ħafna mill-irziezet fil-Provinċja tal-Kap tal-Punent fl-Afrika t'Isfel għadhom iġorru ismijiet Franċiżi. Ħafna familji, illum l-aktar l-Afrikani li jitkellmu, għandhom kunjomijiet li jindikaw l-antenati tiegħu Huguenot. Eżempji jinkludu: Blignaut, Cilliers, De Klerk (Le Clercq), De Villiers, Du Plessis, Du Preez (Des Pres), Du Randt (Durand), Du Toit, Duvenhage (Du VinAge), Franck, Fouche, Fourie (Fleurit) , Gervais, Giliomee (Guilliaume), Gous / Gouws (Gauch), Hugo, Jordaan (Jourdan), Joubert, Kriek, Labuschagne (La Buscagne), Le Roux, Lombard, Malan, Malherbe, Marais, Maree, Minnaar (Mesnard), Nel (Nell), Naude ', Nortje (Nortier), Pienaar (Pinard), RETIEF (Retif), Rossouw (Rousseau), Taljaard (Taillard), Terblanche, Theron, Viljoen (Villion) u Visagie (Visage). L-industrija tal-inbid fl-Afrika t'Isfel għandha dejn sinifikanti lill-Huguenots, li wħud minnhom kellhom dwieli fi Franza, jew kienu distillaturi tal-brandi, u użaw il-ħiliet tagħhom fid-dar il-ġdida tagħhom.</v>
      </c>
    </row>
    <row r="17664" ht="15.75" customHeight="1">
      <c r="A17664" s="2" t="s">
        <v>17664</v>
      </c>
      <c r="B17664" s="2" t="str">
        <f>IFERROR(__xludf.DUMMYFUNCTION("GOOGLETRANSLATE(A17664, ""en"", ""mt"")"),"Li jvarjaw minn madwar 1 millimetru (0.039 in) sa 1.5 metri (4.9 ft) fid-daqs, ctenophores huma l-akbar annimali mhux kolonjali li jużaw cilia (""xagħar"") bħala l-metodu ewlieni tagħhom ta 'lokomozzjoni. Il-biċċa l-kbira tal-ispeċi għandhom tmien strixxi"&amp;", imsejħa ringieli tal-moxt, li jmexxu t-tul ta 'ġisimhom u l-istrixxi tal-moxt li jġorru ċ-ċili, imsejħa ""ctenes,"" f'munzelli tul ir-ringieli tal-moxt sabiex meta t-taħbit taċ-ċili, dawk ta' kull moxt imiss il-moxt Hawn taħt. L-isem ""Ctenophora"" tfis"&amp;"ser ""li jġorr il-moxt"", mill-Grieg κτείς (forma ta 'zokk κτεν-) li jfisser ""moxt"" u s-suffiss Grieg -φορος li jfisser ""li jġorr"".")</f>
        <v>Li jvarjaw minn madwar 1 millimetru (0.039 in) sa 1.5 metri (4.9 ft) fid-daqs, ctenophores huma l-akbar annimali mhux kolonjali li jużaw cilia ("xagħar") bħala l-metodu ewlieni tagħhom ta 'lokomozzjoni. Il-biċċa l-kbira tal-ispeċi għandhom tmien strixxi, imsejħa ringieli tal-moxt, li jmexxu t-tul ta 'ġisimhom u l-istrixxi tal-moxt li jġorru ċ-ċili, imsejħa "ctenes," f'munzelli tul ir-ringieli tal-moxt sabiex meta t-taħbit taċ-ċili, dawk ta' kull moxt imiss il-moxt Hawn taħt. L-isem "Ctenophora" tfisser "li jġorr il-moxt", mill-Grieg κτείς (forma ta 'zokk κτεν-) li jfisser "moxt" u s-suffiss Grieg -φορος li jfisser "li jġorr".</v>
      </c>
    </row>
    <row r="17665" ht="15.75" customHeight="1">
      <c r="A17665" s="2" t="s">
        <v>17665</v>
      </c>
      <c r="B17665" s="2" t="str">
        <f>IFERROR(__xludf.DUMMYFUNCTION("GOOGLETRANSLATE(A17665, ""en"", ""mt"")"),"Il-kwistjonijiet ta 'talbiet territorjali konfliġġenti bejn kolonji Ingliżi u Franċiżi")</f>
        <v>Il-kwistjonijiet ta 'talbiet territorjali konfliġġenti bejn kolonji Ingliżi u Franċiżi</v>
      </c>
    </row>
    <row r="17666" ht="15.75" customHeight="1">
      <c r="A17666" s="2" t="s">
        <v>17666</v>
      </c>
      <c r="B17666" s="2" t="str">
        <f>IFERROR(__xludf.DUMMYFUNCTION("GOOGLETRANSLATE(A17666, ""en"", ""mt"")"),"Stephen Eildmann jikkwota l-eqdem eżempju magħruf ta 'diżubbidjenza ċivili f'liema parti tal-Bibbja?")</f>
        <v>Stephen Eildmann jikkwota l-eqdem eżempju magħruf ta 'diżubbidjenza ċivili f'liema parti tal-Bibbja?</v>
      </c>
    </row>
    <row r="17667" ht="15.75" customHeight="1">
      <c r="A17667" s="2" t="s">
        <v>17667</v>
      </c>
      <c r="B17667" s="2" t="str">
        <f>IFERROR(__xludf.DUMMYFUNCTION("GOOGLETRANSLATE(A17667, ""en"", ""mt"")"),"X'inhuma dożi ogħla ta 'mediċini anti-infjammatorji użati?")</f>
        <v>X'inhuma dożi ogħla ta 'mediċini anti-infjammatorji użati?</v>
      </c>
    </row>
    <row r="17668" ht="15.75" customHeight="1">
      <c r="A17668" s="2" t="s">
        <v>17668</v>
      </c>
      <c r="B17668" s="2" t="str">
        <f>IFERROR(__xludf.DUMMYFUNCTION("GOOGLETRANSLATE(A17668, ""en"", ""mt"")"),"Kemm-il xahar ħa Pierre Bayle biex jikteb is-serje multi-volum tiegħu Dizzjunarju Storiku u Kritiku?")</f>
        <v>Kemm-il xahar ħa Pierre Bayle biex jikteb is-serje multi-volum tiegħu Dizzjunarju Storiku u Kritiku?</v>
      </c>
    </row>
    <row r="17669" ht="15.75" customHeight="1">
      <c r="A17669" s="2" t="s">
        <v>17669</v>
      </c>
      <c r="B17669" s="2" t="str">
        <f>IFERROR(__xludf.DUMMYFUNCTION("GOOGLETRANSLATE(A17669, ""en"", ""mt"")"),"Il-prinċipju tas-suċċessjoni faunal ġie żviluppat 100 sena qabel it-teorija tal-evoluzzjoni tagħha?")</f>
        <v>Il-prinċipju tas-suċċessjoni faunal ġie żviluppat 100 sena qabel it-teorija tal-evoluzzjoni tagħha?</v>
      </c>
    </row>
    <row r="17670" ht="15.75" customHeight="1">
      <c r="A17670" s="2" t="s">
        <v>17670</v>
      </c>
      <c r="B17670" s="2" t="str">
        <f>IFERROR(__xludf.DUMMYFUNCTION("GOOGLETRANSLATE(A17670, ""en"", ""mt"")"),"X’ġara b’mod konsiderevoli għal Varsavja meta kellha ekonomija tal-blokk tal-Lvant?")</f>
        <v>X’ġara b’mod konsiderevoli għal Varsavja meta kellha ekonomija tal-blokk tal-Lvant?</v>
      </c>
    </row>
    <row r="17671" ht="15.75" customHeight="1">
      <c r="A17671" s="2" t="s">
        <v>17671</v>
      </c>
      <c r="B17671" s="2" t="str">
        <f>IFERROR(__xludf.DUMMYFUNCTION("GOOGLETRANSLATE(A17671, ""en"", ""mt"")"),"L-Organizzazzjoni Meteoroloġika Dinjija (WMO) u l-Programm tal-Ambjent tan-Nazzjonijiet Uniti (UNEP)")</f>
        <v>L-Organizzazzjoni Meteoroloġika Dinjija (WMO) u l-Programm tal-Ambjent tan-Nazzjonijiet Uniti (UNEP)</v>
      </c>
    </row>
    <row r="17672" ht="15.75" customHeight="1">
      <c r="A17672" s="2" t="s">
        <v>17672</v>
      </c>
      <c r="B17672" s="2" t="str">
        <f>IFERROR(__xludf.DUMMYFUNCTION("GOOGLETRANSLATE(A17672, ""en"", ""mt"")"),"Kemm hu mgħaġġel li joqtol ħafna nies li tħallew mhux trattati?")</f>
        <v>Kemm hu mgħaġġel li joqtol ħafna nies li tħallew mhux trattati?</v>
      </c>
    </row>
    <row r="17673" ht="15.75" customHeight="1">
      <c r="A17673" s="2" t="s">
        <v>17673</v>
      </c>
      <c r="B17673" s="2" t="str">
        <f>IFERROR(__xludf.DUMMYFUNCTION("GOOGLETRANSLATE(A17673, ""en"", ""mt"")"),"il-pont ir-Rhine qadim f'Konstance")</f>
        <v>il-pont ir-Rhine qadim f'Konstance</v>
      </c>
    </row>
    <row r="17674" ht="15.75" customHeight="1">
      <c r="A17674" s="2" t="s">
        <v>17674</v>
      </c>
      <c r="B17674" s="2" t="str">
        <f>IFERROR(__xludf.DUMMYFUNCTION("GOOGLETRANSLATE(A17674, ""en"", ""mt"")"),"Sabiex tkun ikkunsidrata fl-aqwa perċentili, persuna jkollha bżonn tiġbor kemm flus kull sena?")</f>
        <v>Sabiex tkun ikkunsidrata fl-aqwa perċentili, persuna jkollha bżonn tiġbor kemm flus kull sena?</v>
      </c>
    </row>
    <row r="17675" ht="15.75" customHeight="1">
      <c r="A17675" s="2" t="s">
        <v>17675</v>
      </c>
      <c r="B17675" s="2" t="str">
        <f>IFERROR(__xludf.DUMMYFUNCTION("GOOGLETRANSLATE(A17675, ""en"", ""mt"")"),"Tnaqqis fil-gassijiet serra jista 'jwassal għal telf sħiħ ta' xiex?")</f>
        <v>Tnaqqis fil-gassijiet serra jista 'jwassal għal telf sħiħ ta' xiex?</v>
      </c>
    </row>
    <row r="17676" ht="15.75" customHeight="1">
      <c r="A17676" s="2" t="s">
        <v>17676</v>
      </c>
      <c r="B17676" s="2" t="str">
        <f>IFERROR(__xludf.DUMMYFUNCTION("GOOGLETRANSLATE(A17676, ""en"", ""mt"")"),"Meta ċ-ċelloli B u ċ-ċelloli T jibdew jirreplikaw, x'sar uħud miċ-ċelloli tal-frieħ tagħhom?")</f>
        <v>Meta ċ-ċelloli B u ċ-ċelloli T jibdew jirreplikaw, x'sar uħud miċ-ċelloli tal-frieħ tagħhom?</v>
      </c>
    </row>
    <row r="17677" ht="15.75" customHeight="1">
      <c r="A17677" s="2" t="s">
        <v>17677</v>
      </c>
      <c r="B17677" s="2" t="str">
        <f>IFERROR(__xludf.DUMMYFUNCTION("GOOGLETRANSLATE(A17677, ""en"", ""mt"")"),"Trotsky ħaseb dak li kien meħtieġ għal rivoluzzjoni Russa vera.")</f>
        <v>Trotsky ħaseb dak li kien meħtieġ għal rivoluzzjoni Russa vera.</v>
      </c>
    </row>
    <row r="17678" ht="15.75" customHeight="1">
      <c r="A17678" s="2" t="s">
        <v>17678</v>
      </c>
      <c r="B17678" s="2" t="str">
        <f>IFERROR(__xludf.DUMMYFUNCTION("GOOGLETRANSLATE(A17678, ""en"", ""mt"")"),"Madwar 2.5 biljun sena ilu")</f>
        <v>Madwar 2.5 biljun sena ilu</v>
      </c>
    </row>
    <row r="17679" ht="15.75" customHeight="1">
      <c r="A17679" s="2" t="s">
        <v>17679</v>
      </c>
      <c r="B17679" s="2" t="str">
        <f>IFERROR(__xludf.DUMMYFUNCTION("GOOGLETRANSLATE(A17679, ""en"", ""mt"")"),"L-Istat Mughal")</f>
        <v>L-Istat Mughal</v>
      </c>
    </row>
    <row r="17680" ht="15.75" customHeight="1">
      <c r="A17680" s="2" t="s">
        <v>17680</v>
      </c>
      <c r="B17680" s="2" t="str">
        <f>IFERROR(__xludf.DUMMYFUNCTION("GOOGLETRANSLATE(A17680, ""en"", ""mt"")")," X'kienet l-inqas setta favorita ta 'Kublai tal-Buddiżmu Tibetan?")</f>
        <v> X'kienet l-inqas setta favorita ta 'Kublai tal-Buddiżmu Tibetan?</v>
      </c>
    </row>
    <row r="17681" ht="15.75" customHeight="1">
      <c r="A17681" s="2" t="s">
        <v>17681</v>
      </c>
      <c r="B17681" s="2" t="str">
        <f>IFERROR(__xludf.DUMMYFUNCTION("GOOGLETRANSLATE(A17681, ""en"", ""mt"")"),"Glenn T. Seaborg")</f>
        <v>Glenn T. Seaborg</v>
      </c>
    </row>
    <row r="17682" ht="15.75" customHeight="1">
      <c r="A17682" s="2" t="s">
        <v>17682</v>
      </c>
      <c r="B17682" s="2" t="str">
        <f>IFERROR(__xludf.DUMMYFUNCTION("GOOGLETRANSLATE(A17682, ""en"", ""mt"")"),"unanimità")</f>
        <v>unanimità</v>
      </c>
    </row>
    <row r="17683" ht="15.75" customHeight="1">
      <c r="A17683" s="2" t="s">
        <v>17683</v>
      </c>
      <c r="B17683" s="2" t="str">
        <f>IFERROR(__xludf.DUMMYFUNCTION("GOOGLETRANSLATE(A17683, ""en"", ""mt"")"),"Liema sess huwa inqas lest li jivvjaġġa jew jirriloka għax-xogħol?")</f>
        <v>Liema sess huwa inqas lest li jivvjaġġa jew jirriloka għax-xogħol?</v>
      </c>
    </row>
    <row r="17684" ht="15.75" customHeight="1">
      <c r="A17684" s="2" t="s">
        <v>17684</v>
      </c>
      <c r="B17684" s="2" t="str">
        <f>IFERROR(__xludf.DUMMYFUNCTION("GOOGLETRANSLATE(A17684, ""en"", ""mt"")"),"każ tal-ġurisprudenza mill-qorti tal-ġustizzja")</f>
        <v>każ tal-ġurisprudenza mill-qorti tal-ġustizzja</v>
      </c>
    </row>
    <row r="17685" ht="15.75" customHeight="1">
      <c r="A17685" s="2" t="s">
        <v>17685</v>
      </c>
      <c r="B17685" s="2" t="str">
        <f>IFERROR(__xludf.DUMMYFUNCTION("GOOGLETRANSLATE(A17685, ""en"", ""mt"")"),"L-Interkonnessjoni tan-Netwerks Nazzjonali X.25")</f>
        <v>L-Interkonnessjoni tan-Netwerks Nazzjonali X.25</v>
      </c>
    </row>
    <row r="17686" ht="15.75" customHeight="1">
      <c r="A17686" s="2" t="s">
        <v>17686</v>
      </c>
      <c r="B17686" s="2" t="str">
        <f>IFERROR(__xludf.DUMMYFUNCTION("GOOGLETRANSLATE(A17686, ""en"", ""mt"")"),"Qoxra u l-ogħla porzjon riġidu tal-mantell ta 'fuq")</f>
        <v>Qoxra u l-ogħla porzjon riġidu tal-mantell ta 'fuq</v>
      </c>
    </row>
    <row r="17687" ht="15.75" customHeight="1">
      <c r="A17687" s="2" t="s">
        <v>17687</v>
      </c>
      <c r="B17687" s="2" t="str">
        <f>IFERROR(__xludf.DUMMYFUNCTION("GOOGLETRANSLATE(A17687, ""en"", ""mt"")"),"X'tip ta 'sanzjonijiet idderieġa l-Istati Uniti lejn l-Iran?")</f>
        <v>X'tip ta 'sanzjonijiet idderieġa l-Istati Uniti lejn l-Iran?</v>
      </c>
    </row>
    <row r="17688" ht="15.75" customHeight="1">
      <c r="A17688" s="2" t="s">
        <v>17688</v>
      </c>
      <c r="B17688" s="2" t="str">
        <f>IFERROR(__xludf.DUMMYFUNCTION("GOOGLETRANSLATE(A17688, ""en"", ""mt"")"),"Irbaħ il-ħelsien u evita l-ħabs jew multa")</f>
        <v>Irbaħ il-ħelsien u evita l-ħabs jew multa</v>
      </c>
    </row>
    <row r="17689" ht="15.75" customHeight="1">
      <c r="A17689" s="2" t="s">
        <v>17689</v>
      </c>
      <c r="B17689" s="2" t="str">
        <f>IFERROR(__xludf.DUMMYFUNCTION("GOOGLETRANSLATE(A17689, ""en"", ""mt"")"),"Meta l-irkupru bejn id-distakk li jwessa 'bejn iċ-ċittadini l-aktar sinjuri u l-kumplament tan-nazzjon bil-mod?")</f>
        <v>Meta l-irkupru bejn id-distakk li jwessa 'bejn iċ-ċittadini l-aktar sinjuri u l-kumplament tan-nazzjon bil-mod?</v>
      </c>
    </row>
    <row r="17690" ht="15.75" customHeight="1">
      <c r="A17690" s="2" t="s">
        <v>17690</v>
      </c>
      <c r="B17690" s="2" t="str">
        <f>IFERROR(__xludf.DUMMYFUNCTION("GOOGLETRANSLATE(A17690, ""en"", ""mt"")"),"1754-1763")</f>
        <v>1754-1763</v>
      </c>
    </row>
    <row r="17691" ht="15.75" customHeight="1">
      <c r="A17691" s="2" t="s">
        <v>17691</v>
      </c>
      <c r="B17691" s="2" t="str">
        <f>IFERROR(__xludf.DUMMYFUNCTION("GOOGLETRANSLATE(A17691, ""en"", ""mt"")"),"Liema ġene jikkonverti l-calcitriol f'CalcIdiol?")</f>
        <v>Liema ġene jikkonverti l-calcitriol f'CalcIdiol?</v>
      </c>
    </row>
    <row r="17692" ht="15.75" customHeight="1">
      <c r="A17692" s="2" t="s">
        <v>17692</v>
      </c>
      <c r="B17692" s="2" t="str">
        <f>IFERROR(__xludf.DUMMYFUNCTION("GOOGLETRANSLATE(A17692, ""en"", ""mt"")"),"soluzzjonijiet aktar effiċjenti")</f>
        <v>soluzzjonijiet aktar effiċjenti</v>
      </c>
    </row>
    <row r="17693" ht="15.75" customHeight="1">
      <c r="A17693" s="2" t="s">
        <v>17693</v>
      </c>
      <c r="B17693" s="2" t="str">
        <f>IFERROR(__xludf.DUMMYFUNCTION("GOOGLETRANSLATE(A17693, ""en"", ""mt"")"),"Id-dokumentarju tal-BBC ippreżenta evidenza li l-Amażonja kienet deżert verġni għal mill-inqas kemm żmien?")</f>
        <v>Id-dokumentarju tal-BBC ippreżenta evidenza li l-Amażonja kienet deżert verġni għal mill-inqas kemm żmien?</v>
      </c>
    </row>
    <row r="17694" ht="15.75" customHeight="1">
      <c r="A17694" s="2" t="s">
        <v>17694</v>
      </c>
      <c r="B17694" s="2" t="str">
        <f>IFERROR(__xludf.DUMMYFUNCTION("GOOGLETRANSLATE(A17694, ""en"", ""mt"")"),"Politika tal-Bieb Miftuħ")</f>
        <v>Politika tal-Bieb Miftuħ</v>
      </c>
    </row>
    <row r="17695" ht="15.75" customHeight="1">
      <c r="A17695" s="2" t="s">
        <v>17695</v>
      </c>
      <c r="B17695" s="2" t="str">
        <f>IFERROR(__xludf.DUMMYFUNCTION("GOOGLETRANSLATE(A17695, ""en"", ""mt"")"),"Interi Gaussjani Z [i]")</f>
        <v>Interi Gaussjani Z [i]</v>
      </c>
    </row>
    <row r="17696" ht="15.75" customHeight="1">
      <c r="A17696" s="2" t="s">
        <v>17696</v>
      </c>
      <c r="B17696" s="2" t="str">
        <f>IFERROR(__xludf.DUMMYFUNCTION("GOOGLETRANSLATE(A17696, ""en"", ""mt"")"),"Meta seħħet l-attività tal-bini fuq il-Knisja ta ’San Kazimierz?")</f>
        <v>Meta seħħet l-attività tal-bini fuq il-Knisja ta ’San Kazimierz?</v>
      </c>
    </row>
    <row r="17697" ht="15.75" customHeight="1">
      <c r="A17697" s="2" t="s">
        <v>17697</v>
      </c>
      <c r="B17697" s="2" t="str">
        <f>IFERROR(__xludf.DUMMYFUNCTION("GOOGLETRANSLATE(A17697, ""en"", ""mt"")"),"John Mayow")</f>
        <v>John Mayow</v>
      </c>
    </row>
    <row r="17698" ht="15.75" customHeight="1">
      <c r="A17698" s="2" t="s">
        <v>17698</v>
      </c>
      <c r="B17698" s="2" t="str">
        <f>IFERROR(__xludf.DUMMYFUNCTION("GOOGLETRANSLATE(A17698, ""en"", ""mt"")"),"John Houghton")</f>
        <v>John Houghton</v>
      </c>
    </row>
    <row r="17699" ht="15.75" customHeight="1">
      <c r="A17699" s="2" t="s">
        <v>17699</v>
      </c>
      <c r="B17699" s="2" t="str">
        <f>IFERROR(__xludf.DUMMYFUNCTION("GOOGLETRANSLATE(A17699, ""en"", ""mt"")"),"X'kienet ir-raġuni ewlenija għall-bidla għall-fehma li l-inugwaljanza tad-dħul tgħin it-tkabbir?")</f>
        <v>X'kienet ir-raġuni ewlenija għall-bidla għall-fehma li l-inugwaljanza tad-dħul tgħin it-tkabbir?</v>
      </c>
    </row>
    <row r="17700" ht="15.75" customHeight="1">
      <c r="A17700" s="2" t="s">
        <v>17700</v>
      </c>
      <c r="B17700" s="2" t="str">
        <f>IFERROR(__xludf.DUMMYFUNCTION("GOOGLETRANSLATE(A17700, ""en"", ""mt"")"),"Pickawillany")</f>
        <v>Pickawillany</v>
      </c>
    </row>
    <row r="17701" ht="15.75" customHeight="1">
      <c r="A17701" s="2" t="s">
        <v>17701</v>
      </c>
      <c r="B17701" s="2" t="str">
        <f>IFERROR(__xludf.DUMMYFUNCTION("GOOGLETRANSLATE(A17701, ""en"", ""mt"")"),"Korrelazzjoni stratigrafika")</f>
        <v>Korrelazzjoni stratigrafika</v>
      </c>
    </row>
    <row r="17702" ht="15.75" customHeight="1">
      <c r="A17702" s="2" t="s">
        <v>17702</v>
      </c>
      <c r="B17702" s="2" t="str">
        <f>IFERROR(__xludf.DUMMYFUNCTION("GOOGLETRANSLATE(A17702, ""en"", ""mt"")"),"Tibdil fil-klima")</f>
        <v>Tibdil fil-klima</v>
      </c>
    </row>
    <row r="17703" ht="15.75" customHeight="1">
      <c r="A17703" s="2" t="s">
        <v>17703</v>
      </c>
      <c r="B17703" s="2" t="str">
        <f>IFERROR(__xludf.DUMMYFUNCTION("GOOGLETRANSLATE(A17703, ""en"", ""mt"")"),"Min għex f’siġra biex ma jħallixha tinqata ’bħala forma ta’ diżubbidjenza ċivili?")</f>
        <v>Min għex f’siġra biex ma jħallixha tinqata ’bħala forma ta’ diżubbidjenza ċivili?</v>
      </c>
    </row>
    <row r="17704" ht="15.75" customHeight="1">
      <c r="A17704" s="2" t="s">
        <v>17704</v>
      </c>
      <c r="B17704" s="2" t="str">
        <f>IFERROR(__xludf.DUMMYFUNCTION("GOOGLETRANSLATE(A17704, ""en"", ""mt"")"),"bla piż")</f>
        <v>bla piż</v>
      </c>
    </row>
    <row r="17705" ht="15.75" customHeight="1">
      <c r="A17705" s="2" t="s">
        <v>17705</v>
      </c>
      <c r="B17705" s="2" t="str">
        <f>IFERROR(__xludf.DUMMYFUNCTION("GOOGLETRANSLATE(A17705, ""en"", ""mt"")"),"Kif ħass Celeron dwar il-lingwi indiġeni?")</f>
        <v>Kif ħass Celeron dwar il-lingwi indiġeni?</v>
      </c>
    </row>
    <row r="17706" ht="15.75" customHeight="1">
      <c r="A17706" s="2" t="s">
        <v>17706</v>
      </c>
      <c r="B17706" s="2" t="str">
        <f>IFERROR(__xludf.DUMMYFUNCTION("GOOGLETRANSLATE(A17706, ""en"", ""mt"")"),"Matul l-istadju tal-kompressjoni huwa meħtieġ xogħol relattivament żgħir biex issuq il-pompa")</f>
        <v>Matul l-istadju tal-kompressjoni huwa meħtieġ xogħol relattivament żgħir biex issuq il-pompa</v>
      </c>
    </row>
    <row r="17707" ht="15.75" customHeight="1">
      <c r="A17707" s="2" t="s">
        <v>17707</v>
      </c>
      <c r="B17707" s="2" t="str">
        <f>IFERROR(__xludf.DUMMYFUNCTION("GOOGLETRANSLATE(A17707, ""en"", ""mt"")"),"X'kienet Davies riedet tibni")</f>
        <v>X'kienet Davies riedet tibni</v>
      </c>
    </row>
    <row r="17708" ht="15.75" customHeight="1">
      <c r="A17708" s="2" t="s">
        <v>17708</v>
      </c>
      <c r="B17708" s="2" t="str">
        <f>IFERROR(__xludf.DUMMYFUNCTION("GOOGLETRANSLATE(A17708, ""en"", ""mt"")"),"Degradazzjoni Ambjentali")</f>
        <v>Degradazzjoni Ambjentali</v>
      </c>
    </row>
    <row r="17709" ht="15.75" customHeight="1">
      <c r="A17709" s="2" t="s">
        <v>17709</v>
      </c>
      <c r="B17709" s="2" t="str">
        <f>IFERROR(__xludf.DUMMYFUNCTION("GOOGLETRANSLATE(A17709, ""en"", ""mt"")"),"1788")</f>
        <v>1788</v>
      </c>
    </row>
    <row r="17710" ht="15.75" customHeight="1">
      <c r="A17710" s="2" t="s">
        <v>17710</v>
      </c>
      <c r="B17710" s="2" t="str">
        <f>IFERROR(__xludf.DUMMYFUNCTION("GOOGLETRANSLATE(A17710, ""en"", ""mt"")"),"Liema test huwa partikolarment utli għan-numri tal-Formola 2P - 1?")</f>
        <v>Liema test huwa partikolarment utli għan-numri tal-Formola 2P - 1?</v>
      </c>
    </row>
    <row r="17711" ht="15.75" customHeight="1">
      <c r="A17711" s="2" t="s">
        <v>17711</v>
      </c>
      <c r="B17711" s="2" t="str">
        <f>IFERROR(__xludf.DUMMYFUNCTION("GOOGLETRANSLATE(A17711, ""en"", ""mt"")"),"Meta ġie mwaqqaf il-fond fiduċjarju tal-IPCC?")</f>
        <v>Meta ġie mwaqqaf il-fond fiduċjarju tal-IPCC?</v>
      </c>
    </row>
    <row r="17712" ht="15.75" customHeight="1">
      <c r="A17712" s="2" t="s">
        <v>17712</v>
      </c>
      <c r="B17712" s="2" t="str">
        <f>IFERROR(__xludf.DUMMYFUNCTION("GOOGLETRANSLATE(A17712, ""en"", ""mt"")"),"X'jiġri l-batterji biex iċċaqilqu proteini mill-ospitanti għall-patoġen?")</f>
        <v>X'jiġri l-batterji biex iċċaqilqu proteini mill-ospitanti għall-patoġen?</v>
      </c>
    </row>
    <row r="17713" ht="15.75" customHeight="1">
      <c r="A17713" s="2" t="s">
        <v>17713</v>
      </c>
      <c r="B17713" s="2" t="str">
        <f>IFERROR(__xludf.DUMMYFUNCTION("GOOGLETRANSLATE(A17713, ""en"", ""mt"")"),"Għal liema tip ta 'għajnuna għall-istudenti barra mill-belt hija magħrufa l-Fratellanza Musulmana?")</f>
        <v>Għal liema tip ta 'għajnuna għall-istudenti barra mill-belt hija magħrufa l-Fratellanza Musulmana?</v>
      </c>
    </row>
    <row r="17714" ht="15.75" customHeight="1">
      <c r="A17714" s="2" t="s">
        <v>17714</v>
      </c>
      <c r="B17714" s="2" t="str">
        <f>IFERROR(__xludf.DUMMYFUNCTION("GOOGLETRANSLATE(A17714, ""en"", ""mt"")")," X'inhu l-imperjalizmu kulturali li qatt ma jissejjaħ?")</f>
        <v> X'inhu l-imperjalizmu kulturali li qatt ma jissejjaħ?</v>
      </c>
    </row>
    <row r="17715" ht="15.75" customHeight="1">
      <c r="A17715" s="2" t="s">
        <v>17715</v>
      </c>
      <c r="B17715" s="2" t="str">
        <f>IFERROR(__xludf.DUMMYFUNCTION("GOOGLETRANSLATE(A17715, ""en"", ""mt"")"),"US $ 100,000")</f>
        <v>US $ 100,000</v>
      </c>
    </row>
    <row r="17716" ht="15.75" customHeight="1">
      <c r="A17716" s="2" t="s">
        <v>17716</v>
      </c>
      <c r="B17716" s="2" t="str">
        <f>IFERROR(__xludf.DUMMYFUNCTION("GOOGLETRANSLATE(A17716, ""en"", ""mt"")"),"Datapac ġie żviluppat minn Bell Northern Research")</f>
        <v>Datapac ġie żviluppat minn Bell Northern Research</v>
      </c>
    </row>
    <row r="17717" ht="15.75" customHeight="1">
      <c r="A17717" s="2" t="s">
        <v>17717</v>
      </c>
      <c r="B17717" s="2" t="str">
        <f>IFERROR(__xludf.DUMMYFUNCTION("GOOGLETRANSLATE(A17717, ""en"", ""mt"")"),"X'kien l-isem mogħti lill-kurrikulu liberali tal-kulleġġ li għadhom ma ggradwawx?")</f>
        <v>X'kien l-isem mogħti lill-kurrikulu liberali tal-kulleġġ li għadhom ma ggradwawx?</v>
      </c>
    </row>
    <row r="17718" ht="15.75" customHeight="1">
      <c r="A17718" s="2" t="s">
        <v>17718</v>
      </c>
      <c r="B17718" s="2" t="str">
        <f>IFERROR(__xludf.DUMMYFUNCTION("GOOGLETRANSLATE(A17718, ""en"", ""mt"")"),"Henry David Thoreau")</f>
        <v>Henry David Thoreau</v>
      </c>
    </row>
    <row r="17719" ht="15.75" customHeight="1">
      <c r="A17719" s="2" t="s">
        <v>17719</v>
      </c>
      <c r="B17719" s="2" t="str">
        <f>IFERROR(__xludf.DUMMYFUNCTION("GOOGLETRANSLATE(A17719, ""en"", ""mt"")"),"X'inhu l-mija minimu tal-kontenut ta 'alkoħol li liġi Ġermaniża teħtieġ li l-ispirti u l-likuri kollha jkollhom?")</f>
        <v>X'inhu l-mija minimu tal-kontenut ta 'alkoħol li liġi Ġermaniża teħtieġ li l-ispirti u l-likuri kollha jkollhom?</v>
      </c>
    </row>
    <row r="17720" ht="15.75" customHeight="1">
      <c r="A17720" s="2" t="s">
        <v>17720</v>
      </c>
      <c r="B17720" s="2" t="str">
        <f>IFERROR(__xludf.DUMMYFUNCTION("GOOGLETRANSLATE(A17720, ""en"", ""mt"")"),"Mappa barra l-artijiet antenati tagħhom")</f>
        <v>Mappa barra l-artijiet antenati tagħhom</v>
      </c>
    </row>
    <row r="17721" ht="15.75" customHeight="1">
      <c r="A17721" s="2" t="s">
        <v>17721</v>
      </c>
      <c r="B17721" s="2" t="str">
        <f>IFERROR(__xludf.DUMMYFUNCTION("GOOGLETRANSLATE(A17721, ""en"", ""mt"")"),"X’għandu jagħmel il-gvern Taljan fi Francovich v l-Italja?")</f>
        <v>X’għandu jagħmel il-gvern Taljan fi Francovich v l-Italja?</v>
      </c>
    </row>
    <row r="17722" ht="15.75" customHeight="1">
      <c r="A17722" s="2" t="s">
        <v>17722</v>
      </c>
      <c r="B17722" s="2" t="str">
        <f>IFERROR(__xludf.DUMMYFUNCTION("GOOGLETRANSLATE(A17722, ""en"", ""mt"")"),"Rhine")</f>
        <v>Rhine</v>
      </c>
    </row>
    <row r="17723" ht="15.75" customHeight="1">
      <c r="A17723" s="2" t="s">
        <v>17723</v>
      </c>
      <c r="B17723" s="2" t="str">
        <f>IFERROR(__xludf.DUMMYFUNCTION("GOOGLETRANSLATE(A17723, ""en"", ""mt"")"),"(Eżodu 1: 15-19)")</f>
        <v>(Eżodu 1: 15-19)</v>
      </c>
    </row>
    <row r="17724" ht="15.75" customHeight="1">
      <c r="A17724" s="2" t="s">
        <v>17724</v>
      </c>
      <c r="B17724" s="2" t="str">
        <f>IFERROR(__xludf.DUMMYFUNCTION("GOOGLETRANSLATE(A17724, ""en"", ""mt"")"),"Pierre Pictet")</f>
        <v>Pierre Pictet</v>
      </c>
    </row>
    <row r="17725" ht="15.75" customHeight="1">
      <c r="A17725" s="2" t="s">
        <v>17725</v>
      </c>
      <c r="B17725" s="2" t="str">
        <f>IFERROR(__xludf.DUMMYFUNCTION("GOOGLETRANSLATE(A17725, ""en"", ""mt"")"),"Medja tar-rata ta 'erba' korsijiet")</f>
        <v>Medja tar-rata ta 'erba' korsijiet</v>
      </c>
    </row>
    <row r="17726" ht="15.75" customHeight="1">
      <c r="A17726" s="2" t="s">
        <v>17726</v>
      </c>
      <c r="B17726" s="2" t="str">
        <f>IFERROR(__xludf.DUMMYFUNCTION("GOOGLETRANSLATE(A17726, ""en"", ""mt"")"),"Madwar bejn wieħed u ieħor kemm studenti jirreġistraw kull sena fi klassijiet ta 'arti kreattivi u spettakli?")</f>
        <v>Madwar bejn wieħed u ieħor kemm studenti jirreġistraw kull sena fi klassijiet ta 'arti kreattivi u spettakli?</v>
      </c>
    </row>
    <row r="17727" ht="15.75" customHeight="1">
      <c r="A17727" s="2" t="s">
        <v>17727</v>
      </c>
      <c r="B17727" s="2" t="str">
        <f>IFERROR(__xludf.DUMMYFUNCTION("GOOGLETRANSLATE(A17727, ""en"", ""mt"")"),"F’liema seklu ħatt il-Baħar tat-Tramuntana fix-xmara Nederrijn?")</f>
        <v>F’liema seklu ħatt il-Baħar tat-Tramuntana fix-xmara Nederrijn?</v>
      </c>
    </row>
    <row r="17728" ht="15.75" customHeight="1">
      <c r="A17728" s="2" t="s">
        <v>17728</v>
      </c>
      <c r="B17728" s="2" t="str">
        <f>IFERROR(__xludf.DUMMYFUNCTION("GOOGLETRANSLATE(A17728, ""en"", ""mt"")"),"ftit")</f>
        <v>ftit</v>
      </c>
    </row>
    <row r="17729" ht="15.75" customHeight="1">
      <c r="A17729" s="2" t="s">
        <v>17729</v>
      </c>
      <c r="B17729" s="2" t="str">
        <f>IFERROR(__xludf.DUMMYFUNCTION("GOOGLETRANSLATE(A17729, ""en"", ""mt"")"),"5% tal-produzzjoni maqtugħa")</f>
        <v>5% tal-produzzjoni maqtugħa</v>
      </c>
    </row>
    <row r="17730" ht="15.75" customHeight="1">
      <c r="A17730" s="2" t="s">
        <v>17730</v>
      </c>
      <c r="B17730" s="2" t="str">
        <f>IFERROR(__xludf.DUMMYFUNCTION("GOOGLETRANSLATE(A17730, ""en"", ""mt"")"),"Xi tuża l-ctenophora biex tgħum?")</f>
        <v>Xi tuża l-ctenophora biex tgħum?</v>
      </c>
    </row>
    <row r="17731" ht="15.75" customHeight="1">
      <c r="A17731" s="2" t="s">
        <v>17731</v>
      </c>
      <c r="B17731" s="2" t="str">
        <f>IFERROR(__xludf.DUMMYFUNCTION("GOOGLETRANSLATE(A17731, ""en"", ""mt"")"),"Min għandu l-linji tal-ferrovija fir-Rabat?")</f>
        <v>Min għandu l-linji tal-ferrovija fir-Rabat?</v>
      </c>
    </row>
    <row r="17732" ht="15.75" customHeight="1">
      <c r="A17732" s="2" t="s">
        <v>17732</v>
      </c>
      <c r="B17732" s="2" t="str">
        <f>IFERROR(__xludf.DUMMYFUNCTION("GOOGLETRANSLATE(A17732, ""en"", ""mt"")"),"mod kif ikomplu l-protesta tagħhom")</f>
        <v>mod kif ikomplu l-protesta tagħhom</v>
      </c>
    </row>
    <row r="17733" ht="15.75" customHeight="1">
      <c r="A17733" s="2" t="s">
        <v>17733</v>
      </c>
      <c r="B17733" s="2" t="str">
        <f>IFERROR(__xludf.DUMMYFUNCTION("GOOGLETRANSLATE(A17733, ""en"", ""mt"")"),"Kif jiġi prodott l-ossiġnu mid-dijossidu tal-karbonju fuq il-pjaneti l-oħra tas-sistema solari?")</f>
        <v>Kif jiġi prodott l-ossiġnu mid-dijossidu tal-karbonju fuq il-pjaneti l-oħra tas-sistema solari?</v>
      </c>
    </row>
    <row r="17734" ht="15.75" customHeight="1">
      <c r="A17734" s="2" t="s">
        <v>17734</v>
      </c>
      <c r="B17734" s="2" t="str">
        <f>IFERROR(__xludf.DUMMYFUNCTION("GOOGLETRANSLATE(A17734, ""en"", ""mt"")"),"Min spjega li l-oqfsa ta 'referenza soġġetti għal deċellerazzjoni kostanti?")</f>
        <v>Min spjega li l-oqfsa ta 'referenza soġġetti għal deċellerazzjoni kostanti?</v>
      </c>
    </row>
    <row r="17735" ht="15.75" customHeight="1">
      <c r="A17735" s="2" t="s">
        <v>17735</v>
      </c>
      <c r="B17735" s="2" t="str">
        <f>IFERROR(__xludf.DUMMYFUNCTION("GOOGLETRANSLATE(A17735, ""en"", ""mt"")"),"2.666 miljun")</f>
        <v>2.666 miljun</v>
      </c>
    </row>
    <row r="17736" ht="15.75" customHeight="1">
      <c r="A17736" s="2" t="s">
        <v>17736</v>
      </c>
      <c r="B17736" s="2" t="str">
        <f>IFERROR(__xludf.DUMMYFUNCTION("GOOGLETRANSLATE(A17736, ""en"", ""mt"")"),"Flimkien ma 'skejjel pubbliċi, x'tip ta' skola ġiet rikonoxxuta taħt l-Att dwar l-Iskejjel ta 'l-Afrika t'Isfel?")</f>
        <v>Flimkien ma 'skejjel pubbliċi, x'tip ta' skola ġiet rikonoxxuta taħt l-Att dwar l-Iskejjel ta 'l-Afrika t'Isfel?</v>
      </c>
    </row>
    <row r="17737" ht="15.75" customHeight="1">
      <c r="A17737" s="2" t="s">
        <v>17737</v>
      </c>
      <c r="B17737" s="2" t="str">
        <f>IFERROR(__xludf.DUMMYFUNCTION("GOOGLETRANSLATE(A17737, ""en"", ""mt"")"),"Liema xjenzat qal lill-Akkademja tax-Xjenzi Franċiża li kien sab kif li likwifika l-ossiġnu?")</f>
        <v>Liema xjenzat qal lill-Akkademja tax-Xjenzi Franċiża li kien sab kif li likwifika l-ossiġnu?</v>
      </c>
    </row>
    <row r="17738" ht="15.75" customHeight="1">
      <c r="A17738" s="2" t="s">
        <v>17738</v>
      </c>
      <c r="B17738" s="2" t="str">
        <f>IFERROR(__xludf.DUMMYFUNCTION("GOOGLETRANSLATE(A17738, ""en"", ""mt"")"),"Liema regola kienet tgħix xi indiġeni?")</f>
        <v>Liema regola kienet tgħix xi indiġeni?</v>
      </c>
    </row>
    <row r="17739" ht="15.75" customHeight="1">
      <c r="A17739" s="2" t="s">
        <v>17739</v>
      </c>
      <c r="B17739" s="2" t="str">
        <f>IFERROR(__xludf.DUMMYFUNCTION("GOOGLETRANSLATE(A17739, ""en"", ""mt"")"),"Liema żewġ kodiċi ġew meqruda r-rwoli tal-ispiżjara?")</f>
        <v>Liema żewġ kodiċi ġew meqruda r-rwoli tal-ispiżjara?</v>
      </c>
    </row>
    <row r="17740" ht="15.75" customHeight="1">
      <c r="A17740" s="2" t="s">
        <v>17740</v>
      </c>
      <c r="B17740" s="2" t="str">
        <f>IFERROR(__xludf.DUMMYFUNCTION("GOOGLETRANSLATE(A17740, ""en"", ""mt"")"),"X'jiġri meta antiġen jonqos milli jorbot ma 'riċettur immuni?")</f>
        <v>X'jiġri meta antiġen jonqos milli jorbot ma 'riċettur immuni?</v>
      </c>
    </row>
    <row r="17741" ht="15.75" customHeight="1">
      <c r="A17741" s="2" t="s">
        <v>17741</v>
      </c>
      <c r="B17741" s="2" t="str">
        <f>IFERROR(__xludf.DUMMYFUNCTION("GOOGLETRANSLATE(A17741, ""en"", ""mt"")"),"X'jimbotta n-negozji biex iżidu l-pressjonijiet fuq il-ħaddiema?")</f>
        <v>X'jimbotta n-negozji biex iżidu l-pressjonijiet fuq il-ħaddiema?</v>
      </c>
    </row>
    <row r="17742" ht="15.75" customHeight="1">
      <c r="A17742" s="2" t="s">
        <v>17742</v>
      </c>
      <c r="B17742" s="2" t="str">
        <f>IFERROR(__xludf.DUMMYFUNCTION("GOOGLETRANSLATE(A17742, ""en"", ""mt"")"),"kwozjent")</f>
        <v>kwozjent</v>
      </c>
    </row>
    <row r="17743" ht="15.75" customHeight="1">
      <c r="A17743" s="2" t="s">
        <v>17743</v>
      </c>
      <c r="B17743" s="2" t="str">
        <f>IFERROR(__xludf.DUMMYFUNCTION("GOOGLETRANSLATE(A17743, ""en"", ""mt"")"),"Il-Los Angeles Times")</f>
        <v>Il-Los Angeles Times</v>
      </c>
    </row>
    <row r="17744" ht="15.75" customHeight="1">
      <c r="A17744" s="2" t="s">
        <v>17744</v>
      </c>
      <c r="B17744" s="2" t="str">
        <f>IFERROR(__xludf.DUMMYFUNCTION("GOOGLETRANSLATE(A17744, ""en"", ""mt"")"),"marda")</f>
        <v>marda</v>
      </c>
    </row>
    <row r="17745" ht="15.75" customHeight="1">
      <c r="A17745" s="2" t="s">
        <v>17745</v>
      </c>
      <c r="B17745" s="2" t="str">
        <f>IFERROR(__xludf.DUMMYFUNCTION("GOOGLETRANSLATE(A17745, ""en"", ""mt"")"),"F'liema era xi membri ta 'din il-komunità emigraw lejn l-Istati Uniti?")</f>
        <v>F'liema era xi membri ta 'din il-komunità emigraw lejn l-Istati Uniti?</v>
      </c>
    </row>
    <row r="17746" ht="15.75" customHeight="1">
      <c r="A17746" s="2" t="s">
        <v>17746</v>
      </c>
      <c r="B17746" s="2" t="str">
        <f>IFERROR(__xludf.DUMMYFUNCTION("GOOGLETRANSLATE(A17746, ""en"", ""mt"")"),"Kif ħass Celeron dwar ir-relazzjonijiet indiġeni?")</f>
        <v>Kif ħass Celeron dwar ir-relazzjonijiet indiġeni?</v>
      </c>
    </row>
    <row r="17747" ht="15.75" customHeight="1">
      <c r="A17747" s="2" t="s">
        <v>17747</v>
      </c>
      <c r="B17747" s="2" t="str">
        <f>IFERROR(__xludf.DUMMYFUNCTION("GOOGLETRANSLATE(A17747, ""en"", ""mt"")"),"Metodu biex jitnaqqas il-kobor ta 'dan it-tisħin u t-tkessiħ ġie vvintat fl-1804 mill-inġinier Ingliż Arthur Woolf, li brevetta l-magna kompost tiegħu bi pressjoni għolja tas-suf fl-1805. Fil-magna kompost, fwar bi pressjoni għolja mill-bojler jespandi f'"&amp;"livell għoli Ċilindru tal-pressjoni (HP) u mbagħad jidħol f'ċilindri sussegwenti jew aktar ta 'pressjoni baxxa (LP). L-espansjoni sħiħa tal-fwar issa sseħħ f'ċilindri multipli u hekk kif inqas espansjoni sseħħ f'kull ċilindru inqas sħana tintilef mill-fwa"&amp;"r f'kull wieħed. Dan inaqqas il-kobor tat-tisħin u t-tkessiħ taċ-ċilindru, u jżid l-effiċjenza tal-magna. Billi twaqqaf l-espansjoni f'ċilindri multipli, il-varjabbiltà tat-torque tista 'titnaqqas. Biex toħroġ xogħol ugwali minn fwar bi pressjoni baxxa te"&amp;"ħtieġ volum ta 'ċilindru akbar peress li dan il-fwar jokkupa volum akbar. Għalhekk, l-imtaqqab, u ħafna drabi l-puplesija, huma miżjuda f'ċilindri ta 'pressjoni baxxa li jirriżultaw f'ċilindri akbar.")</f>
        <v>Metodu biex jitnaqqas il-kobor ta 'dan it-tisħin u t-tkessiħ ġie vvintat fl-1804 mill-inġinier Ingliż Arthur Woolf, li brevetta l-magna kompost tiegħu bi pressjoni għolja tas-suf fl-1805. Fil-magna kompost, fwar bi pressjoni għolja mill-bojler jespandi f'livell għoli Ċilindru tal-pressjoni (HP) u mbagħad jidħol f'ċilindri sussegwenti jew aktar ta 'pressjoni baxxa (LP). L-espansjoni sħiħa tal-fwar issa sseħħ f'ċilindri multipli u hekk kif inqas espansjoni sseħħ f'kull ċilindru inqas sħana tintilef mill-fwar f'kull wieħed. Dan inaqqas il-kobor tat-tisħin u t-tkessiħ taċ-ċilindru, u jżid l-effiċjenza tal-magna. Billi twaqqaf l-espansjoni f'ċilindri multipli, il-varjabbiltà tat-torque tista 'titnaqqas. Biex toħroġ xogħol ugwali minn fwar bi pressjoni baxxa teħtieġ volum ta 'ċilindru akbar peress li dan il-fwar jokkupa volum akbar. Għalhekk, l-imtaqqab, u ħafna drabi l-puplesija, huma miżjuda f'ċilindri ta 'pressjoni baxxa li jirriżultaw f'ċilindri akbar.</v>
      </c>
    </row>
    <row r="17748" ht="15.75" customHeight="1">
      <c r="A17748" s="2" t="s">
        <v>17748</v>
      </c>
      <c r="B17748" s="2" t="str">
        <f>IFERROR(__xludf.DUMMYFUNCTION("GOOGLETRANSLATE(A17748, ""en"", ""mt"")"),"Il-moviment liberu tar-regolament tal-ħaddiema artikoli 1 sa 7 stabbilixxa d-dispożizzjonijiet ewlenin dwar trattament ugwali tal-ħaddiema. L-ewwel, l-Artikoli 1 sa 4 ġeneralment jirrikjedu li l-ħaddiema jistgħu jieħdu impjieg, jikkonkludu kuntratti, u ma"&amp;" jsofrux diskriminazzjoni meta mqabbla ma 'ċittadini ta' l-Istat Membru. F'każ famuż, l-Assoċjazzjoni Belġjana tal-Futbol V Bosman, futboler Belġjan jismu Jean-Marc Bosman iddikjara li għandu jkun jista 'jittrasferixxi minn R.F.C. De Liège lil USL Dunkerq"&amp;"ue meta l-kuntratt tiegħu spiċċa, irrispettivament minn jekk Dunkerque jistax jaffordja li jħallas lil Liège l-miżati tat-trasferiment abitwali. Il-Qorti tal-Ġustizzja għamlet ""ir-regoli ta 'trasferiment jikkostitwixxu [d] ostaklu għall-moviment liberu"""&amp;" u kienu illegali sakemm ma jkunux jistgħu jiġu ġġustifikati fl-interess pubbliku, iżda dan kien improbabbli. Fil-Ministru Groener v għall-Edukazzjoni, il-Qorti tal-Ġustizzja aċċettat li r-rekwiżit li titkellem fil-Galliku biex tgħallem f'kulleġġ tad-disi"&amp;"nn ta 'Dublin jista' jkun iġġustifikat bħala parti mill-politika pubblika tal-promozzjoni tal-lingwa Irlandiża, iżda biss jekk il-miżura ma kinitx sproporzjonata. B'kuntrast fl-Angones v Cassa di Risparmio di Bolzano Spa A Bank f'Bolzano, l-Italja, ma tħa"&amp;"llewx jirrikjedu li s-Sur Angonese jkollu ċertifikat bilingwi li jista 'jinkiseb biss f'Bolzano. Il-Qorti tal-Ġustizzja, li tagħti effett dirett ""orizzontali"" lill-Artikolu 45 tat-TFEU, irraġuna li nies minn pajjiżi oħra ma tantx ikollhom ċans li jakkwi"&amp;"staw iċ-ċertifikat, u minħabba li kien ""impossibbli li tissottometti prova tal-għarfien lingwistiku meħtieġ bi kwalunkwe mezz ieħor"" , il-miżura kienet sproporzjonata. It-tieni, l-Artikolu 7 (2) jirrikjedi trattament ugwali fir-rigward tat-taxxa. Fil-Fi"&amp;"nanzamt Köln Altstadt vs Schumacker, il-Qorti tal-Ġustizzja ddeċidiet li kienet tikser l-Art TFEU 45 biex tiċħad il-benefiċċji tat-taxxa (e.g. għal koppji miżżewġa, u tnaqqis tal-ispejjeż tal-assigurazzjoni soċjali) lil raġel li ħadem fil-Ġermanja, iżda k"&amp;"ien residenti fil-Belġju meta residenti oħra Ġermaniżi sibt il-benefiċċji. B'kuntrast f'Weigel vs Finanzlandesdirektion für Vorarlberg Il-Qorti tal-Ġustizzja ċaħdet it-talba tas-Sur Weigel li ħlas mill-ġdid ta 'reġistrazzjoni meta ressaq il-karozza tiegħu"&amp;" fl-Awstrija kiser id-dritt tiegħu għall-moviment ħieles. Għalkemm it-taxxa kienet ""x'aktarx ikollha effett negattiv fuq id-deċiżjoni tal-ħaddiema migranti li jeżerċitaw id-dritt tagħhom għal-libertà tal-moviment"", minħabba li l-ħlas applika bl-istess m"&amp;"od għall-Awstrijaċi, fin-nuqqas ta 'leġislazzjoni tal-UE dwar il-kwistjoni li kellha titqies bħala ġustifikata bħala ġustifikata - It-tielet, in-nies għandhom jirċievu trattament ugwali rigward ""vantaġġi soċjali"", għalkemm il-qorti approvat perjodi ta '"&amp;"kwalifikazzjoni residenzjali. Fl-Istitut tal-Assigurazzjoni tal-Impjegati Hendrix vs il-Qorti tal-Ġustizzja ddeċidiet li ċittadin Olandiż ma kellux id-dritt li jkompli jirċievi benefiċċji ta 'inkapaċità meta mar il-Belġju, minħabba li l-benefiċċju kien """&amp;"marbut mill-qrib mas-sitwazzjoni soċjo-ekonomika"" tal-Pajjiżi l-Baxxi. Bil-maqlub, f'Geven v Land Nordrhein-Westfalen Il-Qorti tal-Ġustizzja ddeċidiet li mara Olandiża li tgħix fl-Olanda, iżda taħdem bejn 3 u 14-il siegħa fil-ġimgħa fil-Ġermanja, ma kell"&amp;"hiex id-dritt li tirċievi benefiċċji tat-tfal Ġermaniżi, minkejja li l-mara ta 'raġel li ħadem full-time fil-Ġermanja iżda kien residenti fl-Awstrija. Il-ġustifikazzjonijiet ġenerali għall-limitazzjoni tal-moviment liberu fl-Artikolu 45 (3) huma ""politik"&amp;"a pubblika, sigurtà pubblika jew saħħa pubblika"", u hemm ukoll eċċezzjoni ġenerali fl-Artikolu 45 (4) għal ""impjieg fis-servizz pubbliku"".")</f>
        <v>Il-moviment liberu tar-regolament tal-ħaddiema artikoli 1 sa 7 stabbilixxa d-dispożizzjonijiet ewlenin dwar trattament ugwali tal-ħaddiema. L-ewwel, l-Artikoli 1 sa 4 ġeneralment jirrikjedu li l-ħaddiema jistgħu jieħdu impjieg, jikkonkludu kuntratti, u ma jsofrux diskriminazzjoni meta mqabbla ma 'ċittadini ta' l-Istat Membru. F'każ famuż, l-Assoċjazzjoni Belġjana tal-Futbol V Bosman, futboler Belġjan jismu Jean-Marc Bosman iddikjara li għandu jkun jista 'jittrasferixxi minn R.F.C. De Liège lil USL Dunkerque meta l-kuntratt tiegħu spiċċa, irrispettivament minn jekk Dunkerque jistax jaffordja li jħallas lil Liège l-miżati tat-trasferiment abitwali. Il-Qorti tal-Ġustizzja għamlet "ir-regoli ta 'trasferiment jikkostitwixxu [d] ostaklu għall-moviment liberu" u kienu illegali sakemm ma jkunux jistgħu jiġu ġġustifikati fl-interess pubbliku, iżda dan kien improbabbli. Fil-Ministru Groener v għall-Edukazzjoni, il-Qorti tal-Ġustizzja aċċettat li r-rekwiżit li titkellem fil-Galliku biex tgħallem f'kulleġġ tad-disinn ta 'Dublin jista' jkun iġġustifikat bħala parti mill-politika pubblika tal-promozzjoni tal-lingwa Irlandiża, iżda biss jekk il-miżura ma kinitx sproporzjonata. B'kuntrast fl-Angones v Cassa di Risparmio di Bolzano Spa A Bank f'Bolzano, l-Italja, ma tħallewx jirrikjedu li s-Sur Angonese jkollu ċertifikat bilingwi li jista 'jinkiseb biss f'Bolzano. Il-Qorti tal-Ġustizzja, li tagħti effett dirett "orizzontali" lill-Artikolu 45 tat-TFEU, irraġuna li nies minn pajjiżi oħra ma tantx ikollhom ċans li jakkwistaw iċ-ċertifikat, u minħabba li kien "impossibbli li tissottometti prova tal-għarfien lingwistiku meħtieġ bi kwalunkwe mezz ieħor" , il-miżura kienet sproporzjonata. It-tieni, l-Artikolu 7 (2) jirrikjedi trattament ugwali fir-rigward tat-taxxa. Fil-Finanzamt Köln Altstadt vs Schumacker, il-Qorti tal-Ġustizzja ddeċidiet li kienet tikser l-Art TFEU 45 biex tiċħad il-benefiċċji tat-taxxa (e.g. għal koppji miżżewġa, u tnaqqis tal-ispejjeż tal-assigurazzjoni soċjali) lil raġel li ħadem fil-Ġermanja, iżda kien residenti fil-Belġju meta residenti oħra Ġermaniżi sibt il-benefiċċji. B'kuntrast f'Weigel vs Finanzlandesdirektion für Vorarlberg Il-Qorti tal-Ġustizzja ċaħdet it-talba tas-Sur Weigel li ħlas mill-ġdid ta 'reġistrazzjoni meta ressaq il-karozza tiegħu fl-Awstrija kiser id-dritt tiegħu għall-moviment ħieles. Għalkemm it-taxxa kienet "x'aktarx ikollha effett negattiv fuq id-deċiżjoni tal-ħaddiema migranti li jeżerċitaw id-dritt tagħhom għal-libertà tal-moviment", minħabba li l-ħlas applika bl-istess mod għall-Awstrijaċi, fin-nuqqas ta 'leġislazzjoni tal-UE dwar il-kwistjoni li kellha titqies bħala ġustifikata bħala ġustifikata - It-tielet, in-nies għandhom jirċievu trattament ugwali rigward "vantaġġi soċjali", għalkemm il-qorti approvat perjodi ta 'kwalifikazzjoni residenzjali. Fl-Istitut tal-Assigurazzjoni tal-Impjegati Hendrix vs il-Qorti tal-Ġustizzja ddeċidiet li ċittadin Olandiż ma kellux id-dritt li jkompli jirċievi benefiċċji ta 'inkapaċità meta mar il-Belġju, minħabba li l-benefiċċju kien "marbut mill-qrib mas-sitwazzjoni soċjo-ekonomika" tal-Pajjiżi l-Baxxi. Bil-maqlub, f'Geven v Land Nordrhein-Westfalen Il-Qorti tal-Ġustizzja ddeċidiet li mara Olandiża li tgħix fl-Olanda, iżda taħdem bejn 3 u 14-il siegħa fil-ġimgħa fil-Ġermanja, ma kellhiex id-dritt li tirċievi benefiċċji tat-tfal Ġermaniżi, minkejja li l-mara ta 'raġel li ħadem full-time fil-Ġermanja iżda kien residenti fl-Awstrija. Il-ġustifikazzjonijiet ġenerali għall-limitazzjoni tal-moviment liberu fl-Artikolu 45 (3) huma "politika pubblika, sigurtà pubblika jew saħħa pubblika", u hemm ukoll eċċezzjoni ġenerali fl-Artikolu 45 (4) għal "impjieg fis-servizz pubbliku".</v>
      </c>
    </row>
    <row r="17749" ht="15.75" customHeight="1">
      <c r="A17749" s="2" t="s">
        <v>17749</v>
      </c>
      <c r="B17749" s="2" t="str">
        <f>IFERROR(__xludf.DUMMYFUNCTION("GOOGLETRANSLATE(A17749, ""en"", ""mt"")"),"X'inhu l-iktar port bieżel tal-kontejners fl-Istati Uniti?")</f>
        <v>X'inhu l-iktar port bieżel tal-kontejners fl-Istati Uniti?</v>
      </c>
    </row>
    <row r="17750" ht="15.75" customHeight="1">
      <c r="A17750" s="2" t="s">
        <v>17750</v>
      </c>
      <c r="B17750" s="2" t="str">
        <f>IFERROR(__xludf.DUMMYFUNCTION("GOOGLETRANSLATE(A17750, ""en"", ""mt"")"),"X'kienet it-telfa tat-truppi Għarab f'idejn it-truppi Iżraeljani matul il-gwerra ta 'sitt ijiem?")</f>
        <v>X'kienet it-telfa tat-truppi Għarab f'idejn it-truppi Iżraeljani matul il-gwerra ta 'sitt ijiem?</v>
      </c>
    </row>
    <row r="17751" ht="15.75" customHeight="1">
      <c r="A17751" s="2" t="s">
        <v>17751</v>
      </c>
      <c r="B17751" s="2" t="str">
        <f>IFERROR(__xludf.DUMMYFUNCTION("GOOGLETRANSLATE(A17751, ""en"", ""mt"")"),"L-Att tal-Iskozja 1998")</f>
        <v>L-Att tal-Iskozja 1998</v>
      </c>
    </row>
    <row r="17752" ht="15.75" customHeight="1">
      <c r="A17752" s="2" t="s">
        <v>17752</v>
      </c>
      <c r="B17752" s="2" t="str">
        <f>IFERROR(__xludf.DUMMYFUNCTION("GOOGLETRANSLATE(A17752, ""en"", ""mt"")"),"is-sistema ta 'modifika ta' restrizzjoni")</f>
        <v>is-sistema ta 'modifika ta' restrizzjoni</v>
      </c>
    </row>
    <row r="17753" ht="15.75" customHeight="1">
      <c r="A17753" s="2" t="s">
        <v>17753</v>
      </c>
      <c r="B17753" s="2" t="str">
        <f>IFERROR(__xludf.DUMMYFUNCTION("GOOGLETRANSLATE(A17753, ""en"", ""mt"")"),"individwu")</f>
        <v>individwu</v>
      </c>
    </row>
    <row r="17754" ht="15.75" customHeight="1">
      <c r="A17754" s="2" t="s">
        <v>17754</v>
      </c>
      <c r="B17754" s="2" t="str">
        <f>IFERROR(__xludf.DUMMYFUNCTION("GOOGLETRANSLATE(A17754, ""en"", ""mt"")"),"X'kien l-isem tal-politika imperjalista fiċ-Ċina?")</f>
        <v>X'kien l-isem tal-politika imperjalista fiċ-Ċina?</v>
      </c>
    </row>
    <row r="17755" ht="15.75" customHeight="1">
      <c r="A17755" s="2" t="s">
        <v>17755</v>
      </c>
      <c r="B17755" s="2" t="str">
        <f>IFERROR(__xludf.DUMMYFUNCTION("GOOGLETRANSLATE(A17755, ""en"", ""mt"")"),"X'inhi l-ħarba tal-fwar x'aktarx ma twettaqx kollha ħlief l-iżgħar bojlers?")</f>
        <v>X'inhi l-ħarba tal-fwar x'aktarx ma twettaqx kollha ħlief l-iżgħar bojlers?</v>
      </c>
    </row>
    <row r="17756" ht="15.75" customHeight="1">
      <c r="A17756" s="2" t="s">
        <v>17756</v>
      </c>
      <c r="B17756" s="2" t="str">
        <f>IFERROR(__xludf.DUMMYFUNCTION("GOOGLETRANSLATE(A17756, ""en"", ""mt"")"),"Min irreġistra ""Mixi fi Fresno?""")</f>
        <v>Min irreġistra "Mixi fi Fresno?"</v>
      </c>
    </row>
    <row r="17757" ht="15.75" customHeight="1">
      <c r="A17757" s="2" t="s">
        <v>17757</v>
      </c>
      <c r="B17757" s="2" t="str">
        <f>IFERROR(__xludf.DUMMYFUNCTION("GOOGLETRANSLATE(A17757, ""en"", ""mt"")"),"Distretti tan-Negozju")</f>
        <v>Distretti tan-Negozju</v>
      </c>
    </row>
    <row r="17758" ht="15.75" customHeight="1">
      <c r="A17758" s="2" t="s">
        <v>17758</v>
      </c>
      <c r="B17758" s="2" t="str">
        <f>IFERROR(__xludf.DUMMYFUNCTION("GOOGLETRANSLATE(A17758, ""en"", ""mt"")"),"X'inhu l-iktar oġġett importanti għad-diżubbidjenza ċivili li ssegwi?")</f>
        <v>X'inhu l-iktar oġġett importanti għad-diżubbidjenza ċivili li ssegwi?</v>
      </c>
    </row>
    <row r="17759" ht="15.75" customHeight="1">
      <c r="A17759" s="2" t="s">
        <v>17759</v>
      </c>
      <c r="B17759" s="2" t="str">
        <f>IFERROR(__xludf.DUMMYFUNCTION("GOOGLETRANSLATE(A17759, ""en"", ""mt"")"),"X'inhu impossibbli għall-klassijiet ta 'kumplessità RP, BPP, PP, BQP, MA, u PH?")</f>
        <v>X'inhu impossibbli għall-klassijiet ta 'kumplessità RP, BPP, PP, BQP, MA, u PH?</v>
      </c>
    </row>
    <row r="17760" ht="15.75" customHeight="1">
      <c r="A17760" s="2" t="s">
        <v>17760</v>
      </c>
      <c r="B17760" s="2" t="str">
        <f>IFERROR(__xludf.DUMMYFUNCTION("GOOGLETRANSLATE(A17760, ""en"", ""mt"")"),"Vitamina D.")</f>
        <v>Vitamina D.</v>
      </c>
    </row>
    <row r="17761" ht="15.75" customHeight="1">
      <c r="A17761" s="2" t="s">
        <v>17761</v>
      </c>
      <c r="B17761" s="2" t="str">
        <f>IFERROR(__xludf.DUMMYFUNCTION("GOOGLETRANSLATE(A17761, ""en"", ""mt"")"),"pjan għal invażjoni tal-Ewropa tal-Punent")</f>
        <v>pjan għal invażjoni tal-Ewropa tal-Punent</v>
      </c>
    </row>
    <row r="17762" ht="15.75" customHeight="1">
      <c r="A17762" s="2" t="s">
        <v>17762</v>
      </c>
      <c r="B17762" s="2" t="str">
        <f>IFERROR(__xludf.DUMMYFUNCTION("GOOGLETRANSLATE(A17762, ""en"", ""mt"")"),"billi n-netwerk intermedju nodi bl-użu b'mod sinkroniku bl-ewwel-in, l-ewwel buffering, iżda jista 'jintbagħat skond xi dixxiplina ta' skedar għal kju ġust")</f>
        <v>billi n-netwerk intermedju nodi bl-użu b'mod sinkroniku bl-ewwel-in, l-ewwel buffering, iżda jista 'jintbagħat skond xi dixxiplina ta' skedar għal kju ġust</v>
      </c>
    </row>
    <row r="17763" ht="15.75" customHeight="1">
      <c r="A17763" s="2" t="s">
        <v>17763</v>
      </c>
      <c r="B17763" s="2" t="str">
        <f>IFERROR(__xludf.DUMMYFUNCTION("GOOGLETRANSLATE(A17763, ""en"", ""mt"")"),"Liema Segretarju tan-NU mar Harvard?")</f>
        <v>Liema Segretarju tan-NU mar Harvard?</v>
      </c>
    </row>
    <row r="17764" ht="15.75" customHeight="1">
      <c r="A17764" s="2" t="s">
        <v>17764</v>
      </c>
      <c r="B17764" s="2" t="str">
        <f>IFERROR(__xludf.DUMMYFUNCTION("GOOGLETRANSLATE(A17764, ""en"", ""mt"")"),"Għal liema tradizzjoni kienu magħrufa l-patrijiet Saint-Evroul?")</f>
        <v>Għal liema tradizzjoni kienu magħrufa l-patrijiet Saint-Evroul?</v>
      </c>
    </row>
    <row r="17765" ht="15.75" customHeight="1">
      <c r="A17765" s="2" t="s">
        <v>17765</v>
      </c>
      <c r="B17765" s="2" t="str">
        <f>IFERROR(__xludf.DUMMYFUNCTION("GOOGLETRANSLATE(A17765, ""en"", ""mt"")"),"Liema kap indiġenu vvjaġġa lejn il-forti Franċiż u għen lil Marin?")</f>
        <v>Liema kap indiġenu vvjaġġa lejn il-forti Franċiż u għen lil Marin?</v>
      </c>
    </row>
    <row r="17766" ht="15.75" customHeight="1">
      <c r="A17766" s="2" t="s">
        <v>17766</v>
      </c>
      <c r="B17766" s="2" t="str">
        <f>IFERROR(__xludf.DUMMYFUNCTION("GOOGLETRANSLATE(A17766, ""en"", ""mt"")"),"Fl-1096, il-kruċjati li jgħaddu mill-assedju ta 'Amalfi ġew magħquda minn Bohemond ta' Taranto u n-neputi tiegħu Tancred ma 'armata ta' Italo-Normans. Bohemond kien il-mexxej de facto tal-kruċjata matul il-passaġġ tagħha mill-Asja Minuri. Wara l-assedju t"&amp;"a 'suċċess ta' Antijokja fl-1097, Bohemond beda jinqata 'prinċipat indipendenti madwar dik il-belt. Tancred kien strumentali fil-konkwista ta ’Ġerusalemm u ħadem għall-espansjoni tar-renju Crusader fi Transjordan u r-reġjun tal-Galilija. [Ċitazzjoni meħti"&amp;"eġa]")</f>
        <v>Fl-1096, il-kruċjati li jgħaddu mill-assedju ta 'Amalfi ġew magħquda minn Bohemond ta' Taranto u n-neputi tiegħu Tancred ma 'armata ta' Italo-Normans. Bohemond kien il-mexxej de facto tal-kruċjata matul il-passaġġ tagħha mill-Asja Minuri. Wara l-assedju ta 'suċċess ta' Antijokja fl-1097, Bohemond beda jinqata 'prinċipat indipendenti madwar dik il-belt. Tancred kien strumentali fil-konkwista ta ’Ġerusalemm u ħadem għall-espansjoni tar-renju Crusader fi Transjordan u r-reġjun tal-Galilija. [Ċitazzjoni meħtieġa]</v>
      </c>
    </row>
    <row r="17767" ht="15.75" customHeight="1">
      <c r="A17767" s="2" t="s">
        <v>17767</v>
      </c>
      <c r="B17767" s="2" t="str">
        <f>IFERROR(__xludf.DUMMYFUNCTION("GOOGLETRANSLATE(A17767, ""en"", ""mt"")"),"Pakkett jista 'jintbagħat mhux komplut?")</f>
        <v>Pakkett jista 'jintbagħat mhux komplut?</v>
      </c>
    </row>
    <row r="17768" ht="15.75" customHeight="1">
      <c r="A17768" s="2" t="s">
        <v>17768</v>
      </c>
      <c r="B17768" s="2" t="str">
        <f>IFERROR(__xludf.DUMMYFUNCTION("GOOGLETRANSLATE(A17768, ""en"", ""mt"")"),"X'jagħmel Surveyor tal-Kwantità b'Disinn?")</f>
        <v>X'jagħmel Surveyor tal-Kwantità b'Disinn?</v>
      </c>
    </row>
    <row r="17769" ht="15.75" customHeight="1">
      <c r="A17769" s="2" t="s">
        <v>17769</v>
      </c>
      <c r="B17769" s="2" t="str">
        <f>IFERROR(__xludf.DUMMYFUNCTION("GOOGLETRANSLATE(A17769, ""en"", ""mt"")"),"proġetti ta 'kanalizzazzjoni")</f>
        <v>proġetti ta 'kanalizzazzjoni</v>
      </c>
    </row>
    <row r="17770" ht="15.75" customHeight="1">
      <c r="A17770" s="2" t="s">
        <v>17770</v>
      </c>
      <c r="B17770" s="2" t="str">
        <f>IFERROR(__xludf.DUMMYFUNCTION("GOOGLETRANSLATE(A17770, ""en"", ""mt"")"),"Ċirku kommutattiv Noeterjan")</f>
        <v>Ċirku kommutattiv Noeterjan</v>
      </c>
    </row>
    <row r="17771" ht="15.75" customHeight="1">
      <c r="A17771" s="2" t="s">
        <v>17771</v>
      </c>
      <c r="B17771" s="2" t="str">
        <f>IFERROR(__xludf.DUMMYFUNCTION("GOOGLETRANSLATE(A17771, ""en"", ""mt"")"),"It-terminu ""imperjalizmu"" ħafna drabi huwa magħluq ma '""kolonjaliżmu"", madankollu ħafna studjużi argumentaw li kull wieħed għandu d-definizzjoni distinta tagħhom stess. L-imperjalizmu u l-kolonjaliżmu intużaw sabiex jiddeskrivu s-superjorità, il-ħakma"&amp;" u l-influwenza ta 'wieħed fuq persuna jew grupp ta' nies. Robert Young jikteb li filwaqt li l-imperjalizmu jopera miċ-Ċentru, huwa politika tal-istat u huwa żviluppat għal raġunijiet ideoloġiċi kif ukoll finanzjarji, il-kolonjaliżmu huwa sempliċement l-i"&amp;"żvilupp għal soluzzjoni jew intenzjonijiet kummerċjali. Il-kolonjaliżmu fl-użu modern għandu wkoll it-tendenza li jimplika grad ta 'separazzjoni ġeografika bejn il-kolonja u l-qawwa imperjali. Partikolarment, Edward qal li jiddistingwi d-differenza bejn l"&amp;"-imperjalizmu u l-kolonjaliżmu billi jiddikjara; ""L-imperjalizmu kien jinvolvi"" l-prattika, it-teorija u l-attitudnijiet ta 'ċentru metropolitani dominanti li jiddeċiedi territorju' l bogħod "", filwaqt li l-kolonjaliżmu jirreferi għall-impjant ta 'l-in"&amp;"sedjamenti fuq territorju' l bogħod."" Imperi tal-art kontigwi bħar-Russu jew l-Ottoman huma ġeneralment esklużi minn diskussjonijiet dwar il-kolonjaliżmu. Spjegazzjoni meħtieġa]")</f>
        <v>It-terminu "imperjalizmu" ħafna drabi huwa magħluq ma '"kolonjaliżmu", madankollu ħafna studjużi argumentaw li kull wieħed għandu d-definizzjoni distinta tagħhom stess. L-imperjalizmu u l-kolonjaliżmu intużaw sabiex jiddeskrivu s-superjorità, il-ħakma u l-influwenza ta 'wieħed fuq persuna jew grupp ta' nies. Robert Young jikteb li filwaqt li l-imperjalizmu jopera miċ-Ċentru, huwa politika tal-istat u huwa żviluppat għal raġunijiet ideoloġiċi kif ukoll finanzjarji, il-kolonjaliżmu huwa sempliċement l-iżvilupp għal soluzzjoni jew intenzjonijiet kummerċjali. Il-kolonjaliżmu fl-użu modern għandu wkoll it-tendenza li jimplika grad ta 'separazzjoni ġeografika bejn il-kolonja u l-qawwa imperjali. Partikolarment, Edward qal li jiddistingwi d-differenza bejn l-imperjalizmu u l-kolonjaliżmu billi jiddikjara; "L-imperjalizmu kien jinvolvi" l-prattika, it-teorija u l-attitudnijiet ta 'ċentru metropolitani dominanti li jiddeċiedi territorju' l bogħod ", filwaqt li l-kolonjaliżmu jirreferi għall-impjant ta 'l-insedjamenti fuq territorju' l bogħod." Imperi tal-art kontigwi bħar-Russu jew l-Ottoman huma ġeneralment esklużi minn diskussjonijiet dwar il-kolonjaliżmu. Spjegazzjoni meħtieġa]</v>
      </c>
    </row>
    <row r="17772" ht="15.75" customHeight="1">
      <c r="A17772" s="2" t="s">
        <v>17772</v>
      </c>
      <c r="B17772" s="2" t="str">
        <f>IFERROR(__xludf.DUMMYFUNCTION("GOOGLETRANSLATE(A17772, ""en"", ""mt"")"),"Fuq xiex ma tistrieħx il-leġittimità tal-UE?")</f>
        <v>Fuq xiex ma tistrieħx il-leġittimità tal-UE?</v>
      </c>
    </row>
    <row r="17773" ht="15.75" customHeight="1">
      <c r="A17773" s="2" t="s">
        <v>17773</v>
      </c>
      <c r="B17773" s="2" t="str">
        <f>IFERROR(__xludf.DUMMYFUNCTION("GOOGLETRANSLATE(A17773, ""en"", ""mt"")"),"ThereTofore stabbiliti prinċipji ta 'allokazzjoni minn qabel ta' bandwidth tan-netwerk")</f>
        <v>ThereTofore stabbiliti prinċipji ta 'allokazzjoni minn qabel ta' bandwidth tan-netwerk</v>
      </c>
    </row>
    <row r="17774" ht="15.75" customHeight="1">
      <c r="A17774" s="2" t="s">
        <v>17774</v>
      </c>
      <c r="B17774" s="2" t="str">
        <f>IFERROR(__xludf.DUMMYFUNCTION("GOOGLETRANSLATE(A17774, ""en"", ""mt"")"),"Min issuġġerixxa li l-imperjalizmu kien l-ogħla forma ta 'kapitaliżmu?")</f>
        <v>Min issuġġerixxa li l-imperjalizmu kien l-ogħla forma ta 'kapitaliżmu?</v>
      </c>
    </row>
    <row r="17775" ht="15.75" customHeight="1">
      <c r="A17775" s="2" t="s">
        <v>17775</v>
      </c>
      <c r="B17775" s="2" t="str">
        <f>IFERROR(__xludf.DUMMYFUNCTION("GOOGLETRANSLATE(A17775, ""en"", ""mt"")"),"X'inhu n-numru ta 'MSPs ta' kostitwenza?")</f>
        <v>X'inhu n-numru ta 'MSPs ta' kostitwenza?</v>
      </c>
    </row>
    <row r="17776" ht="15.75" customHeight="1">
      <c r="A17776" s="2" t="s">
        <v>17776</v>
      </c>
      <c r="B17776" s="2" t="str">
        <f>IFERROR(__xludf.DUMMYFUNCTION("GOOGLETRANSLATE(A17776, ""en"", ""mt"")"),"is-sitwazzjoni finanzjarja diżastruża tagħhom")</f>
        <v>is-sitwazzjoni finanzjarja diżastruża tagħhom</v>
      </c>
    </row>
    <row r="17777" ht="15.75" customHeight="1">
      <c r="A17777" s="2" t="s">
        <v>17777</v>
      </c>
      <c r="B17777" s="2" t="str">
        <f>IFERROR(__xludf.DUMMYFUNCTION("GOOGLETRANSLATE(A17777, ""en"", ""mt"")"),"X'jista 'jkun possibbli li ċ-ċikli ta' Kuznets multipli jkunu fi kwalunkwe ħin?")</f>
        <v>X'jista 'jkun possibbli li ċ-ċikli ta' Kuznets multipli jkunu fi kwalunkwe ħin?</v>
      </c>
    </row>
    <row r="17778" ht="15.75" customHeight="1">
      <c r="A17778" s="2" t="s">
        <v>17778</v>
      </c>
      <c r="B17778" s="2" t="str">
        <f>IFERROR(__xludf.DUMMYFUNCTION("GOOGLETRANSLATE(A17778, ""en"", ""mt"")")," Il-bnedmin f'ambjenti tropikali ma kinux ikkunsidrati bħala xiex?")</f>
        <v> Il-bnedmin f'ambjenti tropikali ma kinux ikkunsidrati bħala xiex?</v>
      </c>
    </row>
    <row r="17779" ht="15.75" customHeight="1">
      <c r="A17779" s="2" t="s">
        <v>17779</v>
      </c>
      <c r="B17779" s="2" t="str">
        <f>IFERROR(__xludf.DUMMYFUNCTION("GOOGLETRANSLATE(A17779, ""en"", ""mt"")"),"ġid")</f>
        <v>ġid</v>
      </c>
    </row>
    <row r="17780" ht="15.75" customHeight="1">
      <c r="A17780" s="2" t="s">
        <v>17780</v>
      </c>
      <c r="B17780" s="2" t="str">
        <f>IFERROR(__xludf.DUMMYFUNCTION("GOOGLETRANSLATE(A17780, ""en"", ""mt"")"),"Surinam tan-Nofsinhar")</f>
        <v>Surinam tan-Nofsinhar</v>
      </c>
    </row>
    <row r="17781" ht="15.75" customHeight="1">
      <c r="A17781" s="2" t="s">
        <v>17781</v>
      </c>
      <c r="B17781" s="2" t="str">
        <f>IFERROR(__xludf.DUMMYFUNCTION("GOOGLETRANSLATE(A17781, ""en"", ""mt"")"),"X'inhu identifikatur tal-konnessjoni")</f>
        <v>X'inhu identifikatur tal-konnessjoni</v>
      </c>
    </row>
    <row r="17782" ht="15.75" customHeight="1">
      <c r="A17782" s="2" t="s">
        <v>17782</v>
      </c>
      <c r="B17782" s="2" t="str">
        <f>IFERROR(__xludf.DUMMYFUNCTION("GOOGLETRANSLATE(A17782, ""en"", ""mt"")"),"Missjunarji")</f>
        <v>Missjunarji</v>
      </c>
    </row>
    <row r="17783" ht="15.75" customHeight="1">
      <c r="A17783" s="2" t="s">
        <v>17783</v>
      </c>
      <c r="B17783" s="2" t="str">
        <f>IFERROR(__xludf.DUMMYFUNCTION("GOOGLETRANSLATE(A17783, ""en"", ""mt"")"),"Mużew Katyń")</f>
        <v>Mużew Katyń</v>
      </c>
    </row>
    <row r="17784" ht="15.75" customHeight="1">
      <c r="A17784" s="2" t="s">
        <v>17784</v>
      </c>
      <c r="B17784" s="2" t="str">
        <f>IFERROR(__xludf.DUMMYFUNCTION("GOOGLETRANSLATE(A17784, ""en"", ""mt"")"),"Min skopra dan u minn fejn ġew?")</f>
        <v>Min skopra dan u minn fejn ġew?</v>
      </c>
    </row>
    <row r="17785" ht="15.75" customHeight="1">
      <c r="A17785" s="2" t="s">
        <v>17785</v>
      </c>
      <c r="B17785" s="2" t="str">
        <f>IFERROR(__xludf.DUMMYFUNCTION("GOOGLETRANSLATE(A17785, ""en"", ""mt"")"),"X'hemm bżonn li jkun ikbar biex l-istess xogħol joħroġ minn fwar ta 'pressjoni aktar baxxa?")</f>
        <v>X'hemm bżonn li jkun ikbar biex l-istess xogħol joħroġ minn fwar ta 'pressjoni aktar baxxa?</v>
      </c>
    </row>
    <row r="17786" ht="15.75" customHeight="1">
      <c r="A17786" s="2" t="s">
        <v>17786</v>
      </c>
      <c r="B17786" s="2" t="str">
        <f>IFERROR(__xludf.DUMMYFUNCTION("GOOGLETRANSLATE(A17786, ""en"", ""mt"")"),"Louisiana fil-punent tax-xmara Mississippi")</f>
        <v>Louisiana fil-punent tax-xmara Mississippi</v>
      </c>
    </row>
    <row r="17787" ht="15.75" customHeight="1">
      <c r="A17787" s="2" t="s">
        <v>17787</v>
      </c>
      <c r="B17787" s="2" t="str">
        <f>IFERROR(__xludf.DUMMYFUNCTION("GOOGLETRANSLATE(A17787, ""en"", ""mt"")"),"Min kiteb li l-imperjalizmu huwa l-ogħla stadju tal-kapitaliżmu?")</f>
        <v>Min kiteb li l-imperjalizmu huwa l-ogħla stadju tal-kapitaliżmu?</v>
      </c>
    </row>
    <row r="17788" ht="15.75" customHeight="1">
      <c r="A17788" s="2" t="s">
        <v>17788</v>
      </c>
      <c r="B17788" s="2" t="str">
        <f>IFERROR(__xludf.DUMMYFUNCTION("GOOGLETRANSLATE(A17788, ""en"", ""mt"")"),"Fuq xiex kien ibbażat dejjem il-moviment liberu?")</f>
        <v>Fuq xiex kien ibbażat dejjem il-moviment liberu?</v>
      </c>
    </row>
    <row r="17789" ht="15.75" customHeight="1">
      <c r="A17789" s="2" t="s">
        <v>17789</v>
      </c>
      <c r="B17789" s="2" t="str">
        <f>IFERROR(__xludf.DUMMYFUNCTION("GOOGLETRANSLATE(A17789, ""en"", ""mt"")"),"In-negozju ppermetta lill-kumpaniji privati ​​jagħmlu dak")</f>
        <v>In-negozju ppermetta lill-kumpaniji privati ​​jagħmlu dak</v>
      </c>
    </row>
    <row r="17790" ht="15.75" customHeight="1">
      <c r="A17790" s="2" t="s">
        <v>17790</v>
      </c>
      <c r="B17790" s="2" t="str">
        <f>IFERROR(__xludf.DUMMYFUNCTION("GOOGLETRANSLATE(A17790, ""en"", ""mt"")"),"L-internet globali kien għajnuna ffinanzjata minn liema fondazzjoni?")</f>
        <v>L-internet globali kien għajnuna ffinanzjata minn liema fondazzjoni?</v>
      </c>
    </row>
    <row r="17791" ht="15.75" customHeight="1">
      <c r="A17791" s="2" t="s">
        <v>17791</v>
      </c>
      <c r="B17791" s="2" t="str">
        <f>IFERROR(__xludf.DUMMYFUNCTION("GOOGLETRANSLATE(A17791, ""en"", ""mt"")"),"Huma ""applikabbli direttament fl-istati membri kollha""")</f>
        <v>Huma "applikabbli direttament fl-istati membri kollha"</v>
      </c>
    </row>
    <row r="17792" ht="15.75" customHeight="1">
      <c r="A17792" s="2" t="s">
        <v>17792</v>
      </c>
      <c r="B17792" s="2" t="str">
        <f>IFERROR(__xludf.DUMMYFUNCTION("GOOGLETRANSLATE(A17792, ""en"", ""mt"")"),"Fejn huma Jersey u Guernsey")</f>
        <v>Fejn huma Jersey u Guernsey</v>
      </c>
    </row>
    <row r="17793" ht="15.75" customHeight="1">
      <c r="A17793" s="2" t="s">
        <v>17793</v>
      </c>
      <c r="B17793" s="2" t="str">
        <f>IFERROR(__xludf.DUMMYFUNCTION("GOOGLETRANSLATE(A17793, ""en"", ""mt"")"),"Iċ-ċiklu tal-ossiġnu")</f>
        <v>Iċ-ċiklu tal-ossiġnu</v>
      </c>
    </row>
    <row r="17794" ht="15.75" customHeight="1">
      <c r="A17794" s="2" t="s">
        <v>17794</v>
      </c>
      <c r="B17794" s="2" t="str">
        <f>IFERROR(__xludf.DUMMYFUNCTION("GOOGLETRANSLATE(A17794, ""en"", ""mt"")"),"Fejn ġew meqjusa ħut erbivori li jitimgħu fuq zooplankton ġelatinuż?")</f>
        <v>Fejn ġew meqjusa ħut erbivori li jitimgħu fuq zooplankton ġelatinuż?</v>
      </c>
    </row>
    <row r="17795" ht="15.75" customHeight="1">
      <c r="A17795" s="2" t="s">
        <v>17795</v>
      </c>
      <c r="B17795" s="2" t="str">
        <f>IFERROR(__xludf.DUMMYFUNCTION("GOOGLETRANSLATE(A17795, ""en"", ""mt"")"),"għajbien ta 'alleat qawwi u kontrapiż għall-espansjoni Ingliża")</f>
        <v>għajbien ta 'alleat qawwi u kontrapiż għall-espansjoni Ingliża</v>
      </c>
    </row>
    <row r="17796" ht="15.75" customHeight="1">
      <c r="A17796" s="2" t="s">
        <v>17796</v>
      </c>
      <c r="B17796" s="2" t="str">
        <f>IFERROR(__xludf.DUMMYFUNCTION("GOOGLETRANSLATE(A17796, ""en"", ""mt"")"),"X'inhi kwistjoni waħda li żżid mal-kumplessità ta 'xogħol ta' spiżjar?")</f>
        <v>X'inhi kwistjoni waħda li żżid mal-kumplessità ta 'xogħol ta' spiżjar?</v>
      </c>
    </row>
    <row r="17797" ht="15.75" customHeight="1">
      <c r="A17797" s="2" t="s">
        <v>17797</v>
      </c>
      <c r="B17797" s="2" t="str">
        <f>IFERROR(__xludf.DUMMYFUNCTION("GOOGLETRANSLATE(A17797, ""en"", ""mt"")"),"Liema annimal kultant jgħum fir-Renu?")</f>
        <v>Liema annimal kultant jgħum fir-Renu?</v>
      </c>
    </row>
    <row r="17798" ht="15.75" customHeight="1">
      <c r="A17798" s="2" t="s">
        <v>17798</v>
      </c>
      <c r="B17798" s="2" t="str">
        <f>IFERROR(__xludf.DUMMYFUNCTION("GOOGLETRANSLATE(A17798, ""en"", ""mt"")"),"Kemm speċi ta 'siġar jistgħu jinstabu fil-foresta tropikali tal-Amażonja?")</f>
        <v>Kemm speċi ta 'siġar jistgħu jinstabu fil-foresta tropikali tal-Amażonja?</v>
      </c>
    </row>
    <row r="17799" ht="15.75" customHeight="1">
      <c r="A17799" s="2" t="s">
        <v>17799</v>
      </c>
      <c r="B17799" s="2" t="str">
        <f>IFERROR(__xludf.DUMMYFUNCTION("GOOGLETRANSLATE(A17799, ""en"", ""mt"")"),"Stadtholder William III ta ’Orange, li aktar tard sar Re tal-Ingilterra, ħareġ bħala l-aktar avversarju b’saħħtu tar-Re Louis XIV wara li l-Franċiżi attakkaw ir-Repubblika Olandiża fl-1672. William ifforma l-Lega ta’ Augsburg bħala koalizzjoni biex toppon"&amp;"i lil Louis u l-istat Franċiż. Konsegwentement, ħafna Huguenots ikkunsidraw ir-Repubblika Olandiża sinjura u kalvinista, li wasslet lill-oppożizzjoni għal Louis XIV, bħala l-iktar pajjiż attraenti għall-eżilju wara r-revoka tal-editt ta 'Nantes. Huma sabu"&amp;" wkoll ħafna knejjes kalvinisti li jitkellmu bil-Franċiż hemmhekk.")</f>
        <v>Stadtholder William III ta ’Orange, li aktar tard sar Re tal-Ingilterra, ħareġ bħala l-aktar avversarju b’saħħtu tar-Re Louis XIV wara li l-Franċiżi attakkaw ir-Repubblika Olandiża fl-1672. William ifforma l-Lega ta’ Augsburg bħala koalizzjoni biex topponi lil Louis u l-istat Franċiż. Konsegwentement, ħafna Huguenots ikkunsidraw ir-Repubblika Olandiża sinjura u kalvinista, li wasslet lill-oppożizzjoni għal Louis XIV, bħala l-iktar pajjiż attraenti għall-eżilju wara r-revoka tal-editt ta 'Nantes. Huma sabu wkoll ħafna knejjes kalvinisti li jitkellmu bil-Franċiż hemmhekk.</v>
      </c>
    </row>
    <row r="17800" ht="15.75" customHeight="1">
      <c r="A17800" s="2" t="s">
        <v>17800</v>
      </c>
      <c r="B17800" s="2" t="str">
        <f>IFERROR(__xludf.DUMMYFUNCTION("GOOGLETRANSLATE(A17800, ""en"", ""mt"")"),"1973")</f>
        <v>1973</v>
      </c>
    </row>
    <row r="17801" ht="15.75" customHeight="1">
      <c r="A17801" s="2" t="s">
        <v>17801</v>
      </c>
      <c r="B17801" s="2" t="str">
        <f>IFERROR(__xludf.DUMMYFUNCTION("GOOGLETRANSLATE(A17801, ""en"", ""mt"")"),"is-seklu sittax")</f>
        <v>is-seklu sittax</v>
      </c>
    </row>
    <row r="17802" ht="15.75" customHeight="1">
      <c r="A17802" s="2" t="s">
        <v>17802</v>
      </c>
      <c r="B17802" s="2" t="str">
        <f>IFERROR(__xludf.DUMMYFUNCTION("GOOGLETRANSLATE(A17802, ""en"", ""mt"")"),"X'kien in-netwerk pubbliku Awstraljan X.75 operat minn Telstra?")</f>
        <v>X'kien in-netwerk pubbliku Awstraljan X.75 operat minn Telstra?</v>
      </c>
    </row>
    <row r="17803" ht="15.75" customHeight="1">
      <c r="A17803" s="2" t="s">
        <v>17803</v>
      </c>
      <c r="B17803" s="2" t="str">
        <f>IFERROR(__xludf.DUMMYFUNCTION("GOOGLETRANSLATE(A17803, ""en"", ""mt"")"),"X'ġara fl-iskejjel wara l-indipendenza Ċiniża fl-1957?")</f>
        <v>X'ġara fl-iskejjel wara l-indipendenza Ċiniża fl-1957?</v>
      </c>
    </row>
    <row r="17804" ht="15.75" customHeight="1">
      <c r="A17804" s="2" t="s">
        <v>17804</v>
      </c>
      <c r="B17804" s="2" t="str">
        <f>IFERROR(__xludf.DUMMYFUNCTION("GOOGLETRANSLATE(A17804, ""en"", ""mt"")"),"Numru ewlieni (jew prim) huwa numru naturali akbar minn 1 li m'għandux diviżor pożittiv minbarra 1 u nnifsu. Numru naturali akbar minn 1 li mhux numru ewlieni jissejjaħ numru kompost. Pereżempju, 5 hija primarja minħabba li 1 u 5 huma l-uniċi fatturi numr"&amp;"u sħiħ pożittiv tagħha, filwaqt li 6 huwa kompost minħabba li għandu d-diviżuri 2 u 3 minbarra 1 u 6. It-teorema fundamentali tal-aritmetika tistabbilixxi r-rwol ċentrali tal-primes fit-teorija tan-numri : Kull numru sħiħ akbar minn 1 jista 'jiġi espress "&amp;"bħala prodott ta' primes li huwa uniku biex tordna. L-uniċità f'dan it-teorema teħtieġ li tiġi eskluża 1 bħala prim minħabba li wieħed jista 'jinkludi b'mod arbitrarju ħafna każijiet ta' 1 fi kwalunkwe fatturizzazzjoni, e.g., 3, 1 · 3, 1 · 1 · 3, eċċ. Hum"&amp;"a kollha fatturi ta '3.")</f>
        <v>Numru ewlieni (jew prim) huwa numru naturali akbar minn 1 li m'għandux diviżor pożittiv minbarra 1 u nnifsu. Numru naturali akbar minn 1 li mhux numru ewlieni jissejjaħ numru kompost. Pereżempju, 5 hija primarja minħabba li 1 u 5 huma l-uniċi fatturi numru sħiħ pożittiv tagħha, filwaqt li 6 huwa kompost minħabba li għandu d-diviżuri 2 u 3 minbarra 1 u 6. It-teorema fundamentali tal-aritmetika tistabbilixxi r-rwol ċentrali tal-primes fit-teorija tan-numri : Kull numru sħiħ akbar minn 1 jista 'jiġi espress bħala prodott ta' primes li huwa uniku biex tordna. L-uniċità f'dan it-teorema teħtieġ li tiġi eskluża 1 bħala prim minħabba li wieħed jista 'jinkludi b'mod arbitrarju ħafna każijiet ta' 1 fi kwalunkwe fatturizzazzjoni, e.g., 3, 1 · 3, 1 · 1 · 3, eċċ. Huma kollha fatturi ta '3.</v>
      </c>
    </row>
    <row r="17805" ht="15.75" customHeight="1">
      <c r="A17805" s="2" t="s">
        <v>17805</v>
      </c>
      <c r="B17805" s="2" t="str">
        <f>IFERROR(__xludf.DUMMYFUNCTION("GOOGLETRANSLATE(A17805, ""en"", ""mt"")"),"Liema prinċipju jenfasizza s-sinifikat tan-numri reali?")</f>
        <v>Liema prinċipju jenfasizza s-sinifikat tan-numri reali?</v>
      </c>
    </row>
    <row r="17806" ht="15.75" customHeight="1">
      <c r="A17806" s="2" t="s">
        <v>17806</v>
      </c>
      <c r="B17806" s="2" t="str">
        <f>IFERROR(__xludf.DUMMYFUNCTION("GOOGLETRANSLATE(A17806, ""en"", ""mt"")"),"Jekk it-tkissir tal-liġi ma jsirx f'manor pubbliku mhuwiex ikkunsidrat liema terminu?")</f>
        <v>Jekk it-tkissir tal-liġi ma jsirx f'manor pubbliku mhuwiex ikkunsidrat liema terminu?</v>
      </c>
    </row>
    <row r="17807" ht="15.75" customHeight="1">
      <c r="A17807" s="2" t="s">
        <v>17807</v>
      </c>
      <c r="B17807" s="2" t="str">
        <f>IFERROR(__xludf.DUMMYFUNCTION("GOOGLETRANSLATE(A17807, ""en"", ""mt"")"),"It-Test tal-Primalità AKS")</f>
        <v>It-Test tal-Primalità AKS</v>
      </c>
    </row>
    <row r="17808" ht="15.75" customHeight="1">
      <c r="A17808" s="2" t="s">
        <v>17808</v>
      </c>
      <c r="B17808" s="2" t="str">
        <f>IFERROR(__xludf.DUMMYFUNCTION("GOOGLETRANSLATE(A17808, ""en"", ""mt"")"),"Algoritmu RSA")</f>
        <v>Algoritmu RSA</v>
      </c>
    </row>
    <row r="17809" ht="15.75" customHeight="1">
      <c r="A17809" s="2" t="s">
        <v>17809</v>
      </c>
      <c r="B17809" s="2" t="str">
        <f>IFERROR(__xludf.DUMMYFUNCTION("GOOGLETRANSLATE(A17809, ""en"", ""mt"")"),"Meta ħarġet it-tieni edizzjoni tal-ktieb ta 'Gasquet?")</f>
        <v>Meta ħarġet it-tieni edizzjoni tal-ktieb ta 'Gasquet?</v>
      </c>
    </row>
    <row r="17810" ht="15.75" customHeight="1">
      <c r="A17810" s="2" t="s">
        <v>17810</v>
      </c>
      <c r="B17810" s="2" t="str">
        <f>IFERROR(__xludf.DUMMYFUNCTION("GOOGLETRANSLATE(A17810, ""en"", ""mt"")"),"arbitrarju")</f>
        <v>arbitrarju</v>
      </c>
    </row>
    <row r="17811" ht="15.75" customHeight="1">
      <c r="A17811" s="2" t="s">
        <v>17811</v>
      </c>
      <c r="B17811" s="2" t="str">
        <f>IFERROR(__xludf.DUMMYFUNCTION("GOOGLETRANSLATE(A17811, ""en"", ""mt"")"),"Problema f'C hija iktar diffiċli minn x")</f>
        <v>Problema f'C hija iktar diffiċli minn x</v>
      </c>
    </row>
    <row r="17812" ht="15.75" customHeight="1">
      <c r="A17812" s="2" t="s">
        <v>17812</v>
      </c>
      <c r="B17812" s="2" t="str">
        <f>IFERROR(__xludf.DUMMYFUNCTION("GOOGLETRANSLATE(A17812, ""en"", ""mt"")"),"Kemm nies intilfu f'Alġers matul l-1620-21?")</f>
        <v>Kemm nies intilfu f'Alġers matul l-1620-21?</v>
      </c>
    </row>
    <row r="17813" ht="15.75" customHeight="1">
      <c r="A17813" s="2" t="s">
        <v>17813</v>
      </c>
      <c r="B17813" s="2" t="str">
        <f>IFERROR(__xludf.DUMMYFUNCTION("GOOGLETRANSLATE(A17813, ""en"", ""mt"")"),"X'tip ta 'edukazzjoni hija offruta fi skejjel pubbliċi fl-Awstralja?")</f>
        <v>X'tip ta 'edukazzjoni hija offruta fi skejjel pubbliċi fl-Awstralja?</v>
      </c>
    </row>
    <row r="17814" ht="15.75" customHeight="1">
      <c r="A17814" s="2" t="s">
        <v>17814</v>
      </c>
      <c r="B17814" s="2" t="str">
        <f>IFERROR(__xludf.DUMMYFUNCTION("GOOGLETRANSLATE(A17814, ""en"", ""mt"")"),"kull sitt xhur")</f>
        <v>kull sitt xhur</v>
      </c>
    </row>
    <row r="17815" ht="15.75" customHeight="1">
      <c r="A17815" s="2" t="s">
        <v>17815</v>
      </c>
      <c r="B17815" s="2" t="str">
        <f>IFERROR(__xludf.DUMMYFUNCTION("GOOGLETRANSLATE(A17815, ""en"", ""mt"")")," Għal xiex huma mfaħħra s-setgħat kolonjali?")</f>
        <v> Għal xiex huma mfaħħra s-setgħat kolonjali?</v>
      </c>
    </row>
    <row r="17816" ht="15.75" customHeight="1">
      <c r="A17816" s="2" t="s">
        <v>17816</v>
      </c>
      <c r="B17816" s="2" t="str">
        <f>IFERROR(__xludf.DUMMYFUNCTION("GOOGLETRANSLATE(A17816, ""en"", ""mt"")"),"Valley Rhine")</f>
        <v>Valley Rhine</v>
      </c>
    </row>
    <row r="17817" ht="15.75" customHeight="1">
      <c r="A17817" s="2" t="s">
        <v>17817</v>
      </c>
      <c r="B17817" s="2" t="str">
        <f>IFERROR(__xludf.DUMMYFUNCTION("GOOGLETRANSLATE(A17817, ""en"", ""mt"")"),"likwidu")</f>
        <v>likwidu</v>
      </c>
    </row>
    <row r="17818" ht="15.75" customHeight="1">
      <c r="A17818" s="2" t="s">
        <v>17818</v>
      </c>
      <c r="B17818" s="2" t="str">
        <f>IFERROR(__xludf.DUMMYFUNCTION("GOOGLETRANSLATE(A17818, ""en"", ""mt"")"),"X'inhu l-isem tal-aħħar epoka?")</f>
        <v>X'inhu l-isem tal-aħħar epoka?</v>
      </c>
    </row>
    <row r="17819" ht="15.75" customHeight="1">
      <c r="A17819" s="2" t="s">
        <v>17819</v>
      </c>
      <c r="B17819" s="2" t="str">
        <f>IFERROR(__xludf.DUMMYFUNCTION("GOOGLETRANSLATE(A17819, ""en"", ""mt"")"),"Territorju fil-lvant tal-Mississippi sal-Gran Brittanja")</f>
        <v>Territorju fil-lvant tal-Mississippi sal-Gran Brittanja</v>
      </c>
    </row>
    <row r="17820" ht="15.75" customHeight="1">
      <c r="A17820" s="2" t="s">
        <v>17820</v>
      </c>
      <c r="B17820" s="2" t="str">
        <f>IFERROR(__xludf.DUMMYFUNCTION("GOOGLETRANSLATE(A17820, ""en"", ""mt"")"),"biex iwaqqfu fond ta 'assigurazzjoni għall-impjegati biex jitolbu pagi mhux imħallsa jekk min iħaddem ikun marret għall-insolventi, kif kienet meħtieġa d-direttiva tal-protezzjoni ta' l-insolvenza")</f>
        <v>biex iwaqqfu fond ta 'assigurazzjoni għall-impjegati biex jitolbu pagi mhux imħallsa jekk min iħaddem ikun marret għall-insolventi, kif kienet meħtieġa d-direttiva tal-protezzjoni ta' l-insolvenza</v>
      </c>
    </row>
    <row r="17821" ht="15.75" customHeight="1">
      <c r="A17821" s="2" t="s">
        <v>17821</v>
      </c>
      <c r="B17821" s="2" t="str">
        <f>IFERROR(__xludf.DUMMYFUNCTION("GOOGLETRANSLATE(A17821, ""en"", ""mt"")"),"X'inhu l-isem ta 'kontinwazzjoni impressjonanti tat-test tal-primalità Fermat?")</f>
        <v>X'inhu l-isem ta 'kontinwazzjoni impressjonanti tat-test tal-primalità Fermat?</v>
      </c>
    </row>
    <row r="17822" ht="15.75" customHeight="1">
      <c r="A17822" s="2" t="s">
        <v>17822</v>
      </c>
      <c r="B17822" s="2" t="str">
        <f>IFERROR(__xludf.DUMMYFUNCTION("GOOGLETRANSLATE(A17822, ""en"", ""mt"")"),"L-obeżità, l-alkoħoliżmu, u l-użu tad-droga")</f>
        <v>L-obeżità, l-alkoħoliżmu, u l-użu tad-droga</v>
      </c>
    </row>
    <row r="17823" ht="15.75" customHeight="1">
      <c r="A17823" s="2" t="s">
        <v>17823</v>
      </c>
      <c r="B17823" s="2" t="str">
        <f>IFERROR(__xludf.DUMMYFUNCTION("GOOGLETRANSLATE(A17823, ""en"", ""mt"")"),"extra-legali")</f>
        <v>extra-legali</v>
      </c>
    </row>
    <row r="17824" ht="15.75" customHeight="1">
      <c r="A17824" s="2" t="s">
        <v>17824</v>
      </c>
      <c r="B17824" s="2" t="str">
        <f>IFERROR(__xludf.DUMMYFUNCTION("GOOGLETRANSLATE(A17824, ""en"", ""mt"")"),"Kif jissejjaħ meta patoġen jonfoq ħafna miċ-ċiklu tal-ħajja tiegħu barra miċ-ċelloli ospitanti?")</f>
        <v>Kif jissejjaħ meta patoġen jonfoq ħafna miċ-ċiklu tal-ħajja tiegħu barra miċ-ċelloli ospitanti?</v>
      </c>
    </row>
    <row r="17825" ht="15.75" customHeight="1">
      <c r="A17825" s="2" t="s">
        <v>17825</v>
      </c>
      <c r="B17825" s="2" t="str">
        <f>IFERROR(__xludf.DUMMYFUNCTION("GOOGLETRANSLATE(A17825, ""en"", ""mt"")"),"Għal xiex jipprova John Mayow li l-arja hija meħtieġa?")</f>
        <v>Għal xiex jipprova John Mayow li l-arja hija meħtieġa?</v>
      </c>
    </row>
    <row r="17826" ht="15.75" customHeight="1">
      <c r="A17826" s="2" t="s">
        <v>17826</v>
      </c>
      <c r="B17826" s="2" t="str">
        <f>IFERROR(__xludf.DUMMYFUNCTION("GOOGLETRANSLATE(A17826, ""en"", ""mt"")"),"Fejn tinsab il-ħalq fuq aboral?")</f>
        <v>Fejn tinsab il-ħalq fuq aboral?</v>
      </c>
    </row>
    <row r="17827" ht="15.75" customHeight="1">
      <c r="A17827" s="2" t="s">
        <v>17827</v>
      </c>
      <c r="B17827" s="2" t="str">
        <f>IFERROR(__xludf.DUMMYFUNCTION("GOOGLETRANSLATE(A17827, ""en"", ""mt"")"),"Id-diviżjoni tal-funzjonijiet u l-kompiti bejn l-ospiti fit-tarf tan-netwerk u l-qalba tan-netwerk.")</f>
        <v>Id-diviżjoni tal-funzjonijiet u l-kompiti bejn l-ospiti fit-tarf tan-netwerk u l-qalba tan-netwerk.</v>
      </c>
    </row>
    <row r="17828" ht="15.75" customHeight="1">
      <c r="A17828" s="2" t="s">
        <v>17828</v>
      </c>
      <c r="B17828" s="2" t="str">
        <f>IFERROR(__xludf.DUMMYFUNCTION("GOOGLETRANSLATE(A17828, ""en"", ""mt"")"),"Ipproponi firxa ta 'figuri ta' popolazzjoni preinententi minn 7 miljun sa baxx daqs 4 miljun")</f>
        <v>Ipproponi firxa ta 'figuri ta' popolazzjoni preinententi minn 7 miljun sa baxx daqs 4 miljun</v>
      </c>
    </row>
    <row r="17829" ht="15.75" customHeight="1">
      <c r="A17829" s="2" t="s">
        <v>17829</v>
      </c>
      <c r="B17829" s="2" t="str">
        <f>IFERROR(__xludf.DUMMYFUNCTION("GOOGLETRANSLATE(A17829, ""en"", ""mt"")"),"Belt tal-Ubii")</f>
        <v>Belt tal-Ubii</v>
      </c>
    </row>
    <row r="17830" ht="15.75" customHeight="1">
      <c r="A17830" s="2" t="s">
        <v>17830</v>
      </c>
      <c r="B17830" s="2" t="str">
        <f>IFERROR(__xludf.DUMMYFUNCTION("GOOGLETRANSLATE(A17830, ""en"", ""mt"")"),"Biex tikkalkula l-aċċellerazzjoni angolari immedjata ta 'korp riġidu x'għandek tuża?")</f>
        <v>Biex tikkalkula l-aċċellerazzjoni angolari immedjata ta 'korp riġidu x'għandek tuża?</v>
      </c>
    </row>
    <row r="17831" ht="15.75" customHeight="1">
      <c r="A17831" s="2" t="s">
        <v>17831</v>
      </c>
      <c r="B17831" s="2" t="str">
        <f>IFERROR(__xludf.DUMMYFUNCTION("GOOGLETRANSLATE(A17831, ""en"", ""mt"")"),"Min issuġġerixxa li l-investigazzjoni kienet leġittima?")</f>
        <v>Min issuġġerixxa li l-investigazzjoni kienet leġittima?</v>
      </c>
    </row>
    <row r="17832" ht="15.75" customHeight="1">
      <c r="A17832" s="2" t="s">
        <v>17832</v>
      </c>
      <c r="B17832" s="2" t="str">
        <f>IFERROR(__xludf.DUMMYFUNCTION("GOOGLETRANSLATE(A17832, ""en"", ""mt"")"),"Liema proklamazzjoni aboliet il-Protestantiżmu fi Franza?")</f>
        <v>Liema proklamazzjoni aboliet il-Protestantiżmu fi Franza?</v>
      </c>
    </row>
    <row r="17833" ht="15.75" customHeight="1">
      <c r="A17833" s="2" t="s">
        <v>17833</v>
      </c>
      <c r="B17833" s="2" t="str">
        <f>IFERROR(__xludf.DUMMYFUNCTION("GOOGLETRANSLATE(A17833, ""en"", ""mt"")"),"Min id-differenza fil-pagi bejn is-sessi tipprovdi vantaġġ?")</f>
        <v>Min id-differenza fil-pagi bejn is-sessi tipprovdi vantaġġ?</v>
      </c>
    </row>
    <row r="17834" ht="15.75" customHeight="1">
      <c r="A17834" s="2" t="s">
        <v>17834</v>
      </c>
      <c r="B17834" s="2" t="str">
        <f>IFERROR(__xludf.DUMMYFUNCTION("GOOGLETRANSLATE(A17834, ""en"", ""mt"")"),"X'inhu jinsab f'intestatura kbira tal-pakkett?")</f>
        <v>X'inhu jinsab f'intestatura kbira tal-pakkett?</v>
      </c>
    </row>
    <row r="17835" ht="15.75" customHeight="1">
      <c r="A17835" s="2" t="s">
        <v>17835</v>
      </c>
      <c r="B17835" s="2" t="str">
        <f>IFERROR(__xludf.DUMMYFUNCTION("GOOGLETRANSLATE(A17835, ""en"", ""mt"")"),"X'inhu rekwiżit ta 'spiżeriji onlajn li joħorġu mediċini mingħajr riċetta?")</f>
        <v>X'inhu rekwiżit ta 'spiżeriji onlajn li joħorġu mediċini mingħajr riċetta?</v>
      </c>
    </row>
    <row r="17836" ht="15.75" customHeight="1">
      <c r="A17836" s="2" t="s">
        <v>17836</v>
      </c>
      <c r="B17836" s="2" t="str">
        <f>IFERROR(__xludf.DUMMYFUNCTION("GOOGLETRANSLATE(A17836, ""en"", ""mt"")"),"Lucas - Lehmer")</f>
        <v>Lucas - Lehmer</v>
      </c>
    </row>
    <row r="17837" ht="15.75" customHeight="1">
      <c r="A17837" s="2" t="s">
        <v>17837</v>
      </c>
      <c r="B17837" s="2" t="str">
        <f>IFERROR(__xludf.DUMMYFUNCTION("GOOGLETRANSLATE(A17837, ""en"", ""mt"")"),"kwistjonijiet li jistgħu jkunu ta 'interess għal qasam partikolari bħal kostitwenza ta' membru stess")</f>
        <v>kwistjonijiet li jistgħu jkunu ta 'interess għal qasam partikolari bħal kostitwenza ta' membru stess</v>
      </c>
    </row>
    <row r="17838" ht="15.75" customHeight="1">
      <c r="A17838" s="2" t="s">
        <v>17838</v>
      </c>
      <c r="B17838" s="2" t="str">
        <f>IFERROR(__xludf.DUMMYFUNCTION("GOOGLETRANSLATE(A17838, ""en"", ""mt"")"),"Liema Senatur kien avukat qawwi għall-Att Pico?")</f>
        <v>Liema Senatur kien avukat qawwi għall-Att Pico?</v>
      </c>
    </row>
    <row r="17839" ht="15.75" customHeight="1">
      <c r="A17839" s="2" t="s">
        <v>17839</v>
      </c>
      <c r="B17839" s="2" t="str">
        <f>IFERROR(__xludf.DUMMYFUNCTION("GOOGLETRANSLATE(A17839, ""en"", ""mt"")"),"Imperjali")</f>
        <v>Imperjali</v>
      </c>
    </row>
    <row r="17840" ht="15.75" customHeight="1">
      <c r="A17840" s="2" t="s">
        <v>17840</v>
      </c>
      <c r="B17840" s="2" t="str">
        <f>IFERROR(__xludf.DUMMYFUNCTION("GOOGLETRANSLATE(A17840, ""en"", ""mt"")"),"Liema komposti fl-istonku jipproteġu kontra patoġeni inġeriti?")</f>
        <v>Liema komposti fl-istonku jipproteġu kontra patoġeni inġeriti?</v>
      </c>
    </row>
    <row r="17841" ht="15.75" customHeight="1">
      <c r="A17841" s="2" t="s">
        <v>17841</v>
      </c>
      <c r="B17841" s="2" t="str">
        <f>IFERROR(__xludf.DUMMYFUNCTION("GOOGLETRANSLATE(A17841, ""en"", ""mt"")"),"Kontijiet")</f>
        <v>Kontijiet</v>
      </c>
    </row>
    <row r="17842" ht="15.75" customHeight="1">
      <c r="A17842" s="2" t="s">
        <v>17842</v>
      </c>
      <c r="B17842" s="2" t="str">
        <f>IFERROR(__xludf.DUMMYFUNCTION("GOOGLETRANSLATE(A17842, ""en"", ""mt"")"),"F’liema xahar fl-1349 waslet it-tieni mewġa tal-pesta?")</f>
        <v>F’liema xahar fl-1349 waslet it-tieni mewġa tal-pesta?</v>
      </c>
    </row>
    <row r="17843" ht="15.75" customHeight="1">
      <c r="A17843" s="2" t="s">
        <v>17843</v>
      </c>
      <c r="B17843" s="2" t="str">
        <f>IFERROR(__xludf.DUMMYFUNCTION("GOOGLETRANSLATE(A17843, ""en"", ""mt"")"),"Għal xiex tispikka l-akronimu Fiss?")</f>
        <v>Għal xiex tispikka l-akronimu Fiss?</v>
      </c>
    </row>
    <row r="17844" ht="15.75" customHeight="1">
      <c r="A17844" s="2" t="s">
        <v>17844</v>
      </c>
      <c r="B17844" s="2" t="str">
        <f>IFERROR(__xludf.DUMMYFUNCTION("GOOGLETRANSLATE(A17844, ""en"", ""mt"")"),"Moviment tal-fwar avvanzat")</f>
        <v>Moviment tal-fwar avvanzat</v>
      </c>
    </row>
    <row r="17845" ht="15.75" customHeight="1">
      <c r="A17845" s="2" t="s">
        <v>17845</v>
      </c>
      <c r="B17845" s="2" t="str">
        <f>IFERROR(__xludf.DUMMYFUNCTION("GOOGLETRANSLATE(A17845, ""en"", ""mt"")"),"Bijomassa")</f>
        <v>Bijomassa</v>
      </c>
    </row>
    <row r="17846" ht="15.75" customHeight="1">
      <c r="A17846" s="2" t="s">
        <v>17846</v>
      </c>
      <c r="B17846" s="2" t="str">
        <f>IFERROR(__xludf.DUMMYFUNCTION("GOOGLETRANSLATE(A17846, ""en"", ""mt"")"),"permezz tat-tankijiet tas-saborra tal-vapuri")</f>
        <v>permezz tat-tankijiet tas-saborra tal-vapuri</v>
      </c>
    </row>
    <row r="17847" ht="15.75" customHeight="1">
      <c r="A17847" s="2" t="s">
        <v>17847</v>
      </c>
      <c r="B17847" s="2" t="str">
        <f>IFERROR(__xludf.DUMMYFUNCTION("GOOGLETRANSLATE(A17847, ""en"", ""mt"")"),"X'inhuma l-eċċezzjonijiet fil-kostituzzjonijiet li jaqgħu taħt ir-responsabbiltà tal-istat?")</f>
        <v>X'inhuma l-eċċezzjonijiet fil-kostituzzjonijiet li jaqgħu taħt ir-responsabbiltà tal-istat?</v>
      </c>
    </row>
    <row r="17848" ht="15.75" customHeight="1">
      <c r="A17848" s="2" t="s">
        <v>17848</v>
      </c>
      <c r="B17848" s="2" t="str">
        <f>IFERROR(__xludf.DUMMYFUNCTION("GOOGLETRANSLATE(A17848, ""en"", ""mt"")"),"fi bliet reġjonali")</f>
        <v>fi bliet reġjonali</v>
      </c>
    </row>
    <row r="17849" ht="15.75" customHeight="1">
      <c r="A17849" s="2" t="s">
        <v>17849</v>
      </c>
      <c r="B17849" s="2" t="str">
        <f>IFERROR(__xludf.DUMMYFUNCTION("GOOGLETRANSLATE(A17849, ""en"", ""mt"")"),"Fejn tnixxi l-fergħa IJSSEL?")</f>
        <v>Fejn tnixxi l-fergħa IJSSEL?</v>
      </c>
    </row>
    <row r="17850" ht="15.75" customHeight="1">
      <c r="A17850" s="2" t="s">
        <v>17850</v>
      </c>
      <c r="B17850" s="2" t="str">
        <f>IFERROR(__xludf.DUMMYFUNCTION("GOOGLETRANSLATE(A17850, ""en"", ""mt"")"),"NP-Complete Klaptack")</f>
        <v>NP-Complete Klaptack</v>
      </c>
    </row>
    <row r="17851" ht="15.75" customHeight="1">
      <c r="A17851" s="2" t="s">
        <v>17851</v>
      </c>
      <c r="B17851" s="2" t="str">
        <f>IFERROR(__xludf.DUMMYFUNCTION("GOOGLETRANSLATE(A17851, ""en"", ""mt"")"),"Liema ajruporti kummerċjali ewlenin jinsabu f'Los Angeles?")</f>
        <v>Liema ajruporti kummerċjali ewlenin jinsabu f'Los Angeles?</v>
      </c>
    </row>
    <row r="17852" ht="15.75" customHeight="1">
      <c r="A17852" s="2" t="s">
        <v>17852</v>
      </c>
      <c r="B17852" s="2" t="str">
        <f>IFERROR(__xludf.DUMMYFUNCTION("GOOGLETRANSLATE(A17852, ""en"", ""mt"")"),"li jirriflettu kontribuzzjonijiet individwali")</f>
        <v>li jirriflettu kontribuzzjonijiet individwali</v>
      </c>
    </row>
    <row r="17853" ht="15.75" customHeight="1">
      <c r="A17853" s="2" t="s">
        <v>17853</v>
      </c>
      <c r="B17853" s="2" t="str">
        <f>IFERROR(__xludf.DUMMYFUNCTION("GOOGLETRANSLATE(A17853, ""en"", ""mt"")"),"Xi jfisser ""Villes de Surete"" li jittraduċi bl-Ingliż?")</f>
        <v>Xi jfisser "Villes de Surete" li jittraduċi bl-Ingliż?</v>
      </c>
    </row>
    <row r="17854" ht="15.75" customHeight="1">
      <c r="A17854" s="2" t="s">
        <v>17854</v>
      </c>
      <c r="B17854" s="2" t="str">
        <f>IFERROR(__xludf.DUMMYFUNCTION("GOOGLETRANSLATE(A17854, ""en"", ""mt"")"),"Fresno")</f>
        <v>Fresno</v>
      </c>
    </row>
    <row r="17855" ht="15.75" customHeight="1">
      <c r="A17855" s="2" t="s">
        <v>17855</v>
      </c>
      <c r="B17855" s="2" t="str">
        <f>IFERROR(__xludf.DUMMYFUNCTION("GOOGLETRANSLATE(A17855, ""en"", ""mt"")"),"Vγ9 / Vδ2")</f>
        <v>Vγ9 / Vδ2</v>
      </c>
    </row>
    <row r="17856" ht="15.75" customHeight="1">
      <c r="A17856" s="2" t="s">
        <v>17856</v>
      </c>
      <c r="B17856" s="2" t="str">
        <f>IFERROR(__xludf.DUMMYFUNCTION("GOOGLETRANSLATE(A17856, ""en"", ""mt"")"),"Liema ittra ta 'Washington ippreżentat lil Saint-Pierre?")</f>
        <v>Liema ittra ta 'Washington ippreżentat lil Saint-Pierre?</v>
      </c>
    </row>
    <row r="17857" ht="15.75" customHeight="1">
      <c r="A17857" s="2" t="s">
        <v>17857</v>
      </c>
      <c r="B17857" s="2" t="str">
        <f>IFERROR(__xludf.DUMMYFUNCTION("GOOGLETRANSLATE(A17857, ""en"", ""mt"")"),"Kif kienet imsejħa l-kriżi taż-żejt")</f>
        <v>Kif kienet imsejħa l-kriżi taż-żejt</v>
      </c>
    </row>
    <row r="17858" ht="15.75" customHeight="1">
      <c r="A17858" s="2" t="s">
        <v>17858</v>
      </c>
      <c r="B17858" s="2" t="str">
        <f>IFERROR(__xludf.DUMMYFUNCTION("GOOGLETRANSLATE(A17858, ""en"", ""mt"")"),"Il-premier tar-Rabat huwa l-mexxej tal-partit politiku jew tal-koalizzjoni bl-iktar siġġijiet fl-Assemblea Leġiżlattiva. Il-premier huwa l-wiċċ pubbliku tal-gvern u, bil-kabinett, jistabbilixxi l-aġenda leġiżlattiva u politika. Il-Kabinett jikkonsisti min"&amp;"n rappreżentanti eletti għal kull Kamra tal-Parlament. Huwa responsabbli għall-immaniġġjar ta 'oqsma ta' gvern li mhumiex esklussivament il-Commonwealth, mill-Kostituzzjoni Awstraljana, bħall-edukazzjoni, is-saħħa u l-infurzar tal-liġi. Il-premier attwali"&amp;" tar-Rabat huwa Daniel Andrews.")</f>
        <v>Il-premier tar-Rabat huwa l-mexxej tal-partit politiku jew tal-koalizzjoni bl-iktar siġġijiet fl-Assemblea Leġiżlattiva. Il-premier huwa l-wiċċ pubbliku tal-gvern u, bil-kabinett, jistabbilixxi l-aġenda leġiżlattiva u politika. Il-Kabinett jikkonsisti minn rappreżentanti eletti għal kull Kamra tal-Parlament. Huwa responsabbli għall-immaniġġjar ta 'oqsma ta' gvern li mhumiex esklussivament il-Commonwealth, mill-Kostituzzjoni Awstraljana, bħall-edukazzjoni, is-saħħa u l-infurzar tal-liġi. Il-premier attwali tar-Rabat huwa Daniel Andrews.</v>
      </c>
    </row>
    <row r="17859" ht="15.75" customHeight="1">
      <c r="A17859" s="2" t="s">
        <v>17859</v>
      </c>
      <c r="B17859" s="2" t="str">
        <f>IFERROR(__xludf.DUMMYFUNCTION("GOOGLETRANSLATE(A17859, ""en"", ""mt"")"),"is-seine")</f>
        <v>is-seine</v>
      </c>
    </row>
    <row r="17860" ht="15.75" customHeight="1">
      <c r="A17860" s="2" t="s">
        <v>17860</v>
      </c>
      <c r="B17860" s="2" t="str">
        <f>IFERROR(__xludf.DUMMYFUNCTION("GOOGLETRANSLATE(A17860, ""en"", ""mt"")"),"sustanzi mhux kombustibbli li jissaddad")</f>
        <v>sustanzi mhux kombustibbli li jissaddad</v>
      </c>
    </row>
    <row r="17861" ht="15.75" customHeight="1">
      <c r="A17861" s="2" t="s">
        <v>17861</v>
      </c>
      <c r="B17861" s="2" t="str">
        <f>IFERROR(__xludf.DUMMYFUNCTION("GOOGLETRANSLATE(A17861, ""en"", ""mt"")"),"X'kien l-isem tal-kolonja ta 'Florida Huguenot?")</f>
        <v>X'kien l-isem tal-kolonja ta 'Florida Huguenot?</v>
      </c>
    </row>
    <row r="17862" ht="15.75" customHeight="1">
      <c r="A17862" s="2" t="s">
        <v>17862</v>
      </c>
      <c r="B17862" s="2" t="str">
        <f>IFERROR(__xludf.DUMMYFUNCTION("GOOGLETRANSLATE(A17862, ""en"", ""mt"")"),"F'liema sena twaqqfet Kaffa?")</f>
        <v>F'liema sena twaqqfet Kaffa?</v>
      </c>
    </row>
    <row r="17863" ht="15.75" customHeight="1">
      <c r="A17863" s="2" t="s">
        <v>17863</v>
      </c>
      <c r="B17863" s="2" t="str">
        <f>IFERROR(__xludf.DUMMYFUNCTION("GOOGLETRANSLATE(A17863, ""en"", ""mt"")"),"Robert Zimmer")</f>
        <v>Robert Zimmer</v>
      </c>
    </row>
    <row r="17864" ht="15.75" customHeight="1">
      <c r="A17864" s="2" t="s">
        <v>17864</v>
      </c>
      <c r="B17864" s="2" t="str">
        <f>IFERROR(__xludf.DUMMYFUNCTION("GOOGLETRANSLATE(A17864, ""en"", ""mt"")"),"Kolorazzjoni kemmxejn qawwija ""kolonjali""")</f>
        <v>Kolorazzjoni kemmxejn qawwija "kolonjali"</v>
      </c>
    </row>
    <row r="17865" ht="15.75" customHeight="1">
      <c r="A17865" s="2" t="s">
        <v>17865</v>
      </c>
      <c r="B17865" s="2" t="str">
        <f>IFERROR(__xludf.DUMMYFUNCTION("GOOGLETRANSLATE(A17865, ""en"", ""mt"")"),"Liema belt għandha distretti mingħajr drittijiet POWIAT?")</f>
        <v>Liema belt għandha distretti mingħajr drittijiet POWIAT?</v>
      </c>
    </row>
    <row r="17866" ht="15.75" customHeight="1">
      <c r="A17866" s="2" t="s">
        <v>17866</v>
      </c>
      <c r="B17866" s="2" t="str">
        <f>IFERROR(__xludf.DUMMYFUNCTION("GOOGLETRANSLATE(A17866, ""en"", ""mt"")"),"X'qed jiġri għan-numru ta 'skejjel tal-gvern fl-Indja rurali?")</f>
        <v>X'qed jiġri għan-numru ta 'skejjel tal-gvern fl-Indja rurali?</v>
      </c>
    </row>
    <row r="17867" ht="15.75" customHeight="1">
      <c r="A17867" s="2" t="s">
        <v>17867</v>
      </c>
      <c r="B17867" s="2" t="str">
        <f>IFERROR(__xludf.DUMMYFUNCTION("GOOGLETRANSLATE(A17867, ""en"", ""mt"")"),"X'inhuma żewġ metodi għall-identifikazzjoni ta 'dawl polarizzat mill-pjan fil-laboratorju?")</f>
        <v>X'inhuma żewġ metodi għall-identifikazzjoni ta 'dawl polarizzat mill-pjan fil-laboratorju?</v>
      </c>
    </row>
    <row r="17868" ht="15.75" customHeight="1">
      <c r="A17868" s="2" t="s">
        <v>17868</v>
      </c>
      <c r="B17868" s="2" t="str">
        <f>IFERROR(__xludf.DUMMYFUNCTION("GOOGLETRANSLATE(A17868, ""en"", ""mt"")"),"Min argumenta talli inkluda l-graff fir-rapport finali?")</f>
        <v>Min argumenta talli inkluda l-graff fir-rapport finali?</v>
      </c>
    </row>
    <row r="17869" ht="15.75" customHeight="1">
      <c r="A17869" s="2" t="s">
        <v>17869</v>
      </c>
      <c r="B17869" s="2" t="str">
        <f>IFERROR(__xludf.DUMMYFUNCTION("GOOGLETRANSLATE(A17869, ""en"", ""mt"")"),"X'kienu tnejn mill-isbaħ bini arkitettoniku ta 'Fresno li issa huma mwaqqa'?")</f>
        <v>X'kienu tnejn mill-isbaħ bini arkitettoniku ta 'Fresno li issa huma mwaqqa'?</v>
      </c>
    </row>
    <row r="17870" ht="15.75" customHeight="1">
      <c r="A17870" s="2" t="s">
        <v>17870</v>
      </c>
      <c r="B17870" s="2" t="str">
        <f>IFERROR(__xludf.DUMMYFUNCTION("GOOGLETRANSLATE(A17870, ""en"", ""mt"")"),"aħdar")</f>
        <v>aħdar</v>
      </c>
    </row>
    <row r="17871" ht="15.75" customHeight="1">
      <c r="A17871" s="2" t="s">
        <v>17871</v>
      </c>
      <c r="B17871" s="2" t="str">
        <f>IFERROR(__xludf.DUMMYFUNCTION("GOOGLETRANSLATE(A17871, ""en"", ""mt"")"),"L-Enerġija tad-Dawl tax-Xemx")</f>
        <v>L-Enerġija tad-Dawl tax-Xemx</v>
      </c>
    </row>
    <row r="17872" ht="15.75" customHeight="1">
      <c r="A17872" s="2" t="s">
        <v>17872</v>
      </c>
      <c r="B17872" s="2" t="str">
        <f>IFERROR(__xludf.DUMMYFUNCTION("GOOGLETRANSLATE(A17872, ""en"", ""mt"")"),"Kemm hemm appoġġ għall-approċċ tal-Istati Uniti għall-iżvilupp ekonomiku?")</f>
        <v>Kemm hemm appoġġ għall-approċċ tal-Istati Uniti għall-iżvilupp ekonomiku?</v>
      </c>
    </row>
    <row r="17873" ht="15.75" customHeight="1">
      <c r="A17873" s="2" t="s">
        <v>17873</v>
      </c>
      <c r="B17873" s="2" t="str">
        <f>IFERROR(__xludf.DUMMYFUNCTION("GOOGLETRANSLATE(A17873, ""en"", ""mt"")"),"Jacksonville, bħall-biċċa l-kbira tal-bliet kbar fl-Istati Uniti, sofra minn effetti negattivi ta 'tifrix urban rapidu wara t-Tieni Gwerra Dinjija. Il-kostruzzjoni ta 'awtostradi wasslu lir-residenti biex imorru għal akkomodazzjoni aktar ġdida fis-subborg"&amp;"i. Wara t-Tieni Gwerra Dinjija, il-gvern tal-belt ta 'Jacksonville beda jżid l-infiq biex jiffinanzja proġetti ġodda ta' bini pubbliku fil-boom li seħħ wara l-gwerra. L-istorja tas-Sindku W. Haydon Burns ta ’Jacksonville irriżultat fil-kostruzzjoni ta’ Ci"&amp;"ty Hall, awditorju ċiviku, librerija pubblika u proġetti oħra li ħolqu sens dinamiku ta ’kburija ċivika. Madankollu, l-iżvilupp ta 'subborgi u mewġa sussegwenti ta' klassi tan-nofs ""titjira bajda"" ħallew lil Jacksonville b'popolazzjoni ferm aktar fqira "&amp;"minn qabel. Il-grupp etniku l-iktar popolat tal-belt, mhux Spanjol White, naqas minn 75.8% fl-1970 għal 55.1% sal-2010.")</f>
        <v>Jacksonville, bħall-biċċa l-kbira tal-bliet kbar fl-Istati Uniti, sofra minn effetti negattivi ta 'tifrix urban rapidu wara t-Tieni Gwerra Dinjija. Il-kostruzzjoni ta 'awtostradi wasslu lir-residenti biex imorru għal akkomodazzjoni aktar ġdida fis-subborgi. Wara t-Tieni Gwerra Dinjija, il-gvern tal-belt ta 'Jacksonville beda jżid l-infiq biex jiffinanzja proġetti ġodda ta' bini pubbliku fil-boom li seħħ wara l-gwerra. L-istorja tas-Sindku W. Haydon Burns ta ’Jacksonville irriżultat fil-kostruzzjoni ta’ City Hall, awditorju ċiviku, librerija pubblika u proġetti oħra li ħolqu sens dinamiku ta ’kburija ċivika. Madankollu, l-iżvilupp ta 'subborgi u mewġa sussegwenti ta' klassi tan-nofs "titjira bajda" ħallew lil Jacksonville b'popolazzjoni ferm aktar fqira minn qabel. Il-grupp etniku l-iktar popolat tal-belt, mhux Spanjol White, naqas minn 75.8% fl-1970 għal 55.1% sal-2010.</v>
      </c>
    </row>
    <row r="17874" ht="15.75" customHeight="1">
      <c r="A17874" s="2" t="s">
        <v>17874</v>
      </c>
      <c r="B17874" s="2" t="str">
        <f>IFERROR(__xludf.DUMMYFUNCTION("GOOGLETRANSLATE(A17874, ""en"", ""mt"")"),"kombinazzjoni ta 'ġestjoni fqira, diviżjonijiet interni, u scouts Kanadiżi effettivi, forzi regolari Franċiżi, u alleati tal-gwerriera Indjani")</f>
        <v>kombinazzjoni ta 'ġestjoni fqira, diviżjonijiet interni, u scouts Kanadiżi effettivi, forzi regolari Franċiżi, u alleati tal-gwerriera Indjani</v>
      </c>
    </row>
    <row r="17875" ht="15.75" customHeight="1">
      <c r="A17875" s="2" t="s">
        <v>17875</v>
      </c>
      <c r="B17875" s="2" t="str">
        <f>IFERROR(__xludf.DUMMYFUNCTION("GOOGLETRANSLATE(A17875, ""en"", ""mt"")"),"motivazzjonijiet ""push""")</f>
        <v>motivazzjonijiet "push"</v>
      </c>
    </row>
    <row r="17876" ht="15.75" customHeight="1">
      <c r="A17876" s="2" t="s">
        <v>17876</v>
      </c>
      <c r="B17876" s="2" t="str">
        <f>IFERROR(__xludf.DUMMYFUNCTION("GOOGLETRANSLATE(A17876, ""en"", ""mt"")"),"QUTB")</f>
        <v>QUTB</v>
      </c>
    </row>
    <row r="17877" ht="15.75" customHeight="1">
      <c r="A17877" s="2" t="s">
        <v>17877</v>
      </c>
      <c r="B17877" s="2" t="str">
        <f>IFERROR(__xludf.DUMMYFUNCTION("GOOGLETRANSLATE(A17877, ""en"", ""mt"")"),"l-armata u l-popolazzjoni")</f>
        <v>l-armata u l-popolazzjoni</v>
      </c>
    </row>
    <row r="17878" ht="15.75" customHeight="1">
      <c r="A17878" s="2" t="s">
        <v>17878</v>
      </c>
      <c r="B17878" s="2" t="str">
        <f>IFERROR(__xludf.DUMMYFUNCTION("GOOGLETRANSLATE(A17878, ""en"", ""mt"")"),"Nofs il-popolazzjoni ta 'Pariġi ta' 100,000 persuna")</f>
        <v>Nofs il-popolazzjoni ta 'Pariġi ta' 100,000 persuna</v>
      </c>
    </row>
    <row r="17879" ht="15.75" customHeight="1">
      <c r="A17879" s="2" t="s">
        <v>17879</v>
      </c>
      <c r="B17879" s="2" t="str">
        <f>IFERROR(__xludf.DUMMYFUNCTION("GOOGLETRANSLATE(A17879, ""en"", ""mt"")"),"Min hu responsabbli biex imexxi l-programm nazzjonali tal-inventarji tal-gass serra?")</f>
        <v>Min hu responsabbli biex imexxi l-programm nazzjonali tal-inventarji tal-gass serra?</v>
      </c>
    </row>
    <row r="17880" ht="15.75" customHeight="1">
      <c r="A17880" s="2" t="s">
        <v>17880</v>
      </c>
      <c r="B17880" s="2" t="str">
        <f>IFERROR(__xludf.DUMMYFUNCTION("GOOGLETRANSLATE(A17880, ""en"", ""mt"")"),"Serje ta 'strajkijiet minn minaturi tal-faħam u ħaddiema tal-ferrovija")</f>
        <v>Serje ta 'strajkijiet minn minaturi tal-faħam u ħaddiema tal-ferrovija</v>
      </c>
    </row>
    <row r="17881" ht="15.75" customHeight="1">
      <c r="A17881" s="2" t="s">
        <v>17881</v>
      </c>
      <c r="B17881" s="2" t="str">
        <f>IFERROR(__xludf.DUMMYFUNCTION("GOOGLETRANSLATE(A17881, ""en"", ""mt"")"),"Liema organizzazzjoni kienet responsabbli biex twaqqaf l-IPCC?")</f>
        <v>Liema organizzazzjoni kienet responsabbli biex twaqqaf l-IPCC?</v>
      </c>
    </row>
    <row r="17882" ht="15.75" customHeight="1">
      <c r="A17882" s="2" t="s">
        <v>17882</v>
      </c>
      <c r="B17882" s="2" t="str">
        <f>IFERROR(__xludf.DUMMYFUNCTION("GOOGLETRANSLATE(A17882, ""en"", ""mt"")"),"Fl-iktar sens bażiku x’tagħmel magna tat-Turing?")</f>
        <v>Fl-iktar sens bażiku x’tagħmel magna tat-Turing?</v>
      </c>
    </row>
    <row r="17883" ht="15.75" customHeight="1">
      <c r="A17883" s="2" t="s">
        <v>17883</v>
      </c>
      <c r="B17883" s="2" t="str">
        <f>IFERROR(__xludf.DUMMYFUNCTION("GOOGLETRANSLATE(A17883, ""en"", ""mt"")"),"L-isem ma kienx korrett")</f>
        <v>L-isem ma kienx korrett</v>
      </c>
    </row>
    <row r="17884" ht="15.75" customHeight="1">
      <c r="A17884" s="2" t="s">
        <v>17884</v>
      </c>
      <c r="B17884" s="2" t="str">
        <f>IFERROR(__xludf.DUMMYFUNCTION("GOOGLETRANSLATE(A17884, ""en"", ""mt"")"),"minn dawk li jħossu li t-tobba biss jistgħu jivvalutaw b'mod affidabbli l-kontraindikazzjonijiet, il-proporzjonijiet tar-riskju / benefiċċju, u l-adegwatezza ġenerali ta 'individwu għall-użu ta' medikazzjoni")</f>
        <v>minn dawk li jħossu li t-tobba biss jistgħu jivvalutaw b'mod affidabbli l-kontraindikazzjonijiet, il-proporzjonijiet tar-riskju / benefiċċju, u l-adegwatezza ġenerali ta 'individwu għall-użu ta' medikazzjoni</v>
      </c>
    </row>
    <row r="17885" ht="15.75" customHeight="1">
      <c r="A17885" s="2" t="s">
        <v>17885</v>
      </c>
      <c r="B17885" s="2" t="str">
        <f>IFERROR(__xludf.DUMMYFUNCTION("GOOGLETRANSLATE(A17885, ""en"", ""mt"")"),"Tneħħi l-Fondazzjoni Ekonomika tagħha")</f>
        <v>Tneħħi l-Fondazzjoni Ekonomika tagħha</v>
      </c>
    </row>
    <row r="17886" ht="15.75" customHeight="1">
      <c r="A17886" s="2" t="s">
        <v>17886</v>
      </c>
      <c r="B17886" s="2" t="str">
        <f>IFERROR(__xludf.DUMMYFUNCTION("GOOGLETRANSLATE(A17886, ""en"", ""mt"")"),"Kif jissejjaħ it-tarf tal-Plateau Vistula?")</f>
        <v>Kif jissejjaħ it-tarf tal-Plateau Vistula?</v>
      </c>
    </row>
    <row r="17887" ht="15.75" customHeight="1">
      <c r="A17887" s="2" t="s">
        <v>17887</v>
      </c>
      <c r="B17887" s="2" t="str">
        <f>IFERROR(__xludf.DUMMYFUNCTION("GOOGLETRANSLATE(A17887, ""en"", ""mt"")"),"X’għaddet l-università matul il-mandat ta ’Hutchins 33 sena?")</f>
        <v>X’għaddet l-università matul il-mandat ta ’Hutchins 33 sena?</v>
      </c>
    </row>
    <row r="17888" ht="15.75" customHeight="1">
      <c r="A17888" s="2" t="s">
        <v>17888</v>
      </c>
      <c r="B17888" s="2" t="str">
        <f>IFERROR(__xludf.DUMMYFUNCTION("GOOGLETRANSLATE(A17888, ""en"", ""mt"")"),"Forza")</f>
        <v>Forza</v>
      </c>
    </row>
    <row r="17889" ht="15.75" customHeight="1">
      <c r="A17889" s="2" t="s">
        <v>17889</v>
      </c>
      <c r="B17889" s="2" t="str">
        <f>IFERROR(__xludf.DUMMYFUNCTION("GOOGLETRANSLATE(A17889, ""en"", ""mt"")"),"L-organizzazzjonijiet kollha tal-istudenti rikonoxxuti, mill-Università ta ’Chicago Scavenger Hunt sal-mudell tan-NU, minbarra timijiet akkademiċi, klabb sportiv, gruppi tal-arti, u aktar huma ffinanzjati mill-gvern tal-istudenti tal-Università ta’ Chicag"&amp;"o. Il-gvern tal-istudenti huwa magħmul minn studenti gradwati u li għadhom ma ggradwawx eletti biex jirrappreżentaw lill-membri mill-unità akkademika rispettiva tagħhom. Huwa mmexxi minn kumitat eżekuttiv, ippresedut minn president bl-għajnuna ta 'żewġ vi"&amp;"ċi presidenti, wieħed għall-amministrazzjoni u l-ieħor għall-ħajja tal-istudenti, elett flimkien bħala lavanja mill-korp tal-istudenti kull rebbiegħa. Il-baġit annwali tiegħu huwa akbar minn $ 2 miljun.")</f>
        <v>L-organizzazzjonijiet kollha tal-istudenti rikonoxxuti, mill-Università ta ’Chicago Scavenger Hunt sal-mudell tan-NU, minbarra timijiet akkademiċi, klabb sportiv, gruppi tal-arti, u aktar huma ffinanzjati mill-gvern tal-istudenti tal-Università ta’ Chicago. Il-gvern tal-istudenti huwa magħmul minn studenti gradwati u li għadhom ma ggradwawx eletti biex jirrappreżentaw lill-membri mill-unità akkademika rispettiva tagħhom. Huwa mmexxi minn kumitat eżekuttiv, ippresedut minn president bl-għajnuna ta 'żewġ viċi presidenti, wieħed għall-amministrazzjoni u l-ieħor għall-ħajja tal-istudenti, elett flimkien bħala lavanja mill-korp tal-istudenti kull rebbiegħa. Il-baġit annwali tiegħu huwa akbar minn $ 2 miljun.</v>
      </c>
    </row>
    <row r="17890" ht="15.75" customHeight="1">
      <c r="A17890" s="2" t="s">
        <v>17890</v>
      </c>
      <c r="B17890" s="2" t="str">
        <f>IFERROR(__xludf.DUMMYFUNCTION("GOOGLETRANSLATE(A17890, ""en"", ""mt"")"),"Matul liema perjodu ta 'żmien żdied l-inugwaljanza fid-dħul fl-Istati Uniti?")</f>
        <v>Matul liema perjodu ta 'żmien żdied l-inugwaljanza fid-dħul fl-Istati Uniti?</v>
      </c>
    </row>
    <row r="17891" ht="15.75" customHeight="1">
      <c r="A17891" s="2" t="s">
        <v>17891</v>
      </c>
      <c r="B17891" s="2" t="str">
        <f>IFERROR(__xludf.DUMMYFUNCTION("GOOGLETRANSLATE(A17891, ""en"", ""mt"")"),"Il-possedimenti kontinentali tagħha tal-Amerika ta ’Fuq fil-lvant tal-Mississippi jew il-Gżejjer tal-Karibew")</f>
        <v>Il-possedimenti kontinentali tagħha tal-Amerika ta ’Fuq fil-lvant tal-Mississippi jew il-Gżejjer tal-Karibew</v>
      </c>
    </row>
    <row r="17892" ht="15.75" customHeight="1">
      <c r="A17892" s="2" t="s">
        <v>17892</v>
      </c>
      <c r="B17892" s="2" t="str">
        <f>IFERROR(__xludf.DUMMYFUNCTION("GOOGLETRANSLATE(A17892, ""en"", ""mt"")"),"Kemm hemm rotazzjonijiet tal-krank f'ċiklu tal-magna?")</f>
        <v>Kemm hemm rotazzjonijiet tal-krank f'ċiklu tal-magna?</v>
      </c>
    </row>
    <row r="17893" ht="15.75" customHeight="1">
      <c r="A17893" s="2" t="s">
        <v>17893</v>
      </c>
      <c r="B17893" s="2" t="str">
        <f>IFERROR(__xludf.DUMMYFUNCTION("GOOGLETRANSLATE(A17893, ""en"", ""mt"")"),"Għaliex il-kompetizzjoni fost il-ħaddiema tnaqqas il-pagi?")</f>
        <v>Għaliex il-kompetizzjoni fost il-ħaddiema tnaqqas il-pagi?</v>
      </c>
    </row>
    <row r="17894" ht="15.75" customHeight="1">
      <c r="A17894" s="2" t="s">
        <v>17894</v>
      </c>
      <c r="B17894" s="2" t="str">
        <f>IFERROR(__xludf.DUMMYFUNCTION("GOOGLETRANSLATE(A17894, ""en"", ""mt"")"),"Fuq liema hija l-biċċa l-kbira tat-tkabbir modern tal-Polonja?")</f>
        <v>Fuq liema hija l-biċċa l-kbira tat-tkabbir modern tal-Polonja?</v>
      </c>
    </row>
    <row r="17895" ht="15.75" customHeight="1">
      <c r="A17895" s="2" t="s">
        <v>17895</v>
      </c>
      <c r="B17895" s="2" t="str">
        <f>IFERROR(__xludf.DUMMYFUNCTION("GOOGLETRANSLATE(A17895, ""en"", ""mt"")"),"razez tal-ogħla ""effiċjenza soċjali""")</f>
        <v>razez tal-ogħla "effiċjenza soċjali"</v>
      </c>
    </row>
    <row r="17896" ht="15.75" customHeight="1">
      <c r="A17896" s="2" t="s">
        <v>17896</v>
      </c>
      <c r="B17896" s="2" t="str">
        <f>IFERROR(__xludf.DUMMYFUNCTION("GOOGLETRANSLATE(A17896, ""en"", ""mt"")"),"Xi teħtieġ l-ewwel Artikolu 11 tad-Direttiva tal-Liġi tal-Kumpanija?")</f>
        <v>Xi teħtieġ l-ewwel Artikolu 11 tad-Direttiva tal-Liġi tal-Kumpanija?</v>
      </c>
    </row>
    <row r="17897" ht="15.75" customHeight="1">
      <c r="A17897" s="2" t="s">
        <v>17897</v>
      </c>
      <c r="B17897" s="2" t="str">
        <f>IFERROR(__xludf.DUMMYFUNCTION("GOOGLETRANSLATE(A17897, ""en"", ""mt"")"),"Xi jfisser l-isem oriġinali ta 'Colonia Agrippina?")</f>
        <v>Xi jfisser l-isem oriġinali ta 'Colonia Agrippina?</v>
      </c>
    </row>
    <row r="17898" ht="15.75" customHeight="1">
      <c r="A17898" s="2" t="s">
        <v>17898</v>
      </c>
      <c r="B17898" s="2" t="str">
        <f>IFERROR(__xludf.DUMMYFUNCTION("GOOGLETRANSLATE(A17898, ""en"", ""mt"")"),"Innat")</f>
        <v>Innat</v>
      </c>
    </row>
    <row r="17899" ht="15.75" customHeight="1">
      <c r="A17899" s="2" t="s">
        <v>17899</v>
      </c>
      <c r="B17899" s="2" t="str">
        <f>IFERROR(__xludf.DUMMYFUNCTION("GOOGLETRANSLATE(A17899, ""en"", ""mt"")"),"Liema proklamazzjoni intemmet uffiċjalment l-awtonomija Huguenot limitata?")</f>
        <v>Liema proklamazzjoni intemmet uffiċjalment l-awtonomija Huguenot limitata?</v>
      </c>
    </row>
    <row r="17900" ht="15.75" customHeight="1">
      <c r="A17900" s="2" t="s">
        <v>17900</v>
      </c>
      <c r="B17900" s="2" t="str">
        <f>IFERROR(__xludf.DUMMYFUNCTION("GOOGLETRANSLATE(A17900, ""en"", ""mt"")"),"Park ujazdowski")</f>
        <v>Park ujazdowski</v>
      </c>
    </row>
    <row r="17901" ht="15.75" customHeight="1">
      <c r="A17901" s="2" t="s">
        <v>17901</v>
      </c>
      <c r="B17901" s="2" t="str">
        <f>IFERROR(__xludf.DUMMYFUNCTION("GOOGLETRANSLATE(A17901, ""en"", ""mt"")"),"Liema pajjiż inizjalment irċieva l-akbar numru ta 'refuġjati Huguenot?")</f>
        <v>Liema pajjiż inizjalment irċieva l-akbar numru ta 'refuġjati Huguenot?</v>
      </c>
    </row>
    <row r="17902" ht="15.75" customHeight="1">
      <c r="A17902" s="2" t="s">
        <v>17902</v>
      </c>
      <c r="B17902" s="2" t="str">
        <f>IFERROR(__xludf.DUMMYFUNCTION("GOOGLETRANSLATE(A17902, ""en"", ""mt"")"),"Path paraboliku mgħawweġ")</f>
        <v>Path paraboliku mgħawweġ</v>
      </c>
    </row>
    <row r="17903" ht="15.75" customHeight="1">
      <c r="A17903" s="2" t="s">
        <v>17903</v>
      </c>
      <c r="B17903" s="2" t="str">
        <f>IFERROR(__xludf.DUMMYFUNCTION("GOOGLETRANSLATE(A17903, ""en"", ""mt"")"),"Min hu proprjetà tal-videoguard?")</f>
        <v>Min hu proprjetà tal-videoguard?</v>
      </c>
    </row>
    <row r="17904" ht="15.75" customHeight="1">
      <c r="A17904" s="2" t="s">
        <v>17904</v>
      </c>
      <c r="B17904" s="2" t="str">
        <f>IFERROR(__xludf.DUMMYFUNCTION("GOOGLETRANSLATE(A17904, ""en"", ""mt"")"),"predaturi")</f>
        <v>predaturi</v>
      </c>
    </row>
    <row r="17905" ht="15.75" customHeight="1">
      <c r="A17905" s="2" t="s">
        <v>17905</v>
      </c>
      <c r="B17905" s="2" t="str">
        <f>IFERROR(__xludf.DUMMYFUNCTION("GOOGLETRANSLATE(A17905, ""en"", ""mt"")"),"Liema żewġ tipi ta 'attività huma assoċjati mat-tarka Kanadiża?")</f>
        <v>Liema żewġ tipi ta 'attività huma assoċjati mat-tarka Kanadiża?</v>
      </c>
    </row>
    <row r="17906" ht="15.75" customHeight="1">
      <c r="A17906" s="2" t="s">
        <v>17906</v>
      </c>
      <c r="B17906" s="2" t="str">
        <f>IFERROR(__xludf.DUMMYFUNCTION("GOOGLETRANSLATE(A17906, ""en"", ""mt"")"),"il-gvern Skoċċiż")</f>
        <v>il-gvern Skoċċiż</v>
      </c>
    </row>
    <row r="17907" ht="15.75" customHeight="1">
      <c r="A17907" s="2" t="s">
        <v>17907</v>
      </c>
      <c r="B17907" s="2" t="str">
        <f>IFERROR(__xludf.DUMMYFUNCTION("GOOGLETRANSLATE(A17907, ""en"", ""mt"")"),"Seklu 19 tard.")</f>
        <v>Seklu 19 tard.</v>
      </c>
    </row>
    <row r="17908" ht="15.75" customHeight="1">
      <c r="A17908" s="2" t="s">
        <v>17908</v>
      </c>
      <c r="B17908" s="2" t="str">
        <f>IFERROR(__xludf.DUMMYFUNCTION("GOOGLETRANSLATE(A17908, ""en"", ""mt"")"),"X'jista 'jiġġarraf il-ġerarkija polinomjali jekk l-isomorfiżmu tal-graff huwa komplut NQ?")</f>
        <v>X'jista 'jiġġarraf il-ġerarkija polinomjali jekk l-isomorfiżmu tal-graff huwa komplut NQ?</v>
      </c>
    </row>
    <row r="17909" ht="15.75" customHeight="1">
      <c r="A17909" s="2" t="s">
        <v>17909</v>
      </c>
      <c r="B17909" s="2" t="str">
        <f>IFERROR(__xludf.DUMMYFUNCTION("GOOGLETRANSLATE(A17909, ""en"", ""mt"")"),"Paċifiku t'Isfel")</f>
        <v>Paċifiku t'Isfel</v>
      </c>
    </row>
    <row r="17910" ht="15.75" customHeight="1">
      <c r="A17910" s="2" t="s">
        <v>17910</v>
      </c>
      <c r="B17910" s="2" t="str">
        <f>IFERROR(__xludf.DUMMYFUNCTION("GOOGLETRANSLATE(A17910, ""en"", ""mt"")"),"Liema isem jingħata lil xi numru ewlieni akbar minn 1?")</f>
        <v>Liema isem jingħata lil xi numru ewlieni akbar minn 1?</v>
      </c>
    </row>
    <row r="17911" ht="15.75" customHeight="1">
      <c r="A17911" s="2" t="s">
        <v>17911</v>
      </c>
      <c r="B17911" s="2" t="str">
        <f>IFERROR(__xludf.DUMMYFUNCTION("GOOGLETRANSLATE(A17911, ""en"", ""mt"")"),"Numru Ġenerali għal passatur tal-qasam")</f>
        <v>Numru Ġenerali għal passatur tal-qasam</v>
      </c>
    </row>
    <row r="17912" ht="15.75" customHeight="1">
      <c r="A17912" s="2" t="s">
        <v>17912</v>
      </c>
      <c r="B17912" s="2" t="str">
        <f>IFERROR(__xludf.DUMMYFUNCTION("GOOGLETRANSLATE(A17912, ""en"", ""mt"")"),"Min hu magħruf ukoll fil-missier tal-bomba tal-idroġenu?")</f>
        <v>Min hu magħruf ukoll fil-missier tal-bomba tal-idroġenu?</v>
      </c>
    </row>
    <row r="17913" ht="15.75" customHeight="1">
      <c r="A17913" s="2" t="s">
        <v>17913</v>
      </c>
      <c r="B17913" s="2" t="str">
        <f>IFERROR(__xludf.DUMMYFUNCTION("GOOGLETRANSLATE(A17913, ""en"", ""mt"")"),"B'komposti b'żewġ ċilindri użati fix-xogħol tal-ferrovija, il-pistuni huma konnessi mal-cranks bħal ma 'żewġ ċilindri sempliċi f'90 ° barra mill-fażi ma' xulxin (kwart). Meta l-grupp ta 'espansjoni doppja huwa duplikat, li jipproduċi kompost b'erba' ċilin"&amp;"dri, il-pistuni individwali fil-grupp huma ġeneralment ibbilanċjati f'180 °, il-gruppi jiġu ssettjati f'90 ° għal xulxin. F'każ wieħed (l-ewwel tip ta 'kompost ta' vauclain), il-pistuni ħadmu fl-istess fażi li jsuqu crosshead u krank komuni, għal darb'oħr"&amp;"a stabbiliti f'90 ° bħal għal magna b'żewġ ċilindri. Bl-arranġament tal-kompost bi 3 ċilindri, il-cranks LP jew ġew issettjati f'90 ° bl-HP wieħed f'135 ° għat-tnejn l-oħra, jew f'xi każijiet it-tliet cranks kollha ġew stabbiliti għal 120 °. [Ċitazzjoni m"&amp;"eħtieġa]")</f>
        <v>B'komposti b'żewġ ċilindri użati fix-xogħol tal-ferrovija, il-pistuni huma konnessi mal-cranks bħal ma 'żewġ ċilindri sempliċi f'90 ° barra mill-fażi ma' xulxin (kwart). Meta l-grupp ta 'espansjoni doppja huwa duplikat, li jipproduċi kompost b'erba' ċilindri, il-pistuni individwali fil-grupp huma ġeneralment ibbilanċjati f'180 °, il-gruppi jiġu ssettjati f'90 ° għal xulxin. F'każ wieħed (l-ewwel tip ta 'kompost ta' vauclain), il-pistuni ħadmu fl-istess fażi li jsuqu crosshead u krank komuni, għal darb'oħra stabbiliti f'90 ° bħal għal magna b'żewġ ċilindri. Bl-arranġament tal-kompost bi 3 ċilindri, il-cranks LP jew ġew issettjati f'90 ° bl-HP wieħed f'135 ° għat-tnejn l-oħra, jew f'xi każijiet it-tliet cranks kollha ġew stabbiliti għal 120 °. [Ċitazzjoni meħtieġa]</v>
      </c>
    </row>
    <row r="17914" ht="15.75" customHeight="1">
      <c r="A17914" s="2" t="s">
        <v>17914</v>
      </c>
      <c r="B17914" s="2" t="str">
        <f>IFERROR(__xludf.DUMMYFUNCTION("GOOGLETRANSLATE(A17914, ""en"", ""mt"")"),"Minħabba l-elettronegatività tiegħu, l-ossiġnu jifforma bonds kimiċi ma 'kważi l-elementi l-oħra kollha biex jagħtu ossidi korrispondenti. Il-wiċċ tal-biċċa l-kbira tal-metalli, bħall-aluminju u t-titanju, huma ossidizzati fil-preżenza ta 'l-arja u jsiru "&amp;"miksija b'film irqiq ta' ossidu li jiċċaqlaq il-metall u jrażżan aktar korrużjoni. Ħafna ossidi tal-metalli ta 'transizzjoni huma komposti mhux stojkjometriċi, bi ftit inqas metall milli turi l-formula kimika. Pereżempju, il-FEO minerali (Wüstite) huwa mi"&amp;"ktub bħala Fe
1 - xo, fejn x normalment ikun madwar 0.05.")</f>
        <v>Minħabba l-elettronegatività tiegħu, l-ossiġnu jifforma bonds kimiċi ma 'kważi l-elementi l-oħra kollha biex jagħtu ossidi korrispondenti. Il-wiċċ tal-biċċa l-kbira tal-metalli, bħall-aluminju u t-titanju, huma ossidizzati fil-preżenza ta 'l-arja u jsiru miksija b'film irqiq ta' ossidu li jiċċaqlaq il-metall u jrażżan aktar korrużjoni. Ħafna ossidi tal-metalli ta 'transizzjoni huma komposti mhux stojkjometriċi, bi ftit inqas metall milli turi l-formula kimika. Pereżempju, il-FEO minerali (Wüstite) huwa miktub bħala Fe
1 - xo, fejn x normalment ikun madwar 0.05.</v>
      </c>
    </row>
    <row r="17915" ht="15.75" customHeight="1">
      <c r="A17915" s="2" t="s">
        <v>17915</v>
      </c>
      <c r="B17915" s="2" t="str">
        <f>IFERROR(__xludf.DUMMYFUNCTION("GOOGLETRANSLATE(A17915, ""en"", ""mt"")"),"Ogród Saski")</f>
        <v>Ogród Saski</v>
      </c>
    </row>
    <row r="17916" ht="15.75" customHeight="1">
      <c r="A17916" s="2" t="s">
        <v>17916</v>
      </c>
      <c r="B17916" s="2" t="str">
        <f>IFERROR(__xludf.DUMMYFUNCTION("GOOGLETRANSLATE(A17916, ""en"", ""mt"")"),"Żoni rurali fir-Renju Unit")</f>
        <v>Żoni rurali fir-Renju Unit</v>
      </c>
    </row>
    <row r="17917" ht="15.75" customHeight="1">
      <c r="A17917" s="2" t="s">
        <v>17917</v>
      </c>
      <c r="B17917" s="2" t="str">
        <f>IFERROR(__xludf.DUMMYFUNCTION("GOOGLETRANSLATE(A17917, ""en"", ""mt"")"),"Għal xiex tfisser DCB?")</f>
        <v>Għal xiex tfisser DCB?</v>
      </c>
    </row>
    <row r="17918" ht="15.75" customHeight="1">
      <c r="A17918" s="2" t="s">
        <v>17918</v>
      </c>
      <c r="B17918" s="2" t="str">
        <f>IFERROR(__xludf.DUMMYFUNCTION("GOOGLETRANSLATE(A17918, ""en"", ""mt"")"),"It-Taliban kienu nbidlu mill-eluf ta ’madrasahs il-moviment Deobandi stabbilit għal refuġjati Afgani fqar u appoġġjati minn gruppi governattivi u reliġjużi fil-Pakistan ġirien. It-Taliban kien differenti minn movimenti Iżlamisti oħra sal-punt fejn jistgħu"&amp;" jiġu deskritti aktar sewwa bħala fundamentalist Iżlamiku jew neofundamentalist, interessat li jxerred ""verżjoni idealizzata u sistematizzata tad-dwana tal-villaġġ tribali konservattiv"" taħt it-tikketta ta 'Sharia lejn pajjiż kollu. L-ideoloġija tagħhom"&amp;" ġiet deskritta wkoll bħala influwenzata mill-wahhabism, u l-ġiħadiżmu estremist tal-mistieden tagħhom Osama bin Laden.")</f>
        <v>It-Taliban kienu nbidlu mill-eluf ta ’madrasahs il-moviment Deobandi stabbilit għal refuġjati Afgani fqar u appoġġjati minn gruppi governattivi u reliġjużi fil-Pakistan ġirien. It-Taliban kien differenti minn movimenti Iżlamisti oħra sal-punt fejn jistgħu jiġu deskritti aktar sewwa bħala fundamentalist Iżlamiku jew neofundamentalist, interessat li jxerred "verżjoni idealizzata u sistematizzata tad-dwana tal-villaġġ tribali konservattiv" taħt it-tikketta ta 'Sharia lejn pajjiż kollu. L-ideoloġija tagħhom ġiet deskritta wkoll bħala influwenzata mill-wahhabism, u l-ġiħadiżmu estremist tal-mistieden tagħhom Osama bin Laden.</v>
      </c>
    </row>
    <row r="17919" ht="15.75" customHeight="1">
      <c r="A17919" s="2" t="s">
        <v>17919</v>
      </c>
      <c r="B17919" s="2" t="str">
        <f>IFERROR(__xludf.DUMMYFUNCTION("GOOGLETRANSLATE(A17919, ""en"", ""mt"")"),"Min kien il-mexxej meta l-Franki daħlu fil-Wied ta 'Euphrates?")</f>
        <v>Min kien il-mexxej meta l-Franki daħlu fil-Wied ta 'Euphrates?</v>
      </c>
    </row>
    <row r="17920" ht="15.75" customHeight="1">
      <c r="A17920" s="2" t="s">
        <v>17920</v>
      </c>
      <c r="B17920" s="2" t="str">
        <f>IFERROR(__xludf.DUMMYFUNCTION("GOOGLETRANSLATE(A17920, ""en"", ""mt"")"),"moxt ġelaties")</f>
        <v>moxt ġelaties</v>
      </c>
    </row>
    <row r="17921" ht="15.75" customHeight="1">
      <c r="A17921" s="2" t="s">
        <v>17921</v>
      </c>
      <c r="B17921" s="2" t="str">
        <f>IFERROR(__xludf.DUMMYFUNCTION("GOOGLETRANSLATE(A17921, ""en"", ""mt"")"),"X'inhu eżempju ta 'karozzi li jaħdmu bil-fwar?")</f>
        <v>X'inhu eżempju ta 'karozzi li jaħdmu bil-fwar?</v>
      </c>
    </row>
    <row r="17922" ht="15.75" customHeight="1">
      <c r="A17922" s="2" t="s">
        <v>17922</v>
      </c>
      <c r="B17922" s="2" t="str">
        <f>IFERROR(__xludf.DUMMYFUNCTION("GOOGLETRANSLATE(A17922, ""en"", ""mt"")"),"X'kien it-titlu Ingliż tal-ktieb ta 'Polo?")</f>
        <v>X'kien it-titlu Ingliż tal-ktieb ta 'Polo?</v>
      </c>
    </row>
    <row r="17923" ht="15.75" customHeight="1">
      <c r="A17923" s="2" t="s">
        <v>17923</v>
      </c>
      <c r="B17923" s="2" t="str">
        <f>IFERROR(__xludf.DUMMYFUNCTION("GOOGLETRANSLATE(A17923, ""en"", ""mt"")"),"Min iddomina l-Ewropa tal-Punent għal 380 sena?")</f>
        <v>Min iddomina l-Ewropa tal-Punent għal 380 sena?</v>
      </c>
    </row>
    <row r="17924" ht="15.75" customHeight="1">
      <c r="A17924" s="2" t="s">
        <v>17924</v>
      </c>
      <c r="B17924" s="2" t="str">
        <f>IFERROR(__xludf.DUMMYFUNCTION("GOOGLETRANSLATE(A17924, ""en"", ""mt"")"),"interface ospitanti għal x.25 u l-interface terminali għal x.29")</f>
        <v>interface ospitanti għal x.25 u l-interface terminali għal x.29</v>
      </c>
    </row>
    <row r="17925" ht="15.75" customHeight="1">
      <c r="A17925" s="2" t="s">
        <v>17925</v>
      </c>
      <c r="B17925" s="2" t="str">
        <f>IFERROR(__xludf.DUMMYFUNCTION("GOOGLETRANSLATE(A17925, ""en"", ""mt"")"),"Il-fabbrika tal-karozzi FSO ġiet stabbilita fl-1951. Numru ta 'vetturi ġew immuntati hemm matul l-għexieren ta' snin, inkluż il-Warszawa, Syrena, Fiat 125p (taħt liċenzja minn Fiat, aktar tard imsejħa FSO 125p meta skadiet il-liċenzja) u l-Polonez. L-aħħa"&amp;"r żewġ mudelli elenkati ntbagħtu wkoll barra mill-pajjiż u mmuntati f'numru ta 'pajjiżi oħra, inklużi l-Eġittu u l-Kolombja. Fl-1995 il-fabbrika nxtrat mill-manifattur tal-karozzi tal-Korea ta ’Isfel Daewoo, li ġabru t-Tico, Espero, Nubia, Tacuma, Leganza"&amp;", Lanos u Matiz hemm għas-suq Ewropew. Fl-2005 il-fabbrika nbiegħet lil Avtozaz, manifattur tal-karozzi Ukrajni li ġabar hemm il-Chevrolet Aveo. Il-liċenzja għall-produzzjoni tal-AVEO skadiet fi Frar 2011 u minn dakinhar ma ġietx imġedda. Bħalissa l-kumpa"&amp;"nija hija bla waqfien.")</f>
        <v>Il-fabbrika tal-karozzi FSO ġiet stabbilita fl-1951. Numru ta 'vetturi ġew immuntati hemm matul l-għexieren ta' snin, inkluż il-Warszawa, Syrena, Fiat 125p (taħt liċenzja minn Fiat, aktar tard imsejħa FSO 125p meta skadiet il-liċenzja) u l-Polonez. L-aħħar żewġ mudelli elenkati ntbagħtu wkoll barra mill-pajjiż u mmuntati f'numru ta 'pajjiżi oħra, inklużi l-Eġittu u l-Kolombja. Fl-1995 il-fabbrika nxtrat mill-manifattur tal-karozzi tal-Korea ta ’Isfel Daewoo, li ġabru t-Tico, Espero, Nubia, Tacuma, Leganza, Lanos u Matiz hemm għas-suq Ewropew. Fl-2005 il-fabbrika nbiegħet lil Avtozaz, manifattur tal-karozzi Ukrajni li ġabar hemm il-Chevrolet Aveo. Il-liċenzja għall-produzzjoni tal-AVEO skadiet fi Frar 2011 u minn dakinhar ma ġietx imġedda. Bħalissa l-kumpanija hija bla waqfien.</v>
      </c>
    </row>
    <row r="17926" ht="15.75" customHeight="1">
      <c r="A17926" s="2" t="s">
        <v>17926</v>
      </c>
      <c r="B17926" s="2" t="str">
        <f>IFERROR(__xludf.DUMMYFUNCTION("GOOGLETRANSLATE(A17926, ""en"", ""mt"")"),"Bejn Han u Jurchen")</f>
        <v>Bejn Han u Jurchen</v>
      </c>
    </row>
    <row r="17927" ht="15.75" customHeight="1">
      <c r="A17927" s="2" t="s">
        <v>17927</v>
      </c>
      <c r="B17927" s="2" t="str">
        <f>IFERROR(__xludf.DUMMYFUNCTION("GOOGLETRANSLATE(A17927, ""en"", ""mt"")"),"Michael E. Mann, Raymond S. Bradley u Malcolm K. Hughes")</f>
        <v>Michael E. Mann, Raymond S. Bradley u Malcolm K. Hughes</v>
      </c>
    </row>
    <row r="17928" ht="15.75" customHeight="1">
      <c r="A17928" s="2" t="s">
        <v>17928</v>
      </c>
      <c r="B17928" s="2" t="str">
        <f>IFERROR(__xludf.DUMMYFUNCTION("GOOGLETRANSLATE(A17928, ""en"", ""mt"")"),"Skond Ellen Churchill Semple liema tip ta 'klima kien meħtieġ biex il-bnedmin isiru kompletament umani?")</f>
        <v>Skond Ellen Churchill Semple liema tip ta 'klima kien meħtieġ biex il-bnedmin isiru kompletament umani?</v>
      </c>
    </row>
    <row r="17929" ht="15.75" customHeight="1">
      <c r="A17929" s="2" t="s">
        <v>17929</v>
      </c>
      <c r="B17929" s="2" t="str">
        <f>IFERROR(__xludf.DUMMYFUNCTION("GOOGLETRANSLATE(A17929, ""en"", ""mt"")"),"Aktar fin-nofsinhar l-intern tax-Xlokk kien iddominat minn Catawba li titkellem minn Siouan, Creek u Choctaw li jitkellmu bil-Muskogee, u t-tribujiet Cherokee li jitkellmu Iroquoian. Meta faqqgħet il-gwerra, il-Franċiżi użaw il-konnessjonijiet kummerċjali"&amp;" tagħhom biex jirreklutaw ġellieda minn tribujiet f'porzjonijiet tal-Punent tar-reġjun tal-Lagi l-Kbar (żona li mhix direttament soġġetta għall-kunflitt bejn il-Franċiżi u l-Ingliżi), inklużi l-Huron, Mississauga, Ojibwa, Winnebago, u Potawatomi. Il-Britt"&amp;"aniċi kienu appoġġjati fil-gwerra mill-Iroquois Six Nations, u wkoll miċ-Cherokee - sakemm id-differenzi qanqlu l-Gwerra Anglo-Cherokee fl-1758. Fl-1758 il-gvern ta ’Pennsylvania innegozja b’suċċess it-Trattat ta’ Easton, li fih numru ta ’tribujiet fil - "&amp;"Pajjiż Ohio wiegħed in-newtralità bi skambju għal konċessjonijiet tal-art u kunsiderazzjonijiet oħra. Il-biċċa l-kbira tat-tribujiet l-oħra tat-Tramuntana naħat mal-Franċiżi, is-sieħeb kummerċjali primarju tagħhom u l-fornitur tal-armi. Il-Creek u Cheroke"&amp;"e kienu soġġetti għal sforzi diplomatiċi kemm mill-Franċiżi kif ukoll mill-Ingliżi biex jiksbu l-appoġġ tagħhom jew in-newtralità fil-kunflitt. Ma kienx komuni għal baned żgħar biex jipparteċipaw fuq in- ""naħa l-oħra"" tal-kunflitt minn ftehimiet negozja"&amp;"ti formalment, peress li ħafna tribujiet kienu deċentralizzati u l-baned ħadu d-deċiżjonijiet tagħhom stess dwar il-gwerra.")</f>
        <v>Aktar fin-nofsinhar l-intern tax-Xlokk kien iddominat minn Catawba li titkellem minn Siouan, Creek u Choctaw li jitkellmu bil-Muskogee, u t-tribujiet Cherokee li jitkellmu Iroquoian. Meta faqqgħet il-gwerra, il-Franċiżi użaw il-konnessjonijiet kummerċjali tagħhom biex jirreklutaw ġellieda minn tribujiet f'porzjonijiet tal-Punent tar-reġjun tal-Lagi l-Kbar (żona li mhix direttament soġġetta għall-kunflitt bejn il-Franċiżi u l-Ingliżi), inklużi l-Huron, Mississauga, Ojibwa, Winnebago, u Potawatomi. Il-Brittaniċi kienu appoġġjati fil-gwerra mill-Iroquois Six Nations, u wkoll miċ-Cherokee - sakemm id-differenzi qanqlu l-Gwerra Anglo-Cherokee fl-1758. Fl-1758 il-gvern ta ’Pennsylvania innegozja b’suċċess it-Trattat ta’ Easton, li fih numru ta ’tribujiet fil - Pajjiż Ohio wiegħed in-newtralità bi skambju għal konċessjonijiet tal-art u kunsiderazzjonijiet oħra. Il-biċċa l-kbira tat-tribujiet l-oħra tat-Tramuntana naħat mal-Franċiżi, is-sieħeb kummerċjali primarju tagħhom u l-fornitur tal-armi. Il-Creek u Cherokee kienu soġġetti għal sforzi diplomatiċi kemm mill-Franċiżi kif ukoll mill-Ingliżi biex jiksbu l-appoġġ tagħhom jew in-newtralità fil-kunflitt. Ma kienx komuni għal baned żgħar biex jipparteċipaw fuq in- "naħa l-oħra" tal-kunflitt minn ftehimiet negozjati formalment, peress li ħafna tribujiet kienu deċentralizzati u l-baned ħadu d-deċiżjonijiet tagħhom stess dwar il-gwerra.</v>
      </c>
    </row>
    <row r="17930" ht="15.75" customHeight="1">
      <c r="A17930" s="2" t="s">
        <v>17930</v>
      </c>
      <c r="B17930" s="2" t="str">
        <f>IFERROR(__xludf.DUMMYFUNCTION("GOOGLETRANSLATE(A17930, ""en"", ""mt"")"),"X’ma jbiddlux sistemi magħluqa makroskopiċi?")</f>
        <v>X’ma jbiddlux sistemi magħluqa makroskopiċi?</v>
      </c>
    </row>
    <row r="17931" ht="15.75" customHeight="1">
      <c r="A17931" s="2" t="s">
        <v>17931</v>
      </c>
      <c r="B17931" s="2" t="str">
        <f>IFERROR(__xludf.DUMMYFUNCTION("GOOGLETRANSLATE(A17931, ""en"", ""mt"")"),"Einstein")</f>
        <v>Einstein</v>
      </c>
    </row>
    <row r="17932" ht="15.75" customHeight="1">
      <c r="A17932" s="2" t="s">
        <v>17932</v>
      </c>
      <c r="B17932" s="2" t="str">
        <f>IFERROR(__xludf.DUMMYFUNCTION("GOOGLETRANSLATE(A17932, ""en"", ""mt"")"),"X'kien is-suġġett tal-iżball?")</f>
        <v>X'kien is-suġġett tal-iżball?</v>
      </c>
    </row>
    <row r="17933" ht="15.75" customHeight="1">
      <c r="A17933" s="2" t="s">
        <v>17933</v>
      </c>
      <c r="B17933" s="2" t="str">
        <f>IFERROR(__xludf.DUMMYFUNCTION("GOOGLETRANSLATE(A17933, ""en"", ""mt"")"),"Fejn jinsabu ħafna spiżeriji fl-isptar?")</f>
        <v>Fejn jinsabu ħafna spiżeriji fl-isptar?</v>
      </c>
    </row>
    <row r="17934" ht="15.75" customHeight="1">
      <c r="A17934" s="2" t="s">
        <v>17934</v>
      </c>
      <c r="B17934" s="2" t="str">
        <f>IFERROR(__xludf.DUMMYFUNCTION("GOOGLETRANSLATE(A17934, ""en"", ""mt"")"),"Ir-regolamenti tal-UE huma l-istess bħad-dispożizzjonijiet tat-trattati f'dan is-sens, għaliex bħala l-Artikolu 288 TFEU jiddikjara, huma ""applikabbli direttament fl-Istati Membri kollha""")</f>
        <v>Ir-regolamenti tal-UE huma l-istess bħad-dispożizzjonijiet tat-trattati f'dan is-sens, għaliex bħala l-Artikolu 288 TFEU jiddikjara, huma "applikabbli direttament fl-Istati Membri kollha"</v>
      </c>
    </row>
    <row r="17935" ht="15.75" customHeight="1">
      <c r="A17935" s="2" t="s">
        <v>17935</v>
      </c>
      <c r="B17935" s="2" t="str">
        <f>IFERROR(__xludf.DUMMYFUNCTION("GOOGLETRANSLATE(A17935, ""en"", ""mt"")"),"Iż-żelu reliġjuż leġġendarju tan-Normanni ġie eżerċitat fi gwerer reliġjużi ħafna qabel l-ewwel kruċjata minquxa prinċipat Norman f'Antijokja. Kienu parteċipanti barranin kbar fir-Reconquista fl-Iberia. Fl-1018, Roger de Tosny ivvjaġġa lejn il-Peniżola Ib"&amp;"erika biex ifittex stat għalih innifsu mill-artijiet Moorish, iżda falla. Fl-1064, matul il-Gwerra ta ’Barbastro, William ta’ Montreuil mexxa l-armata papali u ħa booty enormi.")</f>
        <v>Iż-żelu reliġjuż leġġendarju tan-Normanni ġie eżerċitat fi gwerer reliġjużi ħafna qabel l-ewwel kruċjata minquxa prinċipat Norman f'Antijokja. Kienu parteċipanti barranin kbar fir-Reconquista fl-Iberia. Fl-1018, Roger de Tosny ivvjaġġa lejn il-Peniżola Iberika biex ifittex stat għalih innifsu mill-artijiet Moorish, iżda falla. Fl-1064, matul il-Gwerra ta ’Barbastro, William ta’ Montreuil mexxa l-armata papali u ħa booty enormi.</v>
      </c>
    </row>
    <row r="17936" ht="15.75" customHeight="1">
      <c r="A17936" s="2" t="s">
        <v>17936</v>
      </c>
      <c r="B17936" s="2" t="str">
        <f>IFERROR(__xludf.DUMMYFUNCTION("GOOGLETRANSLATE(A17936, ""en"", ""mt"")"),"madwar 1.7 miljun vittma")</f>
        <v>madwar 1.7 miljun vittma</v>
      </c>
    </row>
    <row r="17937" ht="15.75" customHeight="1">
      <c r="A17937" s="2" t="s">
        <v>17937</v>
      </c>
      <c r="B17937" s="2" t="str">
        <f>IFERROR(__xludf.DUMMYFUNCTION("GOOGLETRANSLATE(A17937, ""en"", ""mt"")"),"Liema graff kien jidher b'mod prominenti fit-tieni rapport ta 'valutazzjoni?")</f>
        <v>Liema graff kien jidher b'mod prominenti fit-tieni rapport ta 'valutazzjoni?</v>
      </c>
    </row>
    <row r="17938" ht="15.75" customHeight="1">
      <c r="A17938" s="2" t="s">
        <v>17938</v>
      </c>
      <c r="B17938" s="2" t="str">
        <f>IFERROR(__xludf.DUMMYFUNCTION("GOOGLETRANSLATE(A17938, ""en"", ""mt"")"),"Liema persentaġġ tal-popolazzjoni votanti tal-Iskozja naqset milli fil-fatt tivvota?")</f>
        <v>Liema persentaġġ tal-popolazzjoni votanti tal-Iskozja naqset milli fil-fatt tivvota?</v>
      </c>
    </row>
    <row r="17939" ht="15.75" customHeight="1">
      <c r="A17939" s="2" t="s">
        <v>17939</v>
      </c>
      <c r="B17939" s="2" t="str">
        <f>IFERROR(__xludf.DUMMYFUNCTION("GOOGLETRANSLATE(A17939, ""en"", ""mt"")"),"Iż-żieda attwali fil-livell tal-baħar kienet 'il fuq mill-parti ta' fuq tal-firxa")</f>
        <v>Iż-żieda attwali fil-livell tal-baħar kienet 'il fuq mill-parti ta' fuq tal-firxa</v>
      </c>
    </row>
    <row r="17940" ht="15.75" customHeight="1">
      <c r="A17940" s="2" t="s">
        <v>17940</v>
      </c>
      <c r="B17940" s="2" t="str">
        <f>IFERROR(__xludf.DUMMYFUNCTION("GOOGLETRANSLATE(A17940, ""en"", ""mt"")"),"X'tip ta 'arti Franċiża tinżamm fil-Mużew Arthur M. Sackler?")</f>
        <v>X'tip ta 'arti Franċiża tinżamm fil-Mużew Arthur M. Sackler?</v>
      </c>
    </row>
    <row r="17941" ht="15.75" customHeight="1">
      <c r="A17941" s="2" t="s">
        <v>17941</v>
      </c>
      <c r="B17941" s="2" t="str">
        <f>IFERROR(__xludf.DUMMYFUNCTION("GOOGLETRANSLATE(A17941, ""en"", ""mt"")"),"kompjuter")</f>
        <v>kompjuter</v>
      </c>
    </row>
    <row r="17942" ht="15.75" customHeight="1">
      <c r="A17942" s="2" t="s">
        <v>17942</v>
      </c>
      <c r="B17942" s="2" t="str">
        <f>IFERROR(__xludf.DUMMYFUNCTION("GOOGLETRANSLATE(A17942, ""en"", ""mt"")"),"Min m'għandux l-aħħar kelma f 'Min fl-aħħar mill-aħħar għandu l-kompetenza biex jiddefinixxi l-kompetenza tal-UE?")</f>
        <v>Min m'għandux l-aħħar kelma f 'Min fl-aħħar mill-aħħar għandu l-kompetenza biex jiddefinixxi l-kompetenza tal-UE?</v>
      </c>
    </row>
    <row r="17943" ht="15.75" customHeight="1">
      <c r="A17943" s="2" t="s">
        <v>17943</v>
      </c>
      <c r="B17943" s="2" t="str">
        <f>IFERROR(__xludf.DUMMYFUNCTION("GOOGLETRANSLATE(A17943, ""en"", ""mt"")"),"Drittijiet ta 'tagħlim")</f>
        <v>Drittijiet ta 'tagħlim</v>
      </c>
    </row>
    <row r="17944" ht="15.75" customHeight="1">
      <c r="A17944" s="2" t="s">
        <v>17944</v>
      </c>
      <c r="B17944" s="2" t="str">
        <f>IFERROR(__xludf.DUMMYFUNCTION("GOOGLETRANSLATE(A17944, ""en"", ""mt"")"),"maqbud")</f>
        <v>maqbud</v>
      </c>
    </row>
    <row r="17945" ht="15.75" customHeight="1">
      <c r="A17945" s="2" t="s">
        <v>17945</v>
      </c>
      <c r="B17945" s="2" t="str">
        <f>IFERROR(__xludf.DUMMYFUNCTION("GOOGLETRANSLATE(A17945, ""en"", ""mt"")"),"F'liema belt Ingliża għexu l-iktar wallons?")</f>
        <v>F'liema belt Ingliża għexu l-iktar wallons?</v>
      </c>
    </row>
    <row r="17946" ht="15.75" customHeight="1">
      <c r="A17946" s="2" t="s">
        <v>17946</v>
      </c>
      <c r="B17946" s="2" t="str">
        <f>IFERROR(__xludf.DUMMYFUNCTION("GOOGLETRANSLATE(A17946, ""en"", ""mt"")"),"F'liema seklu saret il-mekkanika kwantistika?")</f>
        <v>F'liema seklu saret il-mekkanika kwantistika?</v>
      </c>
    </row>
    <row r="17947" ht="15.75" customHeight="1">
      <c r="A17947" s="2" t="s">
        <v>17947</v>
      </c>
      <c r="B17947" s="2" t="str">
        <f>IFERROR(__xludf.DUMMYFUNCTION("GOOGLETRANSLATE(A17947, ""en"", ""mt"")"),"Kollha")</f>
        <v>Kollha</v>
      </c>
    </row>
    <row r="17948" ht="15.75" customHeight="1">
      <c r="A17948" s="2" t="s">
        <v>17948</v>
      </c>
      <c r="B17948" s="2" t="str">
        <f>IFERROR(__xludf.DUMMYFUNCTION("GOOGLETRANSLATE(A17948, ""en"", ""mt"")"),"Liema żewġ trattati jipprovdu istituzzjonijiet aktar formali tal-Unjoni Kanadiża?")</f>
        <v>Liema żewġ trattati jipprovdu istituzzjonijiet aktar formali tal-Unjoni Kanadiża?</v>
      </c>
    </row>
    <row r="17949" ht="15.75" customHeight="1">
      <c r="A17949" s="2" t="s">
        <v>17949</v>
      </c>
      <c r="B17949" s="2" t="str">
        <f>IFERROR(__xludf.DUMMYFUNCTION("GOOGLETRANSLATE(A17949, ""en"", ""mt"")"),"B'suċċess ma jħalluhx jinqata '")</f>
        <v>B'suċċess ma jħalluhx jinqata '</v>
      </c>
    </row>
    <row r="17950" ht="15.75" customHeight="1">
      <c r="A17950" s="2" t="s">
        <v>17950</v>
      </c>
      <c r="B17950" s="2" t="str">
        <f>IFERROR(__xludf.DUMMYFUNCTION("GOOGLETRANSLATE(A17950, ""en"", ""mt"")"),"Minħabba l-korpi artab u ġelatinużi tagħhom, iċ-ċtenofori huma estremament rari daqs il-fossili, u l-fossili li ġew interpretati bħala ctenophores instabu biss f'Lagerstätten, postijiet fejn l-ambjent kien eċċezzjonalment adattat għall-preservazzjoni ta '"&amp;"tessut artab. Sa nofs is-snin disgħin ġew magħrufa biss żewġ kampjuni tajbin biżżejjed għall-analiżi, iż-żewġ membri tal-Grupp tal-Kuruna, mill-perjodu bikri tad-Devonian (Emsian). Tliet speċi putattivi addizzjonali nstabu fil-Burgess Shale u blat Kanadiż"&amp;"i oħra ta 'età simili, madwar 505 miljun sena ilu fil-perjodu ta' Mid-Cambrian. It-tlieta apparentement ma kellhomx tentakli iżda kellhom bejn 24 u 80 ringiela tal-moxt, ferm iktar mit-8 tipiċi ta 'speċi ħajjin. Jidher ukoll li kellhom strutturi interni s"&amp;"imili għall-organi b'differenza minn kull ħaġa misjuba f'ċtenofori ħajjin. Waħda mill-ispeċi fossili l-ewwel irrappurtata fl-1996 kellha ħalq kbir, apparentement imdawwar minn tarf mitwi li seta 'kien muskolari. L-evidenza miċ-Ċina sena wara tissuġġerixxi"&amp;" li tali ctenophores kienu mifruxa fil-Cambrian, imma forsi differenti ħafna mill-ispeċi moderna - pereżempju r-rewwijiet tal-moxt tal-fossili kienu mmuntati fuq paletti prominenti. L-eoandromeda ta 'Ediacaran tista' tirrapreżenta b'mod putattiv ġelatina.")</f>
        <v>Minħabba l-korpi artab u ġelatinużi tagħhom, iċ-ċtenofori huma estremament rari daqs il-fossili, u l-fossili li ġew interpretati bħala ctenophores instabu biss f'Lagerstätten, postijiet fejn l-ambjent kien eċċezzjonalment adattat għall-preservazzjoni ta 'tessut artab. Sa nofs is-snin disgħin ġew magħrufa biss żewġ kampjuni tajbin biżżejjed għall-analiżi, iż-żewġ membri tal-Grupp tal-Kuruna, mill-perjodu bikri tad-Devonian (Emsian). Tliet speċi putattivi addizzjonali nstabu fil-Burgess Shale u blat Kanadiżi oħra ta 'età simili, madwar 505 miljun sena ilu fil-perjodu ta' Mid-Cambrian. It-tlieta apparentement ma kellhomx tentakli iżda kellhom bejn 24 u 80 ringiela tal-moxt, ferm iktar mit-8 tipiċi ta 'speċi ħajjin. Jidher ukoll li kellhom strutturi interni simili għall-organi b'differenza minn kull ħaġa misjuba f'ċtenofori ħajjin. Waħda mill-ispeċi fossili l-ewwel irrappurtata fl-1996 kellha ħalq kbir, apparentement imdawwar minn tarf mitwi li seta 'kien muskolari. L-evidenza miċ-Ċina sena wara tissuġġerixxi li tali ctenophores kienu mifruxa fil-Cambrian, imma forsi differenti ħafna mill-ispeċi moderna - pereżempju r-rewwijiet tal-moxt tal-fossili kienu mmuntati fuq paletti prominenti. L-eoandromeda ta 'Ediacaran tista' tirrapreżenta b'mod putattiv ġelatina.</v>
      </c>
    </row>
    <row r="17951" ht="15.75" customHeight="1">
      <c r="A17951" s="2" t="s">
        <v>17951</v>
      </c>
      <c r="B17951" s="2" t="str">
        <f>IFERROR(__xludf.DUMMYFUNCTION("GOOGLETRANSLATE(A17951, ""en"", ""mt"")"),"L-aktar struttura tal-konkrit ta 'wara t-tensjoni, wara t-tensjoni")</f>
        <v>L-aktar struttura tal-konkrit ta 'wara t-tensjoni, wara t-tensjoni</v>
      </c>
    </row>
    <row r="17952" ht="15.75" customHeight="1">
      <c r="A17952" s="2" t="s">
        <v>17952</v>
      </c>
      <c r="B17952" s="2" t="str">
        <f>IFERROR(__xludf.DUMMYFUNCTION("GOOGLETRANSLATE(A17952, ""en"", ""mt"")"),"X'inhu l-liberaliżmu ekonomiku wieħed mill-kawżi ta '?")</f>
        <v>X'inhu l-liberaliżmu ekonomiku wieħed mill-kawżi ta '?</v>
      </c>
    </row>
    <row r="17953" ht="15.75" customHeight="1">
      <c r="A17953" s="2" t="s">
        <v>17953</v>
      </c>
      <c r="B17953" s="2" t="str">
        <f>IFERROR(__xludf.DUMMYFUNCTION("GOOGLETRANSLATE(A17953, ""en"", ""mt"")"),"skart")</f>
        <v>skart</v>
      </c>
    </row>
    <row r="17954" ht="15.75" customHeight="1">
      <c r="A17954" s="2" t="s">
        <v>17954</v>
      </c>
      <c r="B17954" s="2" t="str">
        <f>IFERROR(__xludf.DUMMYFUNCTION("GOOGLETRANSLATE(A17954, ""en"", ""mt"")"),"4 ġimgħat imħallsa vaganzi kull sena")</f>
        <v>4 ġimgħat imħallsa vaganzi kull sena</v>
      </c>
    </row>
    <row r="17955" ht="15.75" customHeight="1">
      <c r="A17955" s="2" t="s">
        <v>17955</v>
      </c>
      <c r="B17955" s="2" t="str">
        <f>IFERROR(__xludf.DUMMYFUNCTION("GOOGLETRANSLATE(A17955, ""en"", ""mt"")"),"Telf ta 'fertilità tal-ħamrija u invażjoni tal-ħaxix ħażin")</f>
        <v>Telf ta 'fertilità tal-ħamrija u invażjoni tal-ħaxix ħażin</v>
      </c>
    </row>
    <row r="17956" ht="15.75" customHeight="1">
      <c r="A17956" s="2" t="s">
        <v>17956</v>
      </c>
      <c r="B17956" s="2" t="str">
        <f>IFERROR(__xludf.DUMMYFUNCTION("GOOGLETRANSLATE(A17956, ""en"", ""mt"")"),"Qajjem")</f>
        <v>Qajjem</v>
      </c>
    </row>
    <row r="17957" ht="15.75" customHeight="1">
      <c r="A17957" s="2" t="s">
        <v>17957</v>
      </c>
      <c r="B17957" s="2" t="str">
        <f>IFERROR(__xludf.DUMMYFUNCTION("GOOGLETRANSLATE(A17957, ""en"", ""mt"")"),"Liema forma huma tipikament it-tentilla?")</f>
        <v>Liema forma huma tipikament it-tentilla?</v>
      </c>
    </row>
    <row r="17958" ht="15.75" customHeight="1">
      <c r="A17958" s="2" t="s">
        <v>17958</v>
      </c>
      <c r="B17958" s="2" t="str">
        <f>IFERROR(__xludf.DUMMYFUNCTION("GOOGLETRANSLATE(A17958, ""en"", ""mt"")"),"Min ġie miżjud mal-partit hekk kif Washington mar fit-triq?")</f>
        <v>Min ġie miżjud mal-partit hekk kif Washington mar fit-triq?</v>
      </c>
    </row>
    <row r="17959" ht="15.75" customHeight="1">
      <c r="A17959" s="2" t="s">
        <v>17959</v>
      </c>
      <c r="B17959" s="2" t="str">
        <f>IFERROR(__xludf.DUMMYFUNCTION("GOOGLETRANSLATE(A17959, ""en"", ""mt"")"),"Kemm kien il-ġid ikkombinat tal- ""10 miljun dollaru miljunarji"" fl-2008?")</f>
        <v>Kemm kien il-ġid ikkombinat tal- "10 miljun dollaru miljunarji" fl-2008?</v>
      </c>
    </row>
    <row r="17960" ht="15.75" customHeight="1">
      <c r="A17960" s="2" t="s">
        <v>17960</v>
      </c>
      <c r="B17960" s="2" t="str">
        <f>IFERROR(__xludf.DUMMYFUNCTION("GOOGLETRANSLATE(A17960, ""en"", ""mt"")"),"infurmaw lil Céloron li huma kellhom il-pajjiż ta 'Ohio u li kienu se jinnegozjaw mal-Ingliżi irrispettivament mill-Franċiżi")</f>
        <v>infurmaw lil Céloron li huma kellhom il-pajjiż ta 'Ohio u li kienu se jinnegozjaw mal-Ingliżi irrispettivament mill-Franċiżi</v>
      </c>
    </row>
    <row r="17961" ht="15.75" customHeight="1">
      <c r="A17961" s="2" t="s">
        <v>17961</v>
      </c>
      <c r="B17961" s="2" t="str">
        <f>IFERROR(__xludf.DUMMYFUNCTION("GOOGLETRANSLATE(A17961, ""en"", ""mt"")"),"Salmonella")</f>
        <v>Salmonella</v>
      </c>
    </row>
    <row r="17962" ht="15.75" customHeight="1">
      <c r="A17962" s="2" t="s">
        <v>17962</v>
      </c>
      <c r="B17962" s="2" t="str">
        <f>IFERROR(__xludf.DUMMYFUNCTION("GOOGLETRANSLATE(A17962, ""en"", ""mt"")"),"Fußach")</f>
        <v>Fußach</v>
      </c>
    </row>
    <row r="17963" ht="15.75" customHeight="1">
      <c r="A17963" s="2" t="s">
        <v>17963</v>
      </c>
      <c r="B17963" s="2" t="str">
        <f>IFERROR(__xludf.DUMMYFUNCTION("GOOGLETRANSLATE(A17963, ""en"", ""mt"")"),"tentakli li jistgħu jinġibdu lura")</f>
        <v>tentakli li jistgħu jinġibdu lura</v>
      </c>
    </row>
    <row r="17964" ht="15.75" customHeight="1">
      <c r="A17964" s="2" t="s">
        <v>17964</v>
      </c>
      <c r="B17964" s="2" t="str">
        <f>IFERROR(__xludf.DUMMYFUNCTION("GOOGLETRANSLATE(A17964, ""en"", ""mt"")"),"X'inhu t-tributarju ewlieni tar-Renu?")</f>
        <v>X'inhu t-tributarju ewlieni tar-Renu?</v>
      </c>
    </row>
    <row r="17965" ht="15.75" customHeight="1">
      <c r="A17965" s="2" t="s">
        <v>17965</v>
      </c>
      <c r="B17965" s="2" t="str">
        <f>IFERROR(__xludf.DUMMYFUNCTION("GOOGLETRANSLATE(A17965, ""en"", ""mt"")"),"Oswego")</f>
        <v>Oswego</v>
      </c>
    </row>
    <row r="17966" ht="15.75" customHeight="1">
      <c r="A17966" s="2" t="s">
        <v>17966</v>
      </c>
      <c r="B17966" s="2" t="str">
        <f>IFERROR(__xludf.DUMMYFUNCTION("GOOGLETRANSLATE(A17966, ""en"", ""mt"")"),"X'inhi l-konfużjoni tal-Gwerra Franċiża u Indjana?")</f>
        <v>X'inhi l-konfużjoni tal-Gwerra Franċiża u Indjana?</v>
      </c>
    </row>
    <row r="17967" ht="15.75" customHeight="1">
      <c r="A17967" s="2" t="s">
        <v>17967</v>
      </c>
      <c r="B17967" s="2" t="str">
        <f>IFERROR(__xludf.DUMMYFUNCTION("GOOGLETRANSLATE(A17967, ""en"", ""mt"")"),"elettromanjetiku")</f>
        <v>elettromanjetiku</v>
      </c>
    </row>
    <row r="17968" ht="15.75" customHeight="1">
      <c r="A17968" s="2" t="s">
        <v>17968</v>
      </c>
      <c r="B17968" s="2" t="str">
        <f>IFERROR(__xludf.DUMMYFUNCTION("GOOGLETRANSLATE(A17968, ""en"", ""mt"")"),"Finanzi")</f>
        <v>Finanzi</v>
      </c>
    </row>
    <row r="17969" ht="15.75" customHeight="1">
      <c r="A17969" s="2" t="s">
        <v>17969</v>
      </c>
      <c r="B17969" s="2" t="str">
        <f>IFERROR(__xludf.DUMMYFUNCTION("GOOGLETRANSLATE(A17969, ""en"", ""mt"")"),"Abilene kienet investitur ewlieni f'liema proġett?")</f>
        <v>Abilene kienet investitur ewlieni f'liema proġett?</v>
      </c>
    </row>
    <row r="17970" ht="15.75" customHeight="1">
      <c r="A17970" s="2" t="s">
        <v>17970</v>
      </c>
      <c r="B17970" s="2" t="str">
        <f>IFERROR(__xludf.DUMMYFUNCTION("GOOGLETRANSLATE(A17970, ""en"", ""mt"")"),"L-okkupazzjoni ta 'min irreżistiet l-Eġizzjani fir-rivoluzzjoni tal-warda tal-2003?")</f>
        <v>L-okkupazzjoni ta 'min irreżistiet l-Eġizzjani fir-rivoluzzjoni tal-warda tal-2003?</v>
      </c>
    </row>
    <row r="17971" ht="15.75" customHeight="1">
      <c r="A17971" s="2" t="s">
        <v>17971</v>
      </c>
      <c r="B17971" s="2" t="str">
        <f>IFERROR(__xludf.DUMMYFUNCTION("GOOGLETRANSLATE(A17971, ""en"", ""mt"")"),"kobor u direzzjoni")</f>
        <v>kobor u direzzjoni</v>
      </c>
    </row>
    <row r="17972" ht="15.75" customHeight="1">
      <c r="A17972" s="2" t="s">
        <v>17972</v>
      </c>
      <c r="B17972" s="2" t="str">
        <f>IFERROR(__xludf.DUMMYFUNCTION("GOOGLETRANSLATE(A17972, ""en"", ""mt"")"),"livell eżistenti ta 'inugwaljanza")</f>
        <v>livell eżistenti ta 'inugwaljanza</v>
      </c>
    </row>
    <row r="17973" ht="15.75" customHeight="1">
      <c r="A17973" s="2" t="s">
        <v>17973</v>
      </c>
      <c r="B17973" s="2" t="str">
        <f>IFERROR(__xludf.DUMMYFUNCTION("GOOGLETRANSLATE(A17973, ""en"", ""mt"")"),"Bidliet teknoloġiċi u globalizzazzjoni")</f>
        <v>Bidliet teknoloġiċi u globalizzazzjoni</v>
      </c>
    </row>
    <row r="17974" ht="15.75" customHeight="1">
      <c r="A17974" s="2" t="s">
        <v>17974</v>
      </c>
      <c r="B17974" s="2" t="str">
        <f>IFERROR(__xludf.DUMMYFUNCTION("GOOGLETRANSLATE(A17974, ""en"", ""mt"")"),"Wara l-perjodu ta 'Oligocene, taħt liema perjodu bdiet tespandi l-foresta tropikali tal-Amazon?")</f>
        <v>Wara l-perjodu ta 'Oligocene, taħt liema perjodu bdiet tespandi l-foresta tropikali tal-Amazon?</v>
      </c>
    </row>
    <row r="17975" ht="15.75" customHeight="1">
      <c r="A17975" s="2" t="s">
        <v>17975</v>
      </c>
      <c r="B17975" s="2" t="str">
        <f>IFERROR(__xludf.DUMMYFUNCTION("GOOGLETRANSLATE(A17975, ""en"", ""mt"")"),"Għal liema British kien is-sit ta 'Jacksonville?")</f>
        <v>Għal liema British kien is-sit ta 'Jacksonville?</v>
      </c>
    </row>
    <row r="17976" ht="15.75" customHeight="1">
      <c r="A17976" s="2" t="s">
        <v>17976</v>
      </c>
      <c r="B17976" s="2" t="str">
        <f>IFERROR(__xludf.DUMMYFUNCTION("GOOGLETRANSLATE(A17976, ""en"", ""mt"")"),"Liema komponenti jgħollu t-temperatura tal-fwar 'il fuq mill-punt tal-fwar saturat tiegħu?")</f>
        <v>Liema komponenti jgħollu t-temperatura tal-fwar 'il fuq mill-punt tal-fwar saturat tiegħu?</v>
      </c>
    </row>
    <row r="17977" ht="15.75" customHeight="1">
      <c r="A17977" s="2" t="s">
        <v>17977</v>
      </c>
      <c r="B17977" s="2" t="str">
        <f>IFERROR(__xludf.DUMMYFUNCTION("GOOGLETRANSLATE(A17977, ""en"", ""mt"")"),"Meta ġie stabbilit ġnien żooloġiku fil-Park tal-Powsin?")</f>
        <v>Meta ġie stabbilit ġnien żooloġiku fil-Park tal-Powsin?</v>
      </c>
    </row>
    <row r="17978" ht="15.75" customHeight="1">
      <c r="A17978" s="2" t="s">
        <v>17978</v>
      </c>
      <c r="B17978" s="2" t="str">
        <f>IFERROR(__xludf.DUMMYFUNCTION("GOOGLETRANSLATE(A17978, ""en"", ""mt"")"),"X'inhi l-attivazzjoni kumplessa ""b'żewġ sinjali"" taċ-ċelloli T?")</f>
        <v>X'inhi l-attivazzjoni kumplessa "b'żewġ sinjali" taċ-ċelloli T?</v>
      </c>
    </row>
    <row r="17979" ht="15.75" customHeight="1">
      <c r="A17979" s="2" t="s">
        <v>17979</v>
      </c>
      <c r="B17979" s="2" t="str">
        <f>IFERROR(__xludf.DUMMYFUNCTION("GOOGLETRANSLATE(A17979, ""en"", ""mt"")"),"Milton Latham")</f>
        <v>Milton Latham</v>
      </c>
    </row>
    <row r="17980" ht="15.75" customHeight="1">
      <c r="A17980" s="2" t="s">
        <v>17980</v>
      </c>
      <c r="B17980" s="2" t="str">
        <f>IFERROR(__xludf.DUMMYFUNCTION("GOOGLETRANSLATE(A17980, ""en"", ""mt"")"),"l-ispeċifiċità naturali")</f>
        <v>l-ispeċifiċità naturali</v>
      </c>
    </row>
    <row r="17981" ht="15.75" customHeight="1">
      <c r="A17981" s="2" t="s">
        <v>17981</v>
      </c>
      <c r="B17981" s="2" t="str">
        <f>IFERROR(__xludf.DUMMYFUNCTION("GOOGLETRANSLATE(A17981, ""en"", ""mt"")"),"Min kien il-president tal-IPCC qabel Hoesung Lee?")</f>
        <v>Min kien il-president tal-IPCC qabel Hoesung Lee?</v>
      </c>
    </row>
    <row r="17982" ht="15.75" customHeight="1">
      <c r="A17982" s="2" t="s">
        <v>17982</v>
      </c>
      <c r="B17982" s="2" t="str">
        <f>IFERROR(__xludf.DUMMYFUNCTION("GOOGLETRANSLATE(A17982, ""en"", ""mt"")"),"In-numri ewlenin influwenzaw ħafna artisti u kittieba. Il-kompożitur Franċiż Olivier Messiaen uża n-numri ewlenin biex joħloq mużika ametrika permezz ta '""fenomeni naturali"". F'xogħlijiet bħal La Nativité du Seigneur (1935) u Quatre Études de Rythme (19"&amp;"49-50), huwa fl-istess ħin jimpjega motivi b'tulijiet mogħtija minn numri primarji differenti biex joħolqu ritmi imprevedibbli: il-Primes 41, 43, 47 u 53 jidhru fil-Primes It-tielet Étude, ""Neumes Rythmiques"". Skond Messiaen dan il-mod ta 'kompożizzjoni"&amp;" kien ""ispirat mill-movimenti tan-natura, movimenti ta' tul ta 'żmien ħieles u mhux ugwali"".")</f>
        <v>In-numri ewlenin influwenzaw ħafna artisti u kittieba. Il-kompożitur Franċiż Olivier Messiaen uża n-numri ewlenin biex joħloq mużika ametrika permezz ta '"fenomeni naturali". F'xogħlijiet bħal La Nativité du Seigneur (1935) u Quatre Études de Rythme (1949-50), huwa fl-istess ħin jimpjega motivi b'tulijiet mogħtija minn numri primarji differenti biex joħolqu ritmi imprevedibbli: il-Primes 41, 43, 47 u 53 jidhru fil-Primes It-tielet Étude, "Neumes Rythmiques". Skond Messiaen dan il-mod ta 'kompożizzjoni kien "ispirat mill-movimenti tan-natura, movimenti ta' tul ta 'żmien ħieles u mhux ugwali".</v>
      </c>
    </row>
    <row r="17983" ht="15.75" customHeight="1">
      <c r="A17983" s="2" t="s">
        <v>17983</v>
      </c>
      <c r="B17983" s="2" t="str">
        <f>IFERROR(__xludf.DUMMYFUNCTION("GOOGLETRANSLATE(A17983, ""en"", ""mt"")"),"Minn liema monument fi ħdan Fresno It-Teatru tat-Torri jikseb isimha?")</f>
        <v>Minn liema monument fi ħdan Fresno It-Teatru tat-Torri jikseb isimha?</v>
      </c>
    </row>
    <row r="17984" ht="15.75" customHeight="1">
      <c r="A17984" s="2" t="s">
        <v>17984</v>
      </c>
      <c r="B17984" s="2" t="str">
        <f>IFERROR(__xludf.DUMMYFUNCTION("GOOGLETRANSLATE(A17984, ""en"", ""mt"")"),"X'inhuma l-għoqiedi ta 'tibgħat intermedji?")</f>
        <v>X'inhuma l-għoqiedi ta 'tibgħat intermedji?</v>
      </c>
    </row>
    <row r="17985" ht="15.75" customHeight="1">
      <c r="A17985" s="2" t="s">
        <v>17985</v>
      </c>
      <c r="B17985" s="2" t="str">
        <f>IFERROR(__xludf.DUMMYFUNCTION("GOOGLETRANSLATE(A17985, ""en"", ""mt"")"),"Meta l-isem Black Death ħa uffiċjalment l-għeruq fl-Ingilterra?")</f>
        <v>Meta l-isem Black Death ħa uffiċjalment l-għeruq fl-Ingilterra?</v>
      </c>
    </row>
    <row r="17986" ht="15.75" customHeight="1">
      <c r="A17986" s="2" t="s">
        <v>17986</v>
      </c>
      <c r="B17986" s="2" t="str">
        <f>IFERROR(__xludf.DUMMYFUNCTION("GOOGLETRANSLATE(A17986, ""en"", ""mt"")"),"Aritmetika Presburger")</f>
        <v>Aritmetika Presburger</v>
      </c>
    </row>
    <row r="17987" ht="15.75" customHeight="1">
      <c r="A17987" s="2" t="s">
        <v>17987</v>
      </c>
      <c r="B17987" s="2" t="str">
        <f>IFERROR(__xludf.DUMMYFUNCTION("GOOGLETRANSLATE(A17987, ""en"", ""mt"")"),"veloċitajiet tal-mewġ")</f>
        <v>veloċitajiet tal-mewġ</v>
      </c>
    </row>
    <row r="17988" ht="15.75" customHeight="1">
      <c r="A17988" s="2" t="s">
        <v>17988</v>
      </c>
      <c r="B17988" s="2" t="str">
        <f>IFERROR(__xludf.DUMMYFUNCTION("GOOGLETRANSLATE(A17988, ""en"", ""mt"")"),"Darwiniżmu soċjali")</f>
        <v>Darwiniżmu soċjali</v>
      </c>
    </row>
    <row r="17989" ht="15.75" customHeight="1">
      <c r="A17989" s="2" t="s">
        <v>17989</v>
      </c>
      <c r="B17989" s="2" t="str">
        <f>IFERROR(__xludf.DUMMYFUNCTION("GOOGLETRANSLATE(A17989, ""en"", ""mt"")"),"Belt tal-Blokk tal-Lvant")</f>
        <v>Belt tal-Blokk tal-Lvant</v>
      </c>
    </row>
    <row r="17990" ht="15.75" customHeight="1">
      <c r="A17990" s="2" t="s">
        <v>17990</v>
      </c>
      <c r="B17990" s="2" t="str">
        <f>IFERROR(__xludf.DUMMYFUNCTION("GOOGLETRANSLATE(A17990, ""en"", ""mt"")"),"Min jagħżel u jikri l-aħjar ideat u kuntratturi xierqa?")</f>
        <v>Min jagħżel u jikri l-aħjar ideat u kuntratturi xierqa?</v>
      </c>
    </row>
    <row r="17991" ht="15.75" customHeight="1">
      <c r="A17991" s="2" t="s">
        <v>17991</v>
      </c>
      <c r="B17991" s="2" t="str">
        <f>IFERROR(__xludf.DUMMYFUNCTION("GOOGLETRANSLATE(A17991, ""en"", ""mt"")"),"Meta l-ispedizzjoni ta 'Céloron waslet f'Logstown, l-Amerikani Nattivi fiż-żona infurmaw lil Céloron li huma kienu l-pajjiż ta' Ohio u li kienu jinnegozjaw mal-Ingliżi irrispettivament mill-Franċiżi. Céloron kompla lejn in-nofsinhar sakemm l-ispedizzjoni "&amp;"tiegħu laħqet il-konfluwenza tal-Ohio u x-Xmajjar ta ’Miami, li jinsabu fin-Nofsinhar tal-villaġġ ta’ Pickawillany, id-dar tal-kap ta ’Miami magħrufa bħala"" Brittanja qadima ”. Céloron hedded ""Brittaniku qadim"" b'konsegwenzi severi jekk kompla jinnegoz"&amp;"ja mal-Ingliżi. ""Old Brittaniku"" injora t-twissija. Diżappuntat, Céloron irritorna f'Montreal f'Novembru 1749.")</f>
        <v>Meta l-ispedizzjoni ta 'Céloron waslet f'Logstown, l-Amerikani Nattivi fiż-żona infurmaw lil Céloron li huma kienu l-pajjiż ta' Ohio u li kienu jinnegozjaw mal-Ingliżi irrispettivament mill-Franċiżi. Céloron kompla lejn in-nofsinhar sakemm l-ispedizzjoni tiegħu laħqet il-konfluwenza tal-Ohio u x-Xmajjar ta ’Miami, li jinsabu fin-Nofsinhar tal-villaġġ ta’ Pickawillany, id-dar tal-kap ta ’Miami magħrufa bħala" Brittanja qadima ”. Céloron hedded "Brittaniku qadim" b'konsegwenzi severi jekk kompla jinnegozja mal-Ingliżi. "Old Brittaniku" injora t-twissija. Diżappuntat, Céloron irritorna f'Montreal f'Novembru 1749.</v>
      </c>
    </row>
    <row r="17992" ht="15.75" customHeight="1">
      <c r="A17992" s="2" t="s">
        <v>17992</v>
      </c>
      <c r="B17992" s="2" t="str">
        <f>IFERROR(__xludf.DUMMYFUNCTION("GOOGLETRANSLATE(A17992, ""en"", ""mt"")"),"X'inhu sigriet patoġeni li jtejbu r-rispons immuni tal-ospitanti?")</f>
        <v>X'inhu sigriet patoġeni li jtejbu r-rispons immuni tal-ospitanti?</v>
      </c>
    </row>
    <row r="17993" ht="15.75" customHeight="1">
      <c r="A17993" s="2" t="s">
        <v>17993</v>
      </c>
      <c r="B17993" s="2" t="str">
        <f>IFERROR(__xludf.DUMMYFUNCTION("GOOGLETRANSLATE(A17993, ""en"", ""mt"")"),"X'jista 'jseħħ minn nifs 100% O2?")</f>
        <v>X'jista 'jseħħ minn nifs 100% O2?</v>
      </c>
    </row>
    <row r="17994" ht="15.75" customHeight="1">
      <c r="A17994" s="2" t="s">
        <v>17994</v>
      </c>
      <c r="B17994" s="2" t="str">
        <f>IFERROR(__xludf.DUMMYFUNCTION("GOOGLETRANSLATE(A17994, ""en"", ""mt"")"),"Liema rapport kellu d-data t-tajba?")</f>
        <v>Liema rapport kellu d-data t-tajba?</v>
      </c>
    </row>
    <row r="17995" ht="15.75" customHeight="1">
      <c r="A17995" s="2" t="s">
        <v>17995</v>
      </c>
      <c r="B17995" s="2" t="str">
        <f>IFERROR(__xludf.DUMMYFUNCTION("GOOGLETRANSLATE(A17995, ""en"", ""mt"")"),"X'tip ta 'lingwi iffjorixxew fil-wan?")</f>
        <v>X'tip ta 'lingwi iffjorixxew fil-wan?</v>
      </c>
    </row>
    <row r="17996" ht="15.75" customHeight="1">
      <c r="A17996" s="2" t="s">
        <v>17996</v>
      </c>
      <c r="B17996" s="2" t="str">
        <f>IFERROR(__xludf.DUMMYFUNCTION("GOOGLETRANSLATE(A17996, ""en"", ""mt"")"),"Liema persentaġġ ta 'studenti tal-iskejjel privati ​​jmorru l-iskejjel Kattoliċi?")</f>
        <v>Liema persentaġġ ta 'studenti tal-iskejjel privati ​​jmorru l-iskejjel Kattoliċi?</v>
      </c>
    </row>
    <row r="17997" ht="15.75" customHeight="1">
      <c r="A17997" s="2" t="s">
        <v>17997</v>
      </c>
      <c r="B17997" s="2" t="str">
        <f>IFERROR(__xludf.DUMMYFUNCTION("GOOGLETRANSLATE(A17997, ""en"", ""mt"")"),"Ir-rata ta 'l-ikklerjar tal-foresta mill-2000 sal-2005 kienet kemm mili kwadri fis-sena?")</f>
        <v>Ir-rata ta 'l-ikklerjar tal-foresta mill-2000 sal-2005 kienet kemm mili kwadri fis-sena?</v>
      </c>
    </row>
    <row r="17998" ht="15.75" customHeight="1">
      <c r="A17998" s="2" t="s">
        <v>17998</v>
      </c>
      <c r="B17998" s="2" t="str">
        <f>IFERROR(__xludf.DUMMYFUNCTION("GOOGLETRANSLATE(A17998, ""en"", ""mt"")"),"129")</f>
        <v>129</v>
      </c>
    </row>
    <row r="17999" ht="15.75" customHeight="1">
      <c r="A17999" s="2" t="s">
        <v>17999</v>
      </c>
      <c r="B17999" s="2" t="str">
        <f>IFERROR(__xludf.DUMMYFUNCTION("GOOGLETRANSLATE(A17999, ""en"", ""mt"")"),"Metodu ta 'rotta tolleranti għall-ħsarat u effiċjenti")</f>
        <v>Metodu ta 'rotta tolleranti għall-ħsarat u effiċjenti</v>
      </c>
    </row>
    <row r="18000" ht="15.75" customHeight="1">
      <c r="A18000" s="2" t="s">
        <v>18000</v>
      </c>
      <c r="B18000" s="2" t="str">
        <f>IFERROR(__xludf.DUMMYFUNCTION("GOOGLETRANSLATE(A18000, ""en"", ""mt"")"),"X'jista 'joħloq kunflitt bejn problema X u problema C fil-kuntest ta' tnaqqis?")</f>
        <v>X'jista 'joħloq kunflitt bejn problema X u problema C fil-kuntest ta' tnaqqis?</v>
      </c>
    </row>
    <row r="18001" ht="15.75" customHeight="1">
      <c r="A18001" s="2" t="s">
        <v>18001</v>
      </c>
      <c r="B18001" s="2" t="str">
        <f>IFERROR(__xludf.DUMMYFUNCTION("GOOGLETRANSLATE(A18001, ""en"", ""mt"")"),"Doża ta 'unità, jew doża waħda ta' mediċina")</f>
        <v>Doża ta 'unità, jew doża waħda ta' mediċina</v>
      </c>
    </row>
    <row r="18002" ht="15.75" customHeight="1">
      <c r="A18002" s="2" t="s">
        <v>18002</v>
      </c>
      <c r="B18002" s="2" t="str">
        <f>IFERROR(__xludf.DUMMYFUNCTION("GOOGLETRANSLATE(A18002, ""en"", ""mt"")"),"X'inhuma xi fatturi oħra li spiżjar ma jistax jimmonitorja?")</f>
        <v>X'inhuma xi fatturi oħra li spiżjar ma jistax jimmonitorja?</v>
      </c>
    </row>
    <row r="18003" ht="15.75" customHeight="1">
      <c r="A18003" s="2" t="s">
        <v>18003</v>
      </c>
      <c r="B18003" s="2" t="str">
        <f>IFERROR(__xludf.DUMMYFUNCTION("GOOGLETRANSLATE(A18003, ""en"", ""mt"")"),"akbar minn 1")</f>
        <v>akbar minn 1</v>
      </c>
    </row>
    <row r="18004" ht="15.75" customHeight="1">
      <c r="A18004" s="2" t="s">
        <v>18004</v>
      </c>
      <c r="B18004" s="2" t="str">
        <f>IFERROR(__xludf.DUMMYFUNCTION("GOOGLETRANSLATE(A18004, ""en"", ""mt"")"),"Fid-dinja industrijalizzata moderna, il-kostruzzjoni ġeneralment tinvolvi t-traduzzjoni tad-disinji fir-realtà. Tim ta 'disinn formali jista' jkun immuntat biex jippjana l-proċeduri fiżiċi, u biex jintegra dawk il-proċeduri mal-partijiet l-oħra. Id-disinn"&amp;" ġeneralment jikkonsisti minn tpinġijiet u speċifikazzjonijiet, ġeneralment ippreparati minn tim tad-disinn li jinkludi perit, inġiniera ċivili, inġiniera mekkaniċi, inġiniera elettriċi, inġiniera strutturali, inġiniera tal-protezzjoni tan-nar, konsulenti"&amp;" tal-ippjanar, konsulenti arkitettoniċi, u konsulenti arkeoloġiċi. It-tim tad-disinn huwa l-iktar użat komunement minn (i.e. f'kuntratt ma ') is-sid tal-propjetà. Taħt din is-sistema, ladarba d-disinn jitlesta mit-tim tad-disinn, numru ta 'kumpaniji tal-k"&amp;"ostruzzjoni jew kumpaniji tal-ġestjoni tal-kostruzzjoni jistgħu mbagħad jintalbu jagħmlu offerta għax-xogħol, jew ibbażati direttament fuq id-disinn, jew fuq il-bażi tat-tpinġijiet u Abbozz ta ’Kwantitajiet ipprovduti minn Surveyor tal-Kwantità. Wara l-ev"&amp;"alwazzjoni tal-offerti, is-sid tipikament jagħti kuntratt lill-offerent l-iktar effiċjenti fl-infiq.")</f>
        <v>Fid-dinja industrijalizzata moderna, il-kostruzzjoni ġeneralment tinvolvi t-traduzzjoni tad-disinji fir-realtà. Tim ta 'disinn formali jista' jkun immuntat biex jippjana l-proċeduri fiżiċi, u biex jintegra dawk il-proċeduri mal-partijiet l-oħra. Id-disinn ġeneralment jikkonsisti minn tpinġijiet u speċifikazzjonijiet, ġeneralment ippreparati minn tim tad-disinn li jinkludi perit, inġiniera ċivili, inġiniera mekkaniċi, inġiniera elettriċi, inġiniera strutturali, inġiniera tal-protezzjoni tan-nar, konsulenti tal-ippjanar, konsulenti arkitettoniċi, u konsulenti arkeoloġiċi. It-tim tad-disinn huwa l-iktar użat komunement minn (i.e. f'kuntratt ma ') is-sid tal-propjetà. Taħt din is-sistema, ladarba d-disinn jitlesta mit-tim tad-disinn, numru ta 'kumpaniji tal-kostruzzjoni jew kumpaniji tal-ġestjoni tal-kostruzzjoni jistgħu mbagħad jintalbu jagħmlu offerta għax-xogħol, jew ibbażati direttament fuq id-disinn, jew fuq il-bażi tat-tpinġijiet u Abbozz ta ’Kwantitajiet ipprovduti minn Surveyor tal-Kwantità. Wara l-evalwazzjoni tal-offerti, is-sid tipikament jagħti kuntratt lill-offerent l-iktar effiċjenti fl-infiq.</v>
      </c>
    </row>
    <row r="18005" ht="15.75" customHeight="1">
      <c r="A18005" s="2" t="s">
        <v>18005</v>
      </c>
      <c r="B18005" s="2" t="str">
        <f>IFERROR(__xludf.DUMMYFUNCTION("GOOGLETRANSLATE(A18005, ""en"", ""mt"")"),"Min kien missier William is-Silent?")</f>
        <v>Min kien missier William is-Silent?</v>
      </c>
    </row>
    <row r="18006" ht="15.75" customHeight="1">
      <c r="A18006" s="2" t="s">
        <v>18006</v>
      </c>
      <c r="B18006" s="2" t="str">
        <f>IFERROR(__xludf.DUMMYFUNCTION("GOOGLETRANSLATE(A18006, ""en"", ""mt"")"),"Ma 'liema sistema Ċiniża għamlet kompromess il-gvern ta' Kublai?")</f>
        <v>Ma 'liema sistema Ċiniża għamlet kompromess il-gvern ta' Kublai?</v>
      </c>
    </row>
    <row r="18007" ht="15.75" customHeight="1">
      <c r="A18007" s="2" t="s">
        <v>18007</v>
      </c>
      <c r="B18007" s="2" t="str">
        <f>IFERROR(__xludf.DUMMYFUNCTION("GOOGLETRANSLATE(A18007, ""en"", ""mt"")"),"Ta 'liema natura matematika hija l-problema ta' Basel?")</f>
        <v>Ta 'liema natura matematika hija l-problema ta' Basel?</v>
      </c>
    </row>
    <row r="18008" ht="15.75" customHeight="1">
      <c r="A18008" s="2" t="s">
        <v>18008</v>
      </c>
      <c r="B18008" s="2" t="str">
        <f>IFERROR(__xludf.DUMMYFUNCTION("GOOGLETRANSLATE(A18008, ""en"", ""mt"")"),"Formula ta 'interpolazzjoni kubika")</f>
        <v>Formula ta 'interpolazzjoni kubika</v>
      </c>
    </row>
    <row r="18009" ht="15.75" customHeight="1">
      <c r="A18009" s="2" t="s">
        <v>18009</v>
      </c>
      <c r="B18009" s="2" t="str">
        <f>IFERROR(__xludf.DUMMYFUNCTION("GOOGLETRANSLATE(A18009, ""en"", ""mt"")"),"Fl-Istati Uniti, x'inhi l-veloċità tas-soltu tat-turbina b'60 hertz ta 'poter?")</f>
        <v>Fl-Istati Uniti, x'inhi l-veloċità tas-soltu tat-turbina b'60 hertz ta 'poter?</v>
      </c>
    </row>
    <row r="18010" ht="15.75" customHeight="1">
      <c r="A18010" s="2" t="s">
        <v>18010</v>
      </c>
      <c r="B18010" s="2" t="str">
        <f>IFERROR(__xludf.DUMMYFUNCTION("GOOGLETRANSLATE(A18010, ""en"", ""mt"")"),"Iċ-ċomb plugs fusibbli")</f>
        <v>Iċ-ċomb plugs fusibbli</v>
      </c>
    </row>
    <row r="18011" ht="15.75" customHeight="1">
      <c r="A18011" s="2" t="s">
        <v>18011</v>
      </c>
      <c r="B18011" s="2" t="str">
        <f>IFERROR(__xludf.DUMMYFUNCTION("GOOGLETRANSLATE(A18011, ""en"", ""mt"")"),"consoles elettroniċi")</f>
        <v>consoles elettroniċi</v>
      </c>
    </row>
    <row r="18012" ht="15.75" customHeight="1">
      <c r="A18012" s="2" t="s">
        <v>18012</v>
      </c>
      <c r="B18012" s="2" t="str">
        <f>IFERROR(__xludf.DUMMYFUNCTION("GOOGLETRANSLATE(A18012, ""en"", ""mt"")"),"Fuq kif jistgħu jinstabu speċi ta 'siġar fil-ġnien tal-Kawkasu?")</f>
        <v>Fuq kif jistgħu jinstabu speċi ta 'siġar fil-ġnien tal-Kawkasu?</v>
      </c>
    </row>
    <row r="18013" ht="15.75" customHeight="1">
      <c r="A18013" s="2" t="s">
        <v>18013</v>
      </c>
      <c r="B18013" s="2" t="str">
        <f>IFERROR(__xludf.DUMMYFUNCTION("GOOGLETRANSLATE(A18013, ""en"", ""mt"")"),"Liema sena l-konsolidazzjoni kkawżat lil Jacksonville biex issir parti mill-Kontea ta 'Duval?")</f>
        <v>Liema sena l-konsolidazzjoni kkawżat lil Jacksonville biex issir parti mill-Kontea ta 'Duval?</v>
      </c>
    </row>
    <row r="18014" ht="15.75" customHeight="1">
      <c r="A18014" s="2" t="s">
        <v>18014</v>
      </c>
      <c r="B18014" s="2" t="str">
        <f>IFERROR(__xludf.DUMMYFUNCTION("GOOGLETRANSLATE(A18014, ""en"", ""mt"")"),"pixxini ta 'kumpens")</f>
        <v>pixxini ta 'kumpens</v>
      </c>
    </row>
    <row r="18015" ht="15.75" customHeight="1">
      <c r="A18015" s="2" t="s">
        <v>18015</v>
      </c>
      <c r="B18015" s="2" t="str">
        <f>IFERROR(__xludf.DUMMYFUNCTION("GOOGLETRANSLATE(A18015, ""en"", ""mt"")"),"X'kienet id-difiża Ingliża normali?")</f>
        <v>X'kienet id-difiża Ingliża normali?</v>
      </c>
    </row>
    <row r="18016" ht="15.75" customHeight="1">
      <c r="A18016" s="2" t="s">
        <v>18016</v>
      </c>
      <c r="B18016" s="2" t="str">
        <f>IFERROR(__xludf.DUMMYFUNCTION("GOOGLETRANSLATE(A18016, ""en"", ""mt"")"),"ma riedx jirriskja konvoj kbar biex jgħinu l-forzi limitati li kellu fi Franza l-ġdida")</f>
        <v>ma riedx jirriskja konvoj kbar biex jgħinu l-forzi limitati li kellu fi Franza l-ġdida</v>
      </c>
    </row>
    <row r="18017" ht="15.75" customHeight="1">
      <c r="A18017" s="2" t="s">
        <v>18017</v>
      </c>
      <c r="B18017" s="2" t="str">
        <f>IFERROR(__xludf.DUMMYFUNCTION("GOOGLETRANSLATE(A18017, ""en"", ""mt"")"),"Kif qabbad Utent of Tymnet")</f>
        <v>Kif qabbad Utent of Tymnet</v>
      </c>
    </row>
    <row r="18018" ht="15.75" customHeight="1">
      <c r="A18018" s="2" t="s">
        <v>18018</v>
      </c>
      <c r="B18018" s="2" t="str">
        <f>IFERROR(__xludf.DUMMYFUNCTION("GOOGLETRANSLATE(A18018, ""en"", ""mt"")"),"Kemm residenti ta ’Sivilja mietu bil-pesta fl-1649?")</f>
        <v>Kemm residenti ta ’Sivilja mietu bil-pesta fl-1649?</v>
      </c>
    </row>
    <row r="18019" ht="15.75" customHeight="1">
      <c r="A18019" s="2" t="s">
        <v>18019</v>
      </c>
      <c r="B18019" s="2" t="str">
        <f>IFERROR(__xludf.DUMMYFUNCTION("GOOGLETRANSLATE(A18019, ""en"", ""mt"")"),"Minn liema oqsma rreklutaw il-Franċiżi?")</f>
        <v>Minn liema oqsma rreklutaw il-Franċiżi?</v>
      </c>
    </row>
    <row r="18020" ht="15.75" customHeight="1">
      <c r="A18020" s="2" t="s">
        <v>18020</v>
      </c>
      <c r="B18020" s="2" t="str">
        <f>IFERROR(__xludf.DUMMYFUNCTION("GOOGLETRANSLATE(A18020, ""en"", ""mt"")"),"Liema organizzazzjoni għandha biss ir-responsabbiltà għall-kitba ta 'rapporti ta' valutazzjoni tal-klima?")</f>
        <v>Liema organizzazzjoni għandha biss ir-responsabbiltà għall-kitba ta 'rapporti ta' valutazzjoni tal-klima?</v>
      </c>
    </row>
    <row r="18021" ht="15.75" customHeight="1">
      <c r="A18021" s="2" t="s">
        <v>18021</v>
      </c>
      <c r="B18021" s="2" t="str">
        <f>IFERROR(__xludf.DUMMYFUNCTION("GOOGLETRANSLATE(A18021, ""en"", ""mt"")"),"X'għandu jkollu l-adozzjoni ta 'liġijiet li se jkollhom effett legali fl-UE?")</f>
        <v>X'għandu jkollu l-adozzjoni ta 'liġijiet li se jkollhom effett legali fl-UE?</v>
      </c>
    </row>
    <row r="18022" ht="15.75" customHeight="1">
      <c r="A18022" s="2" t="s">
        <v>18022</v>
      </c>
      <c r="B18022" s="2" t="str">
        <f>IFERROR(__xludf.DUMMYFUNCTION("GOOGLETRANSLATE(A18022, ""en"", ""mt"")"),"Kunsill Ewropew")</f>
        <v>Kunsill Ewropew</v>
      </c>
    </row>
    <row r="18023" ht="15.75" customHeight="1">
      <c r="A18023" s="2" t="s">
        <v>18023</v>
      </c>
      <c r="B18023" s="2" t="str">
        <f>IFERROR(__xludf.DUMMYFUNCTION("GOOGLETRANSLATE(A18023, ""en"", ""mt"")"),"Liema difiżi jirrispondu għall-patoġeni b'mod speċifiku?")</f>
        <v>Liema difiżi jirrispondu għall-patoġeni b'mod speċifiku?</v>
      </c>
    </row>
    <row r="18024" ht="15.75" customHeight="1">
      <c r="A18024" s="2" t="s">
        <v>18024</v>
      </c>
      <c r="B18024" s="2" t="str">
        <f>IFERROR(__xludf.DUMMYFUNCTION("GOOGLETRANSLATE(A18024, ""en"", ""mt"")"),"Kemm kilometri hemm vistula mill-Muntanji tal-Karpazji?")</f>
        <v>Kemm kilometri hemm vistula mill-Muntanji tal-Karpazji?</v>
      </c>
    </row>
    <row r="18025" ht="15.75" customHeight="1">
      <c r="A18025" s="2" t="s">
        <v>18025</v>
      </c>
      <c r="B18025" s="2" t="str">
        <f>IFERROR(__xludf.DUMMYFUNCTION("GOOGLETRANSLATE(A18025, ""en"", ""mt"")"),"Algoritmi Deterministiċi")</f>
        <v>Algoritmi Deterministiċi</v>
      </c>
    </row>
    <row r="18026" ht="15.75" customHeight="1">
      <c r="A18026" s="2" t="s">
        <v>18026</v>
      </c>
      <c r="B18026" s="2" t="str">
        <f>IFERROR(__xludf.DUMMYFUNCTION("GOOGLETRANSLATE(A18026, ""en"", ""mt"")"),"VA, is-Servizz tas-Saħħa Indjana, u NIH")</f>
        <v>VA, is-Servizz tas-Saħħa Indjana, u NIH</v>
      </c>
    </row>
    <row r="18027" ht="15.75" customHeight="1">
      <c r="A18027" s="2" t="s">
        <v>18027</v>
      </c>
      <c r="B18027" s="2" t="str">
        <f>IFERROR(__xludf.DUMMYFUNCTION("GOOGLETRANSLATE(A18027, ""en"", ""mt"")"),"skejjel indipendenti")</f>
        <v>skejjel indipendenti</v>
      </c>
    </row>
    <row r="18028" ht="15.75" customHeight="1">
      <c r="A18028" s="2" t="s">
        <v>18028</v>
      </c>
      <c r="B18028" s="2" t="str">
        <f>IFERROR(__xludf.DUMMYFUNCTION("GOOGLETRANSLATE(A18028, ""en"", ""mt"")"),"Kmamar tal-ossiġnu")</f>
        <v>Kmamar tal-ossiġnu</v>
      </c>
    </row>
    <row r="18029" ht="15.75" customHeight="1">
      <c r="A18029" s="2" t="s">
        <v>18029</v>
      </c>
      <c r="B18029" s="2" t="str">
        <f>IFERROR(__xludf.DUMMYFUNCTION("GOOGLETRANSLATE(A18029, ""en"", ""mt"")"),"1281")</f>
        <v>1281</v>
      </c>
    </row>
    <row r="18030" ht="15.75" customHeight="1">
      <c r="A18030" s="2" t="s">
        <v>18030</v>
      </c>
      <c r="B18030" s="2" t="str">
        <f>IFERROR(__xludf.DUMMYFUNCTION("GOOGLETRANSLATE(A18030, ""en"", ""mt"")"),"Ir-rata tal-fluss żdiedet")</f>
        <v>Ir-rata tal-fluss żdiedet</v>
      </c>
    </row>
    <row r="18031" ht="15.75" customHeight="1">
      <c r="A18031" s="2" t="s">
        <v>18031</v>
      </c>
      <c r="B18031" s="2" t="str">
        <f>IFERROR(__xludf.DUMMYFUNCTION("GOOGLETRANSLATE(A18031, ""en"", ""mt"")"),"X'kien iċ-Ċentru tal-Assemblea Pinedale?")</f>
        <v>X'kien iċ-Ċentru tal-Assemblea Pinedale?</v>
      </c>
    </row>
    <row r="18032" ht="15.75" customHeight="1">
      <c r="A18032" s="2" t="s">
        <v>18032</v>
      </c>
      <c r="B18032" s="2" t="str">
        <f>IFERROR(__xludf.DUMMYFUNCTION("GOOGLETRANSLATE(A18032, ""en"", ""mt"")"),"Liema tip ta 'dħul hija l-maġġoranza l-kbira tal-popolazzjoni li ma tiddependix?")</f>
        <v>Liema tip ta 'dħul hija l-maġġoranza l-kbira tal-popolazzjoni li ma tiddependix?</v>
      </c>
    </row>
    <row r="18033" ht="15.75" customHeight="1">
      <c r="A18033" s="2" t="s">
        <v>18033</v>
      </c>
      <c r="B18033" s="2" t="str">
        <f>IFERROR(__xludf.DUMMYFUNCTION("GOOGLETRANSLATE(A18033, ""en"", ""mt"")"),"X'iktar ġie evitat mill-Pharmas?")</f>
        <v>X'iktar ġie evitat mill-Pharmas?</v>
      </c>
    </row>
    <row r="18034" ht="15.75" customHeight="1">
      <c r="A18034" s="2" t="s">
        <v>18034</v>
      </c>
      <c r="B18034" s="2" t="str">
        <f>IFERROR(__xludf.DUMMYFUNCTION("GOOGLETRANSLATE(A18034, ""en"", ""mt"")"),"Il-Griegi tal-qedem")</f>
        <v>Il-Griegi tal-qedem</v>
      </c>
    </row>
    <row r="18035" ht="15.75" customHeight="1">
      <c r="A18035" s="2" t="s">
        <v>18035</v>
      </c>
      <c r="B18035" s="2" t="str">
        <f>IFERROR(__xludf.DUMMYFUNCTION("GOOGLETRANSLATE(A18035, ""en"", ""mt"")"),"Bħal fil-House of Commons, numru ta 'kwalifiki japplikaw għal MSP. Dawn il-kwalifiki ġew introdotti taħt l-Att dwar l-1975 tal-House of Commons tal-1975 u l-Att dwar in-Nazzjonalità Brittanika tal-1981. Speċifikament, il-membri jridu jkunu aktar minn 18-i"&amp;"l sena u għandhom ikunu ċittadin tar-Renju Unit, ir-Repubblika tal-Irlanda, wieħed mill-pajjiżi Commonwealth of Nations, ċittadin ta ’territorju Brittaniku barrani, jew ċittadin tal-Unjoni Ewropea residenti fir-Renju Unit. Il-membri tal-pulizija u tal-for"&amp;"zi armati huma skwalifikati milli joqogħdu fil-Parlament Skoċċiż bħala MSPs eletti, u bl-istess mod, impjegati taċ-ċivil u membri tal-leġiżlaturi barranin huma skwalifikati. Individwu ma jistax joqgħod fil-Parlament Skoċċiż jekk hu jew hi jiġi ġġudikat li"&amp;" jkun insane skont it-termini tal-Att dwar is-Saħħa Mentali (Kura u Trattament) (l-Iskozja) tal-2003.")</f>
        <v>Bħal fil-House of Commons, numru ta 'kwalifiki japplikaw għal MSP. Dawn il-kwalifiki ġew introdotti taħt l-Att dwar l-1975 tal-House of Commons tal-1975 u l-Att dwar in-Nazzjonalità Brittanika tal-1981. Speċifikament, il-membri jridu jkunu aktar minn 18-il sena u għandhom ikunu ċittadin tar-Renju Unit, ir-Repubblika tal-Irlanda, wieħed mill-pajjiżi Commonwealth of Nations, ċittadin ta ’territorju Brittaniku barrani, jew ċittadin tal-Unjoni Ewropea residenti fir-Renju Unit. Il-membri tal-pulizija u tal-forzi armati huma skwalifikati milli joqogħdu fil-Parlament Skoċċiż bħala MSPs eletti, u bl-istess mod, impjegati taċ-ċivil u membri tal-leġiżlaturi barranin huma skwalifikati. Individwu ma jistax joqgħod fil-Parlament Skoċċiż jekk hu jew hi jiġi ġġudikat li jkun insane skont it-termini tal-Att dwar is-Saħħa Mentali (Kura u Trattament) (l-Iskozja) tal-2003.</v>
      </c>
    </row>
    <row r="18036" ht="15.75" customHeight="1">
      <c r="A18036" s="2" t="s">
        <v>18036</v>
      </c>
      <c r="B18036" s="2" t="str">
        <f>IFERROR(__xludf.DUMMYFUNCTION("GOOGLETRANSLATE(A18036, ""en"", ""mt"")"),"Fl-esperimenti, pont ta 'liema element jista' jinbena bejn arbli ta 'kalamita?")</f>
        <v>Fl-esperimenti, pont ta 'liema element jista' jinbena bejn arbli ta 'kalamita?</v>
      </c>
    </row>
    <row r="18037" ht="15.75" customHeight="1">
      <c r="A18037" s="2" t="s">
        <v>18037</v>
      </c>
      <c r="B18037" s="2" t="str">
        <f>IFERROR(__xludf.DUMMYFUNCTION("GOOGLETRANSLATE(A18037, ""en"", ""mt"")"),"Kemm inqas il-fwar uża l-magna Rumford meta mqabbel mal-magna Watt?")</f>
        <v>Kemm inqas il-fwar uża l-magna Rumford meta mqabbel mal-magna Watt?</v>
      </c>
    </row>
    <row r="18038" ht="15.75" customHeight="1">
      <c r="A18038" s="2" t="s">
        <v>18038</v>
      </c>
      <c r="B18038" s="2" t="str">
        <f>IFERROR(__xludf.DUMMYFUNCTION("GOOGLETRANSLATE(A18038, ""en"", ""mt"")"),"Min jieħu ħatra formali jew deċiżjonijiet ta 'tkeċċija?")</f>
        <v>Min jieħu ħatra formali jew deċiżjonijiet ta 'tkeċċija?</v>
      </c>
    </row>
    <row r="18039" ht="15.75" customHeight="1">
      <c r="A18039" s="2" t="s">
        <v>18039</v>
      </c>
      <c r="B18039" s="2" t="str">
        <f>IFERROR(__xludf.DUMMYFUNCTION("GOOGLETRANSLATE(A18039, ""en"", ""mt"")"),"xhur bikrin tal-1754")</f>
        <v>xhur bikrin tal-1754</v>
      </c>
    </row>
    <row r="18040" ht="15.75" customHeight="1">
      <c r="A18040" s="2" t="s">
        <v>18040</v>
      </c>
      <c r="B18040" s="2" t="str">
        <f>IFERROR(__xludf.DUMMYFUNCTION("GOOGLETRANSLATE(A18040, ""en"", ""mt"")"),"DVB-S2")</f>
        <v>DVB-S2</v>
      </c>
    </row>
    <row r="18041" ht="15.75" customHeight="1">
      <c r="A18041" s="2" t="s">
        <v>18041</v>
      </c>
      <c r="B18041" s="2" t="str">
        <f>IFERROR(__xludf.DUMMYFUNCTION("GOOGLETRANSLATE(A18041, ""en"", ""mt"")"),"Hemm ħafna esperimenti li jistgħu jiddistingwu jekk hijiex il-vettura li hija mistrieħ jew xiex?")</f>
        <v>Hemm ħafna esperimenti li jistgħu jiddistingwu jekk hijiex il-vettura li hija mistrieħ jew xiex?</v>
      </c>
    </row>
    <row r="18042" ht="15.75" customHeight="1">
      <c r="A18042" s="2" t="s">
        <v>18042</v>
      </c>
      <c r="B18042" s="2" t="str">
        <f>IFERROR(__xludf.DUMMYFUNCTION("GOOGLETRANSLATE(A18042, ""en"", ""mt"")"),"tajjeb")</f>
        <v>tajjeb</v>
      </c>
    </row>
    <row r="18043" ht="15.75" customHeight="1">
      <c r="A18043" s="2" t="s">
        <v>18043</v>
      </c>
      <c r="B18043" s="2" t="str">
        <f>IFERROR(__xludf.DUMMYFUNCTION("GOOGLETRANSLATE(A18043, ""en"", ""mt"")"),"Effiċjenza distributiva")</f>
        <v>Effiċjenza distributiva</v>
      </c>
    </row>
    <row r="18044" ht="15.75" customHeight="1">
      <c r="A18044" s="2" t="s">
        <v>18044</v>
      </c>
      <c r="B18044" s="2" t="str">
        <f>IFERROR(__xludf.DUMMYFUNCTION("GOOGLETRANSLATE(A18044, ""en"", ""mt"")"),"Ikkonċentrat ħafna tul il-Wied tax-Xmara San Lawrenz, b'xi wħud ukoll f'Acadia")</f>
        <v>Ikkonċentrat ħafna tul il-Wied tax-Xmara San Lawrenz, b'xi wħud ukoll f'Acadia</v>
      </c>
    </row>
    <row r="18045" ht="15.75" customHeight="1">
      <c r="A18045" s="2" t="s">
        <v>18045</v>
      </c>
      <c r="B18045" s="2" t="str">
        <f>IFERROR(__xludf.DUMMYFUNCTION("GOOGLETRANSLATE(A18045, ""en"", ""mt"")"),"Fil-firxa bejn l-1980 u l-1990, x'tagħmel id-domanda biex tikber?")</f>
        <v>Fil-firxa bejn l-1980 u l-1990, x'tagħmel id-domanda biex tikber?</v>
      </c>
    </row>
    <row r="18046" ht="15.75" customHeight="1">
      <c r="A18046" s="2" t="s">
        <v>18046</v>
      </c>
      <c r="B18046" s="2" t="str">
        <f>IFERROR(__xludf.DUMMYFUNCTION("GOOGLETRANSLATE(A18046, ""en"", ""mt"")"),"Dak li jaqbel mal-qafas tal-klassijiet tal-kumplessità?")</f>
        <v>Dak li jaqbel mal-qafas tal-klassijiet tal-kumplessità?</v>
      </c>
    </row>
    <row r="18047" ht="15.75" customHeight="1">
      <c r="A18047" s="2" t="s">
        <v>18047</v>
      </c>
      <c r="B18047" s="2" t="str">
        <f>IFERROR(__xludf.DUMMYFUNCTION("GOOGLETRANSLATE(A18047, ""en"", ""mt"")"),"bagħat lil Dieskau fil-Fort San Frédéric biex jiltaqa 'ma' dik it-theddida")</f>
        <v>bagħat lil Dieskau fil-Fort San Frédéric biex jiltaqa 'ma' dik it-theddida</v>
      </c>
    </row>
    <row r="18048" ht="15.75" customHeight="1">
      <c r="A18048" s="2" t="s">
        <v>18048</v>
      </c>
      <c r="B18048" s="2" t="str">
        <f>IFERROR(__xludf.DUMMYFUNCTION("GOOGLETRANSLATE(A18048, ""en"", ""mt"")"),"Valley San Fernando")</f>
        <v>Valley San Fernando</v>
      </c>
    </row>
    <row r="18049" ht="15.75" customHeight="1">
      <c r="A18049" s="2" t="s">
        <v>18049</v>
      </c>
      <c r="B18049" s="2" t="str">
        <f>IFERROR(__xludf.DUMMYFUNCTION("GOOGLETRANSLATE(A18049, ""en"", ""mt"")"),"Seaborne")</f>
        <v>Seaborne</v>
      </c>
    </row>
    <row r="18050" ht="15.75" customHeight="1">
      <c r="A18050" s="2" t="s">
        <v>18050</v>
      </c>
      <c r="B18050" s="2" t="str">
        <f>IFERROR(__xludf.DUMMYFUNCTION("GOOGLETRANSLATE(A18050, ""en"", ""mt"")"),"X’kien dejjem aktar interdipendenti mal-Iżlamiżmu ma ’wara r-Rebbiegħa Għarbija?")</f>
        <v>X’kien dejjem aktar interdipendenti mal-Iżlamiżmu ma ’wara r-Rebbiegħa Għarbija?</v>
      </c>
    </row>
    <row r="18051" ht="15.75" customHeight="1">
      <c r="A18051" s="2" t="s">
        <v>18051</v>
      </c>
      <c r="B18051" s="2" t="str">
        <f>IFERROR(__xludf.DUMMYFUNCTION("GOOGLETRANSLATE(A18051, ""en"", ""mt"")"),"Min għamlet analiżi morfoloġikament fl-1985 li kkonkludiet li ċ-ċidippidi mhumiex monofiletiċi?")</f>
        <v>Min għamlet analiżi morfoloġikament fl-1985 li kkonkludiet li ċ-ċidippidi mhumiex monofiletiċi?</v>
      </c>
    </row>
    <row r="18052" ht="15.75" customHeight="1">
      <c r="A18052" s="2" t="s">
        <v>18052</v>
      </c>
      <c r="B18052" s="2" t="str">
        <f>IFERROR(__xludf.DUMMYFUNCTION("GOOGLETRANSLATE(A18052, ""en"", ""mt"")"),"Kemm ekwazzjonijiet ta 'vettur Heaviside u Gibbs reġgħu ifformjaw l-20 EQUtions Scalar ta' Maxwell?")</f>
        <v>Kemm ekwazzjonijiet ta 'vettur Heaviside u Gibbs reġgħu ifformjaw l-20 EQUtions Scalar ta' Maxwell?</v>
      </c>
    </row>
    <row r="18053" ht="15.75" customHeight="1">
      <c r="A18053" s="2" t="s">
        <v>18053</v>
      </c>
      <c r="B18053" s="2" t="str">
        <f>IFERROR(__xludf.DUMMYFUNCTION("GOOGLETRANSLATE(A18053, ""en"", ""mt"")"),"Min kien it-tielet tifel ta 'Genghis?")</f>
        <v>Min kien it-tielet tifel ta 'Genghis?</v>
      </c>
    </row>
    <row r="18054" ht="15.75" customHeight="1">
      <c r="A18054" s="2" t="s">
        <v>18054</v>
      </c>
      <c r="B18054" s="2" t="str">
        <f>IFERROR(__xludf.DUMMYFUNCTION("GOOGLETRANSLATE(A18054, ""en"", ""mt"")"),"X'tipi ta 'mewġ jużaw is-sismologi biex jimmaġinaw l-intern tad-dinja?")</f>
        <v>X'tipi ta 'mewġ jużaw is-sismologi biex jimmaġinaw l-intern tad-dinja?</v>
      </c>
    </row>
    <row r="18055" ht="15.75" customHeight="1">
      <c r="A18055" s="2" t="s">
        <v>18055</v>
      </c>
      <c r="B18055" s="2" t="str">
        <f>IFERROR(__xludf.DUMMYFUNCTION("GOOGLETRANSLATE(A18055, ""en"", ""mt"")"),"X'espedizzjoni mexxa George Maniaces fis-seklu 10?")</f>
        <v>X'espedizzjoni mexxa George Maniaces fis-seklu 10?</v>
      </c>
    </row>
    <row r="18056" ht="15.75" customHeight="1">
      <c r="A18056" s="2" t="s">
        <v>18056</v>
      </c>
      <c r="B18056" s="2" t="str">
        <f>IFERROR(__xludf.DUMMYFUNCTION("GOOGLETRANSLATE(A18056, ""en"", ""mt"")"),"biex ma tagħtix tfittxija ta 'kunsens")</f>
        <v>biex ma tagħtix tfittxija ta 'kunsens</v>
      </c>
    </row>
    <row r="18057" ht="15.75" customHeight="1">
      <c r="A18057" s="2" t="s">
        <v>18057</v>
      </c>
      <c r="B18057" s="2" t="str">
        <f>IFERROR(__xludf.DUMMYFUNCTION("GOOGLETRANSLATE(A18057, ""en"", ""mt"")"),"X’proponiet il-prosekuzzjoni fil-proċess ta ’Ghandi?")</f>
        <v>X’proponiet il-prosekuzzjoni fil-proċess ta ’Ghandi?</v>
      </c>
    </row>
    <row r="18058" ht="15.75" customHeight="1">
      <c r="A18058" s="2" t="s">
        <v>18058</v>
      </c>
      <c r="B18058" s="2" t="str">
        <f>IFERROR(__xludf.DUMMYFUNCTION("GOOGLETRANSLATE(A18058, ""en"", ""mt"")"),"Liema parti hija favorita f'Bedigo u Geelong?")</f>
        <v>Liema parti hija favorita f'Bedigo u Geelong?</v>
      </c>
    </row>
    <row r="18059" ht="15.75" customHeight="1">
      <c r="A18059" s="2" t="s">
        <v>18059</v>
      </c>
      <c r="B18059" s="2" t="str">
        <f>IFERROR(__xludf.DUMMYFUNCTION("GOOGLETRANSLATE(A18059, ""en"", ""mt"")"),"Elettur ta 'Brandenburg u Duka tal-Prussja")</f>
        <v>Elettur ta 'Brandenburg u Duka tal-Prussja</v>
      </c>
    </row>
    <row r="18060" ht="15.75" customHeight="1">
      <c r="A18060" s="2" t="s">
        <v>18060</v>
      </c>
      <c r="B18060" s="2" t="str">
        <f>IFERROR(__xludf.DUMMYFUNCTION("GOOGLETRANSLATE(A18060, ""en"", ""mt"")"),"X'jagħmlu r-razez ta 'y. Pestis jissuġġerixxu li l-pesta?")</f>
        <v>X'jagħmlu r-razez ta 'y. Pestis jissuġġerixxu li l-pesta?</v>
      </c>
    </row>
    <row r="18061" ht="15.75" customHeight="1">
      <c r="A18061" s="2" t="s">
        <v>18061</v>
      </c>
      <c r="B18061" s="2" t="str">
        <f>IFERROR(__xludf.DUMMYFUNCTION("GOOGLETRANSLATE(A18061, ""en"", ""mt"")"),"It-tniġġis ta 'l-ilma min-nitrati u l-fosfati se jinkoraġġixxi t-tkabbir ta' xiex?")</f>
        <v>It-tniġġis ta 'l-ilma min-nitrati u l-fosfati se jinkoraġġixxi t-tkabbir ta' xiex?</v>
      </c>
    </row>
    <row r="18062" ht="15.75" customHeight="1">
      <c r="A18062" s="2" t="s">
        <v>18062</v>
      </c>
      <c r="B18062" s="2" t="str">
        <f>IFERROR(__xludf.DUMMYFUNCTION("GOOGLETRANSLATE(A18062, ""en"", ""mt"")"),"Liema sistema ta 'klassifikazzjoni hija aktar ġdida mis-sistema ta' klassifikazzjoni tal-industrija tal-Amerika ta 'Fuq?")</f>
        <v>Liema sistema ta 'klassifikazzjoni hija aktar ġdida mis-sistema ta' klassifikazzjoni tal-industrija tal-Amerika ta 'Fuq?</v>
      </c>
    </row>
    <row r="18063" ht="15.75" customHeight="1">
      <c r="A18063" s="2" t="s">
        <v>18063</v>
      </c>
      <c r="B18063" s="2" t="str">
        <f>IFERROR(__xludf.DUMMYFUNCTION("GOOGLETRANSLATE(A18063, ""en"", ""mt"")"),"1763-1775")</f>
        <v>1763-1775</v>
      </c>
    </row>
    <row r="18064" ht="15.75" customHeight="1">
      <c r="A18064" s="2" t="s">
        <v>18064</v>
      </c>
      <c r="B18064" s="2" t="str">
        <f>IFERROR(__xludf.DUMMYFUNCTION("GOOGLETRANSLATE(A18064, ""en"", ""mt"")"),"patoġeni jew ċelloli infettati mill-patoġeni")</f>
        <v>patoġeni jew ċelloli infettati mill-patoġeni</v>
      </c>
    </row>
    <row r="18065" ht="15.75" customHeight="1">
      <c r="A18065" s="2" t="s">
        <v>18065</v>
      </c>
      <c r="B18065" s="2" t="str">
        <f>IFERROR(__xludf.DUMMYFUNCTION("GOOGLETRANSLATE(A18065, ""en"", ""mt"")"),"Meta ġiet stabbilita l-Università Rjali tal-Prussja?")</f>
        <v>Meta ġiet stabbilita l-Università Rjali tal-Prussja?</v>
      </c>
    </row>
    <row r="18066" ht="15.75" customHeight="1">
      <c r="A18066" s="2" t="s">
        <v>18066</v>
      </c>
      <c r="B18066" s="2" t="str">
        <f>IFERROR(__xludf.DUMMYFUNCTION("GOOGLETRANSLATE(A18066, ""en"", ""mt"")"),"permezz ta ’diversi assoċjazzjonijiet")</f>
        <v>permezz ta ’diversi assoċjazzjonijiet</v>
      </c>
    </row>
    <row r="18067" ht="15.75" customHeight="1">
      <c r="A18067" s="2" t="s">
        <v>18067</v>
      </c>
      <c r="B18067" s="2" t="str">
        <f>IFERROR(__xludf.DUMMYFUNCTION("GOOGLETRANSLATE(A18067, ""en"", ""mt"")"),"Għal ħafna popolazzjonijiet indiġeni, l-eliminazzjoni tal-poter Franċiż fl-Amerika ta 'Fuq kienet tfisser l-għajbien ta' alleat qawwi u kontrapiż għall-espansjoni Ingliża, li twassal għad-disponiment aħħari tagħhom. Il-pajjiż ta 'Ohio kien partikolarment "&amp;"vulnerabbli għal soluzzjoni legali u illegali minħabba l-kostruzzjoni ta' toroq militari lejn iż-żona minn Braddock u Forbes. Għalkemm l-akkwist Spanjol tat-territorju ta 'Louisiana (li ma tlestiex sal-1769) kellu riperkussjonijiet modesti, l-akkwist Ingl"&amp;"iż ta' Florida Spanjola rriżulta fil-migrazzjoni lejn il-punent ta 'tribujiet li ma riedux jagħmlu negozju mal-Ingliżi, u żieda fl-Ingliżi, u żieda fl-Ingliżi, u żieda fit-tensjonijiet bejn Iċ-Choctaw u l-Creek, għedewwa storiċi li d-diviżjonijiet tagħhom"&amp;" il-Brittaniċi xi kultant sfruttaw. Il-bidla tal-kontroll fi Florida wasslet ukoll ħafna mill-popolazzjoni Kattolika Spanjola tagħha biex titlaq. Il-biċċa l-kbira marru Kuba, inklużi r-rekords governattivi kollha minn Santu Wistin, għalkemm xi Yamasee Chr"&amp;"istianze ġew risistemati lejn il-kosta tal-Messiku.")</f>
        <v>Għal ħafna popolazzjonijiet indiġeni, l-eliminazzjoni tal-poter Franċiż fl-Amerika ta 'Fuq kienet tfisser l-għajbien ta' alleat qawwi u kontrapiż għall-espansjoni Ingliża, li twassal għad-disponiment aħħari tagħhom. Il-pajjiż ta 'Ohio kien partikolarment vulnerabbli għal soluzzjoni legali u illegali minħabba l-kostruzzjoni ta' toroq militari lejn iż-żona minn Braddock u Forbes. Għalkemm l-akkwist Spanjol tat-territorju ta 'Louisiana (li ma tlestiex sal-1769) kellu riperkussjonijiet modesti, l-akkwist Ingliż ta' Florida Spanjola rriżulta fil-migrazzjoni lejn il-punent ta 'tribujiet li ma riedux jagħmlu negozju mal-Ingliżi, u żieda fl-Ingliżi, u żieda fl-Ingliżi, u żieda fit-tensjonijiet bejn Iċ-Choctaw u l-Creek, għedewwa storiċi li d-diviżjonijiet tagħhom il-Brittaniċi xi kultant sfruttaw. Il-bidla tal-kontroll fi Florida wasslet ukoll ħafna mill-popolazzjoni Kattolika Spanjola tagħha biex titlaq. Il-biċċa l-kbira marru Kuba, inklużi r-rekords governattivi kollha minn Santu Wistin, għalkemm xi Yamasee Christianze ġew risistemati lejn il-kosta tal-Messiku.</v>
      </c>
    </row>
    <row r="18068" ht="15.75" customHeight="1">
      <c r="A18068" s="2" t="s">
        <v>18068</v>
      </c>
      <c r="B18068" s="2" t="str">
        <f>IFERROR(__xludf.DUMMYFUNCTION("GOOGLETRANSLATE(A18068, ""en"", ""mt"")"),"Sharia aktar milli l-bini ta 'istituzzjonijiet Iżlamiċi,")</f>
        <v>Sharia aktar milli l-bini ta 'istituzzjonijiet Iżlamiċi,</v>
      </c>
    </row>
    <row r="18069" ht="15.75" customHeight="1">
      <c r="A18069" s="2" t="s">
        <v>18069</v>
      </c>
      <c r="B18069" s="2" t="str">
        <f>IFERROR(__xludf.DUMMYFUNCTION("GOOGLETRANSLATE(A18069, ""en"", ""mt"")"),"X'inhuma xi kundizzjonijiet li jagħmlu d-disponibbiltà ta 'negozjanti tas-sengħa ivarjaw?")</f>
        <v>X'inhuma xi kundizzjonijiet li jagħmlu d-disponibbiltà ta 'negozjanti tas-sengħa ivarjaw?</v>
      </c>
    </row>
    <row r="18070" ht="15.75" customHeight="1">
      <c r="A18070" s="2" t="s">
        <v>18070</v>
      </c>
      <c r="B18070" s="2" t="str">
        <f>IFERROR(__xludf.DUMMYFUNCTION("GOOGLETRANSLATE(A18070, ""en"", ""mt"")"),"X'għandhom l-MSPs li mhumiex fil-kamra meta l-qanpiena tad-diviżjoni terġa 'tagħmel?")</f>
        <v>X'għandhom l-MSPs li mhumiex fil-kamra meta l-qanpiena tad-diviżjoni terġa 'tagħmel?</v>
      </c>
    </row>
    <row r="18071" ht="15.75" customHeight="1">
      <c r="A18071" s="2" t="s">
        <v>18071</v>
      </c>
      <c r="B18071" s="2" t="str">
        <f>IFERROR(__xludf.DUMMYFUNCTION("GOOGLETRANSLATE(A18071, ""en"", ""mt"")"),"Tliet diviżjonijiet biss")</f>
        <v>Tliet diviżjonijiet biss</v>
      </c>
    </row>
    <row r="18072" ht="15.75" customHeight="1">
      <c r="A18072" s="2" t="s">
        <v>18072</v>
      </c>
      <c r="B18072" s="2" t="str">
        <f>IFERROR(__xludf.DUMMYFUNCTION("GOOGLETRANSLATE(A18072, ""en"", ""mt"")"),"'Ħieles mit-tagħlim")</f>
        <v>'Ħieles mit-tagħlim</v>
      </c>
    </row>
    <row r="18073" ht="15.75" customHeight="1">
      <c r="A18073" s="2" t="s">
        <v>18073</v>
      </c>
      <c r="B18073" s="2" t="str">
        <f>IFERROR(__xludf.DUMMYFUNCTION("GOOGLETRANSLATE(A18073, ""en"", ""mt"")"),"Immunodefiċjenzi")</f>
        <v>Immunodefiċjenzi</v>
      </c>
    </row>
    <row r="18074" ht="15.75" customHeight="1">
      <c r="A18074" s="2" t="s">
        <v>18074</v>
      </c>
      <c r="B18074" s="2" t="str">
        <f>IFERROR(__xludf.DUMMYFUNCTION("GOOGLETRANSLATE(A18074, ""en"", ""mt"")"),"Minn xiex il-Franċiżi jwiegħdu li jipproteġu lil Rollo u l-irġiel tiegħu?")</f>
        <v>Minn xiex il-Franċiżi jwiegħdu li jipproteġu lil Rollo u l-irġiel tiegħu?</v>
      </c>
    </row>
    <row r="18075" ht="15.75" customHeight="1">
      <c r="A18075" s="2" t="s">
        <v>18075</v>
      </c>
      <c r="B18075" s="2" t="str">
        <f>IFERROR(__xludf.DUMMYFUNCTION("GOOGLETRANSLATE(A18075, ""en"", ""mt"")"),"Distretti tan-Negozju Maġġuri")</f>
        <v>Distretti tan-Negozju Maġġuri</v>
      </c>
    </row>
    <row r="18076" ht="15.75" customHeight="1">
      <c r="A18076" s="2" t="s">
        <v>18076</v>
      </c>
      <c r="B18076" s="2" t="str">
        <f>IFERROR(__xludf.DUMMYFUNCTION("GOOGLETRANSLATE(A18076, ""en"", ""mt"")"),"X'inhu l-akbar ctenophore?")</f>
        <v>X'inhu l-akbar ctenophore?</v>
      </c>
    </row>
    <row r="18077" ht="15.75" customHeight="1">
      <c r="A18077" s="2" t="s">
        <v>18077</v>
      </c>
      <c r="B18077" s="2" t="str">
        <f>IFERROR(__xludf.DUMMYFUNCTION("GOOGLETRANSLATE(A18077, ""en"", ""mt"")"),"X'kienet il-preżenza tal-ġeni hox għal ħafna snin?")</f>
        <v>X'kienet il-preżenza tal-ġeni hox għal ħafna snin?</v>
      </c>
    </row>
    <row r="18078" ht="15.75" customHeight="1">
      <c r="A18078" s="2" t="s">
        <v>18078</v>
      </c>
      <c r="B18078" s="2" t="str">
        <f>IFERROR(__xludf.DUMMYFUNCTION("GOOGLETRANSLATE(A18078, ""en"", ""mt"")"),"Meta beda l-Pleistocene?")</f>
        <v>Meta beda l-Pleistocene?</v>
      </c>
    </row>
    <row r="18079" ht="15.75" customHeight="1">
      <c r="A18079" s="2" t="s">
        <v>18079</v>
      </c>
      <c r="B18079" s="2" t="str">
        <f>IFERROR(__xludf.DUMMYFUNCTION("GOOGLETRANSLATE(A18079, ""en"", ""mt"")"),"Min ipprova l-Partit ta ’Liberazzjoni Iżlamika pprova joqtol?")</f>
        <v>Min ipprova l-Partit ta ’Liberazzjoni Iżlamika pprova joqtol?</v>
      </c>
    </row>
    <row r="18080" ht="15.75" customHeight="1">
      <c r="A18080" s="2" t="s">
        <v>18080</v>
      </c>
      <c r="B18080" s="2" t="str">
        <f>IFERROR(__xludf.DUMMYFUNCTION("GOOGLETRANSLATE(A18080, ""en"", ""mt"")"),"Imblokka l-portijiet Franċiżi")</f>
        <v>Imblokka l-portijiet Franċiżi</v>
      </c>
    </row>
    <row r="18081" ht="15.75" customHeight="1">
      <c r="A18081" s="2" t="s">
        <v>18081</v>
      </c>
      <c r="B18081" s="2" t="str">
        <f>IFERROR(__xludf.DUMMYFUNCTION("GOOGLETRANSLATE(A18081, ""en"", ""mt"")"),"Meta Zhu ppubblika 'Jade Mirror tal-Erba' Mhux magħrufa '?")</f>
        <v>Meta Zhu ppubblika 'Jade Mirror tal-Erba' Mhux magħrufa '?</v>
      </c>
    </row>
    <row r="18082" ht="15.75" customHeight="1">
      <c r="A18082" s="2" t="s">
        <v>18082</v>
      </c>
      <c r="B18082" s="2" t="str">
        <f>IFERROR(__xludf.DUMMYFUNCTION("GOOGLETRANSLATE(A18082, ""en"", ""mt"")"),"Kemm suldati kienu f'kull tumen?")</f>
        <v>Kemm suldati kienu f'kull tumen?</v>
      </c>
    </row>
    <row r="18083" ht="15.75" customHeight="1">
      <c r="A18083" s="2" t="s">
        <v>18083</v>
      </c>
      <c r="B18083" s="2" t="str">
        <f>IFERROR(__xludf.DUMMYFUNCTION("GOOGLETRANSLATE(A18083, ""en"", ""mt"")"),"1469")</f>
        <v>1469</v>
      </c>
    </row>
    <row r="18084" ht="15.75" customHeight="1">
      <c r="A18084" s="2" t="s">
        <v>18084</v>
      </c>
      <c r="B18084" s="2" t="str">
        <f>IFERROR(__xludf.DUMMYFUNCTION("GOOGLETRANSLATE(A18084, ""en"", ""mt"")"),"Diversi prinċpijiet ta 'l-Art Imqaddsa waslu f'Limassol fl-istess ħin, b'mod partikolari Guy de Lusignan. Kollha ddikjaraw l-appoġġ tagħhom għal Richard ipprovda li huwa jappoġġja lil Guy kontra r-rivali tiegħu Conrad ta 'Montferrat. Il-baruni lokali abba"&amp;"ndunaw lil Isaac, li kkunsidra li jagħmel il-paċi ma 'Richard, jingħaqad miegħu fuq il-kruċjata, u joffri lil bintu fiż-żwieġ mal-persuna msemmija minn Richard. Imma Isaac biddel fehmtu u pprova jaħrab. Richard imbagħad ipproċeda biex jirbaħ il-gżira koll"&amp;"ha, it-truppi tiegħu huma mmexxija minn Guy de Lusignan. Isaac ċeda u kien limitat bil-ktajjen tal-fidda, għax Richard kien wiegħed li mhux se jpoġġih fil-mogħdija. Sal-1 ta ’Ġunju, Richard kien ħakem il-gżira kollha. L-isfruttament tiegħu ġie rreklamat s"&amp;"ew u kkontribwixxa għar-reputazzjoni tiegħu; Huwa ħareġ ukoll qligħ finanzjarju sinifikanti mill-konkwista tal-gżira. Richard telaq għal Acre fil-5 ta 'Ġunju, bl-alleati tiegħu. Qabel it-tluq tiegħu, huwa semma tnejn mill-ġenerali Norman tiegħu, Richard d"&amp;"e Camville u Robert de Thornham, bħala gvernaturi ta 'Ċipru.")</f>
        <v>Diversi prinċpijiet ta 'l-Art Imqaddsa waslu f'Limassol fl-istess ħin, b'mod partikolari Guy de Lusignan. Kollha ddikjaraw l-appoġġ tagħhom għal Richard ipprovda li huwa jappoġġja lil Guy kontra r-rivali tiegħu Conrad ta 'Montferrat. Il-baruni lokali abbandunaw lil Isaac, li kkunsidra li jagħmel il-paċi ma 'Richard, jingħaqad miegħu fuq il-kruċjata, u joffri lil bintu fiż-żwieġ mal-persuna msemmija minn Richard. Imma Isaac biddel fehmtu u pprova jaħrab. Richard imbagħad ipproċeda biex jirbaħ il-gżira kollha, it-truppi tiegħu huma mmexxija minn Guy de Lusignan. Isaac ċeda u kien limitat bil-ktajjen tal-fidda, għax Richard kien wiegħed li mhux se jpoġġih fil-mogħdija. Sal-1 ta ’Ġunju, Richard kien ħakem il-gżira kollha. L-isfruttament tiegħu ġie rreklamat sew u kkontribwixxa għar-reputazzjoni tiegħu; Huwa ħareġ ukoll qligħ finanzjarju sinifikanti mill-konkwista tal-gżira. Richard telaq għal Acre fil-5 ta 'Ġunju, bl-alleati tiegħu. Qabel it-tluq tiegħu, huwa semma tnejn mill-ġenerali Norman tiegħu, Richard de Camville u Robert de Thornham, bħala gvernaturi ta 'Ċipru.</v>
      </c>
    </row>
    <row r="18085" ht="15.75" customHeight="1">
      <c r="A18085" s="2" t="s">
        <v>18085</v>
      </c>
      <c r="B18085" s="2" t="str">
        <f>IFERROR(__xludf.DUMMYFUNCTION("GOOGLETRANSLATE(A18085, ""en"", ""mt"")"),"1777")</f>
        <v>1777</v>
      </c>
    </row>
    <row r="18086" ht="15.75" customHeight="1">
      <c r="A18086" s="2" t="s">
        <v>18086</v>
      </c>
      <c r="B18086" s="2" t="str">
        <f>IFERROR(__xludf.DUMMYFUNCTION("GOOGLETRANSLATE(A18086, ""en"", ""mt"")"),"Partit Liberali")</f>
        <v>Partit Liberali</v>
      </c>
    </row>
    <row r="18087" ht="15.75" customHeight="1">
      <c r="A18087" s="2" t="s">
        <v>18087</v>
      </c>
      <c r="B18087" s="2" t="str">
        <f>IFERROR(__xludf.DUMMYFUNCTION("GOOGLETRANSLATE(A18087, ""en"", ""mt"")"),"Cypiddids mhumiex xiex?")</f>
        <v>Cypiddids mhumiex xiex?</v>
      </c>
    </row>
    <row r="18088" ht="15.75" customHeight="1">
      <c r="A18088" s="2" t="s">
        <v>18088</v>
      </c>
      <c r="B18088" s="2" t="str">
        <f>IFERROR(__xludf.DUMMYFUNCTION("GOOGLETRANSLATE(A18088, ""en"", ""mt"")"),"X'tip ta 'kejl jirriżulta taħt ekwazzjonijiet ta' Schrodinger meta jużaw operaturi minflok varjabbli Newtonjani?")</f>
        <v>X'tip ta 'kejl jirriżulta taħt ekwazzjonijiet ta' Schrodinger meta jużaw operaturi minflok varjabbli Newtonjani?</v>
      </c>
    </row>
    <row r="18089" ht="15.75" customHeight="1">
      <c r="A18089" s="2" t="s">
        <v>18089</v>
      </c>
      <c r="B18089" s="2" t="str">
        <f>IFERROR(__xludf.DUMMYFUNCTION("GOOGLETRANSLATE(A18089, ""en"", ""mt"")"),"X'għan għandhom ħafna minn dawn il-protesti?")</f>
        <v>X'għan għandhom ħafna minn dawn il-protesti?</v>
      </c>
    </row>
    <row r="18090" ht="15.75" customHeight="1">
      <c r="A18090" s="2" t="s">
        <v>18090</v>
      </c>
      <c r="B18090" s="2" t="str">
        <f>IFERROR(__xludf.DUMMYFUNCTION("GOOGLETRANSLATE(A18090, ""en"", ""mt"")"),"Liema Distrett ta 'Varsavja għażel il-president bejn l-1994 u l-1999?")</f>
        <v>Liema Distrett ta 'Varsavja għażel il-president bejn l-1994 u l-1999?</v>
      </c>
    </row>
    <row r="18091" ht="15.75" customHeight="1">
      <c r="A18091" s="2" t="s">
        <v>18091</v>
      </c>
      <c r="B18091" s="2" t="str">
        <f>IFERROR(__xludf.DUMMYFUNCTION("GOOGLETRANSLATE(A18091, ""en"", ""mt"")"),"Madwar 9.81 metri kull sekonda kwadru")</f>
        <v>Madwar 9.81 metri kull sekonda kwadru</v>
      </c>
    </row>
    <row r="18092" ht="15.75" customHeight="1">
      <c r="A18092" s="2" t="s">
        <v>18092</v>
      </c>
      <c r="B18092" s="2" t="str">
        <f>IFERROR(__xludf.DUMMYFUNCTION("GOOGLETRANSLATE(A18092, ""en"", ""mt"")"),"7.8%")</f>
        <v>7.8%</v>
      </c>
    </row>
    <row r="18093" ht="15.75" customHeight="1">
      <c r="A18093" s="2" t="s">
        <v>18093</v>
      </c>
      <c r="B18093" s="2" t="str">
        <f>IFERROR(__xludf.DUMMYFUNCTION("GOOGLETRANSLATE(A18093, ""en"", ""mt"")"),"Liema emenda għall-Kostituzzjoni ta 'l-Istati Uniti tirregola l-finanzjament tal-gvern ta' skejjel reliġjużi?")</f>
        <v>Liema emenda għall-Kostituzzjoni ta 'l-Istati Uniti tirregola l-finanzjament tal-gvern ta' skejjel reliġjużi?</v>
      </c>
    </row>
    <row r="18094" ht="15.75" customHeight="1">
      <c r="A18094" s="2" t="s">
        <v>18094</v>
      </c>
      <c r="B18094" s="2" t="str">
        <f>IFERROR(__xludf.DUMMYFUNCTION("GOOGLETRANSLATE(A18094, ""en"", ""mt"")"),"Min kien responsabbli għall-proġetti l-ġodda tal-bini f'Jacksonville?")</f>
        <v>Min kien responsabbli għall-proġetti l-ġodda tal-bini f'Jacksonville?</v>
      </c>
    </row>
    <row r="18095" ht="15.75" customHeight="1">
      <c r="A18095" s="2" t="s">
        <v>18095</v>
      </c>
      <c r="B18095" s="2" t="str">
        <f>IFERROR(__xludf.DUMMYFUNCTION("GOOGLETRANSLATE(A18095, ""en"", ""mt"")"),"Genghis Khan għaqqad it-tribujiet tal-Mongolja u Turkiċi tal-Steppes u sar Khan kbir fl-1206. Huwa u s-suċċessuri tiegħu kabbru l-imperu Mongoljan madwar l-Asja. Taħt ir-renju tat-tielet iben ta 'Genghis, Ögedei Khan, il-Mongoli qerdu d-dinastija Jin imdg"&amp;"ħajfa fl-1234, li jirbħu ħafna miċ-Ċina tat-Tramuntana. Ögedei offra lin-neputi Kublai pożizzjoni f'Xingzhou, Hebei. Kublai ma setax jaqra ċ-Ċiniż iżda kellu diversi għalliema Ċiniżi Han marbuta miegħu mis-snin bikrin tiegħu minn ommu Sorghaghtani. Huwa f"&amp;"ittex l-avukat tal-konsulenti Buddisti Ċiniżi u Confucian. Möngke Khan irnexxielu lil ibnu Ögedei, Güyük, bħala Khan kbir fl-1251. Huwa ta l-kontroll ta 'ħuh Kublai fuq il-Mongolja li kellu territorji fiċ-Ċina. Kublai bena skejjel għal studjużi Confucian,"&amp;" ħarġu flus tal-karti, reġgħu reġgħu ritwali Ċiniżi u approvaw politiki li stimulaw tkabbir agrikolu u kummerċjali. Huwa adotta bħala l-belt kapitali tiegħu Kaiping fil-Mongolja ta 'ġewwa, aktar tard semmieh Shangdu.")</f>
        <v>Genghis Khan għaqqad it-tribujiet tal-Mongolja u Turkiċi tal-Steppes u sar Khan kbir fl-1206. Huwa u s-suċċessuri tiegħu kabbru l-imperu Mongoljan madwar l-Asja. Taħt ir-renju tat-tielet iben ta 'Genghis, Ögedei Khan, il-Mongoli qerdu d-dinastija Jin imdgħajfa fl-1234, li jirbħu ħafna miċ-Ċina tat-Tramuntana. Ögedei offra lin-neputi Kublai pożizzjoni f'Xingzhou, Hebei. Kublai ma setax jaqra ċ-Ċiniż iżda kellu diversi għalliema Ċiniżi Han marbuta miegħu mis-snin bikrin tiegħu minn ommu Sorghaghtani. Huwa fittex l-avukat tal-konsulenti Buddisti Ċiniżi u Confucian. Möngke Khan irnexxielu lil ibnu Ögedei, Güyük, bħala Khan kbir fl-1251. Huwa ta l-kontroll ta 'ħuh Kublai fuq il-Mongolja li kellu territorji fiċ-Ċina. Kublai bena skejjel għal studjużi Confucian, ħarġu flus tal-karti, reġgħu reġgħu ritwali Ċiniżi u approvaw politiki li stimulaw tkabbir agrikolu u kummerċjali. Huwa adotta bħala l-belt kapitali tiegħu Kaiping fil-Mongolja ta 'ġewwa, aktar tard semmieh Shangdu.</v>
      </c>
    </row>
    <row r="18096" ht="15.75" customHeight="1">
      <c r="A18096" s="2" t="s">
        <v>18096</v>
      </c>
      <c r="B18096" s="2" t="str">
        <f>IFERROR(__xludf.DUMMYFUNCTION("GOOGLETRANSLATE(A18096, ""en"", ""mt"")"),"BSKYB nediet is-servizz HDTV tagħha, Sky + HD, fit-22 ta 'Mejju 2006. Qabel it-tnedija tiegħu, BSKYB sostna li 40,000 persuna kienu rreġistraw biex jirċievu s-servizz HD. Fil-ġimgħa ta ’qabel it-tnedija, l-għajdut bdew joħorġu li BSKYB kien qed ikollu pro"&amp;"blemi ta’ provvista bil-Kaxxa Top Top tagħha (STB) mill-manifattur Thomson. Nhar il-Ħamis 18 ta 'Mejju 2006, u komplew matul tmiem il-ġimgħa qabel it-tnedija, in-nies kienu jirrappurtaw li BSKYB jew ikkanċella jew skeda mill-ġdid l-installazzjoni tiegħu. "&amp;"Fl-aħħarnett, il-BBC irrappurtat li 17,000 klijent kienu għad iridu jirċievu s-servizz minħabba kunsinni falluti. Fil-31 ta 'Marzu 2012, Sky ħabbret li n-numru totali ta' djar ma 'Sky + HD kien 4,222,000.")</f>
        <v>BSKYB nediet is-servizz HDTV tagħha, Sky + HD, fit-22 ta 'Mejju 2006. Qabel it-tnedija tiegħu, BSKYB sostna li 40,000 persuna kienu rreġistraw biex jirċievu s-servizz HD. Fil-ġimgħa ta ’qabel it-tnedija, l-għajdut bdew joħorġu li BSKYB kien qed ikollu problemi ta’ provvista bil-Kaxxa Top Top tagħha (STB) mill-manifattur Thomson. Nhar il-Ħamis 18 ta 'Mejju 2006, u komplew matul tmiem il-ġimgħa qabel it-tnedija, in-nies kienu jirrappurtaw li BSKYB jew ikkanċella jew skeda mill-ġdid l-installazzjoni tiegħu. Fl-aħħarnett, il-BBC irrappurtat li 17,000 klijent kienu għad iridu jirċievu s-servizz minħabba kunsinni falluti. Fil-31 ta 'Marzu 2012, Sky ħabbret li n-numru totali ta' djar ma 'Sky + HD kien 4,222,000.</v>
      </c>
    </row>
    <row r="18097" ht="15.75" customHeight="1">
      <c r="A18097" s="2" t="s">
        <v>18097</v>
      </c>
      <c r="B18097" s="2" t="str">
        <f>IFERROR(__xludf.DUMMYFUNCTION("GOOGLETRANSLATE(A18097, ""en"", ""mt"")"),"X'inhuma wħud mill-prinċipji ġenerali miċħuda tal-liġi tal-Unjoni Ewropea?")</f>
        <v>X'inhuma wħud mill-prinċipji ġenerali miċħuda tal-liġi tal-Unjoni Ewropea?</v>
      </c>
    </row>
    <row r="18098" ht="15.75" customHeight="1">
      <c r="A18098" s="2" t="s">
        <v>18098</v>
      </c>
      <c r="B18098" s="2" t="str">
        <f>IFERROR(__xludf.DUMMYFUNCTION("GOOGLETRANSLATE(A18098, ""en"", ""mt"")"),"F'liema sena laqtu t-tieni mewġa tal-pesta?")</f>
        <v>F'liema sena laqtu t-tieni mewġa tal-pesta?</v>
      </c>
    </row>
    <row r="18099" ht="15.75" customHeight="1">
      <c r="A18099" s="2" t="s">
        <v>18099</v>
      </c>
      <c r="B18099" s="2" t="str">
        <f>IFERROR(__xludf.DUMMYFUNCTION("GOOGLETRANSLATE(A18099, ""en"", ""mt"")"),"Lil min tappartjeni l-akbar ekonomija fl-Istati Uniti?")</f>
        <v>Lil min tappartjeni l-akbar ekonomija fl-Istati Uniti?</v>
      </c>
    </row>
    <row r="18100" ht="15.75" customHeight="1">
      <c r="A18100" s="2" t="s">
        <v>18100</v>
      </c>
      <c r="B18100" s="2" t="str">
        <f>IFERROR(__xludf.DUMMYFUNCTION("GOOGLETRANSLATE(A18100, ""en"", ""mt"")"),"X'inhu fattur importanti li jikkontribwixxi għall-inugwaljanza għall-individwi?")</f>
        <v>X'inhu fattur importanti li jikkontribwixxi għall-inugwaljanza għall-individwi?</v>
      </c>
    </row>
    <row r="18101" ht="15.75" customHeight="1">
      <c r="A18101" s="2" t="s">
        <v>18101</v>
      </c>
      <c r="B18101" s="2" t="str">
        <f>IFERROR(__xludf.DUMMYFUNCTION("GOOGLETRANSLATE(A18101, ""en"", ""mt"")"),"Nullifikazzjoni")</f>
        <v>Nullifikazzjoni</v>
      </c>
    </row>
    <row r="18102" ht="15.75" customHeight="1">
      <c r="A18102" s="2" t="s">
        <v>18102</v>
      </c>
      <c r="B18102" s="2" t="str">
        <f>IFERROR(__xludf.DUMMYFUNCTION("GOOGLETRANSLATE(A18102, ""en"", ""mt"")"),"F’Lulju 1977, il-Ġeneral Zia-ul-Haq waqqa ’r-reġim tal-Prim Ministru Zulfiqar Ali Bhutto fil-Pakistan. Ali Bhutto, xellug f'kompetizzjoni demokratika ma 'l-Iżlamisti, ħabbar li jipprojbixxi l-alkoħol u l-nightclubs fi żmien sitt xhur, ftit qabel ma ġie mw"&amp;"aqqa'. Zia-ul-Haq kien ferm iktar impenjat għall-Iżlamiżmu, u ""l-Iżlamizzazzjoni"" jew l-implimentazzjoni tal-liġi Iżlamika, sar pedament tad-dittatorjat militari tiegħu ta 'ħdax-il sena u l-Iżlamiżmu sar ""ideoloġija uffiċjali tal-istat"" tiegħu. Zia ul"&amp;" Haq kien ammiratur tal-partit Mawdudi u Mawdudi Jamaat-e-Islami sar ""id-driegħ ideoloġiku u politiku tar-reġim"". Fil-Pakistan din l-Iżlamizzazzjoni minn fuq kienet ""probabbilment"" kompluta ""milli taħt kwalunkwe reġim ieħor ħlief dawk fl-Iran u s-Sud"&amp;"an,"" iżda Zia-ul-Haq ġie kkritikat ukoll minn ħafna Iżlamisti talli imponew ""simboli"" aktar milli sustanza, u jużaw l-Iżlamizzazzjoni biex leġittimizza l-mezzi tiegħu biex jaħtaf il-poter. B'differenza mill-Iran ġirien, il-politiki ta 'Zia-ul-Haq kienu"&amp;" maħsuba biex ""jevitaw eċċess rivoluzzjonarju"", u mhux biex iwaqqfu r-relazzjonijiet mal-alleati tiegħu tal-Istat tal-Golf Amerikan u Persjan tiegħu. Zia-ul-Haq inqatel fl-1988 iżda l-Iżlamizzazzjoni tibqa 'element importanti fis-soċjetà Pakistana.")</f>
        <v>F’Lulju 1977, il-Ġeneral Zia-ul-Haq waqqa ’r-reġim tal-Prim Ministru Zulfiqar Ali Bhutto fil-Pakistan. Ali Bhutto, xellug f'kompetizzjoni demokratika ma 'l-Iżlamisti, ħabbar li jipprojbixxi l-alkoħol u l-nightclubs fi żmien sitt xhur, ftit qabel ma ġie mwaqqa'. Zia-ul-Haq kien ferm iktar impenjat għall-Iżlamiżmu, u "l-Iżlamizzazzjoni" jew l-implimentazzjoni tal-liġi Iżlamika, sar pedament tad-dittatorjat militari tiegħu ta 'ħdax-il sena u l-Iżlamiżmu sar "ideoloġija uffiċjali tal-istat" tiegħu. Zia ul Haq kien ammiratur tal-partit Mawdudi u Mawdudi Jamaat-e-Islami sar "id-driegħ ideoloġiku u politiku tar-reġim". Fil-Pakistan din l-Iżlamizzazzjoni minn fuq kienet "probabbilment" kompluta "milli taħt kwalunkwe reġim ieħor ħlief dawk fl-Iran u s-Sudan," iżda Zia-ul-Haq ġie kkritikat ukoll minn ħafna Iżlamisti talli imponew "simboli" aktar milli sustanza, u jużaw l-Iżlamizzazzjoni biex leġittimizza l-mezzi tiegħu biex jaħtaf il-poter. B'differenza mill-Iran ġirien, il-politiki ta 'Zia-ul-Haq kienu maħsuba biex "jevitaw eċċess rivoluzzjonarju", u mhux biex iwaqqfu r-relazzjonijiet mal-alleati tiegħu tal-Istat tal-Golf Amerikan u Persjan tiegħu. Zia-ul-Haq inqatel fl-1988 iżda l-Iżlamizzazzjoni tibqa 'element importanti fis-soċjetà Pakistana.</v>
      </c>
    </row>
    <row r="18103" ht="15.75" customHeight="1">
      <c r="A18103" s="2" t="s">
        <v>18103</v>
      </c>
      <c r="B18103" s="2" t="str">
        <f>IFERROR(__xludf.DUMMYFUNCTION("GOOGLETRANSLATE(A18103, ""en"", ""mt"")"),"Il-Pont John W. Weeks")</f>
        <v>Il-Pont John W. Weeks</v>
      </c>
    </row>
    <row r="18104" ht="15.75" customHeight="1">
      <c r="A18104" s="2" t="s">
        <v>18104</v>
      </c>
      <c r="B18104" s="2" t="str">
        <f>IFERROR(__xludf.DUMMYFUNCTION("GOOGLETRANSLATE(A18104, ""en"", ""mt"")"),"Liema problema jkollha ġerarkija ta 'ħin polinomjali li tiġġarraf għat-tieni livell tagħha?")</f>
        <v>Liema problema jkollha ġerarkija ta 'ħin polinomjali li tiġġarraf għat-tieni livell tagħha?</v>
      </c>
    </row>
    <row r="18105" ht="15.75" customHeight="1">
      <c r="A18105" s="2" t="s">
        <v>18105</v>
      </c>
      <c r="B18105" s="2" t="str">
        <f>IFERROR(__xludf.DUMMYFUNCTION("GOOGLETRANSLATE(A18105, ""en"", ""mt"")"),"X'inhu li jinżamm qatt Frar fl-università?")</f>
        <v>X'inhu li jinżamm qatt Frar fl-università?</v>
      </c>
    </row>
    <row r="18106" ht="15.75" customHeight="1">
      <c r="A18106" s="2" t="s">
        <v>18106</v>
      </c>
      <c r="B18106" s="2" t="str">
        <f>IFERROR(__xludf.DUMMYFUNCTION("GOOGLETRANSLATE(A18106, ""en"", ""mt"")"),"Il-Palazz Kronenberg kien eżempju eċċezzjonali ta 'liema tip ta' arkitettura?")</f>
        <v>Il-Palazz Kronenberg kien eżempju eċċezzjonali ta 'liema tip ta' arkitettura?</v>
      </c>
    </row>
    <row r="18107" ht="15.75" customHeight="1">
      <c r="A18107" s="2" t="s">
        <v>18107</v>
      </c>
      <c r="B18107" s="2" t="str">
        <f>IFERROR(__xludf.DUMMYFUNCTION("GOOGLETRANSLATE(A18107, ""en"", ""mt"")"),"Komponenti li jinħallu (molekuli)")</f>
        <v>Komponenti li jinħallu (molekuli)</v>
      </c>
    </row>
    <row r="18108" ht="15.75" customHeight="1">
      <c r="A18108" s="2" t="s">
        <v>18108</v>
      </c>
      <c r="B18108" s="2" t="str">
        <f>IFERROR(__xludf.DUMMYFUNCTION("GOOGLETRANSLATE(A18108, ""en"", ""mt"")"),"X'inhi forma ta 'memorja immunoloġika?")</f>
        <v>X'inhi forma ta 'memorja immunoloġika?</v>
      </c>
    </row>
    <row r="18109" ht="15.75" customHeight="1">
      <c r="A18109" s="2" t="s">
        <v>18109</v>
      </c>
      <c r="B18109" s="2" t="str">
        <f>IFERROR(__xludf.DUMMYFUNCTION("GOOGLETRANSLATE(A18109, ""en"", ""mt"")"),"Inugwaljanza ekonomika")</f>
        <v>Inugwaljanza ekonomika</v>
      </c>
    </row>
    <row r="18110" ht="15.75" customHeight="1">
      <c r="A18110" s="2" t="s">
        <v>18110</v>
      </c>
      <c r="B18110" s="2" t="str">
        <f>IFERROR(__xludf.DUMMYFUNCTION("GOOGLETRANSLATE(A18110, ""en"", ""mt"")"),"perspettivi differenti")</f>
        <v>perspettivi differenti</v>
      </c>
    </row>
    <row r="18111" ht="15.75" customHeight="1">
      <c r="A18111" s="2" t="s">
        <v>18111</v>
      </c>
      <c r="B18111" s="2" t="str">
        <f>IFERROR(__xludf.DUMMYFUNCTION("GOOGLETRANSLATE(A18111, ""en"", ""mt"")"),"qatel ħafna mill-Kanadiżi")</f>
        <v>qatel ħafna mill-Kanadiżi</v>
      </c>
    </row>
    <row r="18112" ht="15.75" customHeight="1">
      <c r="A18112" s="2" t="s">
        <v>18112</v>
      </c>
      <c r="B18112" s="2" t="str">
        <f>IFERROR(__xludf.DUMMYFUNCTION("GOOGLETRANSLATE(A18112, ""en"", ""mt"")"),"Il-Baħar tat-Tramuntana")</f>
        <v>Il-Baħar tat-Tramuntana</v>
      </c>
    </row>
    <row r="18113" ht="15.75" customHeight="1">
      <c r="A18113" s="2" t="s">
        <v>18113</v>
      </c>
      <c r="B18113" s="2" t="str">
        <f>IFERROR(__xludf.DUMMYFUNCTION("GOOGLETRANSLATE(A18113, ""en"", ""mt"")"),"Kemm jaqgħu l-oġġetti veloċi fid-dinja?")</f>
        <v>Kemm jaqgħu l-oġġetti veloċi fid-dinja?</v>
      </c>
    </row>
    <row r="18114" ht="15.75" customHeight="1">
      <c r="A18114" s="2" t="s">
        <v>18114</v>
      </c>
      <c r="B18114" s="2" t="str">
        <f>IFERROR(__xludf.DUMMYFUNCTION("GOOGLETRANSLATE(A18114, ""en"", ""mt"")"),"esperimentazzjoni")</f>
        <v>esperimentazzjoni</v>
      </c>
    </row>
    <row r="18115" ht="15.75" customHeight="1">
      <c r="A18115" s="2" t="s">
        <v>18115</v>
      </c>
      <c r="B18115" s="2" t="str">
        <f>IFERROR(__xludf.DUMMYFUNCTION("GOOGLETRANSLATE(A18115, ""en"", ""mt"")"),"Minkejja l-korpi artab u ġelatinuż tagħhom, il-fossili ħasbu li jirrappreżentaw ctenophores, apparentement mingħajr tentakli iżda ħafna iktar rewwix tal-moxt minn forom moderni, instabu f'Lagerstätten kemm lura daqs il-bidu ta 'Cambrian, madwar 515 miljun"&amp;" sena ilu. Il-pożizzjoni taċ-ctenophores fis-siġra tal-familja evoluzzjonarja ta 'l-annimali ilha diskussa, u l-maġġoranza tal-veduta fil-preżent, ibbażata fuq filogenetika molekulari, hija li ċ-cnidarians u l-bilaterjani huma relatati aktar mill-qrib ma'"&amp;" xulxin milli jew huma għal ctenophores. Analiżi riċenti ta 'filogenetika molekulari kkonkludiet li l-antenat komuni taċ-ctenophores moderni kollha kien simili għal Cydippid, u li l-gruppi moderni kollha dehru relattivament reċentement, probabbilment wara"&amp;" l-avveniment ta' estinzjoni Kretaċeju-Paleogene 66 miljun sena ilu. L-evidenza li takkumula sa mis-snin 1980 tindika li ċ- ""cydippids"" mhumiex monofiletiċi, fi kliem ieħor ma jinkludux id-dixxendenti kollha u biss ta 'antenat komuni wieħed, minħabba li"&amp;" l-gruppi l-oħra kollha tradizzjonali ta' ctenophore huma dixxendenti ta 'diversi ċidippidi.")</f>
        <v>Minkejja l-korpi artab u ġelatinuż tagħhom, il-fossili ħasbu li jirrappreżentaw ctenophores, apparentement mingħajr tentakli iżda ħafna iktar rewwix tal-moxt minn forom moderni, instabu f'Lagerstätten kemm lura daqs il-bidu ta 'Cambrian, madwar 515 miljun sena ilu. Il-pożizzjoni taċ-ctenophores fis-siġra tal-familja evoluzzjonarja ta 'l-annimali ilha diskussa, u l-maġġoranza tal-veduta fil-preżent, ibbażata fuq filogenetika molekulari, hija li ċ-cnidarians u l-bilaterjani huma relatati aktar mill-qrib ma' xulxin milli jew huma għal ctenophores. Analiżi riċenti ta 'filogenetika molekulari kkonkludiet li l-antenat komuni taċ-ctenophores moderni kollha kien simili għal Cydippid, u li l-gruppi moderni kollha dehru relattivament reċentement, probabbilment wara l-avveniment ta' estinzjoni Kretaċeju-Paleogene 66 miljun sena ilu. L-evidenza li takkumula sa mis-snin 1980 tindika li ċ- "cydippids" mhumiex monofiletiċi, fi kliem ieħor ma jinkludux id-dixxendenti kollha u biss ta 'antenat komuni wieħed, minħabba li l-gruppi l-oħra kollha tradizzjonali ta' ctenophore huma dixxendenti ta 'diversi ċidippidi.</v>
      </c>
    </row>
    <row r="18116" ht="15.75" customHeight="1">
      <c r="A18116" s="2" t="s">
        <v>18116</v>
      </c>
      <c r="B18116" s="2" t="str">
        <f>IFERROR(__xludf.DUMMYFUNCTION("GOOGLETRANSLATE(A18116, ""en"", ""mt"")"),"Kemm irġiel bagħtu Duquesne biex itaffu lil Saint-Pierre?")</f>
        <v>Kemm irġiel bagħtu Duquesne biex itaffu lil Saint-Pierre?</v>
      </c>
    </row>
    <row r="18117" ht="15.75" customHeight="1">
      <c r="A18117" s="2" t="s">
        <v>18117</v>
      </c>
      <c r="B18117" s="2" t="str">
        <f>IFERROR(__xludf.DUMMYFUNCTION("GOOGLETRANSLATE(A18117, ""en"", ""mt"")"),"X'inhu t-terminu Ġermaniż għas-segregazzjoni ta 'studenti bbażati fuq il-ġid tal-ġenituri tagħhom?")</f>
        <v>X'inhu t-terminu Ġermaniż għas-segregazzjoni ta 'studenti bbażati fuq il-ġid tal-ġenituri tagħhom?</v>
      </c>
    </row>
    <row r="18118" ht="15.75" customHeight="1">
      <c r="A18118" s="2" t="s">
        <v>18118</v>
      </c>
      <c r="B18118" s="2" t="str">
        <f>IFERROR(__xludf.DUMMYFUNCTION("GOOGLETRANSLATE(A18118, ""en"", ""mt"")"),"Bethencourt")</f>
        <v>Bethencourt</v>
      </c>
    </row>
    <row r="18119" ht="15.75" customHeight="1">
      <c r="A18119" s="2" t="s">
        <v>18119</v>
      </c>
      <c r="B18119" s="2" t="str">
        <f>IFERROR(__xludf.DUMMYFUNCTION("GOOGLETRANSLATE(A18119, ""en"", ""mt"")"),"Bniedem u Kultura fi ġenna ffalsifikata")</f>
        <v>Bniedem u Kultura fi ġenna ffalsifikata</v>
      </c>
    </row>
    <row r="18120" ht="15.75" customHeight="1">
      <c r="A18120" s="2" t="s">
        <v>18120</v>
      </c>
      <c r="B18120" s="2" t="str">
        <f>IFERROR(__xludf.DUMMYFUNCTION("GOOGLETRANSLATE(A18120, ""en"", ""mt"")"),"1640")</f>
        <v>1640</v>
      </c>
    </row>
    <row r="18121" ht="15.75" customHeight="1">
      <c r="A18121" s="2" t="s">
        <v>18121</v>
      </c>
      <c r="B18121" s="2" t="str">
        <f>IFERROR(__xludf.DUMMYFUNCTION("GOOGLETRANSLATE(A18121, ""en"", ""mt"")"),"Jista 'jintilef pakkett u jekk iva, allura fejn tmur?")</f>
        <v>Jista 'jintilef pakkett u jekk iva, allura fejn tmur?</v>
      </c>
    </row>
    <row r="18122" ht="15.75" customHeight="1">
      <c r="A18122" s="2" t="s">
        <v>18122</v>
      </c>
      <c r="B18122" s="2" t="str">
        <f>IFERROR(__xludf.DUMMYFUNCTION("GOOGLETRANSLATE(A18122, ""en"", ""mt"")"),"L-Istil Art Deco")</f>
        <v>L-Istil Art Deco</v>
      </c>
    </row>
    <row r="18123" ht="15.75" customHeight="1">
      <c r="A18123" s="2" t="s">
        <v>18123</v>
      </c>
      <c r="B18123" s="2" t="str">
        <f>IFERROR(__xludf.DUMMYFUNCTION("GOOGLETRANSLATE(A18123, ""en"", ""mt"")"),"labirint ta 'problemi semantiċi u niceties grammatikali")</f>
        <v>labirint ta 'problemi semantiċi u niceties grammatikali</v>
      </c>
    </row>
    <row r="18124" ht="15.75" customHeight="1">
      <c r="A18124" s="2" t="s">
        <v>18124</v>
      </c>
      <c r="B18124" s="2" t="str">
        <f>IFERROR(__xludf.DUMMYFUNCTION("GOOGLETRANSLATE(A18124, ""en"", ""mt"")"),"X'tip ta 'soluzzjonijiet huma wieħed mill-oġġetti ċentrali ta' studju fit-teorija tal-kumplessità tal-komputazzjoni?")</f>
        <v>X'tip ta 'soluzzjonijiet huma wieħed mill-oġġetti ċentrali ta' studju fit-teorija tal-kumplessità tal-komputazzjoni?</v>
      </c>
    </row>
    <row r="18125" ht="15.75" customHeight="1">
      <c r="A18125" s="2" t="s">
        <v>18125</v>
      </c>
      <c r="B18125" s="2" t="str">
        <f>IFERROR(__xludf.DUMMYFUNCTION("GOOGLETRANSLATE(A18125, ""en"", ""mt"")"),"nisa")</f>
        <v>nisa</v>
      </c>
    </row>
    <row r="18126" ht="15.75" customHeight="1">
      <c r="A18126" s="2" t="s">
        <v>18126</v>
      </c>
      <c r="B18126" s="2" t="str">
        <f>IFERROR(__xludf.DUMMYFUNCTION("GOOGLETRANSLATE(A18126, ""en"", ""mt"")"),"Meta twieled Francis Aidan Gasquet?")</f>
        <v>Meta twieled Francis Aidan Gasquet?</v>
      </c>
    </row>
    <row r="18127" ht="15.75" customHeight="1">
      <c r="A18127" s="2" t="s">
        <v>18127</v>
      </c>
      <c r="B18127" s="2" t="str">
        <f>IFERROR(__xludf.DUMMYFUNCTION("GOOGLETRANSLATE(A18127, ""en"", ""mt"")"),"virus tad-deni isfar")</f>
        <v>virus tad-deni isfar</v>
      </c>
    </row>
    <row r="18128" ht="15.75" customHeight="1">
      <c r="A18128" s="2" t="s">
        <v>18128</v>
      </c>
      <c r="B18128" s="2" t="str">
        <f>IFERROR(__xludf.DUMMYFUNCTION("GOOGLETRANSLATE(A18128, ""en"", ""mt"")"),"Fl-1749 il-gvern Ingliż ta art lill-Kumpanija ta ’Ohio ta’ Virginia bil-għan li tiżviluppa kummerċ u insedjamenti fil-pajjiż ta ’Ohio. L-għotja kienet teħtieġ li tissetilja 100 familja fit-territorju, u tibni fort għall-protezzjoni tagħhom. Iżda, hekk kif"&amp;" it-territorju kien iddikjarat ukoll minn Pennsylvania, iż-żewġ kolonji bdew jimbuttaw għall-azzjoni biex itejbu t-talbiet rispettivi tagħhom. Fl-1750 Christopher Gist, li jaġixxi f'isem Virginia kif ukoll tal-kumpanija, esplora t-territorju ta 'Ohio u fe"&amp;"taħ negozjati mat-tribujiet Indjani f'Logstown. Huwa temm it-Trattat ta 'Logstown tal-1752 li fih l-Indjani lokali, permezz ta' ""nofs ir-re"" tagħhom ta 'Tanacharison u rappreżentant ta' Iroquois, qablu ma 'termini li kienu jinkludu permess biex jibnu """&amp;"dar b'saħħitha"" fil-bokka tax-xmara Monongahela (is-sit ta' Pittsburgh preżenti, Pennsylvania). Sal-aħħar tas-seklu 17, l-Iroquois kien imbuttat ħafna tribujiet 'il barra mill-wied ta' Ohio, u żammha bħala l-art tal-kaċċa bid-dritt tal-konkwista.")</f>
        <v>Fl-1749 il-gvern Ingliż ta art lill-Kumpanija ta ’Ohio ta’ Virginia bil-għan li tiżviluppa kummerċ u insedjamenti fil-pajjiż ta ’Ohio. L-għotja kienet teħtieġ li tissetilja 100 familja fit-territorju, u tibni fort għall-protezzjoni tagħhom. Iżda, hekk kif it-territorju kien iddikjarat ukoll minn Pennsylvania, iż-żewġ kolonji bdew jimbuttaw għall-azzjoni biex itejbu t-talbiet rispettivi tagħhom. Fl-1750 Christopher Gist, li jaġixxi f'isem Virginia kif ukoll tal-kumpanija, esplora t-territorju ta 'Ohio u fetaħ negozjati mat-tribujiet Indjani f'Logstown. Huwa temm it-Trattat ta 'Logstown tal-1752 li fih l-Indjani lokali, permezz ta' "nofs ir-re" tagħhom ta 'Tanacharison u rappreżentant ta' Iroquois, qablu ma 'termini li kienu jinkludu permess biex jibnu "dar b'saħħitha" fil-bokka tax-xmara Monongahela (is-sit ta' Pittsburgh preżenti, Pennsylvania). Sal-aħħar tas-seklu 17, l-Iroquois kien imbuttat ħafna tribujiet 'il barra mill-wied ta' Ohio, u żammha bħala l-art tal-kaċċa bid-dritt tal-konkwista.</v>
      </c>
    </row>
    <row r="18129" ht="15.75" customHeight="1">
      <c r="A18129" s="2" t="s">
        <v>18129</v>
      </c>
      <c r="B18129" s="2" t="str">
        <f>IFERROR(__xludf.DUMMYFUNCTION("GOOGLETRANSLATE(A18129, ""en"", ""mt"")"),"Kunsill Leġiżlattiv")</f>
        <v>Kunsill Leġiżlattiv</v>
      </c>
    </row>
    <row r="18130" ht="15.75" customHeight="1">
      <c r="A18130" s="2" t="s">
        <v>18130</v>
      </c>
      <c r="B18130" s="2" t="str">
        <f>IFERROR(__xludf.DUMMYFUNCTION("GOOGLETRANSLATE(A18130, ""en"", ""mt"")"),"Il-quadrangles ewlenin kienu biċċa master plan maħsub minn kemm trustees tal-Università ta ’Oxford?")</f>
        <v>Il-quadrangles ewlenin kienu biċċa master plan maħsub minn kemm trustees tal-Università ta ’Oxford?</v>
      </c>
    </row>
    <row r="18131" ht="15.75" customHeight="1">
      <c r="A18131" s="2" t="s">
        <v>18131</v>
      </c>
      <c r="B18131" s="2" t="str">
        <f>IFERROR(__xludf.DUMMYFUNCTION("GOOGLETRANSLATE(A18131, ""en"", ""mt"")"),"Lawbreakers kuxjenzjużi")</f>
        <v>Lawbreakers kuxjenzjużi</v>
      </c>
    </row>
    <row r="18132" ht="15.75" customHeight="1">
      <c r="A18132" s="2" t="s">
        <v>18132</v>
      </c>
      <c r="B18132" s="2" t="str">
        <f>IFERROR(__xludf.DUMMYFUNCTION("GOOGLETRANSLATE(A18132, ""en"", ""mt"")"),"Kif argumenta Hobson biex jeħles lid-dinja tal-imperjalizmu?")</f>
        <v>Kif argumenta Hobson biex jeħles lid-dinja tal-imperjalizmu?</v>
      </c>
    </row>
    <row r="18133" ht="15.75" customHeight="1">
      <c r="A18133" s="2" t="s">
        <v>18133</v>
      </c>
      <c r="B18133" s="2" t="str">
        <f>IFERROR(__xludf.DUMMYFUNCTION("GOOGLETRANSLATE(A18133, ""en"", ""mt"")"),"Identifika, tirrekluta")</f>
        <v>Identifika, tirrekluta</v>
      </c>
    </row>
    <row r="18134" ht="15.75" customHeight="1">
      <c r="A18134" s="2" t="s">
        <v>18134</v>
      </c>
      <c r="B18134" s="2" t="str">
        <f>IFERROR(__xludf.DUMMYFUNCTION("GOOGLETRANSLATE(A18134, ""en"", ""mt"")"),"Distrett tat-Torri")</f>
        <v>Distrett tat-Torri</v>
      </c>
    </row>
    <row r="18135" ht="15.75" customHeight="1">
      <c r="A18135" s="2" t="s">
        <v>18135</v>
      </c>
      <c r="B18135" s="2" t="str">
        <f>IFERROR(__xludf.DUMMYFUNCTION("GOOGLETRANSLATE(A18135, ""en"", ""mt"")"),"Distakk fil-produttività")</f>
        <v>Distakk fil-produttività</v>
      </c>
    </row>
    <row r="18136" ht="15.75" customHeight="1">
      <c r="A18136" s="2" t="s">
        <v>18136</v>
      </c>
      <c r="B18136" s="2" t="str">
        <f>IFERROR(__xludf.DUMMYFUNCTION("GOOGLETRANSLATE(A18136, ""en"", ""mt"")"),"biex jippermettu lin-nies isegwu l-għanijiet tal-ħajja tagħhom fi kwalunkwe pajjiż permezz tal-moviment liberu")</f>
        <v>biex jippermettu lin-nies isegwu l-għanijiet tal-ħajja tagħhom fi kwalunkwe pajjiż permezz tal-moviment liberu</v>
      </c>
    </row>
    <row r="18137" ht="15.75" customHeight="1">
      <c r="A18137" s="2" t="s">
        <v>18137</v>
      </c>
      <c r="B18137" s="2" t="str">
        <f>IFERROR(__xludf.DUMMYFUNCTION("GOOGLETRANSLATE(A18137, ""en"", ""mt"")"),"Liema persentaġġ tal-vitella tal-Awstralja ġej mir-Rabat?")</f>
        <v>Liema persentaġġ tal-vitella tal-Awstralja ġej mir-Rabat?</v>
      </c>
    </row>
    <row r="18138" ht="15.75" customHeight="1">
      <c r="A18138" s="2" t="s">
        <v>18138</v>
      </c>
      <c r="B18138" s="2" t="str">
        <f>IFERROR(__xludf.DUMMYFUNCTION("GOOGLETRANSLATE(A18138, ""en"", ""mt"")"),"Min jirrappreżenta l-Parlament Skoċċiż f'pajjiżhom u barra mill-pajjiż f'kapaċità uffiċjali?")</f>
        <v>Min jirrappreżenta l-Parlament Skoċċiż f'pajjiżhom u barra mill-pajjiż f'kapaċità uffiċjali?</v>
      </c>
    </row>
    <row r="18139" ht="15.75" customHeight="1">
      <c r="A18139" s="2" t="s">
        <v>18139</v>
      </c>
      <c r="B18139" s="2" t="str">
        <f>IFERROR(__xludf.DUMMYFUNCTION("GOOGLETRANSLATE(A18139, ""en"", ""mt"")"),"Ma 'liema sistema Mongoljana ma għamlitx il-gvern ta' Kublai?")</f>
        <v>Ma 'liema sistema Mongoljana ma għamlitx il-gvern ta' Kublai?</v>
      </c>
    </row>
    <row r="18140" ht="15.75" customHeight="1">
      <c r="A18140" s="2" t="s">
        <v>18140</v>
      </c>
      <c r="B18140" s="2" t="str">
        <f>IFERROR(__xludf.DUMMYFUNCTION("GOOGLETRANSLATE(A18140, ""en"", ""mt"")"),"X'kienet Berlin l-iktar diversa fil-Polonja?")</f>
        <v>X'kienet Berlin l-iktar diversa fil-Polonja?</v>
      </c>
    </row>
    <row r="18141" ht="15.75" customHeight="1">
      <c r="A18141" s="2" t="s">
        <v>18141</v>
      </c>
      <c r="B18141" s="2" t="str">
        <f>IFERROR(__xludf.DUMMYFUNCTION("GOOGLETRANSLATE(A18141, ""en"", ""mt"")"),"Liema belt serviet bħala l-kapitali tal-Prussja fl-1313?")</f>
        <v>Liema belt serviet bħala l-kapitali tal-Prussja fl-1313?</v>
      </c>
    </row>
    <row r="18142" ht="15.75" customHeight="1">
      <c r="A18142" s="2" t="s">
        <v>18142</v>
      </c>
      <c r="B18142" s="2" t="str">
        <f>IFERROR(__xludf.DUMMYFUNCTION("GOOGLETRANSLATE(A18142, ""en"", ""mt"")"),"demografija u rabtiet ekonomiċi")</f>
        <v>demografija u rabtiet ekonomiċi</v>
      </c>
    </row>
    <row r="18143" ht="15.75" customHeight="1">
      <c r="A18143" s="2" t="s">
        <v>18143</v>
      </c>
      <c r="B18143" s="2" t="str">
        <f>IFERROR(__xludf.DUMMYFUNCTION("GOOGLETRANSLATE(A18143, ""en"", ""mt"")"),"X'sejjaħ Polo l-Yuan Semi-Capital?")</f>
        <v>X'sejjaħ Polo l-Yuan Semi-Capital?</v>
      </c>
    </row>
    <row r="18144" ht="15.75" customHeight="1">
      <c r="A18144" s="2" t="s">
        <v>18144</v>
      </c>
      <c r="B18144" s="2" t="str">
        <f>IFERROR(__xludf.DUMMYFUNCTION("GOOGLETRANSLATE(A18144, ""en"", ""mt"")"),"Minkejja li kien relattivament mhux affettwat mill-embargo, ir-Renju Unit madankollu ffaċċja kriżi taż-żejt tiegħu stess - serje ta 'strajkijiet minn minaturi tal-faħam u ħaddiema tal-ferrovija matul ix-xitwa tal-1973–74 saru fattur ewlieni fil-bidla tal-"&amp;"gvern. Heath talab lill-Ingliżi biex isaħħnu kamra waħda biss fid-djar tagħhom matul ix-xitwa. Ir-Renju Unit, il-Ġermanja, l-Italja, l-Isvizzera u n-Norveġja pprojbixxew it-titjir, is-sewqan u t-tbaħħir fil-Ħdud. L-Iżvezja razzjonata petrol u żejt tat-tis"&amp;"ħin. L-Olanda imponew sentenzi ta 'ħabs għal dawk li użaw aktar mir-razzjon tagħhom ta' l-elettriku.")</f>
        <v>Minkejja li kien relattivament mhux affettwat mill-embargo, ir-Renju Unit madankollu ffaċċja kriżi taż-żejt tiegħu stess - serje ta 'strajkijiet minn minaturi tal-faħam u ħaddiema tal-ferrovija matul ix-xitwa tal-1973–74 saru fattur ewlieni fil-bidla tal-gvern. Heath talab lill-Ingliżi biex isaħħnu kamra waħda biss fid-djar tagħhom matul ix-xitwa. Ir-Renju Unit, il-Ġermanja, l-Italja, l-Isvizzera u n-Norveġja pprojbixxew it-titjir, is-sewqan u t-tbaħħir fil-Ħdud. L-Iżvezja razzjonata petrol u żejt tat-tisħin. L-Olanda imponew sentenzi ta 'ħabs għal dawk li użaw aktar mir-razzjon tagħhom ta' l-elettriku.</v>
      </c>
    </row>
    <row r="18145" ht="15.75" customHeight="1">
      <c r="A18145" s="2" t="s">
        <v>18145</v>
      </c>
      <c r="B18145" s="2" t="str">
        <f>IFERROR(__xludf.DUMMYFUNCTION("GOOGLETRANSLATE(A18145, ""en"", ""mt"")"),"il-linji ta 'applikazzjoni rispettivi tagħhom")</f>
        <v>il-linji ta 'applikazzjoni rispettivi tagħhom</v>
      </c>
    </row>
    <row r="18146" ht="15.75" customHeight="1">
      <c r="A18146" s="2" t="s">
        <v>18146</v>
      </c>
      <c r="B18146" s="2" t="str">
        <f>IFERROR(__xludf.DUMMYFUNCTION("GOOGLETRANSLATE(A18146, ""en"", ""mt"")"),"L-output ta 'soluzzjoni funzjonali huwa tipikament ikkaratterizzat minn tweġiba sempliċi jew kumplessa?")</f>
        <v>L-output ta 'soluzzjoni funzjonali huwa tipikament ikkaratterizzat minn tweġiba sempliċi jew kumplessa?</v>
      </c>
    </row>
    <row r="18147" ht="15.75" customHeight="1">
      <c r="A18147" s="2" t="s">
        <v>18147</v>
      </c>
      <c r="B18147" s="2" t="str">
        <f>IFERROR(__xludf.DUMMYFUNCTION("GOOGLETRANSLATE(A18147, ""en"", ""mt"")"),"Liema tweġiba tindika li soluzzjoni aċċettat sekwenza ta 'input?")</f>
        <v>Liema tweġiba tindika li soluzzjoni aċċettat sekwenza ta 'input?</v>
      </c>
    </row>
    <row r="18148" ht="15.75" customHeight="1">
      <c r="A18148" s="2" t="s">
        <v>18148</v>
      </c>
      <c r="B18148" s="2" t="str">
        <f>IFERROR(__xludf.DUMMYFUNCTION("GOOGLETRANSLATE(A18148, ""en"", ""mt"")"),"Xi diżubbidjenti ċivili jħossu li huwa fuqhom li jaċċettaw il-kastig minħabba t-twemmin tagħhom fil-validità tal-kuntratt soċjali, li huwa miżmum biex jorbot il-liġijiet kollha li gvern li jilħaq ċerti standards tal-leġittimità stabbilixxa, jew inkella js"&amp;"ofru l-penali Imniżżel fil-liġi. Dubbidjenti ċivili oħra li jiffavorixxu l-eżistenza tal-gvern għadhom ma jemmnux fil-leġittimità tal-gvern partikolari tagħhom, jew ma jemmnux fil-leġittimità ta 'liġi partikolari li tkun adottat. U għadhom diżubbidjenti ċ"&amp;"ivili oħra, li huma anarkisti, ma jemmnux fil-leġittimità ta 'xi gvern, u għalhekk ma tara l-ebda ħtieġa li taċċetta kastig għal ksur tal-liġi kriminali li ma tikserx id-drittijiet ta' ħaddieħor.")</f>
        <v>Xi diżubbidjenti ċivili jħossu li huwa fuqhom li jaċċettaw il-kastig minħabba t-twemmin tagħhom fil-validità tal-kuntratt soċjali, li huwa miżmum biex jorbot il-liġijiet kollha li gvern li jilħaq ċerti standards tal-leġittimità stabbilixxa, jew inkella jsofru l-penali Imniżżel fil-liġi. Dubbidjenti ċivili oħra li jiffavorixxu l-eżistenza tal-gvern għadhom ma jemmnux fil-leġittimità tal-gvern partikolari tagħhom, jew ma jemmnux fil-leġittimità ta 'liġi partikolari li tkun adottat. U għadhom diżubbidjenti ċivili oħra, li huma anarkisti, ma jemmnux fil-leġittimità ta 'xi gvern, u għalhekk ma tara l-ebda ħtieġa li taċċetta kastig għal ksur tal-liġi kriminali li ma tikserx id-drittijiet ta' ħaddieħor.</v>
      </c>
    </row>
    <row r="18149" ht="15.75" customHeight="1">
      <c r="A18149" s="2" t="s">
        <v>18149</v>
      </c>
      <c r="B18149" s="2" t="str">
        <f>IFERROR(__xludf.DUMMYFUNCTION("GOOGLETRANSLATE(A18149, ""en"", ""mt"")"),"X’jagħtu sismologi biex jidentifikaw il-qoxra tad-dinja?")</f>
        <v>X’jagħtu sismologi biex jidentifikaw il-qoxra tad-dinja?</v>
      </c>
    </row>
    <row r="18150" ht="15.75" customHeight="1">
      <c r="A18150" s="2" t="s">
        <v>18150</v>
      </c>
      <c r="B18150" s="2" t="str">
        <f>IFERROR(__xludf.DUMMYFUNCTION("GOOGLETRANSLATE(A18150, ""en"", ""mt"")"),"Flimkien ma 'l-iskart tas-sħana tal-iskart tal-magna nukleari, ġeotermali u interna, x'tip ta' enerġija tista 'tipprovdi s-sħana għal magna tal-fwar?")</f>
        <v>Flimkien ma 'l-iskart tas-sħana tal-iskart tal-magna nukleari, ġeotermali u interna, x'tip ta' enerġija tista 'tipprovdi s-sħana għal magna tal-fwar?</v>
      </c>
    </row>
    <row r="18151" ht="15.75" customHeight="1">
      <c r="A18151" s="2" t="s">
        <v>18151</v>
      </c>
      <c r="B18151" s="2" t="str">
        <f>IFERROR(__xludf.DUMMYFUNCTION("GOOGLETRANSLATE(A18151, ""en"", ""mt"")"),"ħafna ħwawar oħra mhux elenkati")</f>
        <v>ħafna ħwawar oħra mhux elenkati</v>
      </c>
    </row>
    <row r="18152" ht="15.75" customHeight="1">
      <c r="A18152" s="2" t="s">
        <v>18152</v>
      </c>
      <c r="B18152" s="2" t="str">
        <f>IFERROR(__xludf.DUMMYFUNCTION("GOOGLETRANSLATE(A18152, ""en"", ""mt"")"),"Min irfina x-xogħol ta 'Robert Mayow?")</f>
        <v>Min irfina x-xogħol ta 'Robert Mayow?</v>
      </c>
    </row>
    <row r="18153" ht="15.75" customHeight="1">
      <c r="A18153" s="2" t="s">
        <v>18153</v>
      </c>
      <c r="B18153" s="2" t="str">
        <f>IFERROR(__xludf.DUMMYFUNCTION("GOOGLETRANSLATE(A18153, ""en"", ""mt"")"),"Reġistru tal-Kunsill Farmaċewtiku Ġenerali (GPHC)")</f>
        <v>Reġistru tal-Kunsill Farmaċewtiku Ġenerali (GPHC)</v>
      </c>
    </row>
    <row r="18154" ht="15.75" customHeight="1">
      <c r="A18154" s="2" t="s">
        <v>18154</v>
      </c>
      <c r="B18154" s="2" t="str">
        <f>IFERROR(__xludf.DUMMYFUNCTION("GOOGLETRANSLATE(A18154, ""en"", ""mt"")"),"F'liema sena nfirxet il-marda tal-pesta għall-Asja Ċentrali?")</f>
        <v>F'liema sena nfirxet il-marda tal-pesta għall-Asja Ċentrali?</v>
      </c>
    </row>
    <row r="18155" ht="15.75" customHeight="1">
      <c r="A18155" s="2" t="s">
        <v>18155</v>
      </c>
      <c r="B18155" s="2" t="str">
        <f>IFERROR(__xludf.DUMMYFUNCTION("GOOGLETRANSLATE(A18155, ""en"", ""mt"")"),"X'tip ta 'graff huwa eżempju ta' produzzjoni użata fi problema ta 'deċiżjoni?")</f>
        <v>X'tip ta 'graff huwa eżempju ta' produzzjoni użata fi problema ta 'deċiżjoni?</v>
      </c>
    </row>
    <row r="18156" ht="15.75" customHeight="1">
      <c r="A18156" s="2" t="s">
        <v>18156</v>
      </c>
      <c r="B18156" s="2" t="str">
        <f>IFERROR(__xludf.DUMMYFUNCTION("GOOGLETRANSLATE(A18156, ""en"", ""mt"")"),"Liema kanal ħa post l-ivvjaġġar tas-sema?")</f>
        <v>Liema kanal ħa post l-ivvjaġġar tas-sema?</v>
      </c>
    </row>
    <row r="18157" ht="15.75" customHeight="1">
      <c r="A18157" s="2" t="s">
        <v>18157</v>
      </c>
      <c r="B18157" s="2" t="str">
        <f>IFERROR(__xludf.DUMMYFUNCTION("GOOGLETRANSLATE(A18157, ""en"", ""mt"")"),"304,016")</f>
        <v>304,016</v>
      </c>
    </row>
    <row r="18158" ht="15.75" customHeight="1">
      <c r="A18158" s="2" t="s">
        <v>18158</v>
      </c>
      <c r="B18158" s="2" t="str">
        <f>IFERROR(__xludf.DUMMYFUNCTION("GOOGLETRANSLATE(A18158, ""en"", ""mt"")"),"X'ġara b'valur ta 'muniti oħra meta l-Istati Uniti abbandunaw iż-żejt?")</f>
        <v>X'ġara b'valur ta 'muniti oħra meta l-Istati Uniti abbandunaw iż-żejt?</v>
      </c>
    </row>
    <row r="18159" ht="15.75" customHeight="1">
      <c r="A18159" s="2" t="s">
        <v>18159</v>
      </c>
      <c r="B18159" s="2" t="str">
        <f>IFERROR(__xludf.DUMMYFUNCTION("GOOGLETRANSLATE(A18159, ""en"", ""mt"")"),"X'kien l-isem tal-ewwel reazzjoni nukleari magħmula mill-bniedem awto-sostnuta?")</f>
        <v>X'kien l-isem tal-ewwel reazzjoni nukleari magħmula mill-bniedem awto-sostnuta?</v>
      </c>
    </row>
    <row r="18160" ht="15.75" customHeight="1">
      <c r="A18160" s="2" t="s">
        <v>18160</v>
      </c>
      <c r="B18160" s="2" t="str">
        <f>IFERROR(__xludf.DUMMYFUNCTION("GOOGLETRANSLATE(A18160, ""en"", ""mt"")"),"Liema banek ġeneralment huma popolati ftit u m'għandhomx industrijalizzazzjoni?")</f>
        <v>Liema banek ġeneralment huma popolati ftit u m'għandhomx industrijalizzazzjoni?</v>
      </c>
    </row>
    <row r="18161" ht="15.75" customHeight="1">
      <c r="A18161" s="2" t="s">
        <v>18161</v>
      </c>
      <c r="B18161" s="2" t="str">
        <f>IFERROR(__xludf.DUMMYFUNCTION("GOOGLETRANSLATE(A18161, ""en"", ""mt"")"),"Fuq liema ferrovija tintuża Darlington?")</f>
        <v>Fuq liema ferrovija tintuża Darlington?</v>
      </c>
    </row>
    <row r="18162" ht="15.75" customHeight="1">
      <c r="A18162" s="2" t="s">
        <v>18162</v>
      </c>
      <c r="B18162" s="2" t="str">
        <f>IFERROR(__xludf.DUMMYFUNCTION("GOOGLETRANSLATE(A18162, ""en"", ""mt"")"),"Pjanċi taċ-ċomb midfuna")</f>
        <v>Pjanċi taċ-ċomb midfuna</v>
      </c>
    </row>
    <row r="18163" ht="15.75" customHeight="1">
      <c r="A18163" s="2" t="s">
        <v>18163</v>
      </c>
      <c r="B18163" s="2" t="str">
        <f>IFERROR(__xludf.DUMMYFUNCTION("GOOGLETRANSLATE(A18163, ""en"", ""mt"")"),"F’liema seklu twaqqfet Eleutherian Gunpowder Mills?")</f>
        <v>F’liema seklu twaqqfet Eleutherian Gunpowder Mills?</v>
      </c>
    </row>
    <row r="18164" ht="15.75" customHeight="1">
      <c r="A18164" s="2" t="s">
        <v>18164</v>
      </c>
      <c r="B18164" s="2" t="str">
        <f>IFERROR(__xludf.DUMMYFUNCTION("GOOGLETRANSLATE(A18164, ""en"", ""mt"")"),"X'kienet it-teorija ta 'Norman Cantor dwar il-pesta?")</f>
        <v>X'kienet it-teorija ta 'Norman Cantor dwar il-pesta?</v>
      </c>
    </row>
    <row r="18165" ht="15.75" customHeight="1">
      <c r="A18165" s="2" t="s">
        <v>18165</v>
      </c>
      <c r="B18165" s="2" t="str">
        <f>IFERROR(__xludf.DUMMYFUNCTION("GOOGLETRANSLATE(A18165, ""en"", ""mt"")"),"Disinn bażiku tipiku tal-pajjiżi tal-blokk tal-Lvant")</f>
        <v>Disinn bażiku tipiku tal-pajjiżi tal-blokk tal-Lvant</v>
      </c>
    </row>
    <row r="18166" ht="15.75" customHeight="1">
      <c r="A18166" s="2" t="s">
        <v>18166</v>
      </c>
      <c r="B18166" s="2" t="str">
        <f>IFERROR(__xludf.DUMMYFUNCTION("GOOGLETRANSLATE(A18166, ""en"", ""mt"")"),"Ċentru")</f>
        <v>Ċentru</v>
      </c>
    </row>
    <row r="18167" ht="15.75" customHeight="1">
      <c r="A18167" s="2" t="s">
        <v>18167</v>
      </c>
      <c r="B18167" s="2" t="str">
        <f>IFERROR(__xludf.DUMMYFUNCTION("GOOGLETRANSLATE(A18167, ""en"", ""mt"")"),"Filwaqt li l-ideat ta 'Qutb saru dejjem aktar radikali matul il-ħabs tiegħu qabel l-eżekuzzjoni tiegħu fl-1966, it-tmexxija tal-fratellanza, immexxija minn Hasan al-Hudaybi, baqgħet moderata u interessata fin-negozjar politiku u l-attiviżmu. Movimenti mar"&amp;"ġinali jew splinter ispirati mill-kitbiet finali ta 'QUTB f'nofs is-snin 1960 (partikolarment il-manifest importanti, a.k.a. Ma'alim fi-l-tariq) żviluppaw, madankollu, żviluppaw u huma segwew direzzjoni aktar radikali. Fis-snin sebgħin, il-fratellanza kie"&amp;"net irrinunzjat għall-vjolenza bħala mezz biex tilħaq l-għanijiet tagħha.")</f>
        <v>Filwaqt li l-ideat ta 'Qutb saru dejjem aktar radikali matul il-ħabs tiegħu qabel l-eżekuzzjoni tiegħu fl-1966, it-tmexxija tal-fratellanza, immexxija minn Hasan al-Hudaybi, baqgħet moderata u interessata fin-negozjar politiku u l-attiviżmu. Movimenti marġinali jew splinter ispirati mill-kitbiet finali ta 'QUTB f'nofs is-snin 1960 (partikolarment il-manifest importanti, a.k.a. Ma'alim fi-l-tariq) żviluppaw, madankollu, żviluppaw u huma segwew direzzjoni aktar radikali. Fis-snin sebgħin, il-fratellanza kienet irrinunzjat għall-vjolenza bħala mezz biex tilħaq l-għanijiet tagħha.</v>
      </c>
    </row>
    <row r="18168" ht="15.75" customHeight="1">
      <c r="A18168" s="2" t="s">
        <v>18168</v>
      </c>
      <c r="B18168" s="2" t="str">
        <f>IFERROR(__xludf.DUMMYFUNCTION("GOOGLETRANSLATE(A18168, ""en"", ""mt"")"),"Repulsjoni Pauli")</f>
        <v>Repulsjoni Pauli</v>
      </c>
    </row>
    <row r="18169" ht="15.75" customHeight="1">
      <c r="A18169" s="2" t="s">
        <v>18169</v>
      </c>
      <c r="B18169" s="2" t="str">
        <f>IFERROR(__xludf.DUMMYFUNCTION("GOOGLETRANSLATE(A18169, ""en"", ""mt"")"),"Liema rwol kellu Michael Oppenheimer fir-rapporti tal-IPCC?")</f>
        <v>Liema rwol kellu Michael Oppenheimer fir-rapporti tal-IPCC?</v>
      </c>
    </row>
    <row r="18170" ht="15.75" customHeight="1">
      <c r="A18170" s="2" t="s">
        <v>18170</v>
      </c>
      <c r="B18170" s="2" t="str">
        <f>IFERROR(__xludf.DUMMYFUNCTION("GOOGLETRANSLATE(A18170, ""en"", ""mt"")"),"Creon, ir-re attwali ta 'Thebes, li qed jipprova jwaqqafha milli tagħti lil ħuha Polynices dfin xieraq")</f>
        <v>Creon, ir-re attwali ta 'Thebes, li qed jipprova jwaqqafha milli tagħti lil ħuha Polynices dfin xieraq</v>
      </c>
    </row>
    <row r="18171" ht="15.75" customHeight="1">
      <c r="A18171" s="2" t="s">
        <v>18171</v>
      </c>
      <c r="B18171" s="2" t="str">
        <f>IFERROR(__xludf.DUMMYFUNCTION("GOOGLETRANSLATE(A18171, ""en"", ""mt"")"),"Id-delta tar-Rhine-Meuse hija delta tal-marea, iffurmata mhux biss mis-sedimentazzjoni tax-xmajjar, iżda wkoll mill-kurrenti tal-marea. Dan kien ifisser li l-marea għolja ffurmat riskju serju minħabba li kurrenti qawwija tal-marea jistgħu jqattgħu żoni kb"&amp;"ar ta 'art fil-baħar. Qabel il-kostruzzjoni tad-Delta jaħdem, l-influwenza tal-marea kienet palpabbli sa Nijmegen, u anke llum, wara l-azzjoni regolatorja tad-Delta Works, il-marea taġixxi 'l bogħod. Fil-Waal, pereżempju, l-iktar influwenza tal-marea tal-"&amp;"art tista 'tiġi skoperta bejn Brakel u Zaltbommel.")</f>
        <v>Id-delta tar-Rhine-Meuse hija delta tal-marea, iffurmata mhux biss mis-sedimentazzjoni tax-xmajjar, iżda wkoll mill-kurrenti tal-marea. Dan kien ifisser li l-marea għolja ffurmat riskju serju minħabba li kurrenti qawwija tal-marea jistgħu jqattgħu żoni kbar ta 'art fil-baħar. Qabel il-kostruzzjoni tad-Delta jaħdem, l-influwenza tal-marea kienet palpabbli sa Nijmegen, u anke llum, wara l-azzjoni regolatorja tad-Delta Works, il-marea taġixxi 'l bogħod. Fil-Waal, pereżempju, l-iktar influwenza tal-marea tal-art tista 'tiġi skoperta bejn Brakel u Zaltbommel.</v>
      </c>
    </row>
    <row r="18172" ht="15.75" customHeight="1">
      <c r="A18172" s="2" t="s">
        <v>18172</v>
      </c>
      <c r="B18172" s="2" t="str">
        <f>IFERROR(__xludf.DUMMYFUNCTION("GOOGLETRANSLATE(A18172, ""en"", ""mt"")"),"X'jistgħu juru t-tipi ta 'impjiegi u l-livelli ta' esperjenza fir-riżultati?")</f>
        <v>X'jistgħu juru t-tipi ta 'impjiegi u l-livelli ta' esperjenza fir-riżultati?</v>
      </c>
    </row>
    <row r="18173" ht="15.75" customHeight="1">
      <c r="A18173" s="2" t="s">
        <v>18173</v>
      </c>
      <c r="B18173" s="2" t="str">
        <f>IFERROR(__xludf.DUMMYFUNCTION("GOOGLETRANSLATE(A18173, ""en"", ""mt"")"),"Min ħareġ bit-terminu mewt sewda?")</f>
        <v>Min ħareġ bit-terminu mewt sewda?</v>
      </c>
    </row>
    <row r="18174" ht="15.75" customHeight="1">
      <c r="A18174" s="2" t="s">
        <v>18174</v>
      </c>
      <c r="B18174" s="2" t="str">
        <f>IFERROR(__xludf.DUMMYFUNCTION("GOOGLETRANSLATE(A18174, ""en"", ""mt"")"),"X'kienet okkupazzjoni waħda tal-Ingliż nattiv?")</f>
        <v>X'kienet okkupazzjoni waħda tal-Ingliż nattiv?</v>
      </c>
    </row>
    <row r="18175" ht="15.75" customHeight="1">
      <c r="A18175" s="2" t="s">
        <v>18175</v>
      </c>
      <c r="B18175" s="2" t="str">
        <f>IFERROR(__xludf.DUMMYFUNCTION("GOOGLETRANSLATE(A18175, ""en"", ""mt"")"),"Min għamel lil Ralph Earl?")</f>
        <v>Min għamel lil Ralph Earl?</v>
      </c>
    </row>
    <row r="18176" ht="15.75" customHeight="1">
      <c r="A18176" s="2" t="s">
        <v>18176</v>
      </c>
      <c r="B18176" s="2" t="str">
        <f>IFERROR(__xludf.DUMMYFUNCTION("GOOGLETRANSLATE(A18176, ""en"", ""mt"")"),"Liema rivoluzzjoni ġiet miġġielda fl-1899?")</f>
        <v>Liema rivoluzzjoni ġiet miġġielda fl-1899?</v>
      </c>
    </row>
    <row r="18177" ht="15.75" customHeight="1">
      <c r="A18177" s="2" t="s">
        <v>18177</v>
      </c>
      <c r="B18177" s="2" t="str">
        <f>IFERROR(__xludf.DUMMYFUNCTION("GOOGLETRANSLATE(A18177, ""en"", ""mt"")"),"Min semma ""Bauffet's Point"" f'Davenports Neck?")</f>
        <v>Min semma "Bauffet's Point" f'Davenports Neck?</v>
      </c>
    </row>
    <row r="18178" ht="15.75" customHeight="1">
      <c r="A18178" s="2" t="s">
        <v>18178</v>
      </c>
      <c r="B18178" s="2" t="str">
        <f>IFERROR(__xludf.DUMMYFUNCTION("GOOGLETRANSLATE(A18178, ""en"", ""mt"")"),"1688–1692")</f>
        <v>1688–1692</v>
      </c>
    </row>
    <row r="18179" ht="15.75" customHeight="1">
      <c r="A18179" s="2" t="s">
        <v>18179</v>
      </c>
      <c r="B18179" s="2" t="str">
        <f>IFERROR(__xludf.DUMMYFUNCTION("GOOGLETRANSLATE(A18179, ""en"", ""mt"")"),"Ir-rebbieħ tal-Premju Nobel tal-Ekonomija 2013 Robert J. Shiller qal li l-inugwaljanza dejjem tiżdied fl-Istati Uniti u bnadi oħra hija l-iktar problema importanti. L-inugwaljanza dejjem tiżdied tagħmel ħsara lit-tkabbir ekonomiku. Qgħad għoli u persisten"&amp;"ti, li fih l-inugwaljanza tiżdied, għandu effett negattiv fuq tkabbir ekonomiku sussegwenti fit-tul. Il-qgħad jista 'jagħmel ħsara lit-tkabbir mhux biss minħabba li huwa ħela ta' riżorsi, iżda wkoll minħabba li jiġġenera pressjonijiet ridistributtivi u di"&amp;"storsjonijiet sussegwenti, imexxi lin-nies għall-faqar, jillimita l-likwidità li tillimita l-mobilità tax-xogħol, u tnaqqas l-istima personali li tippromwovi d-diżlokazzjoni soċjali, l-inkwiet u l-kunflitt. Il-politiki li jimmiraw biex jikkontrollaw il-qg"&amp;"ħad u b'mod partikolari biex inaqqsu l-effetti assoċjati mal-inugwaljanza tiegħu jappoġġjaw it-tkabbir ekonomiku.")</f>
        <v>Ir-rebbieħ tal-Premju Nobel tal-Ekonomija 2013 Robert J. Shiller qal li l-inugwaljanza dejjem tiżdied fl-Istati Uniti u bnadi oħra hija l-iktar problema importanti. L-inugwaljanza dejjem tiżdied tagħmel ħsara lit-tkabbir ekonomiku. Qgħad għoli u persistenti, li fih l-inugwaljanza tiżdied, għandu effett negattiv fuq tkabbir ekonomiku sussegwenti fit-tul. Il-qgħad jista 'jagħmel ħsara lit-tkabbir mhux biss minħabba li huwa ħela ta' riżorsi, iżda wkoll minħabba li jiġġenera pressjonijiet ridistributtivi u distorsjonijiet sussegwenti, imexxi lin-nies għall-faqar, jillimita l-likwidità li tillimita l-mobilità tax-xogħol, u tnaqqas l-istima personali li tippromwovi d-diżlokazzjoni soċjali, l-inkwiet u l-kunflitt. Il-politiki li jimmiraw biex jikkontrollaw il-qgħad u b'mod partikolari biex inaqqsu l-effetti assoċjati mal-inugwaljanza tiegħu jappoġġjaw it-tkabbir ekonomiku.</v>
      </c>
    </row>
    <row r="18180" ht="15.75" customHeight="1">
      <c r="A18180" s="2" t="s">
        <v>18180</v>
      </c>
      <c r="B18180" s="2" t="str">
        <f>IFERROR(__xludf.DUMMYFUNCTION("GOOGLETRANSLATE(A18180, ""en"", ""mt"")"),"Sussidju tettoniku")</f>
        <v>Sussidju tettoniku</v>
      </c>
    </row>
    <row r="18181" ht="15.75" customHeight="1">
      <c r="A18181" s="2" t="s">
        <v>18181</v>
      </c>
      <c r="B18181" s="2" t="str">
        <f>IFERROR(__xludf.DUMMYFUNCTION("GOOGLETRANSLATE(A18181, ""en"", ""mt"")"),"Huwa mistenni li l-input kontinwu tas-sediment fil-lag se joħroġ il-lag")</f>
        <v>Huwa mistenni li l-input kontinwu tas-sediment fil-lag se joħroġ il-lag</v>
      </c>
    </row>
    <row r="18182" ht="15.75" customHeight="1">
      <c r="A18182" s="2" t="s">
        <v>18182</v>
      </c>
      <c r="B18182" s="2" t="str">
        <f>IFERROR(__xludf.DUMMYFUNCTION("GOOGLETRANSLATE(A18182, ""en"", ""mt"")"),"Awwissu 1944")</f>
        <v>Awwissu 1944</v>
      </c>
    </row>
    <row r="18183" ht="15.75" customHeight="1">
      <c r="A18183" s="2" t="s">
        <v>18183</v>
      </c>
      <c r="B18183" s="2" t="str">
        <f>IFERROR(__xludf.DUMMYFUNCTION("GOOGLETRANSLATE(A18183, ""en"", ""mt"")"),"Kemm hemm istituti ta 'riċerka li l-università taħdem fuq il-kampus?")</f>
        <v>Kemm hemm istituti ta 'riċerka li l-università taħdem fuq il-kampus?</v>
      </c>
    </row>
    <row r="18184" ht="15.75" customHeight="1">
      <c r="A18184" s="2" t="s">
        <v>18184</v>
      </c>
      <c r="B18184" s="2" t="str">
        <f>IFERROR(__xludf.DUMMYFUNCTION("GOOGLETRANSLATE(A18184, ""en"", ""mt"")"),"X'inhu jiddeskrivi l-proporzjonalità ta 'aċċellerazzjoni għall-forza u l-massa?")</f>
        <v>X'inhu jiddeskrivi l-proporzjonalità ta 'aċċellerazzjoni għall-forza u l-massa?</v>
      </c>
    </row>
    <row r="18185" ht="15.75" customHeight="1">
      <c r="A18185" s="2" t="s">
        <v>18185</v>
      </c>
      <c r="B18185" s="2" t="str">
        <f>IFERROR(__xludf.DUMMYFUNCTION("GOOGLETRANSLATE(A18185, ""en"", ""mt"")"),"Kif kien jissejjaħ l-ewwel stazzjon Sacramento?")</f>
        <v>Kif kien jissejjaħ l-ewwel stazzjon Sacramento?</v>
      </c>
    </row>
    <row r="18186" ht="15.75" customHeight="1">
      <c r="A18186" s="2" t="s">
        <v>18186</v>
      </c>
      <c r="B18186" s="2" t="str">
        <f>IFERROR(__xludf.DUMMYFUNCTION("GOOGLETRANSLATE(A18186, ""en"", ""mt"")"),"F'liema pressjoni tissaħħan l-enerġija nukleari fiċ-ċiklu ta 'Rankine?")</f>
        <v>F'liema pressjoni tissaħħan l-enerġija nukleari fiċ-ċiklu ta 'Rankine?</v>
      </c>
    </row>
    <row r="18187" ht="15.75" customHeight="1">
      <c r="A18187" s="2" t="s">
        <v>18187</v>
      </c>
      <c r="B18187" s="2" t="str">
        <f>IFERROR(__xludf.DUMMYFUNCTION("GOOGLETRANSLATE(A18187, ""en"", ""mt"")"),"Varsavja tinsab fil-Polonja ċentrali tal-lvant madwar 300 km (190 mi) mill-Muntanji tal-Karpazji u madwar 260 km (160 mi) mill-Baħar Baltiku, 523 km (325 mi) fil-lvant ta 'Berlin, il-Ġermanja. Il-belt tmur ix-xmara Vistula. Hija tinsab fil-qalba tal-pjanu"&amp;"ra Masovjana, u l-elevazzjoni medja tagħha hija ta '100 metru (330 ft)' il fuq mil-livell tal-baħar. L-ogħla punt fuq in-naħa tax-xellug tal-belt jinsab f'għoli ta '115.7 metri (379.6 ft) (""Redutowa"" Bus Depot, Distrett ta' Wola), fuq in-naħa tal-lemin "&amp;"- 122.1 metri (400.6 ft) (proprjetà ""Groszówka"", Distrett ta 'Wesoła, mill-fruntiera tal-Lvant). L-iktar punt baxx jinsab f'għoli ta '75.6 metri (248.0 ft) (fix-xatt tal-lemin tal-Vistula, mill-fruntiera tal-Lvant ta' Varsavja). Hemm xi għoljiet (l-akta"&amp;"r artifiċjali) li jinsabu fil-konfini tal-belt - p.e. Varsavja Rebbiegħa Hill (121 metru (397.0 ft)), Szczęśliwice Hill (138 metru (452.8 ft) - l-ogħla punt ta ’Varsavja b’mod ġenerali).")</f>
        <v>Varsavja tinsab fil-Polonja ċentrali tal-lvant madwar 300 km (190 mi) mill-Muntanji tal-Karpazji u madwar 260 km (160 mi) mill-Baħar Baltiku, 523 km (325 mi) fil-lvant ta 'Berlin, il-Ġermanja. Il-belt tmur ix-xmara Vistula. Hija tinsab fil-qalba tal-pjanura Masovjana, u l-elevazzjoni medja tagħha hija ta '100 metru (330 ft)' il fuq mil-livell tal-baħar. L-ogħla punt fuq in-naħa tax-xellug tal-belt jinsab f'għoli ta '115.7 metri (379.6 ft) ("Redutowa" Bus Depot, Distrett ta' Wola), fuq in-naħa tal-lemin - 122.1 metri (400.6 ft) (proprjetà "Groszówka", Distrett ta 'Wesoła, mill-fruntiera tal-Lvant). L-iktar punt baxx jinsab f'għoli ta '75.6 metri (248.0 ft) (fix-xatt tal-lemin tal-Vistula, mill-fruntiera tal-Lvant ta' Varsavja). Hemm xi għoljiet (l-aktar artifiċjali) li jinsabu fil-konfini tal-belt - p.e. Varsavja Rebbiegħa Hill (121 metru (397.0 ft)), Szczęśliwice Hill (138 metru (452.8 ft) - l-ogħla punt ta ’Varsavja b’mod ġenerali).</v>
      </c>
    </row>
    <row r="18188" ht="15.75" customHeight="1">
      <c r="A18188" s="2" t="s">
        <v>18188</v>
      </c>
      <c r="B18188" s="2" t="str">
        <f>IFERROR(__xludf.DUMMYFUNCTION("GOOGLETRANSLATE(A18188, ""en"", ""mt"")"),"tirrifjuta li tiffirma l-ħelsien mill-arrest")</f>
        <v>tirrifjuta li tiffirma l-ħelsien mill-arrest</v>
      </c>
    </row>
    <row r="18189" ht="15.75" customHeight="1">
      <c r="A18189" s="2" t="s">
        <v>18189</v>
      </c>
      <c r="B18189" s="2" t="str">
        <f>IFERROR(__xludf.DUMMYFUNCTION("GOOGLETRANSLATE(A18189, ""en"", ""mt"")"),"Il-popolazzjoni tal-firien ma kinitx biżżejjed biex tagħti kont ta 'pandemija tal-pesta bubonika")</f>
        <v>Il-popolazzjoni tal-firien ma kinitx biżżejjed biex tagħti kont ta 'pandemija tal-pesta bubonika</v>
      </c>
    </row>
    <row r="18190" ht="15.75" customHeight="1">
      <c r="A18190" s="2" t="s">
        <v>18190</v>
      </c>
      <c r="B18190" s="2" t="str">
        <f>IFERROR(__xludf.DUMMYFUNCTION("GOOGLETRANSLATE(A18190, ""en"", ""mt"")"),"Min kiteb il-ktieb intitolat ""Qabel I Fall"" li kien bestseller tal-università?")</f>
        <v>Min kiteb il-ktieb intitolat "Qabel I Fall" li kien bestseller tal-università?</v>
      </c>
    </row>
    <row r="18191" ht="15.75" customHeight="1">
      <c r="A18191" s="2" t="s">
        <v>18191</v>
      </c>
      <c r="B18191" s="2" t="str">
        <f>IFERROR(__xludf.DUMMYFUNCTION("GOOGLETRANSLATE(A18191, ""en"", ""mt"")"),"X'jagħmel livelli għoljin ta 'inugwaljanza għat-tkabbir f'pajjiżi sinjuri?")</f>
        <v>X'jagħmel livelli għoljin ta 'inugwaljanza għat-tkabbir f'pajjiżi sinjuri?</v>
      </c>
    </row>
    <row r="18192" ht="15.75" customHeight="1">
      <c r="A18192" s="2" t="s">
        <v>18192</v>
      </c>
      <c r="B18192" s="2" t="str">
        <f>IFERROR(__xludf.DUMMYFUNCTION("GOOGLETRANSLATE(A18192, ""en"", ""mt"")"),"Zeta")</f>
        <v>Zeta</v>
      </c>
    </row>
    <row r="18193" ht="15.75" customHeight="1">
      <c r="A18193" s="2" t="s">
        <v>18193</v>
      </c>
      <c r="B18193" s="2" t="str">
        <f>IFERROR(__xludf.DUMMYFUNCTION("GOOGLETRANSLATE(A18193, ""en"", ""mt"")"),"Kemm tunnellata ta 'patata tipproduċi Victoria?")</f>
        <v>Kemm tunnellata ta 'patata tipproduċi Victoria?</v>
      </c>
    </row>
    <row r="18194" ht="15.75" customHeight="1">
      <c r="A18194" s="2" t="s">
        <v>18194</v>
      </c>
      <c r="B18194" s="2" t="str">
        <f>IFERROR(__xludf.DUMMYFUNCTION("GOOGLETRANSLATE(A18194, ""en"", ""mt"")"),"2p - 1, fejn p huwa prim arbitrarju")</f>
        <v>2p - 1, fejn p huwa prim arbitrarju</v>
      </c>
    </row>
    <row r="18195" ht="15.75" customHeight="1">
      <c r="A18195" s="2" t="s">
        <v>18195</v>
      </c>
      <c r="B18195" s="2" t="str">
        <f>IFERROR(__xludf.DUMMYFUNCTION("GOOGLETRANSLATE(A18195, ""en"", ""mt"")"),"Il-Kungress Nazzjonali Nazzjonalist Indjan u Sekularist Mainstream")</f>
        <v>Il-Kungress Nazzjonali Nazzjonalist Indjan u Sekularist Mainstream</v>
      </c>
    </row>
    <row r="18196" ht="15.75" customHeight="1">
      <c r="A18196" s="2" t="s">
        <v>18196</v>
      </c>
      <c r="B18196" s="2" t="str">
        <f>IFERROR(__xludf.DUMMYFUNCTION("GOOGLETRANSLATE(A18196, ""en"", ""mt"")"),"Gruppi terroristiċi Shia")</f>
        <v>Gruppi terroristiċi Shia</v>
      </c>
    </row>
    <row r="18197" ht="15.75" customHeight="1">
      <c r="A18197" s="2" t="s">
        <v>18197</v>
      </c>
      <c r="B18197" s="2" t="str">
        <f>IFERROR(__xludf.DUMMYFUNCTION("GOOGLETRANSLATE(A18197, ""en"", ""mt"")"),"Liema pajjiż invada l-Arabja Sawdita fl-1979?")</f>
        <v>Liema pajjiż invada l-Arabja Sawdita fl-1979?</v>
      </c>
    </row>
    <row r="18198" ht="15.75" customHeight="1">
      <c r="A18198" s="2" t="s">
        <v>18198</v>
      </c>
      <c r="B18198" s="2" t="str">
        <f>IFERROR(__xludf.DUMMYFUNCTION("GOOGLETRANSLATE(A18198, ""en"", ""mt"")"),"Uffiċjal li jippresiedi")</f>
        <v>Uffiċjal li jippresiedi</v>
      </c>
    </row>
    <row r="18199" ht="15.75" customHeight="1">
      <c r="A18199" s="2" t="s">
        <v>18199</v>
      </c>
      <c r="B18199" s="2" t="str">
        <f>IFERROR(__xludf.DUMMYFUNCTION("GOOGLETRANSLATE(A18199, ""en"", ""mt"")"),"Spiża għolja ta 'mediċini u teknoloġija relatata mal-mediċina")</f>
        <v>Spiża għolja ta 'mediċini u teknoloġija relatata mal-mediċina</v>
      </c>
    </row>
    <row r="18200" ht="15.75" customHeight="1">
      <c r="A18200" s="2" t="s">
        <v>18200</v>
      </c>
      <c r="B18200" s="2" t="str">
        <f>IFERROR(__xludf.DUMMYFUNCTION("GOOGLETRANSLATE(A18200, ""en"", ""mt"")"),"4,222,000")</f>
        <v>4,222,000</v>
      </c>
    </row>
    <row r="18201" ht="15.75" customHeight="1">
      <c r="A18201" s="2" t="s">
        <v>18201</v>
      </c>
      <c r="B18201" s="2" t="str">
        <f>IFERROR(__xludf.DUMMYFUNCTION("GOOGLETRANSLATE(A18201, ""en"", ""mt"")"),"X'għandu ma jkollux rwol fir-rispons immuni għall-viruses?")</f>
        <v>X'għandu ma jkollux rwol fir-rispons immuni għall-viruses?</v>
      </c>
    </row>
    <row r="18202" ht="15.75" customHeight="1">
      <c r="A18202" s="2" t="s">
        <v>18202</v>
      </c>
      <c r="B18202" s="2" t="str">
        <f>IFERROR(__xludf.DUMMYFUNCTION("GOOGLETRANSLATE(A18202, ""en"", ""mt"")"),"ta 'sinifikat marġinali")</f>
        <v>ta 'sinifikat marġinali</v>
      </c>
    </row>
    <row r="18203" ht="15.75" customHeight="1">
      <c r="A18203" s="2" t="s">
        <v>18203</v>
      </c>
      <c r="B18203" s="2" t="str">
        <f>IFERROR(__xludf.DUMMYFUNCTION("GOOGLETRANSLATE(A18203, ""en"", ""mt"")"),"X'inhi t-teorija l-aktar ġdida, aċċettata b'mod aktar wiesa 'wara t-tixrid tal-pesta?")</f>
        <v>X'inhi t-teorija l-aktar ġdida, aċċettata b'mod aktar wiesa 'wara t-tixrid tal-pesta?</v>
      </c>
    </row>
    <row r="18204" ht="15.75" customHeight="1">
      <c r="A18204" s="2" t="s">
        <v>18204</v>
      </c>
      <c r="B18204" s="2" t="str">
        <f>IFERROR(__xludf.DUMMYFUNCTION("GOOGLETRANSLATE(A18204, ""en"", ""mt"")"),"Jonqos Il-Fondazzjoni Elettronika tal-Fruntiera")</f>
        <v>Jonqos Il-Fondazzjoni Elettronika tal-Fruntiera</v>
      </c>
    </row>
    <row r="18205" ht="15.75" customHeight="1">
      <c r="A18205" s="2" t="s">
        <v>18205</v>
      </c>
      <c r="B18205" s="2" t="str">
        <f>IFERROR(__xludf.DUMMYFUNCTION("GOOGLETRANSLATE(A18205, ""en"", ""mt"")"),"Il-gżejjer tal-Ħawajja huma magħmula kważi għal kollox?")</f>
        <v>Il-gżejjer tal-Ħawajja huma magħmula kważi għal kollox?</v>
      </c>
    </row>
    <row r="18206" ht="15.75" customHeight="1">
      <c r="A18206" s="2" t="s">
        <v>18206</v>
      </c>
      <c r="B18206" s="2" t="str">
        <f>IFERROR(__xludf.DUMMYFUNCTION("GOOGLETRANSLATE(A18206, ""en"", ""mt"")"),"Edgar Atheling")</f>
        <v>Edgar Atheling</v>
      </c>
    </row>
    <row r="18207" ht="15.75" customHeight="1">
      <c r="A18207" s="2" t="s">
        <v>18207</v>
      </c>
      <c r="B18207" s="2" t="str">
        <f>IFERROR(__xludf.DUMMYFUNCTION("GOOGLETRANSLATE(A18207, ""en"", ""mt"")"),"X'jikkawża repulsjoni ta 'Pauli?")</f>
        <v>X'jikkawża repulsjoni ta 'Pauli?</v>
      </c>
    </row>
    <row r="18208" ht="15.75" customHeight="1">
      <c r="A18208" s="2" t="s">
        <v>18208</v>
      </c>
      <c r="B18208" s="2" t="str">
        <f>IFERROR(__xludf.DUMMYFUNCTION("GOOGLETRANSLATE(A18208, ""en"", ""mt"")"),"Huguon")</f>
        <v>Huguon</v>
      </c>
    </row>
    <row r="18209" ht="15.75" customHeight="1">
      <c r="A18209" s="2" t="s">
        <v>18209</v>
      </c>
      <c r="B18209" s="2" t="str">
        <f>IFERROR(__xludf.DUMMYFUNCTION("GOOGLETRANSLATE(A18209, ""en"", ""mt"")"),"Kif ġew ikkritikati l-intraprenditorija Amerikana mill-kriżi?")</f>
        <v>Kif ġew ikkritikati l-intraprenditorija Amerikana mill-kriżi?</v>
      </c>
    </row>
    <row r="18210" ht="15.75" customHeight="1">
      <c r="A18210" s="2" t="s">
        <v>18210</v>
      </c>
      <c r="B18210" s="2" t="str">
        <f>IFERROR(__xludf.DUMMYFUNCTION("GOOGLETRANSLATE(A18210, ""en"", ""mt"")"),"Liema katalizzaturi kimiċi jistgħu jintużaw fl-evoluzzjoni elettrokatalitika O2?")</f>
        <v>Liema katalizzaturi kimiċi jistgħu jintużaw fl-evoluzzjoni elettrokatalitika O2?</v>
      </c>
    </row>
    <row r="18211" ht="15.75" customHeight="1">
      <c r="A18211" s="2" t="s">
        <v>18211</v>
      </c>
      <c r="B18211" s="2" t="str">
        <f>IFERROR(__xludf.DUMMYFUNCTION("GOOGLETRANSLATE(A18211, ""en"", ""mt"")"),"Wahhabi / Salafi Jihadist Extremist Militant")</f>
        <v>Wahhabi / Salafi Jihadist Extremist Militant</v>
      </c>
    </row>
    <row r="18212" ht="15.75" customHeight="1">
      <c r="A18212" s="2" t="s">
        <v>18212</v>
      </c>
      <c r="B18212" s="2" t="str">
        <f>IFERROR(__xludf.DUMMYFUNCTION("GOOGLETRANSLATE(A18212, ""en"", ""mt"")"),"L-istoriku Frederick W. Mote kiteb li l-użu tat-terminu ""klassijiet soċjali"" għal din is-sistema kien qarrieqi u li l-pożizzjoni ta 'nies fis-sistema ta' erba 'klassi ma kinitx indikazzjoni tal-poter u l-ġid soċjali attwali tagħhom, iżda kienet tinvolvi"&amp;" biss "" gradi ta 'privileġġ ""li għalihom kienu intitolati istituzzjonalment u legalment, u għalhekk il-wieqfa ta' persuna fil-klassijiet ma kinitx garanzija tal-wieqfa tagħha, peress li kien hemm Ċiniżi sinjuri u soċjalment soċjalment waqt li kien hemm "&amp;"inqas sinjuri Mongol u semu milli kien hemm Mongolju u Semu li għex fil-faqar u kien trattat ħażin.")</f>
        <v>L-istoriku Frederick W. Mote kiteb li l-użu tat-terminu "klassijiet soċjali" għal din is-sistema kien qarrieqi u li l-pożizzjoni ta 'nies fis-sistema ta' erba 'klassi ma kinitx indikazzjoni tal-poter u l-ġid soċjali attwali tagħhom, iżda kienet tinvolvi biss " gradi ta 'privileġġ "li għalihom kienu intitolati istituzzjonalment u legalment, u għalhekk il-wieqfa ta' persuna fil-klassijiet ma kinitx garanzija tal-wieqfa tagħha, peress li kien hemm Ċiniżi sinjuri u soċjalment soċjalment waqt li kien hemm inqas sinjuri Mongol u semu milli kien hemm Mongolju u Semu li għex fil-faqar u kien trattat ħażin.</v>
      </c>
    </row>
    <row r="18213" ht="15.75" customHeight="1">
      <c r="A18213" s="2" t="s">
        <v>18213</v>
      </c>
      <c r="B18213" s="2" t="str">
        <f>IFERROR(__xludf.DUMMYFUNCTION("GOOGLETRANSLATE(A18213, ""en"", ""mt"")"),"Kif jissejjaħ is-Sindku ta ’Varsavja?")</f>
        <v>Kif jissejjaħ is-Sindku ta ’Varsavja?</v>
      </c>
    </row>
    <row r="18214" ht="15.75" customHeight="1">
      <c r="A18214" s="2" t="s">
        <v>18214</v>
      </c>
      <c r="B18214" s="2" t="str">
        <f>IFERROR(__xludf.DUMMYFUNCTION("GOOGLETRANSLATE(A18214, ""en"", ""mt"")"),"Definizzjonijiet analogi jistgħu jsiru għar-rekwiżiti tal-ispazju. Għalkemm il-ħin u l-ispazju huma l-iktar riżorsi ta 'kumplessità magħrufa, kwalunkwe miżura ta' kumplessità tista 'titqies bħala riżors tal-komputazzjoni. Miżuri ta 'kumplessità huma ġener"&amp;"alment definiti mill-axioms ta' kumplessità ta 'Blum. Miżuri oħra ta ’kumplessità użati fit-teorija tal-kumplessità jinkludu kumplessità tal-komunikazzjoni, kumplessità taċ-ċirkwit, u kumplessità tas-siġar tad-deċiżjonijiet.")</f>
        <v>Definizzjonijiet analogi jistgħu jsiru għar-rekwiżiti tal-ispazju. Għalkemm il-ħin u l-ispazju huma l-iktar riżorsi ta 'kumplessità magħrufa, kwalunkwe miżura ta' kumplessità tista 'titqies bħala riżors tal-komputazzjoni. Miżuri ta 'kumplessità huma ġeneralment definiti mill-axioms ta' kumplessità ta 'Blum. Miżuri oħra ta ’kumplessità użati fit-teorija tal-kumplessità jinkludu kumplessità tal-komunikazzjoni, kumplessità taċ-ċirkwit, u kumplessità tas-siġar tad-deċiżjonijiet.</v>
      </c>
    </row>
    <row r="18215" ht="15.75" customHeight="1">
      <c r="A18215" s="2" t="s">
        <v>18215</v>
      </c>
      <c r="B18215" s="2" t="str">
        <f>IFERROR(__xludf.DUMMYFUNCTION("GOOGLETRANSLATE(A18215, ""en"", ""mt"")"),"Terrazzi tal-vistula sempliċi")</f>
        <v>Terrazzi tal-vistula sempliċi</v>
      </c>
    </row>
    <row r="18216" ht="15.75" customHeight="1">
      <c r="A18216" s="2" t="s">
        <v>18216</v>
      </c>
      <c r="B18216" s="2" t="str">
        <f>IFERROR(__xludf.DUMMYFUNCTION("GOOGLETRANSLATE(A18216, ""en"", ""mt"")"),"Ippompja l-ilma barra mill-mesoglea")</f>
        <v>Ippompja l-ilma barra mill-mesoglea</v>
      </c>
    </row>
    <row r="18217" ht="15.75" customHeight="1">
      <c r="A18217" s="2" t="s">
        <v>18217</v>
      </c>
      <c r="B18217" s="2" t="str">
        <f>IFERROR(__xludf.DUMMYFUNCTION("GOOGLETRANSLATE(A18217, ""en"", ""mt"")"),"partiċelli elementari")</f>
        <v>partiċelli elementari</v>
      </c>
    </row>
    <row r="18218" ht="15.75" customHeight="1">
      <c r="A18218" s="2" t="s">
        <v>18218</v>
      </c>
      <c r="B18218" s="2" t="str">
        <f>IFERROR(__xludf.DUMMYFUNCTION("GOOGLETRANSLATE(A18218, ""en"", ""mt"")"),"Gżejjer Channel")</f>
        <v>Gżejjer Channel</v>
      </c>
    </row>
    <row r="18219" ht="15.75" customHeight="1">
      <c r="A18219" s="2" t="s">
        <v>18219</v>
      </c>
      <c r="B18219" s="2" t="str">
        <f>IFERROR(__xludf.DUMMYFUNCTION("GOOGLETRANSLATE(A18219, ""en"", ""mt"")"),"Liema importazzjonijiet ta 'pajjiż saru l-mexxejja tas-suq tal-massa de facto?")</f>
        <v>Liema importazzjonijiet ta 'pajjiż saru l-mexxejja tas-suq tal-massa de facto?</v>
      </c>
    </row>
    <row r="18220" ht="15.75" customHeight="1">
      <c r="A18220" s="2" t="s">
        <v>18220</v>
      </c>
      <c r="B18220" s="2" t="str">
        <f>IFERROR(__xludf.DUMMYFUNCTION("GOOGLETRANSLATE(A18220, ""en"", ""mt"")"),"X'kienet il-firxa tal-ispedizzjoni ta 'Celeron?")</f>
        <v>X'kienet il-firxa tal-ispedizzjoni ta 'Celeron?</v>
      </c>
    </row>
    <row r="18221" ht="15.75" customHeight="1">
      <c r="A18221" s="2" t="s">
        <v>18221</v>
      </c>
      <c r="B18221" s="2" t="str">
        <f>IFERROR(__xludf.DUMMYFUNCTION("GOOGLETRANSLATE(A18221, ""en"", ""mt"")"),"bla suċċess")</f>
        <v>bla suċċess</v>
      </c>
    </row>
    <row r="18222" ht="15.75" customHeight="1">
      <c r="A18222" s="2" t="s">
        <v>18222</v>
      </c>
      <c r="B18222" s="2" t="str">
        <f>IFERROR(__xludf.DUMMYFUNCTION("GOOGLETRANSLATE(A18222, ""en"", ""mt"")"),"Law tal-Liġi moħbija")</f>
        <v>Law tal-Liġi moħbija</v>
      </c>
    </row>
    <row r="18223" ht="15.75" customHeight="1">
      <c r="A18223" s="2" t="s">
        <v>18223</v>
      </c>
      <c r="B18223" s="2" t="str">
        <f>IFERROR(__xludf.DUMMYFUNCTION("GOOGLETRANSLATE(A18223, ""en"", ""mt"")"),"1.3 miljun")</f>
        <v>1.3 miljun</v>
      </c>
    </row>
    <row r="18224" ht="15.75" customHeight="1">
      <c r="A18224" s="2" t="s">
        <v>18224</v>
      </c>
      <c r="B18224" s="2" t="str">
        <f>IFERROR(__xludf.DUMMYFUNCTION("GOOGLETRANSLATE(A18224, ""en"", ""mt"")"),"X'kienet ir-rata tal-qgħad mill-2011?")</f>
        <v>X'kienet ir-rata tal-qgħad mill-2011?</v>
      </c>
    </row>
    <row r="18225" ht="15.75" customHeight="1">
      <c r="A18225" s="2" t="s">
        <v>18225</v>
      </c>
      <c r="B18225" s="2" t="str">
        <f>IFERROR(__xludf.DUMMYFUNCTION("GOOGLETRANSLATE(A18225, ""en"", ""mt"")"),"X'tip ta 'żona jgħixu l-ġeneru Beroe li jgħixu f'dak differenti mill-ġenituri tagħhom?")</f>
        <v>X'tip ta 'żona jgħixu l-ġeneru Beroe li jgħixu f'dak differenti mill-ġenituri tagħhom?</v>
      </c>
    </row>
    <row r="18226" ht="15.75" customHeight="1">
      <c r="A18226" s="2" t="s">
        <v>18226</v>
      </c>
      <c r="B18226" s="2" t="str">
        <f>IFERROR(__xludf.DUMMYFUNCTION("GOOGLETRANSLATE(A18226, ""en"", ""mt"")"),"B'liema mezzi jintbagħtu bl-ossiġnu bl-ingrossa?")</f>
        <v>B'liema mezzi jintbagħtu bl-ossiġnu bl-ingrossa?</v>
      </c>
    </row>
    <row r="18227" ht="15.75" customHeight="1">
      <c r="A18227" s="2" t="s">
        <v>18227</v>
      </c>
      <c r="B18227" s="2" t="str">
        <f>IFERROR(__xludf.DUMMYFUNCTION("GOOGLETRANSLATE(A18227, ""en"", ""mt"")"),"Fl-1066")</f>
        <v>Fl-1066</v>
      </c>
    </row>
    <row r="18228" ht="15.75" customHeight="1">
      <c r="A18228" s="2" t="s">
        <v>18228</v>
      </c>
      <c r="B18228" s="2" t="str">
        <f>IFERROR(__xludf.DUMMYFUNCTION("GOOGLETRANSLATE(A18228, ""en"", ""mt"")"),"X'kienet Warsz?")</f>
        <v>X'kienet Warsz?</v>
      </c>
    </row>
    <row r="18229" ht="15.75" customHeight="1">
      <c r="A18229" s="2" t="s">
        <v>18229</v>
      </c>
      <c r="B18229" s="2" t="str">
        <f>IFERROR(__xludf.DUMMYFUNCTION("GOOGLETRANSLATE(A18229, ""en"", ""mt"")"),"Gvern Skoċċiż.")</f>
        <v>Gvern Skoċċiż.</v>
      </c>
    </row>
    <row r="18230" ht="15.75" customHeight="1">
      <c r="A18230" s="2" t="s">
        <v>18230</v>
      </c>
      <c r="B18230" s="2" t="str">
        <f>IFERROR(__xludf.DUMMYFUNCTION("GOOGLETRANSLATE(A18230, ""en"", ""mt"")"),"Għal x'jista 'l-użu ta' nifs fit-tul ta 'ossiġnu f'ċomb ta '60 kPa?")</f>
        <v>Għal x'jista 'l-użu ta' nifs fit-tul ta 'ossiġnu f'ċomb ta '60 kPa?</v>
      </c>
    </row>
    <row r="18231" ht="15.75" customHeight="1">
      <c r="A18231" s="2" t="s">
        <v>18231</v>
      </c>
      <c r="B18231" s="2" t="str">
        <f>IFERROR(__xludf.DUMMYFUNCTION("GOOGLETRANSLATE(A18231, ""en"", ""mt"")"),"Minn fejn irrilokaw il-kwartieri ġenerali?")</f>
        <v>Minn fejn irrilokaw il-kwartieri ġenerali?</v>
      </c>
    </row>
    <row r="18232" ht="15.75" customHeight="1">
      <c r="A18232" s="2" t="s">
        <v>18232</v>
      </c>
      <c r="B18232" s="2" t="str">
        <f>IFERROR(__xludf.DUMMYFUNCTION("GOOGLETRANSLATE(A18232, ""en"", ""mt"")"),"Kemm xjenzati sejħu biex ibiddlu l-IPCC fi Frar 2010?")</f>
        <v>Kemm xjenzati sejħu biex ibiddlu l-IPCC fi Frar 2010?</v>
      </c>
    </row>
    <row r="18233" ht="15.75" customHeight="1">
      <c r="A18233" s="2" t="s">
        <v>18233</v>
      </c>
      <c r="B18233" s="2" t="str">
        <f>IFERROR(__xludf.DUMMYFUNCTION("GOOGLETRANSLATE(A18233, ""en"", ""mt"")"),"NSF installat wieħed mill-ewwel fi Frar 1999?")</f>
        <v>NSF installat wieħed mill-ewwel fi Frar 1999?</v>
      </c>
    </row>
    <row r="18234" ht="15.75" customHeight="1">
      <c r="A18234" s="2" t="s">
        <v>18234</v>
      </c>
      <c r="B18234" s="2" t="str">
        <f>IFERROR(__xludf.DUMMYFUNCTION("GOOGLETRANSLATE(A18234, ""en"", ""mt"")"),"Xi tbassar il-kurva ta 'Kuznets dwar l-inugwaljanza tad-dħul minħabba l-ħin?")</f>
        <v>Xi tbassar il-kurva ta 'Kuznets dwar l-inugwaljanza tad-dħul minħabba l-ħin?</v>
      </c>
    </row>
    <row r="18235" ht="15.75" customHeight="1">
      <c r="A18235" s="2" t="s">
        <v>18235</v>
      </c>
      <c r="B18235" s="2" t="str">
        <f>IFERROR(__xludf.DUMMYFUNCTION("GOOGLETRANSLATE(A18235, ""en"", ""mt"")"),"Minn liema oqsma rrifjutaw il-Franċiżi?")</f>
        <v>Minn liema oqsma rrifjutaw il-Franċiżi?</v>
      </c>
    </row>
    <row r="18236" ht="15.75" customHeight="1">
      <c r="A18236" s="2" t="s">
        <v>18236</v>
      </c>
      <c r="B18236" s="2" t="str">
        <f>IFERROR(__xludf.DUMMYFUNCTION("GOOGLETRANSLATE(A18236, ""en"", ""mt"")"),"Minbarra l-Afrika, fejn il-Ġermanja kellha interessi imperjali?")</f>
        <v>Minbarra l-Afrika, fejn il-Ġermanja kellha interessi imperjali?</v>
      </c>
    </row>
    <row r="18237" ht="15.75" customHeight="1">
      <c r="A18237" s="2" t="s">
        <v>18237</v>
      </c>
      <c r="B18237" s="2" t="str">
        <f>IFERROR(__xludf.DUMMYFUNCTION("GOOGLETRANSLATE(A18237, ""en"", ""mt"")"),"Flimkien ma 'ġeotermali u nukleari, x'inhu sors ta' sħana notevoli mhux kombustjoni?")</f>
        <v>Flimkien ma 'ġeotermali u nukleari, x'inhu sors ta' sħana notevoli mhux kombustjoni?</v>
      </c>
    </row>
    <row r="18238" ht="15.75" customHeight="1">
      <c r="A18238" s="2" t="s">
        <v>18238</v>
      </c>
      <c r="B18238" s="2" t="str">
        <f>IFERROR(__xludf.DUMMYFUNCTION("GOOGLETRANSLATE(A18238, ""en"", ""mt"")"),"Dizzjunarju storiku u kritiku")</f>
        <v>Dizzjunarju storiku u kritiku</v>
      </c>
    </row>
    <row r="18239" ht="15.75" customHeight="1">
      <c r="A18239" s="2" t="s">
        <v>18239</v>
      </c>
      <c r="B18239" s="2" t="str">
        <f>IFERROR(__xludf.DUMMYFUNCTION("GOOGLETRANSLATE(A18239, ""en"", ""mt"")"),"Minn fejn kien il-Kappillan Kattoliku Ruman Guyard de Moulin?")</f>
        <v>Minn fejn kien il-Kappillan Kattoliku Ruman Guyard de Moulin?</v>
      </c>
    </row>
    <row r="18240" ht="15.75" customHeight="1">
      <c r="A18240" s="2" t="s">
        <v>18240</v>
      </c>
      <c r="B18240" s="2" t="str">
        <f>IFERROR(__xludf.DUMMYFUNCTION("GOOGLETRANSLATE(A18240, ""en"", ""mt"")"),"Iċ-ċiklu ta 'Rankine xi kultant jissejjaħ ċiklu ta' Carnot prattiku għaliex, meta tintuża turbina effiċjenti, id-dijagramma TS tibda tixbah iċ-ċiklu Carnot. Id-differenza ewlenija hija li ż-żieda tas-sħana (fil-bojler) u ċ-ċaħda (fil-kondensatur) huma pro"&amp;"ċessi iżobariċi (pressjoni kostanti) fiċ-ċiklu ta 'rankine u proċessi iżotermiċi (temperatura kostanti) fiċ-ċiklu teoretiku tal-karnot. F’dan iċ-ċiklu tintuża pompa biex tippressa l-fluwidu tax-xogħol li jiġi rċevut mill-kondensatur bħala likwidu mhux bħa"&amp;"la gass. L-ippumpjar tal-fluwidu tax-xogħol f'forma likwida matul iċ-ċiklu jeħtieġ frazzjoni żgħira ta 'l-enerġija biex tittrasportaha meta mqabbel ma' l-enerġija meħtieġa biex tikkompressa l-fluwidu tax-xogħol f'forma gassuża f'kompressur (bħal fiċ-ċiklu"&amp;" ta 'Carnot). Iċ-ċiklu ta 'magna tal-fwar reċiprokanti huwa differenti minn dak tat-turbini minħabba l-kondensazzjoni u l-evaporazzjoni mill-ġdid li jseħħu fiċ-ċilindru jew fil-passaġġi tad-dħul tal-fwar.")</f>
        <v>Iċ-ċiklu ta 'Rankine xi kultant jissejjaħ ċiklu ta' Carnot prattiku għaliex, meta tintuża turbina effiċjenti, id-dijagramma TS tibda tixbah iċ-ċiklu Carnot. Id-differenza ewlenija hija li ż-żieda tas-sħana (fil-bojler) u ċ-ċaħda (fil-kondensatur) huma proċessi iżobariċi (pressjoni kostanti) fiċ-ċiklu ta 'rankine u proċessi iżotermiċi (temperatura kostanti) fiċ-ċiklu teoretiku tal-karnot. F’dan iċ-ċiklu tintuża pompa biex tippressa l-fluwidu tax-xogħol li jiġi rċevut mill-kondensatur bħala likwidu mhux bħala gass. L-ippumpjar tal-fluwidu tax-xogħol f'forma likwida matul iċ-ċiklu jeħtieġ frazzjoni żgħira ta 'l-enerġija biex tittrasportaha meta mqabbel ma' l-enerġija meħtieġa biex tikkompressa l-fluwidu tax-xogħol f'forma gassuża f'kompressur (bħal fiċ-ċiklu ta 'Carnot). Iċ-ċiklu ta 'magna tal-fwar reċiprokanti huwa differenti minn dak tat-turbini minħabba l-kondensazzjoni u l-evaporazzjoni mill-ġdid li jseħħu fiċ-ċilindru jew fil-passaġġi tad-dħul tal-fwar.</v>
      </c>
    </row>
    <row r="18241" ht="15.75" customHeight="1">
      <c r="A18241" s="2" t="s">
        <v>18241</v>
      </c>
      <c r="B18241" s="2" t="str">
        <f>IFERROR(__xludf.DUMMYFUNCTION("GOOGLETRANSLATE(A18241, ""en"", ""mt"")"),"X'inhi ħaġa waħda li jippubblikaw is-segmenti tas-suq?")</f>
        <v>X'inhi ħaġa waħda li jippubblikaw is-segmenti tas-suq?</v>
      </c>
    </row>
    <row r="18242" ht="15.75" customHeight="1">
      <c r="A18242" s="2" t="s">
        <v>18242</v>
      </c>
      <c r="B18242" s="2" t="str">
        <f>IFERROR(__xludf.DUMMYFUNCTION("GOOGLETRANSLATE(A18242, ""en"", ""mt"")"),"X'inhu l-ispiżerija konsulent prinċipalment konċernat?")</f>
        <v>X'inhu l-ispiżerija konsulent prinċipalment konċernat?</v>
      </c>
    </row>
    <row r="18243" ht="15.75" customHeight="1">
      <c r="A18243" s="2" t="s">
        <v>18243</v>
      </c>
      <c r="B18243" s="2" t="str">
        <f>IFERROR(__xludf.DUMMYFUNCTION("GOOGLETRANSLATE(A18243, ""en"", ""mt"")"),"Il-pjan li d-delegati qablu li qatt ma kien irratifikat")</f>
        <v>Il-pjan li d-delegati qablu li qatt ma kien irratifikat</v>
      </c>
    </row>
    <row r="18244" ht="15.75" customHeight="1">
      <c r="A18244" s="2" t="s">
        <v>18244</v>
      </c>
      <c r="B18244" s="2" t="str">
        <f>IFERROR(__xludf.DUMMYFUNCTION("GOOGLETRANSLATE(A18244, ""en"", ""mt"")"),"X'inhu l-iswiċċ tal-pakketti?")</f>
        <v>X'inhu l-iswiċċ tal-pakketti?</v>
      </c>
    </row>
    <row r="18245" ht="15.75" customHeight="1">
      <c r="A18245" s="2" t="s">
        <v>18245</v>
      </c>
      <c r="B18245" s="2" t="str">
        <f>IFERROR(__xludf.DUMMYFUNCTION("GOOGLETRANSLATE(A18245, ""en"", ""mt"")"),"Liema art ma ġietx ċeduta lil Spanja?")</f>
        <v>Liema art ma ġietx ċeduta lil Spanja?</v>
      </c>
    </row>
    <row r="18246" ht="15.75" customHeight="1">
      <c r="A18246" s="2" t="s">
        <v>18246</v>
      </c>
      <c r="B18246" s="2" t="str">
        <f>IFERROR(__xludf.DUMMYFUNCTION("GOOGLETRANSLATE(A18246, ""en"", ""mt"")"),"Inputs tax-xogħol (ħaddiema)")</f>
        <v>Inputs tax-xogħol (ħaddiema)</v>
      </c>
    </row>
    <row r="18247" ht="15.75" customHeight="1">
      <c r="A18247" s="2" t="s">
        <v>18247</v>
      </c>
      <c r="B18247" s="2" t="str">
        <f>IFERROR(__xludf.DUMMYFUNCTION("GOOGLETRANSLATE(A18247, ""en"", ""mt"")"),"X'tip ta 'kopertura għall-istampa hemm meta l-imputati jinvolvu li mhumiex ħatja?")</f>
        <v>X'tip ta 'kopertura għall-istampa hemm meta l-imputati jinvolvu li mhumiex ħatja?</v>
      </c>
    </row>
    <row r="18248" ht="15.75" customHeight="1">
      <c r="A18248" s="2" t="s">
        <v>18248</v>
      </c>
      <c r="B18248" s="2" t="str">
        <f>IFERROR(__xludf.DUMMYFUNCTION("GOOGLETRANSLATE(A18248, ""en"", ""mt"")"),"April sa Ottubru, 6am sal-10pm u minn Novembru sa Marzu, 6am sas-7pm")</f>
        <v>April sa Ottubru, 6am sal-10pm u minn Novembru sa Marzu, 6am sas-7pm</v>
      </c>
    </row>
    <row r="18249" ht="15.75" customHeight="1">
      <c r="A18249" s="2" t="s">
        <v>18249</v>
      </c>
      <c r="B18249" s="2" t="str">
        <f>IFERROR(__xludf.DUMMYFUNCTION("GOOGLETRANSLATE(A18249, ""en"", ""mt"")"),"Minn xiex tiddikjara l-ipoteżi ta 'Riemann is-sors ta' irregolarità fid-distribuzzjoni ta 'żero tal-matematika?")</f>
        <v>Minn xiex tiddikjara l-ipoteżi ta 'Riemann is-sors ta' irregolarità fid-distribuzzjoni ta 'żero tal-matematika?</v>
      </c>
    </row>
    <row r="18250" ht="15.75" customHeight="1">
      <c r="A18250" s="2" t="s">
        <v>18250</v>
      </c>
      <c r="B18250" s="2" t="str">
        <f>IFERROR(__xludf.DUMMYFUNCTION("GOOGLETRANSLATE(A18250, ""en"", ""mt"")"),"Kemm hi wiesgħa t-tieni rotta tat-tbaħħir tal-lvant-punent?")</f>
        <v>Kemm hi wiesgħa t-tieni rotta tat-tbaħħir tal-lvant-punent?</v>
      </c>
    </row>
    <row r="18251" ht="15.75" customHeight="1">
      <c r="A18251" s="2" t="s">
        <v>18251</v>
      </c>
      <c r="B18251" s="2" t="str">
        <f>IFERROR(__xludf.DUMMYFUNCTION("GOOGLETRANSLATE(A18251, ""en"", ""mt"")"),"AD 14")</f>
        <v>AD 14</v>
      </c>
    </row>
    <row r="18252" ht="15.75" customHeight="1">
      <c r="A18252" s="2" t="s">
        <v>18252</v>
      </c>
      <c r="B18252" s="2" t="str">
        <f>IFERROR(__xludf.DUMMYFUNCTION("GOOGLETRANSLATE(A18252, ""en"", ""mt"")"),"Dak li japplika għall-istess mozzjoni tal-veloċità kostanti kif jagħmel għall-mistrieħ.")</f>
        <v>Dak li japplika għall-istess mozzjoni tal-veloċità kostanti kif jagħmel għall-mistrieħ.</v>
      </c>
    </row>
    <row r="18253" ht="15.75" customHeight="1">
      <c r="A18253" s="2" t="s">
        <v>18253</v>
      </c>
      <c r="B18253" s="2" t="str">
        <f>IFERROR(__xludf.DUMMYFUNCTION("GOOGLETRANSLATE(A18253, ""en"", ""mt"")"),"X'kienet il-kapitali tad-dinastija tal-kanzunetta?")</f>
        <v>X'kienet il-kapitali tad-dinastija tal-kanzunetta?</v>
      </c>
    </row>
    <row r="18254" ht="15.75" customHeight="1">
      <c r="A18254" s="2" t="s">
        <v>18254</v>
      </c>
      <c r="B18254" s="2" t="str">
        <f>IFERROR(__xludf.DUMMYFUNCTION("GOOGLETRANSLATE(A18254, ""en"", ""mt"")"),"51.6%")</f>
        <v>51.6%</v>
      </c>
    </row>
    <row r="18255" ht="15.75" customHeight="1">
      <c r="A18255" s="2" t="s">
        <v>18255</v>
      </c>
      <c r="B18255" s="2" t="str">
        <f>IFERROR(__xludf.DUMMYFUNCTION("GOOGLETRANSLATE(A18255, ""en"", ""mt"")"),"tul kollu tal-lag")</f>
        <v>tul kollu tal-lag</v>
      </c>
    </row>
    <row r="18256" ht="15.75" customHeight="1">
      <c r="A18256" s="2" t="s">
        <v>18256</v>
      </c>
      <c r="B18256" s="2" t="str">
        <f>IFERROR(__xludf.DUMMYFUNCTION("GOOGLETRANSLATE(A18256, ""en"", ""mt"")"),"X'għandhom jagħmlu l-iskejjel tal-gvern biex ikunu jistgħu jgħallmu l-Ingliż?")</f>
        <v>X'għandhom jagħmlu l-iskejjel tal-gvern biex ikunu jistgħu jgħallmu l-Ingliż?</v>
      </c>
    </row>
    <row r="18257" ht="15.75" customHeight="1">
      <c r="A18257" s="2" t="s">
        <v>18257</v>
      </c>
      <c r="B18257" s="2" t="str">
        <f>IFERROR(__xludf.DUMMYFUNCTION("GOOGLETRANSLATE(A18257, ""en"", ""mt"")"),"Waqt li kien qed jinbena l-bini permanenti f'Holyrood, id-dar temporanja tal-Parlament kienet is-Sala tal-Assemblea Ġenerali tal-Knisja ta 'l-Iskozja fuq ir-Royal Mile f'Edinburgu. Ritratti uffiċjali u intervisti televiżivi saru fil-bitħa li tmiss mal-Ass"&amp;"emblea Hall, li hija parti mill-Iskola tad-Divinità tal-Università ta ’Edinburgu. Dan il-bini ġie tbattal darbtejn biex jippermetti l-laqgħa tal-Assemblea Ġenerali tal-Knisja. F'Mejju 2000, il-Parlament ġie rilokat temporanjament għall-Kamra tal-Kunsill R"&amp;"eġjonali ta 'Strathclyde li tiddibatti fi Glasgow, u fl-Università ta' Aberdeen f'Mejju 2002.")</f>
        <v>Waqt li kien qed jinbena l-bini permanenti f'Holyrood, id-dar temporanja tal-Parlament kienet is-Sala tal-Assemblea Ġenerali tal-Knisja ta 'l-Iskozja fuq ir-Royal Mile f'Edinburgu. Ritratti uffiċjali u intervisti televiżivi saru fil-bitħa li tmiss mal-Assemblea Hall, li hija parti mill-Iskola tad-Divinità tal-Università ta ’Edinburgu. Dan il-bini ġie tbattal darbtejn biex jippermetti l-laqgħa tal-Assemblea Ġenerali tal-Knisja. F'Mejju 2000, il-Parlament ġie rilokat temporanjament għall-Kamra tal-Kunsill Reġjonali ta 'Strathclyde li tiddibatti fi Glasgow, u fl-Università ta' Aberdeen f'Mejju 2002.</v>
      </c>
    </row>
    <row r="18258" ht="15.75" customHeight="1">
      <c r="A18258" s="2" t="s">
        <v>18258</v>
      </c>
      <c r="B18258" s="2" t="str">
        <f>IFERROR(__xludf.DUMMYFUNCTION("GOOGLETRANSLATE(A18258, ""en"", ""mt"")"),"Jannar 1979")</f>
        <v>Jannar 1979</v>
      </c>
    </row>
    <row r="18259" ht="15.75" customHeight="1">
      <c r="A18259" s="2" t="s">
        <v>18259</v>
      </c>
      <c r="B18259" s="2" t="str">
        <f>IFERROR(__xludf.DUMMYFUNCTION("GOOGLETRANSLATE(A18259, ""en"", ""mt"")"),"Minn min hija applikata l-liġi Ewropea?")</f>
        <v>Minn min hija applikata l-liġi Ewropea?</v>
      </c>
    </row>
    <row r="18260" ht="15.75" customHeight="1">
      <c r="A18260" s="2" t="s">
        <v>18260</v>
      </c>
      <c r="B18260" s="2" t="str">
        <f>IFERROR(__xludf.DUMMYFUNCTION("GOOGLETRANSLATE(A18260, ""en"", ""mt"")"),"F'liema ħin ir-rivalità ta 'Harvard-Yale titwarrab?")</f>
        <v>F'liema ħin ir-rivalità ta 'Harvard-Yale titwarrab?</v>
      </c>
    </row>
    <row r="18261" ht="15.75" customHeight="1">
      <c r="A18261" s="2" t="s">
        <v>18261</v>
      </c>
      <c r="B18261" s="2" t="str">
        <f>IFERROR(__xludf.DUMMYFUNCTION("GOOGLETRANSLATE(A18261, ""en"", ""mt"")"),"moxt ġelatina.")</f>
        <v>moxt ġelatina.</v>
      </c>
    </row>
    <row r="18262" ht="15.75" customHeight="1">
      <c r="A18262" s="2" t="s">
        <v>18262</v>
      </c>
      <c r="B18262" s="2" t="str">
        <f>IFERROR(__xludf.DUMMYFUNCTION("GOOGLETRANSLATE(A18262, ""en"", ""mt"")"),"X'għandu l-Integer M għandu jkun ikbar minn jew daqs meta jkun qed iwettaq diviżjoni ta 'prova?")</f>
        <v>X'għandu l-Integer M għandu jkun ikbar minn jew daqs meta jkun qed iwettaq diviżjoni ta 'prova?</v>
      </c>
    </row>
    <row r="18263" ht="15.75" customHeight="1">
      <c r="A18263" s="2" t="s">
        <v>18263</v>
      </c>
      <c r="B18263" s="2" t="str">
        <f>IFERROR(__xludf.DUMMYFUNCTION("GOOGLETRANSLATE(A18263, ""en"", ""mt"")"),"Liema tribujiet għaqdu Genghis Khan?")</f>
        <v>Liema tribujiet għaqdu Genghis Khan?</v>
      </c>
    </row>
    <row r="18264" ht="15.75" customHeight="1">
      <c r="A18264" s="2" t="s">
        <v>18264</v>
      </c>
      <c r="B18264" s="2" t="str">
        <f>IFERROR(__xludf.DUMMYFUNCTION("GOOGLETRANSLATE(A18264, ""en"", ""mt"")"),"Liema ormoni huma indipendenti mis-sistema immuni?")</f>
        <v>Liema ormoni huma indipendenti mis-sistema immuni?</v>
      </c>
    </row>
    <row r="18265" ht="15.75" customHeight="1">
      <c r="A18265" s="2" t="s">
        <v>18265</v>
      </c>
      <c r="B18265" s="2" t="str">
        <f>IFERROR(__xludf.DUMMYFUNCTION("GOOGLETRANSLATE(A18265, ""en"", ""mt"")"),"20")</f>
        <v>20</v>
      </c>
    </row>
    <row r="18266" ht="15.75" customHeight="1">
      <c r="A18266" s="2" t="s">
        <v>18266</v>
      </c>
      <c r="B18266" s="2" t="str">
        <f>IFERROR(__xludf.DUMMYFUNCTION("GOOGLETRANSLATE(A18266, ""en"", ""mt"")"),"Li bħalissa ma teżisti l-ebda problema ta 'fatturizzazzjoni sħiħa magħrufa fuq liema sistema użata b'mod komuni?")</f>
        <v>Li bħalissa ma teżisti l-ebda problema ta 'fatturizzazzjoni sħiħa magħrufa fuq liema sistema użata b'mod komuni?</v>
      </c>
    </row>
    <row r="18267" ht="15.75" customHeight="1">
      <c r="A18267" s="2" t="s">
        <v>18267</v>
      </c>
      <c r="B18267" s="2" t="str">
        <f>IFERROR(__xludf.DUMMYFUNCTION("GOOGLETRANSLATE(A18267, ""en"", ""mt"")"),"Normans daħal fl-Iskozja, jibni kastelli u waqqaf familji nobbli li jipprovdu xi rejiet futuri, bħal Robert the Bruce, kif ukoll waqqfu numru konsiderevoli tal-gruppi Skoċċiżi. Ir-Re David I tal-Iskozja, li ħuh il-kbir Alexander kelli miżżewweġ lil Sybill"&amp;"a tan-Normandija, kien strumentali fl-introduzzjoni ta ’Normans u l-kultura Norman lejn l-Iskozja, parti mill-proċess li xi studjużi jsejħu r-“ rivoluzzjoni Davidian ”. Wara li qatta 'ħin fil-qorti ta' Henry I ta 'l-Ingilterra (miżżewweġ ma' oħt David Mau"&amp;"d ta 'l-Iskozja), u kellu bżonnhom jissieltu r-renju mill-nofs ħuh Máel Coluim Mac Alaxandair, David kellu jippremja ħafna bl-artijiet. Il-proċess kompla taħt is-suċċessuri ta 'David, l-iktar intens ta' taħt William the Lion. Is-sistema feudali derivata m"&amp;"inn Norman ġiet applikata fi gradi differenti għal ħafna mill-Iskozja. Familji Skoċċiżi ta 'l-ismijiet Bruce, Gray, Ramsay, Fraser, Ogilvie, Montgomery, Sinclair, Pollock, Burnard, Douglas u Gordon biex insemmu ftit, u inklużi d-dar rjali aktar tard ta' S"&amp;"tewart, kollha jistgħu jiġu rintraċċati lura għall-antenati Norman.")</f>
        <v>Normans daħal fl-Iskozja, jibni kastelli u waqqaf familji nobbli li jipprovdu xi rejiet futuri, bħal Robert the Bruce, kif ukoll waqqfu numru konsiderevoli tal-gruppi Skoċċiżi. Ir-Re David I tal-Iskozja, li ħuh il-kbir Alexander kelli miżżewweġ lil Sybilla tan-Normandija, kien strumentali fl-introduzzjoni ta ’Normans u l-kultura Norman lejn l-Iskozja, parti mill-proċess li xi studjużi jsejħu r-“ rivoluzzjoni Davidian ”. Wara li qatta 'ħin fil-qorti ta' Henry I ta 'l-Ingilterra (miżżewweġ ma' oħt David Maud ta 'l-Iskozja), u kellu bżonnhom jissieltu r-renju mill-nofs ħuh Máel Coluim Mac Alaxandair, David kellu jippremja ħafna bl-artijiet. Il-proċess kompla taħt is-suċċessuri ta 'David, l-iktar intens ta' taħt William the Lion. Is-sistema feudali derivata minn Norman ġiet applikata fi gradi differenti għal ħafna mill-Iskozja. Familji Skoċċiżi ta 'l-ismijiet Bruce, Gray, Ramsay, Fraser, Ogilvie, Montgomery, Sinclair, Pollock, Burnard, Douglas u Gordon biex insemmu ftit, u inklużi d-dar rjali aktar tard ta' Stewart, kollha jistgħu jiġu rintraċċati lura għall-antenati Norman.</v>
      </c>
    </row>
    <row r="18268" ht="15.75" customHeight="1">
      <c r="A18268" s="2" t="s">
        <v>18268</v>
      </c>
      <c r="B18268" s="2" t="str">
        <f>IFERROR(__xludf.DUMMYFUNCTION("GOOGLETRANSLATE(A18268, ""en"", ""mt"")"),"patoġen")</f>
        <v>patoġen</v>
      </c>
    </row>
    <row r="18269" ht="15.75" customHeight="1">
      <c r="A18269" s="2" t="s">
        <v>18269</v>
      </c>
      <c r="B18269" s="2" t="str">
        <f>IFERROR(__xludf.DUMMYFUNCTION("GOOGLETRANSLATE(A18269, ""en"", ""mt"")"),"Problemi kompluti tal-NP fihom l-inqas probabbiltà li tkun tinsab f'liema klassi tal-klassi?")</f>
        <v>Problemi kompluti tal-NP fihom l-inqas probabbiltà li tkun tinsab f'liema klassi tal-klassi?</v>
      </c>
    </row>
    <row r="18270" ht="15.75" customHeight="1">
      <c r="A18270" s="2" t="s">
        <v>18270</v>
      </c>
      <c r="B18270" s="2" t="str">
        <f>IFERROR(__xludf.DUMMYFUNCTION("GOOGLETRANSLATE(A18270, ""en"", ""mt"")"),"Speċifiċità naturali")</f>
        <v>Speċifiċità naturali</v>
      </c>
    </row>
    <row r="18271" ht="15.75" customHeight="1">
      <c r="A18271" s="2" t="s">
        <v>18271</v>
      </c>
      <c r="B18271" s="2" t="str">
        <f>IFERROR(__xludf.DUMMYFUNCTION("GOOGLETRANSLATE(A18271, ""en"", ""mt"")"),"""ċellulari"" u ""umoriżmu""")</f>
        <v>"ċellulari" u "umoriżmu"</v>
      </c>
    </row>
    <row r="18272" ht="15.75" customHeight="1">
      <c r="A18272" s="2" t="s">
        <v>18272</v>
      </c>
      <c r="B18272" s="2" t="str">
        <f>IFERROR(__xludf.DUMMYFUNCTION("GOOGLETRANSLATE(A18272, ""en"", ""mt"")"),"Tipprevjeni l-kompetizzjoni tal-griżmejn maqtugħin")</f>
        <v>Tipprevjeni l-kompetizzjoni tal-griżmejn maqtugħin</v>
      </c>
    </row>
    <row r="18273" ht="15.75" customHeight="1">
      <c r="A18273" s="2" t="s">
        <v>18273</v>
      </c>
      <c r="B18273" s="2" t="str">
        <f>IFERROR(__xludf.DUMMYFUNCTION("GOOGLETRANSLATE(A18273, ""en"", ""mt"")"),"X'ġibu wara din il-kriżi taż-żejt?")</f>
        <v>X'ġibu wara din il-kriżi taż-żejt?</v>
      </c>
    </row>
    <row r="18274" ht="15.75" customHeight="1">
      <c r="A18274" s="2" t="s">
        <v>18274</v>
      </c>
      <c r="B18274" s="2" t="str">
        <f>IFERROR(__xludf.DUMMYFUNCTION("GOOGLETRANSLATE(A18274, ""en"", ""mt"")"),"Is-sistema immuni adatta għandha tiddistingwi bejn liema tipi ta 'molekuli?")</f>
        <v>Is-sistema immuni adatta għandha tiddistingwi bejn liema tipi ta 'molekuli?</v>
      </c>
    </row>
    <row r="18275" ht="15.75" customHeight="1">
      <c r="A18275" s="2" t="s">
        <v>18275</v>
      </c>
      <c r="B18275" s="2" t="str">
        <f>IFERROR(__xludf.DUMMYFUNCTION("GOOGLETRANSLATE(A18275, ""en"", ""mt"")"),"Il-ksenoliti jinġabru minn liema u jiġu depożitati fil-matriċi ta 'blat igneous?")</f>
        <v>Il-ksenoliti jinġabru minn liema u jiġu depożitati fil-matriċi ta 'blat igneous?</v>
      </c>
    </row>
    <row r="18276" ht="15.75" customHeight="1">
      <c r="A18276" s="2" t="s">
        <v>18276</v>
      </c>
      <c r="B18276" s="2" t="str">
        <f>IFERROR(__xludf.DUMMYFUNCTION("GOOGLETRANSLATE(A18276, ""en"", ""mt"")"),"X'kien it-titlu Taljan tal-ktieb ta 'Polo?")</f>
        <v>X'kien it-titlu Taljan tal-ktieb ta 'Polo?</v>
      </c>
    </row>
    <row r="18277" ht="15.75" customHeight="1">
      <c r="A18277" s="2" t="s">
        <v>18277</v>
      </c>
      <c r="B18277" s="2" t="str">
        <f>IFERROR(__xludf.DUMMYFUNCTION("GOOGLETRANSLATE(A18277, ""en"", ""mt"")"),"kien wiegħed")</f>
        <v>kien wiegħed</v>
      </c>
    </row>
    <row r="18278" ht="15.75" customHeight="1">
      <c r="A18278" s="2" t="s">
        <v>18278</v>
      </c>
      <c r="B18278" s="2" t="str">
        <f>IFERROR(__xludf.DUMMYFUNCTION("GOOGLETRANSLATE(A18278, ""en"", ""mt"")"),"tagħmel iktar ħsara milli ġid")</f>
        <v>tagħmel iktar ħsara milli ġid</v>
      </c>
    </row>
    <row r="18279" ht="15.75" customHeight="1">
      <c r="A18279" s="2" t="s">
        <v>18279</v>
      </c>
      <c r="B18279" s="2" t="str">
        <f>IFERROR(__xludf.DUMMYFUNCTION("GOOGLETRANSLATE(A18279, ""en"", ""mt"")"),"Fil-Kap tat-Tama t-Tajba")</f>
        <v>Fil-Kap tat-Tama t-Tajba</v>
      </c>
    </row>
    <row r="18280" ht="15.75" customHeight="1">
      <c r="A18280" s="2" t="s">
        <v>18280</v>
      </c>
      <c r="B18280" s="2" t="str">
        <f>IFERROR(__xludf.DUMMYFUNCTION("GOOGLETRANSLATE(A18280, ""en"", ""mt"")"),"Ir-Rabat għandha kostituzzjoni bil-miktub promulgata fl-1975, iżda bbażata fuq il-Kostituzzjoni Kolonjali tal-1855, mgħoddija mill-Parlament tar-Renju Unit bħala l-Att dwar il-Kostituzzjoni tar-Rabat 1855, li jistabbilixxi l-Parlament bħala l-korp li jagħ"&amp;"mel il-liġi tal-istat għal kwistjonijiet li jaqgħu taħt ir-responsabbiltà tal-istat. Il-Kostituzzjoni Vittorjana tista 'tiġi emendata mill-Parlament ta' Victoria, ħlief għal ċerti dispożizzjonijiet ""għeruq"" li jeħtieġu jew maġġoranza assoluta fiż-żewġ d"&amp;"jar, maġġoranza ta 'tliet ħamsa fiż-żewġ djar, jew l-approvazzjoni tal-poplu Vittorjan f'referendum, jiddependi dwar id-dispożizzjoni.")</f>
        <v>Ir-Rabat għandha kostituzzjoni bil-miktub promulgata fl-1975, iżda bbażata fuq il-Kostituzzjoni Kolonjali tal-1855, mgħoddija mill-Parlament tar-Renju Unit bħala l-Att dwar il-Kostituzzjoni tar-Rabat 1855, li jistabbilixxi l-Parlament bħala l-korp li jagħmel il-liġi tal-istat għal kwistjonijiet li jaqgħu taħt ir-responsabbiltà tal-istat. Il-Kostituzzjoni Vittorjana tista 'tiġi emendata mill-Parlament ta' Victoria, ħlief għal ċerti dispożizzjonijiet "għeruq" li jeħtieġu jew maġġoranza assoluta fiż-żewġ djar, maġġoranza ta 'tliet ħamsa fiż-żewġ djar, jew l-approvazzjoni tal-poplu Vittorjan f'referendum, jiddependi dwar id-dispożizzjoni.</v>
      </c>
    </row>
    <row r="18281" ht="15.75" customHeight="1">
      <c r="A18281" s="2" t="s">
        <v>18281</v>
      </c>
      <c r="B18281" s="2" t="str">
        <f>IFERROR(__xludf.DUMMYFUNCTION("GOOGLETRANSLATE(A18281, ""en"", ""mt"")"),"Liema xmara hija meqjusa li mhix daqshekk nadifa llum?")</f>
        <v>Liema xmara hija meqjusa li mhix daqshekk nadifa llum?</v>
      </c>
    </row>
    <row r="18282" ht="15.75" customHeight="1">
      <c r="A18282" s="2" t="s">
        <v>18282</v>
      </c>
      <c r="B18282" s="2" t="str">
        <f>IFERROR(__xludf.DUMMYFUNCTION("GOOGLETRANSLATE(A18282, ""en"", ""mt"")"),"Ofcom")</f>
        <v>Ofcom</v>
      </c>
    </row>
    <row r="18283" ht="15.75" customHeight="1">
      <c r="A18283" s="2" t="s">
        <v>18283</v>
      </c>
      <c r="B18283" s="2" t="str">
        <f>IFERROR(__xludf.DUMMYFUNCTION("GOOGLETRANSLATE(A18283, ""en"", ""mt"")"),"X'inhi d-distanza massima bejn id-dar tal-pazjent u l-eqreb spiżerija li tippermetti lit-tabib jagħti medikazzjoni?")</f>
        <v>X'inhi d-distanza massima bejn id-dar tal-pazjent u l-eqreb spiżerija li tippermetti lit-tabib jagħti medikazzjoni?</v>
      </c>
    </row>
    <row r="18284" ht="15.75" customHeight="1">
      <c r="A18284" s="2" t="s">
        <v>18284</v>
      </c>
      <c r="B18284" s="2" t="str">
        <f>IFERROR(__xludf.DUMMYFUNCTION("GOOGLETRANSLATE(A18284, ""en"", ""mt"")"),"Meta ġew imħabbra l-pjanijiet għall-Istitut Harris Friedman?")</f>
        <v>Meta ġew imħabbra l-pjanijiet għall-Istitut Harris Friedman?</v>
      </c>
    </row>
    <row r="18285" ht="15.75" customHeight="1">
      <c r="A18285" s="2" t="s">
        <v>18285</v>
      </c>
      <c r="B18285" s="2" t="str">
        <f>IFERROR(__xludf.DUMMYFUNCTION("GOOGLETRANSLATE(A18285, ""en"", ""mt"")"),"Kemm kienet tgħix Julia Butterfly Hill f'siġra?")</f>
        <v>Kemm kienet tgħix Julia Butterfly Hill f'siġra?</v>
      </c>
    </row>
    <row r="18286" ht="15.75" customHeight="1">
      <c r="A18286" s="2" t="s">
        <v>18286</v>
      </c>
      <c r="B18286" s="2" t="str">
        <f>IFERROR(__xludf.DUMMYFUNCTION("GOOGLETRANSLATE(A18286, ""en"", ""mt"")")," Meta l-Ħamas żamm il-PLO f'Gaża?")</f>
        <v> Meta l-Ħamas żamm il-PLO f'Gaża?</v>
      </c>
    </row>
    <row r="18287" ht="15.75" customHeight="1">
      <c r="A18287" s="2" t="s">
        <v>18287</v>
      </c>
      <c r="B18287" s="2" t="str">
        <f>IFERROR(__xludf.DUMMYFUNCTION("GOOGLETRANSLATE(A18287, ""en"", ""mt"")"),"Charles Richard")</f>
        <v>Charles Richard</v>
      </c>
    </row>
    <row r="18288" ht="15.75" customHeight="1">
      <c r="A18288" s="2" t="s">
        <v>18288</v>
      </c>
      <c r="B18288" s="2" t="str">
        <f>IFERROR(__xludf.DUMMYFUNCTION("GOOGLETRANSLATE(A18288, ""en"", ""mt"")"),"X'kont ikkunsidrat is-salamun bħala fil-ktajjen tal-ikel tal-baħar?")</f>
        <v>X'kont ikkunsidrat is-salamun bħala fil-ktajjen tal-ikel tal-baħar?</v>
      </c>
    </row>
    <row r="18289" ht="15.75" customHeight="1">
      <c r="A18289" s="2" t="s">
        <v>18289</v>
      </c>
      <c r="B18289" s="2" t="str">
        <f>IFERROR(__xludf.DUMMYFUNCTION("GOOGLETRANSLATE(A18289, ""en"", ""mt"")"),"Fil-kwart tal-ħarifa tal-2014, l-Università ta ’Chicago rreġistrat 5,792 student fil-kulleġġ, 3,468 student fl-erba’ diviżjonijiet gradwati tagħha, 5,984 student fl-iskejjel professjonali tagħha, u 15,244 student ġenerali. Fit-tliet xhur tar-rebbiegħa tal"&amp;"-2012, studenti internazzjonali kienu jinkludu kważi 19% tal-korp ta 'studju ġenerali, aktar minn 26% tal-istudenti kienu minoranzi etniċi domestiċi, u madwar 44% tal-istudenti rreġistrati kienu nisa. L-ammissjonijiet fl-Università ta 'Chicago huma selett"&amp;"ivi ħafna. Il-faxxa tan-nofs ta '50% tal-punteġġi SAT għall-klassi undergraduate tal-2015, eskluża t-taqsima tal-kitba, kienet 1420-1530, il-punteġġ medju tal-MCAT għad-dħul tal-istudenti fl-Iskola tal-Mediċina Pritzker fl-2011 kien ta '36, u l-punteġġ me"&amp;"djan tal-LSAT għad-dħul Studenti fl-iskola tal-liġi fl-2011 kienu 171. Fl-2015, il-Kulleġġ tal-Università ta ’Chicago kellu rata ta’ aċċettazzjoni ta ’7.8% għall-Klassi tal-2019, l-inqas fl-istorja tal-kulleġġ.")</f>
        <v>Fil-kwart tal-ħarifa tal-2014, l-Università ta ’Chicago rreġistrat 5,792 student fil-kulleġġ, 3,468 student fl-erba’ diviżjonijiet gradwati tagħha, 5,984 student fl-iskejjel professjonali tagħha, u 15,244 student ġenerali. Fit-tliet xhur tar-rebbiegħa tal-2012, studenti internazzjonali kienu jinkludu kważi 19% tal-korp ta 'studju ġenerali, aktar minn 26% tal-istudenti kienu minoranzi etniċi domestiċi, u madwar 44% tal-istudenti rreġistrati kienu nisa. L-ammissjonijiet fl-Università ta 'Chicago huma selettivi ħafna. Il-faxxa tan-nofs ta '50% tal-punteġġi SAT għall-klassi undergraduate tal-2015, eskluża t-taqsima tal-kitba, kienet 1420-1530, il-punteġġ medju tal-MCAT għad-dħul tal-istudenti fl-Iskola tal-Mediċina Pritzker fl-2011 kien ta '36, u l-punteġġ medjan tal-LSAT għad-dħul Studenti fl-iskola tal-liġi fl-2011 kienu 171. Fl-2015, il-Kulleġġ tal-Università ta ’Chicago kellu rata ta’ aċċettazzjoni ta ’7.8% għall-Klassi tal-2019, l-inqas fl-istorja tal-kulleġġ.</v>
      </c>
    </row>
    <row r="18290" ht="15.75" customHeight="1">
      <c r="A18290" s="2" t="s">
        <v>18290</v>
      </c>
      <c r="B18290" s="2" t="str">
        <f>IFERROR(__xludf.DUMMYFUNCTION("GOOGLETRANSLATE(A18290, ""en"", ""mt"")"),"ħasbu lilhom infushom bħala aħjar")</f>
        <v>ħasbu lilhom infushom bħala aħjar</v>
      </c>
    </row>
    <row r="18291" ht="15.75" customHeight="1">
      <c r="A18291" s="2" t="s">
        <v>18291</v>
      </c>
      <c r="B18291" s="2" t="str">
        <f>IFERROR(__xludf.DUMMYFUNCTION("GOOGLETRANSLATE(A18291, ""en"", ""mt"")"),"Artifact")</f>
        <v>Artifact</v>
      </c>
    </row>
    <row r="18292" ht="15.75" customHeight="1">
      <c r="A18292" s="2" t="s">
        <v>18292</v>
      </c>
      <c r="B18292" s="2" t="str">
        <f>IFERROR(__xludf.DUMMYFUNCTION("GOOGLETRANSLATE(A18292, ""en"", ""mt"")"),"X'inhuma l-vittmi tal-battalja?")</f>
        <v>X'inhuma l-vittmi tal-battalja?</v>
      </c>
    </row>
    <row r="18293" ht="15.75" customHeight="1">
      <c r="A18293" s="2" t="s">
        <v>18293</v>
      </c>
      <c r="B18293" s="2" t="str">
        <f>IFERROR(__xludf.DUMMYFUNCTION("GOOGLETRANSLATE(A18293, ""en"", ""mt"")"),"Min kien l-ewwel Amerikan li jivvjaġġa lejn ix-Xmara Amazon")</f>
        <v>Min kien l-ewwel Amerikan li jivvjaġġa lejn ix-Xmara Amazon</v>
      </c>
    </row>
    <row r="18294" ht="15.75" customHeight="1">
      <c r="A18294" s="2" t="s">
        <v>18294</v>
      </c>
      <c r="B18294" s="2" t="str">
        <f>IFERROR(__xludf.DUMMYFUNCTION("GOOGLETRANSLATE(A18294, ""en"", ""mt"")"),"Wara l-1940s, l-istil Gotiku fil-kampus beda jċedi għal stili moderni. Fl-1955, Eero Saarinen ġie kkuntrattat biex jiżviluppa t-tieni pjan ewlieni, li wassal għall-kostruzzjoni ta 'bini kemm fit-tramuntana kif ukoll fin-nofsinhar tan-nofs, inkluż il-kwadr"&amp;"angle Laird Bell Law (kumpless iddisinjat minn Saarinen); serje ta 'bini tal-arti; bini ddisinjat minn Ludwig Mies van der Rohe għall-Iskola tas-Servizz Soċjali tal-Università;, bini li għandu jsir id-dar tal-Iskola Harris tal-Politika Pubblika Studji min"&amp;"n Edward Durrell Stone, u l-Librerija Regenstein, l-akbar bini fuq il-kampus , Struttura Brutalista ddisinjata minn Walter Netsch tad-ditta ta 'Chicago Skidmore, Owings &amp; Merrill. Pjan ewlieni ieħor, iddisinjat fl-1999 u aġġornat fl-2004, ipproduċa l-Gera"&amp;"ld Ratner Athletics Centre (2003), il-Max Palevsky Residential Commons (2001), ir-Residenza tal-Kampus tan-Nofsinhar u Dining Commons (2009), sptar tat-tfal ġdid, u kostruzzjoni oħra , espansjonijiet, u restawr. Fl-2011, l-Università temmet il-Librerija J"&amp;"oe u Rika Mansueto tal-Koppla tal-Ħġieġ, li tipprovdi kamra tal-qari grandjuża għal-librerija tal-università u tipprevjeni l-ħtieġa għal depożitarju tal-ktieb barra mill-kampus.")</f>
        <v>Wara l-1940s, l-istil Gotiku fil-kampus beda jċedi għal stili moderni. Fl-1955, Eero Saarinen ġie kkuntrattat biex jiżviluppa t-tieni pjan ewlieni, li wassal għall-kostruzzjoni ta 'bini kemm fit-tramuntana kif ukoll fin-nofsinhar tan-nofs, inkluż il-kwadrangle Laird Bell Law (kumpless iddisinjat minn Saarinen); serje ta 'bini tal-arti; bini ddisinjat minn Ludwig Mies van der Rohe għall-Iskola tas-Servizz Soċjali tal-Università;, bini li għandu jsir id-dar tal-Iskola Harris tal-Politika Pubblika Studji minn Edward Durrell Stone, u l-Librerija Regenstein, l-akbar bini fuq il-kampus , Struttura Brutalista ddisinjata minn Walter Netsch tad-ditta ta 'Chicago Skidmore, Owings &amp; Merrill. Pjan ewlieni ieħor, iddisinjat fl-1999 u aġġornat fl-2004, ipproduċa l-Gerald Ratner Athletics Centre (2003), il-Max Palevsky Residential Commons (2001), ir-Residenza tal-Kampus tan-Nofsinhar u Dining Commons (2009), sptar tat-tfal ġdid, u kostruzzjoni oħra , espansjonijiet, u restawr. Fl-2011, l-Università temmet il-Librerija Joe u Rika Mansueto tal-Koppla tal-Ħġieġ, li tipprovdi kamra tal-qari grandjuża għal-librerija tal-università u tipprevjeni l-ħtieġa għal depożitarju tal-ktieb barra mill-kampus.</v>
      </c>
    </row>
    <row r="18295" ht="15.75" customHeight="1">
      <c r="A18295" s="2" t="s">
        <v>18295</v>
      </c>
      <c r="B18295" s="2" t="str">
        <f>IFERROR(__xludf.DUMMYFUNCTION("GOOGLETRANSLATE(A18295, ""en"", ""mt"")"),"Semmi l-ekonomista, teoriku u filosofu Brittaniku li huwa wkoll awtur u alumni?")</f>
        <v>Semmi l-ekonomista, teoriku u filosofu Brittaniku li huwa wkoll awtur u alumni?</v>
      </c>
    </row>
    <row r="18296" ht="15.75" customHeight="1">
      <c r="A18296" s="2" t="s">
        <v>18296</v>
      </c>
      <c r="B18296" s="2" t="str">
        <f>IFERROR(__xludf.DUMMYFUNCTION("GOOGLETRANSLATE(A18296, ""en"", ""mt"")"),"Liema idea minn Charles Lyell ġiet aċċettata b'mod wiesa 'fil-ħin tal-pubblikazzjoni?")</f>
        <v>Liema idea minn Charles Lyell ġiet aċċettata b'mod wiesa 'fil-ħin tal-pubblikazzjoni?</v>
      </c>
    </row>
    <row r="18297" ht="15.75" customHeight="1">
      <c r="A18297" s="2" t="s">
        <v>18297</v>
      </c>
      <c r="B18297" s="2" t="str">
        <f>IFERROR(__xludf.DUMMYFUNCTION("GOOGLETRANSLATE(A18297, ""en"", ""mt"")"),"Meta twaqqfet il-fabbrika tal-karozzi FSO?")</f>
        <v>Meta twaqqfet il-fabbrika tal-karozzi FSO?</v>
      </c>
    </row>
    <row r="18298" ht="15.75" customHeight="1">
      <c r="A18298" s="2" t="s">
        <v>18298</v>
      </c>
      <c r="B18298" s="2" t="str">
        <f>IFERROR(__xludf.DUMMYFUNCTION("GOOGLETRANSLATE(A18298, ""en"", ""mt"")"),"X'inhu l-isem tal-moviment li jfittex l-użu mġedded tal-poter tal-kombustjoni fl-era moderna?")</f>
        <v>X'inhu l-isem tal-moviment li jfittex l-użu mġedded tal-poter tal-kombustjoni fl-era moderna?</v>
      </c>
    </row>
    <row r="18299" ht="15.75" customHeight="1">
      <c r="A18299" s="2" t="s">
        <v>18299</v>
      </c>
      <c r="B18299" s="2" t="str">
        <f>IFERROR(__xludf.DUMMYFUNCTION("GOOGLETRANSLATE(A18299, ""en"", ""mt"")"),"Kemm hi wiesgħa l-Moselle?")</f>
        <v>Kemm hi wiesgħa l-Moselle?</v>
      </c>
    </row>
    <row r="18300" ht="15.75" customHeight="1">
      <c r="A18300" s="2" t="s">
        <v>18300</v>
      </c>
      <c r="B18300" s="2" t="str">
        <f>IFERROR(__xludf.DUMMYFUNCTION("GOOGLETRANSLATE(A18300, ""en"", ""mt"")"),"Prim")</f>
        <v>Prim</v>
      </c>
    </row>
    <row r="18301" ht="15.75" customHeight="1">
      <c r="A18301" s="2" t="s">
        <v>18301</v>
      </c>
      <c r="B18301" s="2" t="str">
        <f>IFERROR(__xludf.DUMMYFUNCTION("GOOGLETRANSLATE(A18301, ""en"", ""mt"")"),"Tama għall-kampanji fuq il-Lag Ontario, u pperikolat il-garnizon ta 'Oswego")</f>
        <v>Tama għall-kampanji fuq il-Lag Ontario, u pperikolat il-garnizon ta 'Oswego</v>
      </c>
    </row>
    <row r="18302" ht="15.75" customHeight="1">
      <c r="A18302" s="2" t="s">
        <v>18302</v>
      </c>
      <c r="B18302" s="2" t="str">
        <f>IFERROR(__xludf.DUMMYFUNCTION("GOOGLETRANSLATE(A18302, ""en"", ""mt"")"),"mitluba mill-gvernijiet")</f>
        <v>mitluba mill-gvernijiet</v>
      </c>
    </row>
    <row r="18303" ht="15.75" customHeight="1">
      <c r="A18303" s="2" t="s">
        <v>18303</v>
      </c>
      <c r="B18303" s="2" t="str">
        <f>IFERROR(__xludf.DUMMYFUNCTION("GOOGLETRANSLATE(A18303, ""en"", ""mt"")"),"L-Ewropa tat-Tramuntana u n-Nofs l-Atlantiku")</f>
        <v>L-Ewropa tat-Tramuntana u n-Nofs l-Atlantiku</v>
      </c>
    </row>
    <row r="18304" ht="15.75" customHeight="1">
      <c r="A18304" s="2" t="s">
        <v>18304</v>
      </c>
      <c r="B18304" s="2" t="str">
        <f>IFERROR(__xludf.DUMMYFUNCTION("GOOGLETRANSLATE(A18304, ""en"", ""mt"")"),"Min hi l-iżgħar kumpanija tat-televiżjoni diġitali tar-Renju Unit?")</f>
        <v>Min hi l-iżgħar kumpanija tat-televiżjoni diġitali tar-Renju Unit?</v>
      </c>
    </row>
    <row r="18305" ht="15.75" customHeight="1">
      <c r="A18305" s="2" t="s">
        <v>18305</v>
      </c>
      <c r="B18305" s="2" t="str">
        <f>IFERROR(__xludf.DUMMYFUNCTION("GOOGLETRANSLATE(A18305, ""en"", ""mt"")"),"X'tip ta 'ġnien għandu Roeding Park?")</f>
        <v>X'tip ta 'ġnien għandu Roeding Park?</v>
      </c>
    </row>
    <row r="18306" ht="15.75" customHeight="1">
      <c r="A18306" s="2" t="s">
        <v>18306</v>
      </c>
      <c r="B18306" s="2" t="str">
        <f>IFERROR(__xludf.DUMMYFUNCTION("GOOGLETRANSLATE(A18306, ""en"", ""mt"")"),"X'inhi l-marka tal-isem tar-reġistratur tal-vidjow personali li toffri BSKYB?")</f>
        <v>X'inhi l-marka tal-isem tar-reġistratur tal-vidjow personali li toffri BSKYB?</v>
      </c>
    </row>
    <row r="18307" ht="15.75" customHeight="1">
      <c r="A18307" s="2" t="s">
        <v>18307</v>
      </c>
      <c r="B18307" s="2" t="str">
        <f>IFERROR(__xludf.DUMMYFUNCTION("GOOGLETRANSLATE(A18307, ""en"", ""mt"")"),"Fejn stabbilixxew l-ewwel kolonisti Huguenot?")</f>
        <v>Fejn stabbilixxew l-ewwel kolonisti Huguenot?</v>
      </c>
    </row>
    <row r="18308" ht="15.75" customHeight="1">
      <c r="A18308" s="2" t="s">
        <v>18308</v>
      </c>
      <c r="B18308" s="2" t="str">
        <f>IFERROR(__xludf.DUMMYFUNCTION("GOOGLETRANSLATE(A18308, ""en"", ""mt"")"),"bejn AD 0–1250")</f>
        <v>bejn AD 0–1250</v>
      </c>
    </row>
    <row r="18309" ht="15.75" customHeight="1">
      <c r="A18309" s="2" t="s">
        <v>18309</v>
      </c>
      <c r="B18309" s="2" t="str">
        <f>IFERROR(__xludf.DUMMYFUNCTION("GOOGLETRANSLATE(A18309, ""en"", ""mt"")"),"Astratt")</f>
        <v>Astratt</v>
      </c>
    </row>
    <row r="18310" ht="15.75" customHeight="1">
      <c r="A18310" s="2" t="s">
        <v>18310</v>
      </c>
      <c r="B18310" s="2" t="str">
        <f>IFERROR(__xludf.DUMMYFUNCTION("GOOGLETRANSLATE(A18310, ""en"", ""mt"")"),"Kemm ir-riċerkaturi aktar baxxi jissuġġerixxu li l-livelli tal-baħar se jkunu fl-2100 meta mqabbla mal-1990?")</f>
        <v>Kemm ir-riċerkaturi aktar baxxi jissuġġerixxu li l-livelli tal-baħar se jkunu fl-2100 meta mqabbla mal-1990?</v>
      </c>
    </row>
    <row r="18311" ht="15.75" customHeight="1">
      <c r="A18311" s="2" t="s">
        <v>18311</v>
      </c>
      <c r="B18311" s="2" t="str">
        <f>IFERROR(__xludf.DUMMYFUNCTION("GOOGLETRANSLATE(A18311, ""en"", ""mt"")"),"X'inhuma s-saffi sedimentarji użati biex jiġu investigati?")</f>
        <v>X'inhuma s-saffi sedimentarji użati biex jiġu investigati?</v>
      </c>
    </row>
    <row r="18312" ht="15.75" customHeight="1">
      <c r="A18312" s="2" t="s">
        <v>18312</v>
      </c>
      <c r="B18312" s="2" t="str">
        <f>IFERROR(__xludf.DUMMYFUNCTION("GOOGLETRANSLATE(A18312, ""en"", ""mt"")"),"Gasquet")</f>
        <v>Gasquet</v>
      </c>
    </row>
    <row r="18313" ht="15.75" customHeight="1">
      <c r="A18313" s="2" t="s">
        <v>18313</v>
      </c>
      <c r="B18313" s="2" t="str">
        <f>IFERROR(__xludf.DUMMYFUNCTION("GOOGLETRANSLATE(A18313, ""en"", ""mt"")"),"F'liema sena għaqdu l-ammissjonijiet ta 'Harvard u Radcliffe?")</f>
        <v>F'liema sena għaqdu l-ammissjonijiet ta 'Harvard u Radcliffe?</v>
      </c>
    </row>
    <row r="18314" ht="15.75" customHeight="1">
      <c r="A18314" s="2" t="s">
        <v>18314</v>
      </c>
      <c r="B18314" s="2" t="str">
        <f>IFERROR(__xludf.DUMMYFUNCTION("GOOGLETRANSLATE(A18314, ""en"", ""mt"")"),"Numru Prim")</f>
        <v>Numru Prim</v>
      </c>
    </row>
    <row r="18315" ht="15.75" customHeight="1">
      <c r="A18315" s="2" t="s">
        <v>18315</v>
      </c>
      <c r="B18315" s="2" t="str">
        <f>IFERROR(__xludf.DUMMYFUNCTION("GOOGLETRANSLATE(A18315, ""en"", ""mt"")"),"Liema nazzjonalità kienet oriġinarjament Louis XIII?")</f>
        <v>Liema nazzjonalità kienet oriġinarjament Louis XIII?</v>
      </c>
    </row>
    <row r="18316" ht="15.75" customHeight="1">
      <c r="A18316" s="2" t="s">
        <v>18316</v>
      </c>
      <c r="B18316" s="2" t="str">
        <f>IFERROR(__xludf.DUMMYFUNCTION("GOOGLETRANSLATE(A18316, ""en"", ""mt"")"),"X'inhi r-rispons tal-Kuwajt għall-azzjonijiet tal-Istati Uniti?")</f>
        <v>X'inhi r-rispons tal-Kuwajt għall-azzjonijiet tal-Istati Uniti?</v>
      </c>
    </row>
    <row r="18317" ht="15.75" customHeight="1">
      <c r="A18317" s="2" t="s">
        <v>18317</v>
      </c>
      <c r="B18317" s="2" t="str">
        <f>IFERROR(__xludf.DUMMYFUNCTION("GOOGLETRANSLATE(A18317, ""en"", ""mt"")"),"X'inhu dak li mhux effettat minn dawl naturali u ċikli skuri?")</f>
        <v>X'inhu dak li mhux effettat minn dawl naturali u ċikli skuri?</v>
      </c>
    </row>
    <row r="18318" ht="15.75" customHeight="1">
      <c r="A18318" s="2" t="s">
        <v>18318</v>
      </c>
      <c r="B18318" s="2" t="str">
        <f>IFERROR(__xludf.DUMMYFUNCTION("GOOGLETRANSLATE(A18318, ""en"", ""mt"")")," L-imperjalizmu tal-Punent għaqqad il-globu skont liema teorija?")</f>
        <v> L-imperjalizmu tal-Punent għaqqad il-globu skont liema teorija?</v>
      </c>
    </row>
    <row r="18319" ht="15.75" customHeight="1">
      <c r="A18319" s="2" t="s">
        <v>18319</v>
      </c>
      <c r="B18319" s="2" t="str">
        <f>IFERROR(__xludf.DUMMYFUNCTION("GOOGLETRANSLATE(A18319, ""en"", ""mt"")"),"Channel 4 HD")</f>
        <v>Channel 4 HD</v>
      </c>
    </row>
    <row r="18320" ht="15.75" customHeight="1">
      <c r="A18320" s="2" t="s">
        <v>18320</v>
      </c>
      <c r="B18320" s="2" t="str">
        <f>IFERROR(__xludf.DUMMYFUNCTION("GOOGLETRANSLATE(A18320, ""en"", ""mt"")"),"Il-Konvenzjoni Kostituzzjonali Skoċċiża tal-1989 ipprovdiet bażi ftit għall-istruttura ta 'xiex?")</f>
        <v>Il-Konvenzjoni Kostituzzjonali Skoċċiża tal-1989 ipprovdiet bażi ftit għall-istruttura ta 'xiex?</v>
      </c>
    </row>
    <row r="18321" ht="15.75" customHeight="1">
      <c r="A18321" s="2" t="s">
        <v>18321</v>
      </c>
      <c r="B18321" s="2" t="str">
        <f>IFERROR(__xludf.DUMMYFUNCTION("GOOGLETRANSLATE(A18321, ""en"", ""mt"")"),"Dolby Digital")</f>
        <v>Dolby Digital</v>
      </c>
    </row>
    <row r="18322" ht="15.75" customHeight="1">
      <c r="A18322" s="2" t="s">
        <v>18322</v>
      </c>
      <c r="B18322" s="2" t="str">
        <f>IFERROR(__xludf.DUMMYFUNCTION("GOOGLETRANSLATE(A18322, ""en"", ""mt"")"),"Rikonoxximent Internazzjonali")</f>
        <v>Rikonoxximent Internazzjonali</v>
      </c>
    </row>
    <row r="18323" ht="15.75" customHeight="1">
      <c r="A18323" s="2" t="s">
        <v>18323</v>
      </c>
      <c r="B18323" s="2" t="str">
        <f>IFERROR(__xludf.DUMMYFUNCTION("GOOGLETRANSLATE(A18323, ""en"", ""mt"")"),"Kemm horsepower kienet il-magna ta 'Watt?")</f>
        <v>Kemm horsepower kienet il-magna ta 'Watt?</v>
      </c>
    </row>
    <row r="18324" ht="15.75" customHeight="1">
      <c r="A18324" s="2" t="s">
        <v>18324</v>
      </c>
      <c r="B18324" s="2" t="str">
        <f>IFERROR(__xludf.DUMMYFUNCTION("GOOGLETRANSLATE(A18324, ""en"", ""mt"")"),"Il-vettura u kollox ġewwa fiha hemm mistrieħ:")</f>
        <v>Il-vettura u kollox ġewwa fiha hemm mistrieħ:</v>
      </c>
    </row>
    <row r="18325" ht="15.75" customHeight="1">
      <c r="A18325" s="2" t="s">
        <v>18325</v>
      </c>
      <c r="B18325" s="2" t="str">
        <f>IFERROR(__xludf.DUMMYFUNCTION("GOOGLETRANSLATE(A18325, ""en"", ""mt"")"),"X'ifisser l-aġenzija tal-benefiċċji tal-aġenzija tal-isport fuq kont tat-TV?")</f>
        <v>X'ifisser l-aġenzija tal-benefiċċji tal-aġenzija tal-isport fuq kont tat-TV?</v>
      </c>
    </row>
    <row r="18326" ht="15.75" customHeight="1">
      <c r="A18326" s="2" t="s">
        <v>18326</v>
      </c>
      <c r="B18326" s="2" t="str">
        <f>IFERROR(__xludf.DUMMYFUNCTION("GOOGLETRANSLATE(A18326, ""en"", ""mt"")"),"L-ewwel borża ta 'Varsavja ġiet stabbilita fl-1817 u kompliet tinnegozja sat-Tieni Gwerra Dinjija. Ġie stabbilit mill-ġdid f'April 1991, wara t-tmiem tal-kontroll komunista ta 'wara l-gwerra tal-pajjiż u l-introduzzjoni mill-ġdid ta' ekonomija tas-suq ħie"&amp;"les. Illum, il-Borża ta 'Varsavja (WSE) hija, skond ħafna indikaturi, l-akbar suq fir-reġjun, b'374 kumpanija elenkata u kapitalizzazzjoni totali ta' 162 584 mln EUR mill-31 ta 'Awwissu 2009. mill-1991 sal-2000, il-Borża kienet , ironikament, li jinsab fi"&amp;"l-bini użat qabel bħala l-kwartieri ġenerali tal-Partit tal-Ħaddiema Magħquda Pollakka (PZPR).")</f>
        <v>L-ewwel borża ta 'Varsavja ġiet stabbilita fl-1817 u kompliet tinnegozja sat-Tieni Gwerra Dinjija. Ġie stabbilit mill-ġdid f'April 1991, wara t-tmiem tal-kontroll komunista ta 'wara l-gwerra tal-pajjiż u l-introduzzjoni mill-ġdid ta' ekonomija tas-suq ħieles. Illum, il-Borża ta 'Varsavja (WSE) hija, skond ħafna indikaturi, l-akbar suq fir-reġjun, b'374 kumpanija elenkata u kapitalizzazzjoni totali ta' 162 584 mln EUR mill-31 ta 'Awwissu 2009. mill-1991 sal-2000, il-Borża kienet , ironikament, li jinsab fil-bini użat qabel bħala l-kwartieri ġenerali tal-Partit tal-Ħaddiema Magħquda Pollakka (PZPR).</v>
      </c>
    </row>
    <row r="18327" ht="15.75" customHeight="1">
      <c r="A18327" s="2" t="s">
        <v>18327</v>
      </c>
      <c r="B18327" s="2" t="str">
        <f>IFERROR(__xludf.DUMMYFUNCTION("GOOGLETRANSLATE(A18327, ""en"", ""mt"")"),"Liema belt għandha popolazzjoni ta '1.7 miljun persuna?")</f>
        <v>Liema belt għandha popolazzjoni ta '1.7 miljun persuna?</v>
      </c>
    </row>
    <row r="18328" ht="15.75" customHeight="1">
      <c r="A18328" s="2" t="s">
        <v>18328</v>
      </c>
      <c r="B18328" s="2" t="str">
        <f>IFERROR(__xludf.DUMMYFUNCTION("GOOGLETRANSLATE(A18328, ""en"", ""mt"")"),"l-iktar żoni iżolati")</f>
        <v>l-iktar żoni iżolati</v>
      </c>
    </row>
    <row r="18329" ht="15.75" customHeight="1">
      <c r="A18329" s="2" t="s">
        <v>18329</v>
      </c>
      <c r="B18329" s="2" t="str">
        <f>IFERROR(__xludf.DUMMYFUNCTION("GOOGLETRANSLATE(A18329, ""en"", ""mt"")"),"Msps")</f>
        <v>Msps</v>
      </c>
    </row>
    <row r="18330" ht="15.75" customHeight="1">
      <c r="A18330" s="2" t="s">
        <v>18330</v>
      </c>
      <c r="B18330" s="2" t="str">
        <f>IFERROR(__xludf.DUMMYFUNCTION("GOOGLETRANSLATE(A18330, ""en"", ""mt"")"),"Ekwazzjonijiet Newtonjani.")</f>
        <v>Ekwazzjonijiet Newtonjani.</v>
      </c>
    </row>
    <row r="18331" ht="15.75" customHeight="1">
      <c r="A18331" s="2" t="s">
        <v>18331</v>
      </c>
      <c r="B18331" s="2" t="str">
        <f>IFERROR(__xludf.DUMMYFUNCTION("GOOGLETRANSLATE(A18331, ""en"", ""mt"")"),"X'għandha tat l-ekonomija Amerikana tendenza li tmur ""minn bużżieqa għal bużżieqa""?")</f>
        <v>X'għandha tat l-ekonomija Amerikana tendenza li tmur "minn bużżieqa għal bużżieqa"?</v>
      </c>
    </row>
    <row r="18332" ht="15.75" customHeight="1">
      <c r="A18332" s="2" t="s">
        <v>18332</v>
      </c>
      <c r="B18332" s="2" t="str">
        <f>IFERROR(__xludf.DUMMYFUNCTION("GOOGLETRANSLATE(A18332, ""en"", ""mt"")"),"Creon")</f>
        <v>Creon</v>
      </c>
    </row>
    <row r="18333" ht="15.75" customHeight="1">
      <c r="A18333" s="2" t="s">
        <v>18333</v>
      </c>
      <c r="B18333" s="2" t="str">
        <f>IFERROR(__xludf.DUMMYFUNCTION("GOOGLETRANSLATE(A18333, ""en"", ""mt"")"),"Forza vertikali li tipponta lejn il-grigal tista 'tinqasam f'kemm forzi?")</f>
        <v>Forza vertikali li tipponta lejn il-grigal tista 'tinqasam f'kemm forzi?</v>
      </c>
    </row>
    <row r="18334" ht="15.75" customHeight="1">
      <c r="A18334" s="2" t="s">
        <v>18334</v>
      </c>
      <c r="B18334" s="2" t="str">
        <f>IFERROR(__xludf.DUMMYFUNCTION("GOOGLETRANSLATE(A18334, ""en"", ""mt"")"),"Imperjalizmu formali")</f>
        <v>Imperjalizmu formali</v>
      </c>
    </row>
    <row r="18335" ht="15.75" customHeight="1">
      <c r="A18335" s="2" t="s">
        <v>18335</v>
      </c>
      <c r="B18335" s="2" t="str">
        <f>IFERROR(__xludf.DUMMYFUNCTION("GOOGLETRANSLATE(A18335, ""en"", ""mt"")"),"Ma 'liema denominazzjoni hija affiljata l-Iskola Djoċesana għall-Bniet?")</f>
        <v>Ma 'liema denominazzjoni hija affiljata l-Iskola Djoċesana għall-Bniet?</v>
      </c>
    </row>
    <row r="18336" ht="15.75" customHeight="1">
      <c r="A18336" s="2" t="s">
        <v>18336</v>
      </c>
      <c r="B18336" s="2" t="str">
        <f>IFERROR(__xludf.DUMMYFUNCTION("GOOGLETRANSLATE(A18336, ""en"", ""mt"")")," Mongke Khan meta qatel lil Great Khan?")</f>
        <v> Mongke Khan meta qatel lil Great Khan?</v>
      </c>
    </row>
    <row r="18337" ht="15.75" customHeight="1">
      <c r="A18337" s="2" t="s">
        <v>18337</v>
      </c>
      <c r="B18337" s="2" t="str">
        <f>IFERROR(__xludf.DUMMYFUNCTION("GOOGLETRANSLATE(A18337, ""en"", ""mt"")"),"Hemm 13-il riżerva naturali f'Varsavja - fost oħrajn, Bielany Forest, Kabaty Woods, Lag Czerniaków. Madwar 15-il kilometru (9 mili) minn Varsavja, l-ambjent tax-Xmara Vistula jinbidel b'mod impressjonanti u għandu ekosistema perfettament ippreservata, b'a"&amp;"bitat ta 'annimali li jinkludi l-lontra, il-kastur u mijiet ta' speċi ta 'għasafar. Hemm ukoll diversi lagi f'Varsavja - l-aktar il-lagi ta 'Oxbow, bħall-Lag Czerniaków, il-lagi fil-parks łazienki jew wilanów, Lag Kamionek. Hemm ħafna lagi żgħar fil-parks"&amp;", iżda ftit biss huma permanenti - il-maġġoranza huma mbattla qabel ix-xitwa biex jitnaddfuhom minn pjanti u sedimenti.")</f>
        <v>Hemm 13-il riżerva naturali f'Varsavja - fost oħrajn, Bielany Forest, Kabaty Woods, Lag Czerniaków. Madwar 15-il kilometru (9 mili) minn Varsavja, l-ambjent tax-Xmara Vistula jinbidel b'mod impressjonanti u għandu ekosistema perfettament ippreservata, b'abitat ta 'annimali li jinkludi l-lontra, il-kastur u mijiet ta' speċi ta 'għasafar. Hemm ukoll diversi lagi f'Varsavja - l-aktar il-lagi ta 'Oxbow, bħall-Lag Czerniaków, il-lagi fil-parks łazienki jew wilanów, Lag Kamionek. Hemm ħafna lagi żgħar fil-parks, iżda ftit biss huma permanenti - il-maġġoranza huma mbattla qabel ix-xitwa biex jitnaddfuhom minn pjanti u sedimenti.</v>
      </c>
    </row>
    <row r="18338" ht="15.75" customHeight="1">
      <c r="A18338" s="2" t="s">
        <v>18338</v>
      </c>
      <c r="B18338" s="2" t="str">
        <f>IFERROR(__xludf.DUMMYFUNCTION("GOOGLETRANSLATE(A18338, ""en"", ""mt"")"),"Fejn, flimkien ma 'ġugarelli, qed jintużaw tipikament uċuħ tal-port taċ-ċilindru li joskillaw?")</f>
        <v>Fejn, flimkien ma 'ġugarelli, qed jintużaw tipikament uċuħ tal-port taċ-ċilindru li joskillaw?</v>
      </c>
    </row>
    <row r="18339" ht="15.75" customHeight="1">
      <c r="A18339" s="2" t="s">
        <v>18339</v>
      </c>
      <c r="B18339" s="2" t="str">
        <f>IFERROR(__xludf.DUMMYFUNCTION("GOOGLETRANSLATE(A18339, ""en"", ""mt"")"),"48.8 ° C.")</f>
        <v>48.8 ° C.</v>
      </c>
    </row>
    <row r="18340" ht="15.75" customHeight="1">
      <c r="A18340" s="2" t="s">
        <v>18340</v>
      </c>
      <c r="B18340" s="2" t="str">
        <f>IFERROR(__xludf.DUMMYFUNCTION("GOOGLETRANSLATE(A18340, ""en"", ""mt"")"),"X'għamel Thoreau lil ċifra pubblika li jagħmel it-taxman?")</f>
        <v>X'għamel Thoreau lil ċifra pubblika li jagħmel it-taxman?</v>
      </c>
    </row>
    <row r="18341" ht="15.75" customHeight="1">
      <c r="A18341" s="2" t="s">
        <v>18341</v>
      </c>
      <c r="B18341" s="2" t="str">
        <f>IFERROR(__xludf.DUMMYFUNCTION("GOOGLETRANSLATE(A18341, ""en"", ""mt"")"),"Trattament dettaljat bil-mekkanika statistika")</f>
        <v>Trattament dettaljat bil-mekkanika statistika</v>
      </c>
    </row>
    <row r="18342" ht="15.75" customHeight="1">
      <c r="A18342" s="2" t="s">
        <v>18342</v>
      </c>
      <c r="B18342" s="2" t="str">
        <f>IFERROR(__xludf.DUMMYFUNCTION("GOOGLETRANSLATE(A18342, ""en"", ""mt"")"),"Valv mgħobbi bir-rebbiegħa aġġustabbli")</f>
        <v>Valv mgħobbi bir-rebbiegħa aġġustabbli</v>
      </c>
    </row>
    <row r="18343" ht="15.75" customHeight="1">
      <c r="A18343" s="2" t="s">
        <v>18343</v>
      </c>
      <c r="B18343" s="2" t="str">
        <f>IFERROR(__xludf.DUMMYFUNCTION("GOOGLETRANSLATE(A18343, ""en"", ""mt"")"),"Nuqqas ta 'forza netta")</f>
        <v>Nuqqas ta 'forza netta</v>
      </c>
    </row>
    <row r="18344" ht="15.75" customHeight="1">
      <c r="A18344" s="2" t="s">
        <v>18344</v>
      </c>
      <c r="B18344" s="2" t="str">
        <f>IFERROR(__xludf.DUMMYFUNCTION("GOOGLETRANSLATE(A18344, ""en"", ""mt"")"),"Liema Matematiku li Jirbaħ il-Midalja tal-Qasam huwa membru tal-fakultà f'Harvard?")</f>
        <v>Liema Matematiku li Jirbaħ il-Midalja tal-Qasam huwa membru tal-fakultà f'Harvard?</v>
      </c>
    </row>
    <row r="18345" ht="15.75" customHeight="1">
      <c r="A18345" s="2" t="s">
        <v>18345</v>
      </c>
      <c r="B18345" s="2" t="str">
        <f>IFERROR(__xludf.DUMMYFUNCTION("GOOGLETRANSLATE(A18345, ""en"", ""mt"")"),"razzjonali u progressiv")</f>
        <v>razzjonali u progressiv</v>
      </c>
    </row>
    <row r="18346" ht="15.75" customHeight="1">
      <c r="A18346" s="2" t="s">
        <v>18346</v>
      </c>
      <c r="B18346" s="2" t="str">
        <f>IFERROR(__xludf.DUMMYFUNCTION("GOOGLETRANSLATE(A18346, ""en"", ""mt"")"),"X'għandu jikkaġuna ġerarkija xierqa fuq il-klassijiet definiti billi jillimitaw ir-riżorsi rispettivi?")</f>
        <v>X'għandu jikkaġuna ġerarkija xierqa fuq il-klassijiet definiti billi jillimitaw ir-riżorsi rispettivi?</v>
      </c>
    </row>
    <row r="18347" ht="15.75" customHeight="1">
      <c r="A18347" s="2" t="s">
        <v>18347</v>
      </c>
      <c r="B18347" s="2" t="str">
        <f>IFERROR(__xludf.DUMMYFUNCTION("GOOGLETRANSLATE(A18347, ""en"", ""mt"")"),"Meta ġraw is-serje ta 'strajkijiet?")</f>
        <v>Meta ġraw is-serje ta 'strajkijiet?</v>
      </c>
    </row>
    <row r="18348" ht="15.75" customHeight="1">
      <c r="A18348" s="2" t="s">
        <v>18348</v>
      </c>
      <c r="B18348" s="2" t="str">
        <f>IFERROR(__xludf.DUMMYFUNCTION("GOOGLETRANSLATE(A18348, ""en"", ""mt"")"),"X'kien l-esperiment li ttestja l-ħajja bikrija fuq Mars?")</f>
        <v>X'kien l-esperiment li ttestja l-ħajja bikrija fuq Mars?</v>
      </c>
    </row>
    <row r="18349" ht="15.75" customHeight="1">
      <c r="A18349" s="2" t="s">
        <v>18349</v>
      </c>
      <c r="B18349" s="2" t="str">
        <f>IFERROR(__xludf.DUMMYFUNCTION("GOOGLETRANSLATE(A18349, ""en"", ""mt"")"),"Mid-Eoken")</f>
        <v>Mid-Eoken</v>
      </c>
    </row>
    <row r="18350" ht="15.75" customHeight="1">
      <c r="A18350" s="2" t="s">
        <v>18350</v>
      </c>
      <c r="B18350" s="2" t="str">
        <f>IFERROR(__xludf.DUMMYFUNCTION("GOOGLETRANSLATE(A18350, ""en"", ""mt"")"),"X'tip ta 'tkabbir ħeġġeġ Kublai?")</f>
        <v>X'tip ta 'tkabbir ħeġġeġ Kublai?</v>
      </c>
    </row>
    <row r="18351" ht="15.75" customHeight="1">
      <c r="A18351" s="2" t="s">
        <v>18351</v>
      </c>
      <c r="B18351" s="2" t="str">
        <f>IFERROR(__xludf.DUMMYFUNCTION("GOOGLETRANSLATE(A18351, ""en"", ""mt"")"),"Għal liema apparat huwa t-torri tat-tkessiħ niexef simili għal?")</f>
        <v>Għal liema apparat huwa t-torri tat-tkessiħ niexef simili għal?</v>
      </c>
    </row>
    <row r="18352" ht="15.75" customHeight="1">
      <c r="A18352" s="2" t="s">
        <v>18352</v>
      </c>
      <c r="B18352" s="2" t="str">
        <f>IFERROR(__xludf.DUMMYFUNCTION("GOOGLETRANSLATE(A18352, ""en"", ""mt"")"),"Meta ġie pprezzat iż-żejt ibbażat fuq lira sterlina?")</f>
        <v>Meta ġie pprezzat iż-żejt ibbażat fuq lira sterlina?</v>
      </c>
    </row>
    <row r="18353" ht="15.75" customHeight="1">
      <c r="A18353" s="2" t="s">
        <v>18353</v>
      </c>
      <c r="B18353" s="2" t="str">
        <f>IFERROR(__xludf.DUMMYFUNCTION("GOOGLETRANSLATE(A18353, ""en"", ""mt"")"),"Liema Viċi Konslu tal-Afrika t'Isfel L-istudenti ta 'Harvard imblukkaw id-diskors ta'?")</f>
        <v>Liema Viċi Konslu tal-Afrika t'Isfel L-istudenti ta 'Harvard imblukkaw id-diskors ta'?</v>
      </c>
    </row>
    <row r="18354" ht="15.75" customHeight="1">
      <c r="A18354" s="2" t="s">
        <v>18354</v>
      </c>
      <c r="B18354" s="2" t="str">
        <f>IFERROR(__xludf.DUMMYFUNCTION("GOOGLETRANSLATE(A18354, ""en"", ""mt"")"),"X'tagħmel patoġen meta tiltaqa 'ma' ċellula T?")</f>
        <v>X'tagħmel patoġen meta tiltaqa 'ma' ċellula T?</v>
      </c>
    </row>
    <row r="18355" ht="15.75" customHeight="1">
      <c r="A18355" s="2" t="s">
        <v>18355</v>
      </c>
      <c r="B18355" s="2" t="str">
        <f>IFERROR(__xludf.DUMMYFUNCTION("GOOGLETRANSLATE(A18355, ""en"", ""mt"")"),"F'liema sena ħareġ ir-rapport Kalven?")</f>
        <v>F'liema sena ħareġ ir-rapport Kalven?</v>
      </c>
    </row>
    <row r="18356" ht="15.75" customHeight="1">
      <c r="A18356" s="2" t="s">
        <v>18356</v>
      </c>
      <c r="B18356" s="2" t="str">
        <f>IFERROR(__xludf.DUMMYFUNCTION("GOOGLETRANSLATE(A18356, ""en"", ""mt"")"),"X'inhi kelma oħra għal intrużjonijiet igneous fit-tul?")</f>
        <v>X'inhi kelma oħra għal intrużjonijiet igneous fit-tul?</v>
      </c>
    </row>
    <row r="18357" ht="15.75" customHeight="1">
      <c r="A18357" s="2" t="s">
        <v>18357</v>
      </c>
      <c r="B18357" s="2" t="str">
        <f>IFERROR(__xludf.DUMMYFUNCTION("GOOGLETRANSLATE(A18357, ""en"", ""mt"")"),"Liema kumpanija għandha veto fuq il-preżenza ta 'kanali fuq l-EPG tagħhom?")</f>
        <v>Liema kumpanija għandha veto fuq il-preżenza ta 'kanali fuq l-EPG tagħhom?</v>
      </c>
    </row>
    <row r="18358" ht="15.75" customHeight="1">
      <c r="A18358" s="2" t="s">
        <v>18358</v>
      </c>
      <c r="B18358" s="2" t="str">
        <f>IFERROR(__xludf.DUMMYFUNCTION("GOOGLETRANSLATE(A18358, ""en"", ""mt"")"),"Kemm mix-xmara Noord tgħaddi fil-Baħar tat-Tramuntana?")</f>
        <v>Kemm mix-xmara Noord tgħaddi fil-Baħar tat-Tramuntana?</v>
      </c>
    </row>
    <row r="18359" ht="15.75" customHeight="1">
      <c r="A18359" s="2" t="s">
        <v>18359</v>
      </c>
      <c r="B18359" s="2" t="str">
        <f>IFERROR(__xludf.DUMMYFUNCTION("GOOGLETRANSLATE(A18359, ""en"", ""mt"")"),"(1036.20 km)")</f>
        <v>(1036.20 km)</v>
      </c>
    </row>
    <row r="18360" ht="15.75" customHeight="1">
      <c r="A18360" s="2" t="s">
        <v>18360</v>
      </c>
      <c r="B18360" s="2" t="str">
        <f>IFERROR(__xludf.DUMMYFUNCTION("GOOGLETRANSLATE(A18360, ""en"", ""mt"")"),"Xi ħadd iddijanjostika bħala maniac għandu bżonn jiddeċiedi meta jittratta mal-pulizija?")</f>
        <v>Xi ħadd iddijanjostika bħala maniac għandu bżonn jiddeċiedi meta jittratta mal-pulizija?</v>
      </c>
    </row>
    <row r="18361" ht="15.75" customHeight="1">
      <c r="A18361" s="2" t="s">
        <v>18361</v>
      </c>
      <c r="B18361" s="2" t="str">
        <f>IFERROR(__xludf.DUMMYFUNCTION("GOOGLETRANSLATE(A18361, ""en"", ""mt"")"),"L-OPEC għamlet dak għall-prezzijiet taż-żejt fis-16 ta 'Ottubru?")</f>
        <v>L-OPEC għamlet dak għall-prezzijiet taż-żejt fis-16 ta 'Ottubru?</v>
      </c>
    </row>
    <row r="18362" ht="15.75" customHeight="1">
      <c r="A18362" s="2" t="s">
        <v>18362</v>
      </c>
      <c r="B18362" s="2" t="str">
        <f>IFERROR(__xludf.DUMMYFUNCTION("GOOGLETRANSLATE(A18362, ""en"", ""mt"")"),"Telnet uża liema teknoloġija tal-interface")</f>
        <v>Telnet uża liema teknoloġija tal-interface</v>
      </c>
    </row>
    <row r="18363" ht="15.75" customHeight="1">
      <c r="A18363" s="2" t="s">
        <v>18363</v>
      </c>
      <c r="B18363" s="2" t="str">
        <f>IFERROR(__xludf.DUMMYFUNCTION("GOOGLETRANSLATE(A18363, ""en"", ""mt"")"),"Forzi li jaġixxu fuq parti waħda ta 'oġġett ma jaġixxux fuq xiex?")</f>
        <v>Forzi li jaġixxu fuq parti waħda ta 'oġġett ma jaġixxux fuq xiex?</v>
      </c>
    </row>
    <row r="18364" ht="15.75" customHeight="1">
      <c r="A18364" s="2" t="s">
        <v>18364</v>
      </c>
      <c r="B18364" s="2" t="str">
        <f>IFERROR(__xludf.DUMMYFUNCTION("GOOGLETRANSLATE(A18364, ""en"", ""mt"")"),"Sal-aħħar tas-seklu 19, liema pajjiż kellu l-akbar imperu li qatt kien jeżisti fid-dinja?")</f>
        <v>Sal-aħħar tas-seklu 19, liema pajjiż kellu l-akbar imperu li qatt kien jeżisti fid-dinja?</v>
      </c>
    </row>
    <row r="18365" ht="15.75" customHeight="1">
      <c r="A18365" s="2" t="s">
        <v>18365</v>
      </c>
      <c r="B18365" s="2" t="str">
        <f>IFERROR(__xludf.DUMMYFUNCTION("GOOGLETRANSLATE(A18365, ""en"", ""mt"")"),"ħafna drabi tagħmel ħsara")</f>
        <v>ħafna drabi tagħmel ħsara</v>
      </c>
    </row>
    <row r="18366" ht="15.75" customHeight="1">
      <c r="A18366" s="2" t="s">
        <v>18366</v>
      </c>
      <c r="B18366" s="2" t="str">
        <f>IFERROR(__xludf.DUMMYFUNCTION("GOOGLETRANSLATE(A18366, ""en"", ""mt"")"),"X'inhu l-Kastell ta 'San Ġwann l-iktar eżempju interessanti ta'?")</f>
        <v>X'inhu l-Kastell ta 'San Ġwann l-iktar eżempju interessanti ta'?</v>
      </c>
    </row>
    <row r="18367" ht="15.75" customHeight="1">
      <c r="A18367" s="2" t="s">
        <v>18367</v>
      </c>
      <c r="B18367" s="2" t="str">
        <f>IFERROR(__xludf.DUMMYFUNCTION("GOOGLETRANSLATE(A18367, ""en"", ""mt"")"),"Kif jgħumu ċ-ċestidi?")</f>
        <v>Kif jgħumu ċ-ċestidi?</v>
      </c>
    </row>
    <row r="18368" ht="15.75" customHeight="1">
      <c r="A18368" s="2" t="s">
        <v>18368</v>
      </c>
      <c r="B18368" s="2" t="str">
        <f>IFERROR(__xludf.DUMMYFUNCTION("GOOGLETRANSLATE(A18368, ""en"", ""mt"")"),"1560")</f>
        <v>1560</v>
      </c>
    </row>
    <row r="18369" ht="15.75" customHeight="1">
      <c r="A18369" s="2" t="s">
        <v>18369</v>
      </c>
      <c r="B18369" s="2" t="str">
        <f>IFERROR(__xludf.DUMMYFUNCTION("GOOGLETRANSLATE(A18369, ""en"", ""mt"")"),"Fejn tinsab il-Forest Bielany?")</f>
        <v>Fejn tinsab il-Forest Bielany?</v>
      </c>
    </row>
    <row r="18370" ht="15.75" customHeight="1">
      <c r="A18370" s="2" t="s">
        <v>18370</v>
      </c>
      <c r="B18370" s="2" t="str">
        <f>IFERROR(__xludf.DUMMYFUNCTION("GOOGLETRANSLATE(A18370, ""en"", ""mt"")"),"X'inhu l-isem tal-aġenzija FMCG għas-sigurtà tal-fruntiera esterna?")</f>
        <v>X'inhu l-isem tal-aġenzija FMCG għas-sigurtà tal-fruntiera esterna?</v>
      </c>
    </row>
    <row r="18371" ht="15.75" customHeight="1">
      <c r="A18371" s="2" t="s">
        <v>18371</v>
      </c>
      <c r="B18371" s="2" t="str">
        <f>IFERROR(__xludf.DUMMYFUNCTION("GOOGLETRANSLATE(A18371, ""en"", ""mt"")"),"Liema teatru kien l-aħjar eżempju tat-Teatru Monumentali Leon ""?")</f>
        <v>Liema teatru kien l-aħjar eżempju tat-Teatru Monumentali Leon "?</v>
      </c>
    </row>
    <row r="18372" ht="15.75" customHeight="1">
      <c r="A18372" s="2" t="s">
        <v>18372</v>
      </c>
      <c r="B18372" s="2" t="str">
        <f>IFERROR(__xludf.DUMMYFUNCTION("GOOGLETRANSLATE(A18372, ""en"", ""mt"")"),"In-Norveġja")</f>
        <v>In-Norveġja</v>
      </c>
    </row>
    <row r="18373" ht="15.75" customHeight="1">
      <c r="A18373" s="2" t="s">
        <v>18373</v>
      </c>
      <c r="B18373" s="2" t="str">
        <f>IFERROR(__xludf.DUMMYFUNCTION("GOOGLETRANSLATE(A18373, ""en"", ""mt"")"),"Dec oriġinarjament kellu 3 saffi iżda evolva f'kemm saffi")</f>
        <v>Dec oriġinarjament kellu 3 saffi iżda evolva f'kemm saffi</v>
      </c>
    </row>
    <row r="18374" ht="15.75" customHeight="1">
      <c r="A18374" s="2" t="s">
        <v>18374</v>
      </c>
      <c r="B18374" s="2" t="str">
        <f>IFERROR(__xludf.DUMMYFUNCTION("GOOGLETRANSLATE(A18374, ""en"", ""mt"")"),"Għaliex Hutchins elimina l-isptarijiet mill-università?")</f>
        <v>Għaliex Hutchins elimina l-isptarijiet mill-università?</v>
      </c>
    </row>
    <row r="18375" ht="15.75" customHeight="1">
      <c r="A18375" s="2" t="s">
        <v>18375</v>
      </c>
      <c r="B18375" s="2" t="str">
        <f>IFERROR(__xludf.DUMMYFUNCTION("GOOGLETRANSLATE(A18375, ""en"", ""mt"")"),"l-ewwel xogħol ewlieni biex jikkontesta direttament it-teorija tal-pesta bubonika")</f>
        <v>l-ewwel xogħol ewlieni biex jikkontesta direttament it-teorija tal-pesta bubonika</v>
      </c>
    </row>
    <row r="18376" ht="15.75" customHeight="1">
      <c r="A18376" s="2" t="s">
        <v>18376</v>
      </c>
      <c r="B18376" s="2" t="str">
        <f>IFERROR(__xludf.DUMMYFUNCTION("GOOGLETRANSLATE(A18376, ""en"", ""mt"")")," Min iddeskriva ċ-Ċina ta 'Kublai għall-Asja?")</f>
        <v> Min iddeskriva ċ-Ċina ta 'Kublai għall-Asja?</v>
      </c>
    </row>
    <row r="18377" ht="15.75" customHeight="1">
      <c r="A18377" s="2" t="s">
        <v>18377</v>
      </c>
      <c r="B18377" s="2" t="str">
        <f>IFERROR(__xludf.DUMMYFUNCTION("GOOGLETRANSLATE(A18377, ""en"", ""mt"")"),"Huwa espress il-ħin meħtieġ biex tinħareġ tweġiba fuq magna tat-Turing deterministika?")</f>
        <v>Huwa espress il-ħin meħtieġ biex tinħareġ tweġiba fuq magna tat-Turing deterministika?</v>
      </c>
    </row>
    <row r="18378" ht="15.75" customHeight="1">
      <c r="A18378" s="2" t="s">
        <v>18378</v>
      </c>
      <c r="B18378" s="2" t="str">
        <f>IFERROR(__xludf.DUMMYFUNCTION("GOOGLETRANSLATE(A18378, ""en"", ""mt"")"),"62")</f>
        <v>62</v>
      </c>
    </row>
    <row r="18379" ht="15.75" customHeight="1">
      <c r="A18379" s="2" t="s">
        <v>18379</v>
      </c>
      <c r="B18379" s="2" t="str">
        <f>IFERROR(__xludf.DUMMYFUNCTION("GOOGLETRANSLATE(A18379, ""en"", ""mt"")"),"Xi jfisser il-fwar iġġenerat minn pjanta tal-enerġija nukleari?")</f>
        <v>Xi jfisser il-fwar iġġenerat minn pjanta tal-enerġija nukleari?</v>
      </c>
    </row>
    <row r="18380" ht="15.75" customHeight="1">
      <c r="A18380" s="2" t="s">
        <v>18380</v>
      </c>
      <c r="B18380" s="2" t="str">
        <f>IFERROR(__xludf.DUMMYFUNCTION("GOOGLETRANSLATE(A18380, ""en"", ""mt"")"),"Liema sena qalu l-eqdem spiżerija li ntilfet?")</f>
        <v>Liema sena qalu l-eqdem spiżerija li ntilfet?</v>
      </c>
    </row>
    <row r="18381" ht="15.75" customHeight="1">
      <c r="A18381" s="2" t="s">
        <v>18381</v>
      </c>
      <c r="B18381" s="2" t="str">
        <f>IFERROR(__xludf.DUMMYFUNCTION("GOOGLETRANSLATE(A18381, ""en"", ""mt"")"),"Lord Loudoun")</f>
        <v>Lord Loudoun</v>
      </c>
    </row>
    <row r="18382" ht="15.75" customHeight="1">
      <c r="A18382" s="2" t="s">
        <v>18382</v>
      </c>
      <c r="B18382" s="2" t="str">
        <f>IFERROR(__xludf.DUMMYFUNCTION("GOOGLETRANSLATE(A18382, ""en"", ""mt"")"),"azote")</f>
        <v>azote</v>
      </c>
    </row>
    <row r="18383" ht="15.75" customHeight="1">
      <c r="A18383" s="2" t="s">
        <v>18383</v>
      </c>
      <c r="B18383" s="2" t="str">
        <f>IFERROR(__xludf.DUMMYFUNCTION("GOOGLETRANSLATE(A18383, ""en"", ""mt"")"),"Disinji molekulari marbuta mal-patoġeni")</f>
        <v>Disinji molekulari marbuta mal-patoġeni</v>
      </c>
    </row>
    <row r="18384" ht="15.75" customHeight="1">
      <c r="A18384" s="2" t="s">
        <v>18384</v>
      </c>
      <c r="B18384" s="2" t="str">
        <f>IFERROR(__xludf.DUMMYFUNCTION("GOOGLETRANSLATE(A18384, ""en"", ""mt"")"),"X'inhi l-ogħla firxa li student iħallas meta jitilgħu fi skola Skoċċiża?")</f>
        <v>X'inhi l-ogħla firxa li student iħallas meta jitilgħu fi skola Skoċċiża?</v>
      </c>
    </row>
    <row r="18385" ht="15.75" customHeight="1">
      <c r="A18385" s="2" t="s">
        <v>18385</v>
      </c>
      <c r="B18385" s="2" t="str">
        <f>IFERROR(__xludf.DUMMYFUNCTION("GOOGLETRANSLATE(A18385, ""en"", ""mt"")"),"X'inhu l-isem tal-iqsar pont ta 'sospensjoni fil-Ġermanja?")</f>
        <v>X'inhu l-isem tal-iqsar pont ta 'sospensjoni fil-Ġermanja?</v>
      </c>
    </row>
    <row r="18386" ht="15.75" customHeight="1">
      <c r="A18386" s="2" t="s">
        <v>18386</v>
      </c>
      <c r="B18386" s="2" t="str">
        <f>IFERROR(__xludf.DUMMYFUNCTION("GOOGLETRANSLATE(A18386, ""en"", ""mt"")"),"Immune_system")</f>
        <v>Immune_system</v>
      </c>
    </row>
    <row r="18387" ht="15.75" customHeight="1">
      <c r="A18387" s="2" t="s">
        <v>18387</v>
      </c>
      <c r="B18387" s="2" t="str">
        <f>IFERROR(__xludf.DUMMYFUNCTION("GOOGLETRANSLATE(A18387, ""en"", ""mt"")"),"Meta waqa 'l-Imperu Ottoman?")</f>
        <v>Meta waqa 'l-Imperu Ottoman?</v>
      </c>
    </row>
    <row r="18388" ht="15.75" customHeight="1">
      <c r="A18388" s="2" t="s">
        <v>18388</v>
      </c>
      <c r="B18388" s="2" t="str">
        <f>IFERROR(__xludf.DUMMYFUNCTION("GOOGLETRANSLATE(A18388, ""en"", ""mt"")"),"FEO")</f>
        <v>FEO</v>
      </c>
    </row>
    <row r="18389" ht="15.75" customHeight="1">
      <c r="A18389" s="2" t="s">
        <v>18389</v>
      </c>
      <c r="B18389" s="2" t="str">
        <f>IFERROR(__xludf.DUMMYFUNCTION("GOOGLETRANSLATE(A18389, ""en"", ""mt"")"),"Minn liema pajjiż REWE-ZENTRALE AG xtaqet timporta?")</f>
        <v>Minn liema pajjiż REWE-ZENTRALE AG xtaqet timporta?</v>
      </c>
    </row>
    <row r="18390" ht="15.75" customHeight="1">
      <c r="A18390" s="2" t="s">
        <v>18390</v>
      </c>
      <c r="B18390" s="2" t="str">
        <f>IFERROR(__xludf.DUMMYFUNCTION("GOOGLETRANSLATE(A18390, ""en"", ""mt"")"),"Velamen Parallelum")</f>
        <v>Velamen Parallelum</v>
      </c>
    </row>
    <row r="18391" ht="15.75" customHeight="1">
      <c r="A18391" s="2" t="s">
        <v>18391</v>
      </c>
      <c r="B18391" s="2" t="str">
        <f>IFERROR(__xludf.DUMMYFUNCTION("GOOGLETRANSLATE(A18391, ""en"", ""mt"")"),"Anke fid-ditti kbar, periti, disinjaturi interni, inġiniera, żviluppaturi, maniġers tal-kostruzzjoni, u kuntratturi ġenerali kienu aktar probabbli li jkunu xiex?")</f>
        <v>Anke fid-ditti kbar, periti, disinjaturi interni, inġiniera, żviluppaturi, maniġers tal-kostruzzjoni, u kuntratturi ġenerali kienu aktar probabbli li jkunu xiex?</v>
      </c>
    </row>
    <row r="18392" ht="15.75" customHeight="1">
      <c r="A18392" s="2" t="s">
        <v>18392</v>
      </c>
      <c r="B18392" s="2" t="str">
        <f>IFERROR(__xludf.DUMMYFUNCTION("GOOGLETRANSLATE(A18392, ""en"", ""mt"")"),"X'kien ir-riżultat ta 'Attakk Franċiż taċ-Ċentru tal-Kummerċ?")</f>
        <v>X'kien ir-riżultat ta 'Attakk Franċiż taċ-Ċentru tal-Kummerċ?</v>
      </c>
    </row>
    <row r="18393" ht="15.75" customHeight="1">
      <c r="A18393" s="2" t="s">
        <v>18393</v>
      </c>
      <c r="B18393" s="2" t="str">
        <f>IFERROR(__xludf.DUMMYFUNCTION("GOOGLETRANSLATE(A18393, ""en"", ""mt"")"),"X'inhuma miżuri oħra ta 'kumplessità li ma jintużawx fit-teorija tal-kumplessità?")</f>
        <v>X'inhuma miżuri oħra ta 'kumplessità li ma jintużawx fit-teorija tal-kumplessità?</v>
      </c>
    </row>
    <row r="18394" ht="15.75" customHeight="1">
      <c r="A18394" s="2" t="s">
        <v>18394</v>
      </c>
      <c r="B18394" s="2" t="str">
        <f>IFERROR(__xludf.DUMMYFUNCTION("GOOGLETRANSLATE(A18394, ""en"", ""mt"")"),"nervituri aktar milli minn disturbi fl-ilma maħluqa miċ-ċili")</f>
        <v>nervituri aktar milli minn disturbi fl-ilma maħluqa miċ-ċili</v>
      </c>
    </row>
    <row r="18395" ht="15.75" customHeight="1">
      <c r="A18395" s="2" t="s">
        <v>18395</v>
      </c>
      <c r="B18395" s="2" t="str">
        <f>IFERROR(__xludf.DUMMYFUNCTION("GOOGLETRANSLATE(A18395, ""en"", ""mt"")"),"Iċ-ċelloli tas-sit ta 'infezzjoni f'impjant jgħaddu minn liema proċess jipprevjenu t-tixrid tal-marda?")</f>
        <v>Iċ-ċelloli tas-sit ta 'infezzjoni f'impjant jgħaddu minn liema proċess jipprevjenu t-tixrid tal-marda?</v>
      </c>
    </row>
    <row r="18396" ht="15.75" customHeight="1">
      <c r="A18396" s="2" t="s">
        <v>18396</v>
      </c>
      <c r="B18396" s="2" t="str">
        <f>IFERROR(__xludf.DUMMYFUNCTION("GOOGLETRANSLATE(A18396, ""en"", ""mt"")"),"Għal liema ktieb tal-Bibbja huwa l-għarfien tal-liġi rintraċċat?")</f>
        <v>Għal liema ktieb tal-Bibbja huwa l-għarfien tal-liġi rintraċċat?</v>
      </c>
    </row>
    <row r="18397" ht="15.75" customHeight="1">
      <c r="A18397" s="2" t="s">
        <v>18397</v>
      </c>
      <c r="B18397" s="2" t="str">
        <f>IFERROR(__xludf.DUMMYFUNCTION("GOOGLETRANSLATE(A18397, ""en"", ""mt"")"),"352 vot")</f>
        <v>352 vot</v>
      </c>
    </row>
    <row r="18398" ht="15.75" customHeight="1">
      <c r="A18398" s="2" t="s">
        <v>18398</v>
      </c>
      <c r="B18398" s="2" t="str">
        <f>IFERROR(__xludf.DUMMYFUNCTION("GOOGLETRANSLATE(A18398, ""en"", ""mt"")"),"Min kien il-ħakkiem Karluk Kara-Khanid ikklassifikat hawn fuq?")</f>
        <v>Min kien il-ħakkiem Karluk Kara-Khanid ikklassifikat hawn fuq?</v>
      </c>
    </row>
    <row r="18399" ht="15.75" customHeight="1">
      <c r="A18399" s="2" t="s">
        <v>18399</v>
      </c>
      <c r="B18399" s="2" t="str">
        <f>IFERROR(__xludf.DUMMYFUNCTION("GOOGLETRANSLATE(A18399, ""en"", ""mt"")"),"Magħruf ukoll bl-Ingliż bħala Amazonia jew l-Amazon Jungle,")</f>
        <v>Magħruf ukoll bl-Ingliż bħala Amazonia jew l-Amazon Jungle,</v>
      </c>
    </row>
    <row r="18400" ht="15.75" customHeight="1">
      <c r="A18400" s="2" t="s">
        <v>18400</v>
      </c>
      <c r="B18400" s="2" t="str">
        <f>IFERROR(__xludf.DUMMYFUNCTION("GOOGLETRANSLATE(A18400, ""en"", ""mt"")"),"X'inhu l-iktar qasam li qed jikber bil-mod fl-industrija farmaċewtika?")</f>
        <v>X'inhu l-iktar qasam li qed jikber bil-mod fl-industrija farmaċewtika?</v>
      </c>
    </row>
    <row r="18401" ht="15.75" customHeight="1">
      <c r="A18401" s="2" t="s">
        <v>18401</v>
      </c>
      <c r="B18401" s="2" t="str">
        <f>IFERROR(__xludf.DUMMYFUNCTION("GOOGLETRANSLATE(A18401, ""en"", ""mt"")"),"Min uża l-knisja biex jgħaqqad lilhom infushom?")</f>
        <v>Min uża l-knisja biex jgħaqqad lilhom infushom?</v>
      </c>
    </row>
    <row r="18402" ht="15.75" customHeight="1">
      <c r="A18402" s="2" t="s">
        <v>18402</v>
      </c>
      <c r="B18402" s="2" t="str">
        <f>IFERROR(__xludf.DUMMYFUNCTION("GOOGLETRANSLATE(A18402, ""en"", ""mt"")"),"Kattoliku Ruman")</f>
        <v>Kattoliku Ruman</v>
      </c>
    </row>
    <row r="18403" ht="15.75" customHeight="1">
      <c r="A18403" s="2" t="s">
        <v>18403</v>
      </c>
      <c r="B18403" s="2" t="str">
        <f>IFERROR(__xludf.DUMMYFUNCTION("GOOGLETRANSLATE(A18403, ""en"", ""mt"")"),"Kultivazzjoni tal-kittien")</f>
        <v>Kultivazzjoni tal-kittien</v>
      </c>
    </row>
    <row r="18404" ht="15.75" customHeight="1">
      <c r="A18404" s="2" t="s">
        <v>18404</v>
      </c>
      <c r="B18404" s="2" t="str">
        <f>IFERROR(__xludf.DUMMYFUNCTION("GOOGLETRANSLATE(A18404, ""en"", ""mt"")"),"Niels Jerne")</f>
        <v>Niels Jerne</v>
      </c>
    </row>
    <row r="18405" ht="15.75" customHeight="1">
      <c r="A18405" s="2" t="s">
        <v>18405</v>
      </c>
      <c r="B18405" s="2" t="str">
        <f>IFERROR(__xludf.DUMMYFUNCTION("GOOGLETRANSLATE(A18405, ""en"", ""mt"")"),"Liema mija tal-vittmi mhux trattati tal-pesta jmutu fi żmien 8 ijiem?")</f>
        <v>Liema mija tal-vittmi mhux trattati tal-pesta jmutu fi żmien 8 ijiem?</v>
      </c>
    </row>
    <row r="18406" ht="15.75" customHeight="1">
      <c r="A18406" s="2" t="s">
        <v>18406</v>
      </c>
      <c r="B18406" s="2" t="str">
        <f>IFERROR(__xludf.DUMMYFUNCTION("GOOGLETRANSLATE(A18406, ""en"", ""mt"")"),"X'kienu l-karatteristiċi ta 'Apple Talk")</f>
        <v>X'kienu l-karatteristiċi ta 'Apple Talk</v>
      </c>
    </row>
    <row r="18407" ht="15.75" customHeight="1">
      <c r="A18407" s="2" t="s">
        <v>18407</v>
      </c>
      <c r="B18407" s="2" t="str">
        <f>IFERROR(__xludf.DUMMYFUNCTION("GOOGLETRANSLATE(A18407, ""en"", ""mt"")"),"Storja tal-Armi")</f>
        <v>Storja tal-Armi</v>
      </c>
    </row>
    <row r="18408" ht="15.75" customHeight="1">
      <c r="A18408" s="2" t="s">
        <v>18408</v>
      </c>
      <c r="B18408" s="2" t="str">
        <f>IFERROR(__xludf.DUMMYFUNCTION("GOOGLETRANSLATE(A18408, ""en"", ""mt"")"),"Seklu 12")</f>
        <v>Seklu 12</v>
      </c>
    </row>
    <row r="18409" ht="15.75" customHeight="1">
      <c r="A18409" s="2" t="s">
        <v>18409</v>
      </c>
      <c r="B18409" s="2" t="str">
        <f>IFERROR(__xludf.DUMMYFUNCTION("GOOGLETRANSLATE(A18409, ""en"", ""mt"")"),"Xi tipprevjeni s-sħana milli tinbidel fil-proċess ta 'kristallizzazzjoni?")</f>
        <v>Xi tipprevjeni s-sħana milli tinbidel fil-proċess ta 'kristallizzazzjoni?</v>
      </c>
    </row>
    <row r="18410" ht="15.75" customHeight="1">
      <c r="A18410" s="2" t="s">
        <v>18410</v>
      </c>
      <c r="B18410" s="2" t="str">
        <f>IFERROR(__xludf.DUMMYFUNCTION("GOOGLETRANSLATE(A18410, ""en"", ""mt"")"),"Kemm bliet fin-Nofsinhar tal-Kalifornja għandhom aktar minn 200,000 resident?")</f>
        <v>Kemm bliet fin-Nofsinhar tal-Kalifornja għandhom aktar minn 200,000 resident?</v>
      </c>
    </row>
    <row r="18411" ht="15.75" customHeight="1">
      <c r="A18411" s="2" t="s">
        <v>18411</v>
      </c>
      <c r="B18411" s="2" t="str">
        <f>IFERROR(__xludf.DUMMYFUNCTION("GOOGLETRANSLATE(A18411, ""en"", ""mt"")"),"Kemm id-deheb ipproduċa Victoria fl-1860?")</f>
        <v>Kemm id-deheb ipproduċa Victoria fl-1860?</v>
      </c>
    </row>
    <row r="18412" ht="15.75" customHeight="1">
      <c r="A18412" s="2" t="s">
        <v>18412</v>
      </c>
      <c r="B18412" s="2" t="str">
        <f>IFERROR(__xludf.DUMMYFUNCTION("GOOGLETRANSLATE(A18412, ""en"", ""mt"")"),"Minbarra t-tort ta 'San Jacinto, u t-tort ta' Elsinore, isemmu tort ieħor.")</f>
        <v>Minbarra t-tort ta 'San Jacinto, u t-tort ta' Elsinore, isemmu tort ieħor.</v>
      </c>
    </row>
    <row r="18413" ht="15.75" customHeight="1">
      <c r="A18413" s="2" t="s">
        <v>18413</v>
      </c>
      <c r="B18413" s="2" t="str">
        <f>IFERROR(__xludf.DUMMYFUNCTION("GOOGLETRANSLATE(A18413, ""en"", ""mt"")"),"IVA")</f>
        <v>IVA</v>
      </c>
    </row>
    <row r="18414" ht="15.75" customHeight="1">
      <c r="A18414" s="2" t="s">
        <v>18414</v>
      </c>
      <c r="B18414" s="2" t="str">
        <f>IFERROR(__xludf.DUMMYFUNCTION("GOOGLETRANSLATE(A18414, ""en"", ""mt"")"),"valur miżjud")</f>
        <v>valur miżjud</v>
      </c>
    </row>
    <row r="18415" ht="15.75" customHeight="1">
      <c r="A18415" s="2" t="s">
        <v>18415</v>
      </c>
      <c r="B18415" s="2" t="str">
        <f>IFERROR(__xludf.DUMMYFUNCTION("GOOGLETRANSLATE(A18415, ""en"", ""mt"")"),"X'tip ta 'sistema ferrovjarja hija l-ferroviji tal-metro Melbourne?")</f>
        <v>X'tip ta 'sistema ferrovjarja hija l-ferroviji tal-metro Melbourne?</v>
      </c>
    </row>
    <row r="18416" ht="15.75" customHeight="1">
      <c r="A18416" s="2" t="s">
        <v>18416</v>
      </c>
      <c r="B18416" s="2" t="str">
        <f>IFERROR(__xludf.DUMMYFUNCTION("GOOGLETRANSLATE(A18416, ""en"", ""mt"")"),"Wara liema għaxar snin stili moderni ċedew l-istili Gotiċi fuq il-kampus?")</f>
        <v>Wara liema għaxar snin stili moderni ċedew l-istili Gotiċi fuq il-kampus?</v>
      </c>
    </row>
    <row r="18417" ht="15.75" customHeight="1">
      <c r="A18417" s="2" t="s">
        <v>18417</v>
      </c>
      <c r="B18417" s="2" t="str">
        <f>IFERROR(__xludf.DUMMYFUNCTION("GOOGLETRANSLATE(A18417, ""en"", ""mt"")"),"1206")</f>
        <v>1206</v>
      </c>
    </row>
    <row r="18418" ht="15.75" customHeight="1">
      <c r="A18418" s="2" t="s">
        <v>18418</v>
      </c>
      <c r="B18418" s="2" t="str">
        <f>IFERROR(__xludf.DUMMYFUNCTION("GOOGLETRANSLATE(A18418, ""en"", ""mt"")"),"Xi jwassal inqas edukazzjoni meta taħdem?")</f>
        <v>Xi jwassal inqas edukazzjoni meta taħdem?</v>
      </c>
    </row>
    <row r="18419" ht="15.75" customHeight="1">
      <c r="A18419" s="2" t="s">
        <v>18419</v>
      </c>
      <c r="B18419" s="2" t="str">
        <f>IFERROR(__xludf.DUMMYFUNCTION("GOOGLETRANSLATE(A18419, ""en"", ""mt"")"),"Iżrael")</f>
        <v>Iżrael</v>
      </c>
    </row>
    <row r="18420" ht="15.75" customHeight="1">
      <c r="A18420" s="2" t="s">
        <v>18420</v>
      </c>
      <c r="B18420" s="2" t="str">
        <f>IFERROR(__xludf.DUMMYFUNCTION("GOOGLETRANSLATE(A18420, ""en"", ""mt"")"),"X'inhu swiċċjar taċ-ċirkwit?")</f>
        <v>X'inhu swiċċjar taċ-ċirkwit?</v>
      </c>
    </row>
    <row r="18421" ht="15.75" customHeight="1">
      <c r="A18421" s="2" t="s">
        <v>18421</v>
      </c>
      <c r="B18421" s="2" t="str">
        <f>IFERROR(__xludf.DUMMYFUNCTION("GOOGLETRANSLATE(A18421, ""en"", ""mt"")"),"X'inhu l-isem tal-moviment li jfittex l-użu mġedded tal-enerġija tal-fwar fl-era moderna?")</f>
        <v>X'inhu l-isem tal-moviment li jfittex l-użu mġedded tal-enerġija tal-fwar fl-era moderna?</v>
      </c>
    </row>
    <row r="18422" ht="15.75" customHeight="1">
      <c r="A18422" s="2" t="s">
        <v>18422</v>
      </c>
      <c r="B18422" s="2" t="str">
        <f>IFERROR(__xludf.DUMMYFUNCTION("GOOGLETRANSLATE(A18422, ""en"", ""mt"")"),"Bajd u sperma jimmaturaw fi żminijiet differenti")</f>
        <v>Bajd u sperma jimmaturaw fi żminijiet differenti</v>
      </c>
    </row>
    <row r="18423" ht="15.75" customHeight="1">
      <c r="A18423" s="2" t="s">
        <v>18423</v>
      </c>
      <c r="B18423" s="2" t="str">
        <f>IFERROR(__xludf.DUMMYFUNCTION("GOOGLETRANSLATE(A18423, ""en"", ""mt"")")," Kemm hemm Protestanti fir-reġjun tal-Muntanji Cevennes?")</f>
        <v> Kemm hemm Protestanti fir-reġjun tal-Muntanji Cevennes?</v>
      </c>
    </row>
    <row r="18424" ht="15.75" customHeight="1">
      <c r="A18424" s="2" t="s">
        <v>18424</v>
      </c>
      <c r="B18424" s="2" t="str">
        <f>IFERROR(__xludf.DUMMYFUNCTION("GOOGLETRANSLATE(A18424, ""en"", ""mt"")"),"Fejn ittieħed Francis Heisler wara l-protesta?")</f>
        <v>Fejn ittieħed Francis Heisler wara l-protesta?</v>
      </c>
    </row>
    <row r="18425" ht="15.75" customHeight="1">
      <c r="A18425" s="2" t="s">
        <v>18425</v>
      </c>
      <c r="B18425" s="2" t="str">
        <f>IFERROR(__xludf.DUMMYFUNCTION("GOOGLETRANSLATE(A18425, ""en"", ""mt"")"),"kostruzzjoni ta 'awtostradi")</f>
        <v>kostruzzjoni ta 'awtostradi</v>
      </c>
    </row>
    <row r="18426" ht="15.75" customHeight="1">
      <c r="A18426" s="2" t="s">
        <v>18426</v>
      </c>
      <c r="B18426" s="2" t="str">
        <f>IFERROR(__xludf.DUMMYFUNCTION("GOOGLETRANSLATE(A18426, ""en"", ""mt"")"),"Altitudni għolja kif ukoll dak li jikkontribwixxi għan-nuqqas ta 'xogħol ta' xogħol ta 'Jacksonville")</f>
        <v>Altitudni għolja kif ukoll dak li jikkontribwixxi għan-nuqqas ta 'xogħol ta' xogħol ta 'Jacksonville</v>
      </c>
    </row>
    <row r="18427" ht="15.75" customHeight="1">
      <c r="A18427" s="2" t="s">
        <v>18427</v>
      </c>
      <c r="B18427" s="2" t="str">
        <f>IFERROR(__xludf.DUMMYFUNCTION("GOOGLETRANSLATE(A18427, ""en"", ""mt"")"),"Għaliex l-arċipelagos tal-gżira jinkludu numru iżgħar ta 'eletturi?")</f>
        <v>Għaliex l-arċipelagos tal-gżira jinkludu numru iżgħar ta 'eletturi?</v>
      </c>
    </row>
    <row r="18428" ht="15.75" customHeight="1">
      <c r="A18428" s="2" t="s">
        <v>18428</v>
      </c>
      <c r="B18428" s="2" t="str">
        <f>IFERROR(__xludf.DUMMYFUNCTION("GOOGLETRANSLATE(A18428, ""en"", ""mt"")"),"Id-disponibbiltà frekwenti ta 'liema sustanza ppermettiet li l-magni tal-fwar ibbażati fuq l-art jeżawrixxu ħafna fwar?")</f>
        <v>Id-disponibbiltà frekwenti ta 'liema sustanza ppermettiet li l-magni tal-fwar ibbażati fuq l-art jeżawrixxu ħafna fwar?</v>
      </c>
    </row>
    <row r="18429" ht="15.75" customHeight="1">
      <c r="A18429" s="2" t="s">
        <v>18429</v>
      </c>
      <c r="B18429" s="2" t="str">
        <f>IFERROR(__xludf.DUMMYFUNCTION("GOOGLETRANSLATE(A18429, ""en"", ""mt"")"),"Meta ġiet skoperta t-tort tal-konfini tal-qoxra?")</f>
        <v>Meta ġiet skoperta t-tort tal-konfini tal-qoxra?</v>
      </c>
    </row>
    <row r="18430" ht="15.75" customHeight="1">
      <c r="A18430" s="2" t="s">
        <v>18430</v>
      </c>
      <c r="B18430" s="2" t="str">
        <f>IFERROR(__xludf.DUMMYFUNCTION("GOOGLETRANSLATE(A18430, ""en"", ""mt"")"),"X'tip ta 'kampjuni tal-blat huma analizzati minn mikroprobe elettroniku?")</f>
        <v>X'tip ta 'kampjuni tal-blat huma analizzati minn mikroprobe elettroniku?</v>
      </c>
    </row>
    <row r="18431" ht="15.75" customHeight="1">
      <c r="A18431" s="2" t="s">
        <v>18431</v>
      </c>
      <c r="B18431" s="2" t="str">
        <f>IFERROR(__xludf.DUMMYFUNCTION("GOOGLETRANSLATE(A18431, ""en"", ""mt"")"),"X'tifhem it-tumuri li jinstabu wkoll fuq ċelloli normali?")</f>
        <v>X'tifhem it-tumuri li jinstabu wkoll fuq ċelloli normali?</v>
      </c>
    </row>
    <row r="18432" ht="15.75" customHeight="1">
      <c r="A18432" s="2" t="s">
        <v>18432</v>
      </c>
      <c r="B18432" s="2" t="str">
        <f>IFERROR(__xludf.DUMMYFUNCTION("GOOGLETRANSLATE(A18432, ""en"", ""mt"")"),"Trattat dwar l-Unjoni Ewropea (TEU) u t-Trattat dwar il-Funzjonament tal-Unjoni Ewropea (TFEU)")</f>
        <v>Trattat dwar l-Unjoni Ewropea (TEU) u t-Trattat dwar il-Funzjonament tal-Unjoni Ewropea (TFEU)</v>
      </c>
    </row>
    <row r="18433" ht="15.75" customHeight="1">
      <c r="A18433" s="2" t="s">
        <v>18433</v>
      </c>
      <c r="B18433" s="2" t="str">
        <f>IFERROR(__xludf.DUMMYFUNCTION("GOOGLETRANSLATE(A18433, ""en"", ""mt"")"),"Il-kobor tar-riżultant ivarja mix-xebh ta 'xiex?")</f>
        <v>Il-kobor tar-riżultant ivarja mix-xebh ta 'xiex?</v>
      </c>
    </row>
    <row r="18434" ht="15.75" customHeight="1">
      <c r="A18434" s="2" t="s">
        <v>18434</v>
      </c>
      <c r="B18434" s="2" t="str">
        <f>IFERROR(__xludf.DUMMYFUNCTION("GOOGLETRANSLATE(A18434, ""en"", ""mt"")")," Min kien l-ewwel president elett demokratikament barra mill-Eġittu?")</f>
        <v> Min kien l-ewwel president elett demokratikament barra mill-Eġittu?</v>
      </c>
    </row>
    <row r="18435" ht="15.75" customHeight="1">
      <c r="A18435" s="2" t="s">
        <v>18435</v>
      </c>
      <c r="B18435" s="2" t="str">
        <f>IFERROR(__xludf.DUMMYFUNCTION("GOOGLETRANSLATE(A18435, ""en"", ""mt"")"),"Liema funzjoni tintuża minn algoritmi biex tiddefinixxi kejl bħall-ħin jew l-ispazju?")</f>
        <v>Liema funzjoni tintuża minn algoritmi biex tiddefinixxi kejl bħall-ħin jew l-ispazju?</v>
      </c>
    </row>
    <row r="18436" ht="15.75" customHeight="1">
      <c r="A18436" s="2" t="s">
        <v>18436</v>
      </c>
      <c r="B18436" s="2" t="str">
        <f>IFERROR(__xludf.DUMMYFUNCTION("GOOGLETRANSLATE(A18436, ""en"", ""mt"")"),"X’")</f>
        <v>X’</v>
      </c>
    </row>
    <row r="18437" ht="15.75" customHeight="1">
      <c r="A18437" s="2" t="s">
        <v>18437</v>
      </c>
      <c r="B18437" s="2" t="str">
        <f>IFERROR(__xludf.DUMMYFUNCTION("GOOGLETRANSLATE(A18437, ""en"", ""mt"")"),"Old Rhine Bridge")</f>
        <v>Old Rhine Bridge</v>
      </c>
    </row>
    <row r="18438" ht="15.75" customHeight="1">
      <c r="A18438" s="2" t="s">
        <v>18438</v>
      </c>
      <c r="B18438" s="2" t="str">
        <f>IFERROR(__xludf.DUMMYFUNCTION("GOOGLETRANSLATE(A18438, ""en"", ""mt"")"),"Meta twaqqfet l-Università Rjali ta 'Varsavja?")</f>
        <v>Meta twaqqfet l-Università Rjali ta 'Varsavja?</v>
      </c>
    </row>
    <row r="18439" ht="15.75" customHeight="1">
      <c r="A18439" s="2" t="s">
        <v>18439</v>
      </c>
      <c r="B18439" s="2" t="str">
        <f>IFERROR(__xludf.DUMMYFUNCTION("GOOGLETRANSLATE(A18439, ""en"", ""mt"")"),"ibbażat fil-komunità")</f>
        <v>ibbażat fil-komunità</v>
      </c>
    </row>
    <row r="18440" ht="15.75" customHeight="1">
      <c r="A18440" s="2" t="s">
        <v>18440</v>
      </c>
      <c r="B18440" s="2" t="str">
        <f>IFERROR(__xludf.DUMMYFUNCTION("GOOGLETRANSLATE(A18440, ""en"", ""mt"")"),"Ċelloli Killer Naturali Ċitotossiċi u CTLs")</f>
        <v>Ċelloli Killer Naturali Ċitotossiċi u CTLs</v>
      </c>
    </row>
    <row r="18441" ht="15.75" customHeight="1">
      <c r="A18441" s="2" t="s">
        <v>18441</v>
      </c>
      <c r="B18441" s="2" t="str">
        <f>IFERROR(__xludf.DUMMYFUNCTION("GOOGLETRANSLATE(A18441, ""en"", ""mt"")"),"Kemm mili madwar l-Oċean Atlantiku jivvjaġġa t-trab tas-Saharan?")</f>
        <v>Kemm mili madwar l-Oċean Atlantiku jivvjaġġa t-trab tas-Saharan?</v>
      </c>
    </row>
    <row r="18442" ht="15.75" customHeight="1">
      <c r="A18442" s="2" t="s">
        <v>18442</v>
      </c>
      <c r="B18442" s="2" t="str">
        <f>IFERROR(__xludf.DUMMYFUNCTION("GOOGLETRANSLATE(A18442, ""en"", ""mt"")"),"Kif wasal il-wan biex ikollu l-4 skejjel tal-mediċina?")</f>
        <v>Kif wasal il-wan biex ikollu l-4 skejjel tal-mediċina?</v>
      </c>
    </row>
    <row r="18443" ht="15.75" customHeight="1">
      <c r="A18443" s="2" t="s">
        <v>18443</v>
      </c>
      <c r="B18443" s="2" t="str">
        <f>IFERROR(__xludf.DUMMYFUNCTION("GOOGLETRANSLATE(A18443, ""en"", ""mt"")"),"Kemm fatturi ta 'saħħa u problemi soċjali identifikaw Wilkinson u Pickett?")</f>
        <v>Kemm fatturi ta 'saħħa u problemi soċjali identifikaw Wilkinson u Pickett?</v>
      </c>
    </row>
    <row r="18444" ht="15.75" customHeight="1">
      <c r="A18444" s="2" t="s">
        <v>18444</v>
      </c>
      <c r="B18444" s="2" t="str">
        <f>IFERROR(__xludf.DUMMYFUNCTION("GOOGLETRANSLATE(A18444, ""en"", ""mt"")"),"Kemm abitanti kienu jemmnu li Betty Meggers jistgħu jokkupaw kull kilometru kwadru tal-Amażonja?")</f>
        <v>Kemm abitanti kienu jemmnu li Betty Meggers jistgħu jokkupaw kull kilometru kwadru tal-Amażonja?</v>
      </c>
    </row>
    <row r="18445" ht="15.75" customHeight="1">
      <c r="A18445" s="2" t="s">
        <v>18445</v>
      </c>
      <c r="B18445" s="2" t="str">
        <f>IFERROR(__xludf.DUMMYFUNCTION("GOOGLETRANSLATE(A18445, ""en"", ""mt"")"),"Ġew miktuba algoritmi li jsolvu l-problema fi żminijiet raġonevoli f'ħafna każijiet")</f>
        <v>Ġew miktuba algoritmi li jsolvu l-problema fi żminijiet raġonevoli f'ħafna każijiet</v>
      </c>
    </row>
    <row r="18446" ht="15.75" customHeight="1">
      <c r="A18446" s="2" t="s">
        <v>18446</v>
      </c>
      <c r="B18446" s="2" t="str">
        <f>IFERROR(__xludf.DUMMYFUNCTION("GOOGLETRANSLATE(A18446, ""en"", ""mt"")"),"riċetturi")</f>
        <v>riċetturi</v>
      </c>
    </row>
    <row r="18447" ht="15.75" customHeight="1">
      <c r="A18447" s="2" t="s">
        <v>18447</v>
      </c>
      <c r="B18447" s="2" t="str">
        <f>IFERROR(__xludf.DUMMYFUNCTION("GOOGLETRANSLATE(A18447, ""en"", ""mt"")"),"Issolvi kwalunkwe problema f'C")</f>
        <v>Issolvi kwalunkwe problema f'C</v>
      </c>
    </row>
    <row r="18448" ht="15.75" customHeight="1">
      <c r="A18448" s="2" t="s">
        <v>18448</v>
      </c>
      <c r="B18448" s="2" t="str">
        <f>IFERROR(__xludf.DUMMYFUNCTION("GOOGLETRANSLATE(A18448, ""en"", ""mt"")"),"F'liema distretti huma n-numri tar-reġistrazzjoni għad-dgħajjes kollha tal-istess tip?")</f>
        <v>F'liema distretti huma n-numri tar-reġistrazzjoni għad-dgħajjes kollha tal-istess tip?</v>
      </c>
    </row>
    <row r="18449" ht="15.75" customHeight="1">
      <c r="A18449" s="2" t="s">
        <v>18449</v>
      </c>
      <c r="B18449" s="2" t="str">
        <f>IFERROR(__xludf.DUMMYFUNCTION("GOOGLETRANSLATE(A18449, ""en"", ""mt"")"),"Kemm kienet twila Varsavja l-kapitali tal-Commonwealth Pollakk-Litwana?")</f>
        <v>Kemm kienet twila Varsavja l-kapitali tal-Commonwealth Pollakk-Litwana?</v>
      </c>
    </row>
    <row r="18450" ht="15.75" customHeight="1">
      <c r="A18450" s="2" t="s">
        <v>18450</v>
      </c>
      <c r="B18450" s="2" t="str">
        <f>IFERROR(__xludf.DUMMYFUNCTION("GOOGLETRANSLATE(A18450, ""en"", ""mt"")"),"Dubbidjenza ċivili indiretta")</f>
        <v>Dubbidjenza ċivili indiretta</v>
      </c>
    </row>
    <row r="18451" ht="15.75" customHeight="1">
      <c r="A18451" s="2" t="s">
        <v>18451</v>
      </c>
      <c r="B18451" s="2" t="str">
        <f>IFERROR(__xludf.DUMMYFUNCTION("GOOGLETRANSLATE(A18451, ""en"", ""mt"")"),"0.2 abitanti kull kilometru kwadru")</f>
        <v>0.2 abitanti kull kilometru kwadru</v>
      </c>
    </row>
    <row r="18452" ht="15.75" customHeight="1">
      <c r="A18452" s="2" t="s">
        <v>18452</v>
      </c>
      <c r="B18452" s="2" t="str">
        <f>IFERROR(__xludf.DUMMYFUNCTION("GOOGLETRANSLATE(A18452, ""en"", ""mt"")"),"X'jagħmel it-tentilla ta 'Euplokamis differenti minn Cysippids oħra?")</f>
        <v>X'jagħmel it-tentilla ta 'Euplokamis differenti minn Cysippids oħra?</v>
      </c>
    </row>
    <row r="18453" ht="15.75" customHeight="1">
      <c r="A18453" s="2" t="s">
        <v>18453</v>
      </c>
      <c r="B18453" s="2" t="str">
        <f>IFERROR(__xludf.DUMMYFUNCTION("GOOGLETRANSLATE(A18453, ""en"", ""mt"")"),"427,652")</f>
        <v>427,652</v>
      </c>
    </row>
    <row r="18454" ht="15.75" customHeight="1">
      <c r="A18454" s="2" t="s">
        <v>18454</v>
      </c>
      <c r="B18454" s="2" t="str">
        <f>IFERROR(__xludf.DUMMYFUNCTION("GOOGLETRANSLATE(A18454, ""en"", ""mt"")"),"L-aħħar tas-snin 1960")</f>
        <v>L-aħħar tas-snin 1960</v>
      </c>
    </row>
    <row r="18455" ht="15.75" customHeight="1">
      <c r="A18455" s="2" t="s">
        <v>18455</v>
      </c>
      <c r="B18455" s="2" t="str">
        <f>IFERROR(__xludf.DUMMYFUNCTION("GOOGLETRANSLATE(A18455, ""en"", ""mt"")"),"Kodiċi taihō (701) u ddikjarat mill-ġdid fil-kodiċi yōrō")</f>
        <v>Kodiċi taihō (701) u ddikjarat mill-ġdid fil-kodiċi yōrō</v>
      </c>
    </row>
    <row r="18456" ht="15.75" customHeight="1">
      <c r="A18456" s="2" t="s">
        <v>18456</v>
      </c>
      <c r="B18456" s="2" t="str">
        <f>IFERROR(__xludf.DUMMYFUNCTION("GOOGLETRANSLATE(A18456, ""en"", ""mt"")"),"Min qabad Port Beausejour?")</f>
        <v>Min qabad Port Beausejour?</v>
      </c>
    </row>
    <row r="18457" ht="15.75" customHeight="1">
      <c r="A18457" s="2" t="s">
        <v>18457</v>
      </c>
      <c r="B18457" s="2" t="str">
        <f>IFERROR(__xludf.DUMMYFUNCTION("GOOGLETRANSLATE(A18457, ""en"", ""mt"")"),"Liema laqgħat huma magħluqa għall-pubbliku?")</f>
        <v>Liema laqgħat huma magħluqa għall-pubbliku?</v>
      </c>
    </row>
    <row r="18458" ht="15.75" customHeight="1">
      <c r="A18458" s="2" t="s">
        <v>18458</v>
      </c>
      <c r="B18458" s="2" t="str">
        <f>IFERROR(__xludf.DUMMYFUNCTION("GOOGLETRANSLATE(A18458, ""en"", ""mt"")"),"Sorċerija")</f>
        <v>Sorċerija</v>
      </c>
    </row>
    <row r="18459" ht="15.75" customHeight="1">
      <c r="A18459" s="2" t="s">
        <v>18459</v>
      </c>
      <c r="B18459" s="2" t="str">
        <f>IFERROR(__xludf.DUMMYFUNCTION("GOOGLETRANSLATE(A18459, ""en"", ""mt"")"),"Min irrifjuta li jaġixxi sakemm Washington approva l-pjanijiet?")</f>
        <v>Min irrifjuta li jaġixxi sakemm Washington approva l-pjanijiet?</v>
      </c>
    </row>
    <row r="18460" ht="15.75" customHeight="1">
      <c r="A18460" s="2" t="s">
        <v>18460</v>
      </c>
      <c r="B18460" s="2" t="str">
        <f>IFERROR(__xludf.DUMMYFUNCTION("GOOGLETRANSLATE(A18460, ""en"", ""mt"")"),"Xi jfisser żieda fil-konċentrazzjonijiet ta 'ossiġnu fil-pulmuni tal-pazjent?")</f>
        <v>Xi jfisser żieda fil-konċentrazzjonijiet ta 'ossiġnu fil-pulmuni tal-pazjent?</v>
      </c>
    </row>
    <row r="18461" ht="15.75" customHeight="1">
      <c r="A18461" s="2" t="s">
        <v>18461</v>
      </c>
      <c r="B18461" s="2" t="str">
        <f>IFERROR(__xludf.DUMMYFUNCTION("GOOGLETRANSLATE(A18461, ""en"", ""mt"")"),"tbaħħir")</f>
        <v>tbaħħir</v>
      </c>
    </row>
    <row r="18462" ht="15.75" customHeight="1">
      <c r="A18462" s="2" t="s">
        <v>18462</v>
      </c>
      <c r="B18462" s="2" t="str">
        <f>IFERROR(__xludf.DUMMYFUNCTION("GOOGLETRANSLATE(A18462, ""en"", ""mt"")"),"X'kienet imsejħa veduta simili dwar il-kontinent Asjatiku?")</f>
        <v>X'kienet imsejħa veduta simili dwar il-kontinent Asjatiku?</v>
      </c>
    </row>
    <row r="18463" ht="15.75" customHeight="1">
      <c r="A18463" s="2" t="s">
        <v>18463</v>
      </c>
      <c r="B18463" s="2" t="str">
        <f>IFERROR(__xludf.DUMMYFUNCTION("GOOGLETRANSLATE(A18463, ""en"", ""mt"")"),"Liema minerali huwa miktub bħala fe1 - ox?")</f>
        <v>Liema minerali huwa miktub bħala fe1 - ox?</v>
      </c>
    </row>
    <row r="18464" ht="15.75" customHeight="1">
      <c r="A18464" s="2" t="s">
        <v>18464</v>
      </c>
      <c r="B18464" s="2" t="str">
        <f>IFERROR(__xludf.DUMMYFUNCTION("GOOGLETRANSLATE(A18464, ""en"", ""mt"")"),"Ekwilibriju statiku bejn tliet sorsi huwa mod kif tagħmel?")</f>
        <v>Ekwilibriju statiku bejn tliet sorsi huwa mod kif tagħmel?</v>
      </c>
    </row>
    <row r="18465" ht="15.75" customHeight="1">
      <c r="A18465" s="2" t="s">
        <v>18465</v>
      </c>
      <c r="B18465" s="2" t="str">
        <f>IFERROR(__xludf.DUMMYFUNCTION("GOOGLETRANSLATE(A18465, ""en"", ""mt"")"),"Żona Metropolitana ta 'Boston")</f>
        <v>Żona Metropolitana ta 'Boston</v>
      </c>
    </row>
    <row r="18466" ht="15.75" customHeight="1">
      <c r="A18466" s="2" t="s">
        <v>18466</v>
      </c>
      <c r="B18466" s="2" t="str">
        <f>IFERROR(__xludf.DUMMYFUNCTION("GOOGLETRANSLATE(A18466, ""en"", ""mt"")"),"Iċ-Ċina")</f>
        <v>Iċ-Ċina</v>
      </c>
    </row>
    <row r="18467" ht="15.75" customHeight="1">
      <c r="A18467" s="2" t="s">
        <v>18467</v>
      </c>
      <c r="B18467" s="2" t="str">
        <f>IFERROR(__xludf.DUMMYFUNCTION("GOOGLETRANSLATE(A18467, ""en"", ""mt"")"),"Marshall Cohen")</f>
        <v>Marshall Cohen</v>
      </c>
    </row>
    <row r="18468" ht="15.75" customHeight="1">
      <c r="A18468" s="2" t="s">
        <v>18468</v>
      </c>
      <c r="B18468" s="2" t="str">
        <f>IFERROR(__xludf.DUMMYFUNCTION("GOOGLETRANSLATE(A18468, ""en"", ""mt"")"),"probabilistiku")</f>
        <v>probabilistiku</v>
      </c>
    </row>
    <row r="18469" ht="15.75" customHeight="1">
      <c r="A18469" s="2" t="s">
        <v>18469</v>
      </c>
      <c r="B18469" s="2" t="str">
        <f>IFERROR(__xludf.DUMMYFUNCTION("GOOGLETRANSLATE(A18469, ""en"", ""mt"")"),"X’kien jemmen Thoreau dwar li tkellem lill-uffiċjali tal-pulizija?")</f>
        <v>X’kien jemmen Thoreau dwar li tkellem lill-uffiċjali tal-pulizija?</v>
      </c>
    </row>
    <row r="18470" ht="15.75" customHeight="1">
      <c r="A18470" s="2" t="s">
        <v>18470</v>
      </c>
      <c r="B18470" s="2" t="str">
        <f>IFERROR(__xludf.DUMMYFUNCTION("GOOGLETRANSLATE(A18470, ""en"", ""mt"")"),"il-qu")</f>
        <v>il-qu</v>
      </c>
    </row>
    <row r="18471" ht="15.75" customHeight="1">
      <c r="A18471" s="2" t="s">
        <v>18471</v>
      </c>
      <c r="B18471" s="2" t="str">
        <f>IFERROR(__xludf.DUMMYFUNCTION("GOOGLETRANSLATE(A18471, ""en"", ""mt"")"),"Meta ġie kkoreġut il-kejl tar-Rhine lura għall-oriġinal?")</f>
        <v>Meta ġie kkoreġut il-kejl tar-Rhine lura għall-oriġinal?</v>
      </c>
    </row>
    <row r="18472" ht="15.75" customHeight="1">
      <c r="A18472" s="2" t="s">
        <v>18472</v>
      </c>
      <c r="B18472" s="2" t="str">
        <f>IFERROR(__xludf.DUMMYFUNCTION("GOOGLETRANSLATE(A18472, ""en"", ""mt"")"),"MHC waħda: molekula tal-antiġen")</f>
        <v>MHC waħda: molekula tal-antiġen</v>
      </c>
    </row>
    <row r="18473" ht="15.75" customHeight="1">
      <c r="A18473" s="2" t="s">
        <v>18473</v>
      </c>
      <c r="B18473" s="2" t="str">
        <f>IFERROR(__xludf.DUMMYFUNCTION("GOOGLETRANSLATE(A18473, ""en"", ""mt"")"),"Ċittadin jista 'jistrieħ fuq id-direttiva f'tali azzjoni (hekk imsejjaħ effett dirett ""vertikali"")")</f>
        <v>Ċittadin jista 'jistrieħ fuq id-direttiva f'tali azzjoni (hekk imsejjaħ effett dirett "vertikali")</v>
      </c>
    </row>
    <row r="18474" ht="15.75" customHeight="1">
      <c r="A18474" s="2" t="s">
        <v>18474</v>
      </c>
      <c r="B18474" s="2" t="str">
        <f>IFERROR(__xludf.DUMMYFUNCTION("GOOGLETRANSLATE(A18474, ""en"", ""mt"")")," X'irrifjutaw li l-Mongoli jaduraw?")</f>
        <v> X'irrifjutaw li l-Mongoli jaduraw?</v>
      </c>
    </row>
    <row r="18475" ht="15.75" customHeight="1">
      <c r="A18475" s="2" t="s">
        <v>18475</v>
      </c>
      <c r="B18475" s="2" t="str">
        <f>IFERROR(__xludf.DUMMYFUNCTION("GOOGLETRANSLATE(A18475, ""en"", ""mt"")"),"L-aċċess jista 'jkun permezz ta' terminal dial-up ma 'kuxxinett, jew, billi jgħaqqad nodu permanenti X.25 man-netwerk")</f>
        <v>L-aċċess jista 'jkun permezz ta' terminal dial-up ma 'kuxxinett, jew, billi jgħaqqad nodu permanenti X.25 man-netwerk</v>
      </c>
    </row>
    <row r="18476" ht="15.75" customHeight="1">
      <c r="A18476" s="2" t="s">
        <v>18476</v>
      </c>
      <c r="B18476" s="2" t="str">
        <f>IFERROR(__xludf.DUMMYFUNCTION("GOOGLETRANSLATE(A18476, ""en"", ""mt"")"),"100-150 speċi")</f>
        <v>100-150 speċi</v>
      </c>
    </row>
    <row r="18477" ht="15.75" customHeight="1">
      <c r="A18477" s="2" t="s">
        <v>18477</v>
      </c>
      <c r="B18477" s="2" t="str">
        <f>IFERROR(__xludf.DUMMYFUNCTION("GOOGLETRANSLATE(A18477, ""en"", ""mt"")"),"X'kien l-għan ta 'din id-diżubbidjenza Rumana?")</f>
        <v>X'kien l-għan ta 'din id-diżubbidjenza Rumana?</v>
      </c>
    </row>
    <row r="18478" ht="15.75" customHeight="1">
      <c r="A18478" s="2" t="s">
        <v>18478</v>
      </c>
      <c r="B18478" s="2" t="str">
        <f>IFERROR(__xludf.DUMMYFUNCTION("GOOGLETRANSLATE(A18478, ""en"", ""mt"")"),"Saffir-Simpson")</f>
        <v>Saffir-Simpson</v>
      </c>
    </row>
    <row r="18479" ht="15.75" customHeight="1">
      <c r="A18479" s="2" t="s">
        <v>18479</v>
      </c>
      <c r="B18479" s="2" t="str">
        <f>IFERROR(__xludf.DUMMYFUNCTION("GOOGLETRANSLATE(A18479, ""en"", ""mt"")"),"X'tip ta 'protesta taqa' taħt diżubbidjenza ċivili mingħajr aggressjoni?")</f>
        <v>X'tip ta 'protesta taqa' taħt diżubbidjenza ċivili mingħajr aggressjoni?</v>
      </c>
    </row>
    <row r="18480" ht="15.75" customHeight="1">
      <c r="A18480" s="2" t="s">
        <v>18480</v>
      </c>
      <c r="B18480" s="2" t="str">
        <f>IFERROR(__xludf.DUMMYFUNCTION("GOOGLETRANSLATE(A18480, ""en"", ""mt"")")," Kemm provinċji ma kienx fih l-Imperu Ottoman fis-seklu 17?")</f>
        <v> Kemm provinċji ma kienx fih l-Imperu Ottoman fis-seklu 17?</v>
      </c>
    </row>
    <row r="18481" ht="15.75" customHeight="1">
      <c r="A18481" s="2" t="s">
        <v>18481</v>
      </c>
      <c r="B18481" s="2" t="str">
        <f>IFERROR(__xludf.DUMMYFUNCTION("GOOGLETRANSLATE(A18481, ""en"", ""mt"")"),"Imneħħi f'Kondensatur")</f>
        <v>Imneħħi f'Kondensatur</v>
      </c>
    </row>
    <row r="18482" ht="15.75" customHeight="1">
      <c r="A18482" s="2" t="s">
        <v>18482</v>
      </c>
      <c r="B18482" s="2" t="str">
        <f>IFERROR(__xludf.DUMMYFUNCTION("GOOGLETRANSLATE(A18482, ""en"", ""mt"")"),"X'jista 'jirriżulta fil-ħolqien ta' nassa tal-faqar?")</f>
        <v>X'jista 'jirriżulta fil-ħolqien ta' nassa tal-faqar?</v>
      </c>
    </row>
    <row r="18483" ht="15.75" customHeight="1">
      <c r="A18483" s="2" t="s">
        <v>18483</v>
      </c>
      <c r="B18483" s="2" t="str">
        <f>IFERROR(__xludf.DUMMYFUNCTION("GOOGLETRANSLATE(A18483, ""en"", ""mt"")"),"X'inhuma meħuda mill-laboratorju fil-qasam?")</f>
        <v>X'inhuma meħuda mill-laboratorju fil-qasam?</v>
      </c>
    </row>
    <row r="18484" ht="15.75" customHeight="1">
      <c r="A18484" s="2" t="s">
        <v>18484</v>
      </c>
      <c r="B18484" s="2" t="str">
        <f>IFERROR(__xludf.DUMMYFUNCTION("GOOGLETRANSLATE(A18484, ""en"", ""mt"")"),"Is-sistema tal-librerija tal-Università ta ’Chicago tiġbor fiha sitt libreriji li fihom total ta’ 9.8 miljun volum, il-11 l-iktar fost is-sistemi tal-librerija fl-Istati Uniti. Il-librerija ewlenija tal-università hija l-Librerija Regenstein, li fiha waħd"&amp;"a mill-ikbar kollezzjonijiet ta 'volumi stampati fl-Istati Uniti. Il-librerija Joe u Rika Mansueto, mibnija fl-2011, tospita spazju kbir ta 'studju u sistema awtomatika ta' ħażna u rkupru ta 'kotba. Il-librerija John Crerar fiha aktar minn 1.3 miljun volu"&amp;"m fix-xjenzi bijoloġiċi, mediċi u fiżiċi u kollezzjonijiet fix-xjenza ġenerali u l-filosofija u l-istorja tax-xjenza, il-mediċina, u t-teknoloġija. L-università topera wkoll numru ta 'libreriji speċjali, inklużi l-Librerija tal-Liġi D'Angelo, il-Librerija"&amp;" tal-Amministrazzjoni tas-Servizz Soċjali, u l-Librerija Eckhart għall-Matematika u x-Xjenza tal-Kompjuter, li għalqet temporanjament għar-rinnovazzjoni fit-8 ta' Lulju, 2013. Harper Memorial Library m'għadhiex fih xi volumi; Madankollu huwa, minbarra l-l"&amp;"ibrerija Regenstein, spazju ta 'studju ta' 24 siegħa fuq il-kampus.")</f>
        <v>Is-sistema tal-librerija tal-Università ta ’Chicago tiġbor fiha sitt libreriji li fihom total ta’ 9.8 miljun volum, il-11 l-iktar fost is-sistemi tal-librerija fl-Istati Uniti. Il-librerija ewlenija tal-università hija l-Librerija Regenstein, li fiha waħda mill-ikbar kollezzjonijiet ta 'volumi stampati fl-Istati Uniti. Il-librerija Joe u Rika Mansueto, mibnija fl-2011, tospita spazju kbir ta 'studju u sistema awtomatika ta' ħażna u rkupru ta 'kotba. Il-librerija John Crerar fiha aktar minn 1.3 miljun volum fix-xjenzi bijoloġiċi, mediċi u fiżiċi u kollezzjonijiet fix-xjenza ġenerali u l-filosofija u l-istorja tax-xjenza, il-mediċina, u t-teknoloġija. L-università topera wkoll numru ta 'libreriji speċjali, inklużi l-Librerija tal-Liġi D'Angelo, il-Librerija tal-Amministrazzjoni tas-Servizz Soċjali, u l-Librerija Eckhart għall-Matematika u x-Xjenza tal-Kompjuter, li għalqet temporanjament għar-rinnovazzjoni fit-8 ta' Lulju, 2013. Harper Memorial Library m'għadhiex fih xi volumi; Madankollu huwa, minbarra l-librerija Regenstein, spazju ta 'studju ta' 24 siegħa fuq il-kampus.</v>
      </c>
    </row>
    <row r="18485" ht="15.75" customHeight="1">
      <c r="A18485" s="2" t="s">
        <v>18485</v>
      </c>
      <c r="B18485" s="2" t="str">
        <f>IFERROR(__xludf.DUMMYFUNCTION("GOOGLETRANSLATE(A18485, ""en"", ""mt"")"),"estinzjoni tad-dinosawri")</f>
        <v>estinzjoni tad-dinosawri</v>
      </c>
    </row>
    <row r="18486" ht="15.75" customHeight="1">
      <c r="A18486" s="2" t="s">
        <v>18486</v>
      </c>
      <c r="B18486" s="2" t="str">
        <f>IFERROR(__xludf.DUMMYFUNCTION("GOOGLETRANSLATE(A18486, ""en"", ""mt"")"),"2")</f>
        <v>2</v>
      </c>
    </row>
    <row r="18487" ht="15.75" customHeight="1">
      <c r="A18487" s="2" t="s">
        <v>18487</v>
      </c>
      <c r="B18487" s="2" t="str">
        <f>IFERROR(__xludf.DUMMYFUNCTION("GOOGLETRANSLATE(A18487, ""en"", ""mt"")"),"Liema pajjiż ma jintlaqatx ħażin mill-embargo?")</f>
        <v>Liema pajjiż ma jintlaqatx ħażin mill-embargo?</v>
      </c>
    </row>
    <row r="18488" ht="15.75" customHeight="1">
      <c r="A18488" s="2" t="s">
        <v>18488</v>
      </c>
      <c r="B18488" s="2" t="str">
        <f>IFERROR(__xludf.DUMMYFUNCTION("GOOGLETRANSLATE(A18488, ""en"", ""mt"")"),"Difiża tal-ħtieġa")</f>
        <v>Difiża tal-ħtieġa</v>
      </c>
    </row>
    <row r="18489" ht="15.75" customHeight="1">
      <c r="A18489" s="2" t="s">
        <v>18489</v>
      </c>
      <c r="B18489" s="2" t="str">
        <f>IFERROR(__xludf.DUMMYFUNCTION("GOOGLETRANSLATE(A18489, ""en"", ""mt"")"),"L-Imperu Brittaniku")</f>
        <v>L-Imperu Brittaniku</v>
      </c>
    </row>
    <row r="18490" ht="15.75" customHeight="1">
      <c r="A18490" s="2" t="s">
        <v>18490</v>
      </c>
      <c r="B18490" s="2" t="str">
        <f>IFERROR(__xludf.DUMMYFUNCTION("GOOGLETRANSLATE(A18490, ""en"", ""mt"")"),"Parteċipant fl-IPCC u jikkoordina l-awtur taċ-ċomb tal-Ħames Rapport ta 'Valutazzjoni")</f>
        <v>Parteċipant fl-IPCC u jikkoordina l-awtur taċ-ċomb tal-Ħames Rapport ta 'Valutazzjoni</v>
      </c>
    </row>
    <row r="18491" ht="15.75" customHeight="1">
      <c r="A18491" s="2" t="s">
        <v>18491</v>
      </c>
      <c r="B18491" s="2" t="str">
        <f>IFERROR(__xludf.DUMMYFUNCTION("GOOGLETRANSLATE(A18491, ""en"", ""mt"")"),"Il-forzi tal-Punent meta invadew l-Iraq?")</f>
        <v>Il-forzi tal-Punent meta invadew l-Iraq?</v>
      </c>
    </row>
    <row r="18492" ht="15.75" customHeight="1">
      <c r="A18492" s="2" t="s">
        <v>18492</v>
      </c>
      <c r="B18492" s="2" t="str">
        <f>IFERROR(__xludf.DUMMYFUNCTION("GOOGLETRANSLATE(A18492, ""en"", ""mt"")"),"Fejn jistgħu jinstabu klassijiet ta 'kumplessità RPP, BPP, PPP, BQP, MA, u PH?")</f>
        <v>Fejn jistgħu jinstabu klassijiet ta 'kumplessità RPP, BPP, PPP, BQP, MA, u PH?</v>
      </c>
    </row>
    <row r="18493" ht="15.75" customHeight="1">
      <c r="A18493" s="2" t="s">
        <v>18493</v>
      </c>
      <c r="B18493" s="2" t="str">
        <f>IFERROR(__xludf.DUMMYFUNCTION("GOOGLETRANSLATE(A18493, ""en"", ""mt"")"),"Ħafna skart")</f>
        <v>Ħafna skart</v>
      </c>
    </row>
    <row r="18494" ht="15.75" customHeight="1">
      <c r="A18494" s="2" t="s">
        <v>18494</v>
      </c>
      <c r="B18494" s="2" t="str">
        <f>IFERROR(__xludf.DUMMYFUNCTION("GOOGLETRANSLATE(A18494, ""en"", ""mt"")"),"X'tagħmel l-ippumpjar tal-ilma fil-Mesoglea?")</f>
        <v>X'tagħmel l-ippumpjar tal-ilma fil-Mesoglea?</v>
      </c>
    </row>
    <row r="18495" ht="15.75" customHeight="1">
      <c r="A18495" s="2" t="s">
        <v>18495</v>
      </c>
      <c r="B18495" s="2" t="str">
        <f>IFERROR(__xludf.DUMMYFUNCTION("GOOGLETRANSLATE(A18495, ""en"", ""mt"")"),"Liema qafas ta 'żmien ikopri l-gwerra ta' sitt snin?")</f>
        <v>Liema qafas ta 'żmien ikopri l-gwerra ta' sitt snin?</v>
      </c>
    </row>
    <row r="18496" ht="15.75" customHeight="1">
      <c r="A18496" s="2" t="s">
        <v>18496</v>
      </c>
      <c r="B18496" s="2" t="str">
        <f>IFERROR(__xludf.DUMMYFUNCTION("GOOGLETRANSLATE(A18496, ""en"", ""mt"")"),"Kemm studenti l-università rreġistraw fil-ħames diviżjonijiet tal-gradwati tagħha fl-2014?")</f>
        <v>Kemm studenti l-università rreġistraw fil-ħames diviżjonijiet tal-gradwati tagħha fl-2014?</v>
      </c>
    </row>
    <row r="18497" ht="15.75" customHeight="1">
      <c r="A18497" s="2" t="s">
        <v>18497</v>
      </c>
      <c r="B18497" s="2" t="str">
        <f>IFERROR(__xludf.DUMMYFUNCTION("GOOGLETRANSLATE(A18497, ""en"", ""mt"")"),"X'tip ta 'skrivan qiegħed wara l-uffiċjal li jippresiedi?")</f>
        <v>X'tip ta 'skrivan qiegħed wara l-uffiċjal li jippresiedi?</v>
      </c>
    </row>
    <row r="18498" ht="15.75" customHeight="1">
      <c r="A18498" s="2" t="s">
        <v>18498</v>
      </c>
      <c r="B18498" s="2" t="str">
        <f>IFERROR(__xludf.DUMMYFUNCTION("GOOGLETRANSLATE(A18498, ""en"", ""mt"")"),"X'tip ta 'ġeneraturi ta' numri jagħmlu użu minn numri ewlenin?")</f>
        <v>X'tip ta 'ġeneraturi ta' numri jagħmlu użu minn numri ewlenin?</v>
      </c>
    </row>
    <row r="18499" ht="15.75" customHeight="1">
      <c r="A18499" s="2" t="s">
        <v>18499</v>
      </c>
      <c r="B18499" s="2" t="str">
        <f>IFERROR(__xludf.DUMMYFUNCTION("GOOGLETRANSLATE(A18499, ""en"", ""mt"")"),"L-issettjar kollu tal-kura tas-saħħa")</f>
        <v>L-issettjar kollu tal-kura tas-saħħa</v>
      </c>
    </row>
    <row r="18500" ht="15.75" customHeight="1">
      <c r="A18500" s="2" t="s">
        <v>18500</v>
      </c>
      <c r="B18500" s="2" t="str">
        <f>IFERROR(__xludf.DUMMYFUNCTION("GOOGLETRANSLATE(A18500, ""en"", ""mt"")"),"Mill-1970, kemm kienu skejjel privati ​​fi New Zealand?")</f>
        <v>Mill-1970, kemm kienu skejjel privati ​​fi New Zealand?</v>
      </c>
    </row>
    <row r="18501" ht="15.75" customHeight="1">
      <c r="A18501" s="2" t="s">
        <v>18501</v>
      </c>
      <c r="B18501" s="2" t="str">
        <f>IFERROR(__xludf.DUMMYFUNCTION("GOOGLETRANSLATE(A18501, ""en"", ""mt"")"),"fwar")</f>
        <v>fwar</v>
      </c>
    </row>
    <row r="18502" ht="15.75" customHeight="1">
      <c r="A18502" s="2" t="s">
        <v>18502</v>
      </c>
      <c r="B18502" s="2" t="str">
        <f>IFERROR(__xludf.DUMMYFUNCTION("GOOGLETRANSLATE(A18502, ""en"", ""mt"")"),"Interkonnessjoni b'veloċità għolja")</f>
        <v>Interkonnessjoni b'veloċità għolja</v>
      </c>
    </row>
    <row r="18503" ht="15.75" customHeight="1">
      <c r="A18503" s="2" t="s">
        <v>18503</v>
      </c>
      <c r="B18503" s="2" t="str">
        <f>IFERROR(__xludf.DUMMYFUNCTION("GOOGLETRANSLATE(A18503, ""en"", ""mt"")"),"Xi jemmen il-katastrofiżmu għadu qed iseħħ illum?")</f>
        <v>Xi jemmen il-katastrofiżmu għadu qed iseħħ illum?</v>
      </c>
    </row>
    <row r="18504" ht="15.75" customHeight="1">
      <c r="A18504" s="2" t="s">
        <v>18504</v>
      </c>
      <c r="B18504" s="2" t="str">
        <f>IFERROR(__xludf.DUMMYFUNCTION("GOOGLETRANSLATE(A18504, ""en"", ""mt"")"),"Min għen biex iddisinja l-quadrangles ewlenin?")</f>
        <v>Min għen biex iddisinja l-quadrangles ewlenin?</v>
      </c>
    </row>
    <row r="18505" ht="15.75" customHeight="1">
      <c r="A18505" s="2" t="s">
        <v>18505</v>
      </c>
      <c r="B18505" s="2" t="str">
        <f>IFERROR(__xludf.DUMMYFUNCTION("GOOGLETRANSLATE(A18505, ""en"", ""mt"")"),"Deforestazzjoni u Ecocide")</f>
        <v>Deforestazzjoni u Ecocide</v>
      </c>
    </row>
    <row r="18506" ht="15.75" customHeight="1">
      <c r="A18506" s="2" t="s">
        <v>18506</v>
      </c>
      <c r="B18506" s="2" t="str">
        <f>IFERROR(__xludf.DUMMYFUNCTION("GOOGLETRANSLATE(A18506, ""en"", ""mt"")"),"X'inhu xi kultant cnidaria kategorizzat bħal minflok ctenophora?")</f>
        <v>X'inhu xi kultant cnidaria kategorizzat bħal minflok ctenophora?</v>
      </c>
    </row>
    <row r="18507" ht="15.75" customHeight="1">
      <c r="A18507" s="2" t="s">
        <v>18507</v>
      </c>
      <c r="B18507" s="2" t="str">
        <f>IFERROR(__xludf.DUMMYFUNCTION("GOOGLETRANSLATE(A18507, ""en"", ""mt"")"),"Tliet epiċentri")</f>
        <v>Tliet epiċentri</v>
      </c>
    </row>
    <row r="18508" ht="15.75" customHeight="1">
      <c r="A18508" s="2" t="s">
        <v>18508</v>
      </c>
      <c r="B18508" s="2" t="str">
        <f>IFERROR(__xludf.DUMMYFUNCTION("GOOGLETRANSLATE(A18508, ""en"", ""mt"")"),"Il-bużba tal-metrika")</f>
        <v>Il-bużba tal-metrika</v>
      </c>
    </row>
    <row r="18509" ht="15.75" customHeight="1">
      <c r="A18509" s="2" t="s">
        <v>18509</v>
      </c>
      <c r="B18509" s="2" t="str">
        <f>IFERROR(__xludf.DUMMYFUNCTION("GOOGLETRANSLATE(A18509, ""en"", ""mt"")"),"90")</f>
        <v>90</v>
      </c>
    </row>
    <row r="18510" ht="15.75" customHeight="1">
      <c r="A18510" s="2" t="s">
        <v>18510</v>
      </c>
      <c r="B18510" s="2" t="str">
        <f>IFERROR(__xludf.DUMMYFUNCTION("GOOGLETRANSLATE(A18510, ""en"", ""mt"")"),"""Ċittadinanza""")</f>
        <v>"Ċittadinanza"</v>
      </c>
    </row>
    <row r="18511" ht="15.75" customHeight="1">
      <c r="A18511" s="2" t="s">
        <v>18511</v>
      </c>
      <c r="B18511" s="2" t="str">
        <f>IFERROR(__xludf.DUMMYFUNCTION("GOOGLETRANSLATE(A18511, ""en"", ""mt"")"),"Muturi elettriċi")</f>
        <v>Muturi elettriċi</v>
      </c>
    </row>
    <row r="18512" ht="15.75" customHeight="1">
      <c r="A18512" s="2" t="s">
        <v>18512</v>
      </c>
      <c r="B18512" s="2" t="str">
        <f>IFERROR(__xludf.DUMMYFUNCTION("GOOGLETRANSLATE(A18512, ""en"", ""mt"")"),"Pedro Menéndez de Avilés")</f>
        <v>Pedro Menéndez de Avilés</v>
      </c>
    </row>
    <row r="18513" ht="15.75" customHeight="1">
      <c r="A18513" s="2" t="s">
        <v>18513</v>
      </c>
      <c r="B18513" s="2" t="str">
        <f>IFERROR(__xludf.DUMMYFUNCTION("GOOGLETRANSLATE(A18513, ""en"", ""mt"")"),"Lavoisier")</f>
        <v>Lavoisier</v>
      </c>
    </row>
    <row r="18514" ht="15.75" customHeight="1">
      <c r="A18514" s="2" t="s">
        <v>18514</v>
      </c>
      <c r="B18514" s="2" t="str">
        <f>IFERROR(__xludf.DUMMYFUNCTION("GOOGLETRANSLATE(A18514, ""en"", ""mt"")"),"Liema kummidjant huwa wkoll gradwat universitarju?")</f>
        <v>Liema kummidjant huwa wkoll gradwat universitarju?</v>
      </c>
    </row>
    <row r="18515" ht="15.75" customHeight="1">
      <c r="A18515" s="2" t="s">
        <v>18515</v>
      </c>
      <c r="B18515" s="2" t="str">
        <f>IFERROR(__xludf.DUMMYFUNCTION("GOOGLETRANSLATE(A18515, ""en"", ""mt"")"),"Min irrifjuta li jaġixxi sakemm Loudoun ma approvax il-pjanijiet?")</f>
        <v>Min irrifjuta li jaġixxi sakemm Loudoun ma approvax il-pjanijiet?</v>
      </c>
    </row>
    <row r="18516" ht="15.75" customHeight="1">
      <c r="A18516" s="2" t="s">
        <v>18516</v>
      </c>
      <c r="B18516" s="2" t="str">
        <f>IFERROR(__xludf.DUMMYFUNCTION("GOOGLETRANSLATE(A18516, ""en"", ""mt"")"),"Ir-Rebellion Turban Red")</f>
        <v>Ir-Rebellion Turban Red</v>
      </c>
    </row>
    <row r="18517" ht="15.75" customHeight="1">
      <c r="A18517" s="2" t="s">
        <v>18517</v>
      </c>
      <c r="B18517" s="2" t="str">
        <f>IFERROR(__xludf.DUMMYFUNCTION("GOOGLETRANSLATE(A18517, ""en"", ""mt"")"),"Dejjem aktar mistenni li jkun ikkumpensat għall-ħiliet tal-kura tal-pazjent tagħhom")</f>
        <v>Dejjem aktar mistenni li jkun ikkumpensat għall-ħiliet tal-kura tal-pazjent tagħhom</v>
      </c>
    </row>
    <row r="18518" ht="15.75" customHeight="1">
      <c r="A18518" s="2" t="s">
        <v>18518</v>
      </c>
      <c r="B18518" s="2" t="str">
        <f>IFERROR(__xludf.DUMMYFUNCTION("GOOGLETRANSLATE(A18518, ""en"", ""mt"")"),"Il-punt li fih l-iżotopi radjometriċi differenti jieqfu jinxterdu 'l barra u' l barra mill-kannizzata tal-kristall?")</f>
        <v>Il-punt li fih l-iżotopi radjometriċi differenti jieqfu jinxterdu 'l barra u' l barra mill-kannizzata tal-kristall?</v>
      </c>
    </row>
    <row r="18519" ht="15.75" customHeight="1">
      <c r="A18519" s="2" t="s">
        <v>18519</v>
      </c>
      <c r="B18519" s="2" t="str">
        <f>IFERROR(__xludf.DUMMYFUNCTION("GOOGLETRANSLATE(A18519, ""en"", ""mt"")"),"il-kwadrangles ewlenin")</f>
        <v>il-kwadrangles ewlenin</v>
      </c>
    </row>
    <row r="18520" ht="15.75" customHeight="1">
      <c r="A18520" s="2" t="s">
        <v>18520</v>
      </c>
      <c r="B18520" s="2" t="str">
        <f>IFERROR(__xludf.DUMMYFUNCTION("GOOGLETRANSLATE(A18520, ""en"", ""mt"")"),"ormoni")</f>
        <v>ormoni</v>
      </c>
    </row>
    <row r="18521" ht="15.75" customHeight="1">
      <c r="A18521" s="2" t="s">
        <v>18521</v>
      </c>
      <c r="B18521" s="2" t="str">
        <f>IFERROR(__xludf.DUMMYFUNCTION("GOOGLETRANSLATE(A18521, ""en"", ""mt"")"),"Liema valuri huma negozjabbli?")</f>
        <v>Liema valuri huma negozjabbli?</v>
      </c>
    </row>
    <row r="18522" ht="15.75" customHeight="1">
      <c r="A18522" s="2" t="s">
        <v>18522</v>
      </c>
      <c r="B18522" s="2" t="str">
        <f>IFERROR(__xludf.DUMMYFUNCTION("GOOGLETRANSLATE(A18522, ""en"", ""mt"")"),"It-Torok Seljuk")</f>
        <v>It-Torok Seljuk</v>
      </c>
    </row>
    <row r="18523" ht="15.75" customHeight="1">
      <c r="A18523" s="2" t="s">
        <v>18523</v>
      </c>
      <c r="B18523" s="2" t="str">
        <f>IFERROR(__xludf.DUMMYFUNCTION("GOOGLETRANSLATE(A18523, ""en"", ""mt"")"),"fil-kondensatur")</f>
        <v>fil-kondensatur</v>
      </c>
    </row>
    <row r="18524" ht="15.75" customHeight="1">
      <c r="A18524" s="2" t="s">
        <v>18524</v>
      </c>
      <c r="B18524" s="2" t="str">
        <f>IFERROR(__xludf.DUMMYFUNCTION("GOOGLETRANSLATE(A18524, ""en"", ""mt"")"),"Klijent ieħor jista 'jisma' dwar il-mediċini li jieħdu")</f>
        <v>Klijent ieħor jista 'jisma' dwar il-mediċini li jieħdu</v>
      </c>
    </row>
    <row r="18525" ht="15.75" customHeight="1">
      <c r="A18525" s="2" t="s">
        <v>18525</v>
      </c>
      <c r="B18525" s="2" t="str">
        <f>IFERROR(__xludf.DUMMYFUNCTION("GOOGLETRANSLATE(A18525, ""en"", ""mt"")"),"David Suzuki,")</f>
        <v>David Suzuki,</v>
      </c>
    </row>
    <row r="18526" ht="15.75" customHeight="1">
      <c r="A18526" s="2" t="s">
        <v>18526</v>
      </c>
      <c r="B18526" s="2" t="str">
        <f>IFERROR(__xludf.DUMMYFUNCTION("GOOGLETRANSLATE(A18526, ""en"", ""mt"")"),"Dan il-multiplikatur")</f>
        <v>Dan il-multiplikatur</v>
      </c>
    </row>
    <row r="18527" ht="15.75" customHeight="1">
      <c r="A18527" s="2" t="s">
        <v>18527</v>
      </c>
      <c r="B18527" s="2" t="str">
        <f>IFERROR(__xludf.DUMMYFUNCTION("GOOGLETRANSLATE(A18527, ""en"", ""mt"")"),"L-użu ewlieni għat-turbini tal-fwar huwa fil-ġenerazzjoni tal-elettriku (fid-disgħinijiet madwar 90% tal-produzzjoni elettrika tad-dinja kien bl-użu ta 'turbini tal-fwar) madankollu l-applikazzjoni mifruxa reċenti ta' unitajiet kbar ta 'turbina tal-gass u"&amp;" impjanti ta' l-enerġija ċiklu kkombinati tipiċi rriżultat fi tnaqqis Dan il-persentaġġ għar-reġim ta '80% għat-turbini tal-fwar. Fil-produzzjoni tal-elettriku, il-veloċità għolja tar-rotazzjoni tat-turbina taqbel sew mal-veloċità tal-ġeneraturi elettriċi"&amp;" moderni, li huma tipikament konnessi diretti mat-turbini tas-sewqan tagħhom. Fis-servizz tal-baħar, (pijunier fuq it-Turbinia), turbini tal-fwar b'introjjar ta 'tnaqqis (għalkemm it-turbinia għandha turbini diretti għall-iskrejjen mingħajr l-ebda gearbox"&amp;" tat-tnaqqis) iddominaw propulsjoni kbira fuq il-vapuri matul l-aħħar tas-seklu 20, li huma aktar effiċjenti (u jeħtieġu ħafna inqas manutenzjoni) minn magni tal-fwar reċiprokanti. Fl-aħħar għexieren ta 'snin, magni diesel li jirreċiprokaw, u turbini tal-"&amp;"gass, kważi sostitwixxu l-propulsjoni tal-fwar għal applikazzjonijiet tal-baħar.")</f>
        <v>L-użu ewlieni għat-turbini tal-fwar huwa fil-ġenerazzjoni tal-elettriku (fid-disgħinijiet madwar 90% tal-produzzjoni elettrika tad-dinja kien bl-użu ta 'turbini tal-fwar) madankollu l-applikazzjoni mifruxa reċenti ta' unitajiet kbar ta 'turbina tal-gass u impjanti ta' l-enerġija ċiklu kkombinati tipiċi rriżultat fi tnaqqis Dan il-persentaġġ għar-reġim ta '80% għat-turbini tal-fwar. Fil-produzzjoni tal-elettriku, il-veloċità għolja tar-rotazzjoni tat-turbina taqbel sew mal-veloċità tal-ġeneraturi elettriċi moderni, li huma tipikament konnessi diretti mat-turbini tas-sewqan tagħhom. Fis-servizz tal-baħar, (pijunier fuq it-Turbinia), turbini tal-fwar b'introjjar ta 'tnaqqis (għalkemm it-turbinia għandha turbini diretti għall-iskrejjen mingħajr l-ebda gearbox tat-tnaqqis) iddominaw propulsjoni kbira fuq il-vapuri matul l-aħħar tas-seklu 20, li huma aktar effiċjenti (u jeħtieġu ħafna inqas manutenzjoni) minn magni tal-fwar reċiprokanti. Fl-aħħar għexieren ta 'snin, magni diesel li jirreċiprokaw, u turbini tal-gass, kważi sostitwixxu l-propulsjoni tal-fwar għal applikazzjonijiet tal-baħar.</v>
      </c>
    </row>
    <row r="18528" ht="15.75" customHeight="1">
      <c r="A18528" s="2" t="s">
        <v>18528</v>
      </c>
      <c r="B18528" s="2" t="str">
        <f>IFERROR(__xludf.DUMMYFUNCTION("GOOGLETRANSLATE(A18528, ""en"", ""mt"")"),"Meta ġiet rifjutata l-Ispiżerija tal-Kura Ambulatorja bħala ċ-ċertifikazzjoni tagħha stess?")</f>
        <v>Meta ġiet rifjutata l-Ispiżerija tal-Kura Ambulatorja bħala ċ-ċertifikazzjoni tagħha stess?</v>
      </c>
    </row>
    <row r="18529" ht="15.75" customHeight="1">
      <c r="A18529" s="2" t="s">
        <v>18529</v>
      </c>
      <c r="B18529" s="2" t="str">
        <f>IFERROR(__xludf.DUMMYFUNCTION("GOOGLETRANSLATE(A18529, ""en"", ""mt"")"),"Liema nazzjon ħarbu l-iktar Huguenots minn Franza?")</f>
        <v>Liema nazzjon ħarbu l-iktar Huguenots minn Franza?</v>
      </c>
    </row>
    <row r="18530" ht="15.75" customHeight="1">
      <c r="A18530" s="2" t="s">
        <v>18530</v>
      </c>
      <c r="B18530" s="2" t="str">
        <f>IFERROR(__xludf.DUMMYFUNCTION("GOOGLETRANSLATE(A18530, ""en"", ""mt"")"),"Meta ġew meqruda ħafna mill-postijiet ta ’qima reliġjuża f’Varsavja?")</f>
        <v>Meta ġew meqruda ħafna mill-postijiet ta ’qima reliġjuża f’Varsavja?</v>
      </c>
    </row>
    <row r="18531" ht="15.75" customHeight="1">
      <c r="A18531" s="2" t="s">
        <v>18531</v>
      </c>
      <c r="B18531" s="2" t="str">
        <f>IFERROR(__xludf.DUMMYFUNCTION("GOOGLETRANSLATE(A18531, ""en"", ""mt"")"),"1892")</f>
        <v>1892</v>
      </c>
    </row>
    <row r="18532" ht="15.75" customHeight="1">
      <c r="A18532" s="2" t="s">
        <v>18532</v>
      </c>
      <c r="B18532" s="2" t="str">
        <f>IFERROR(__xludf.DUMMYFUNCTION("GOOGLETRANSLATE(A18532, ""en"", ""mt"")"),"3,60")</f>
        <v>3,60</v>
      </c>
    </row>
    <row r="18533" ht="15.75" customHeight="1">
      <c r="A18533" s="2" t="s">
        <v>18533</v>
      </c>
      <c r="B18533" s="2" t="str">
        <f>IFERROR(__xludf.DUMMYFUNCTION("GOOGLETRANSLATE(A18533, ""en"", ""mt"")"),"fabbriki")</f>
        <v>fabbriki</v>
      </c>
    </row>
    <row r="18534" ht="15.75" customHeight="1">
      <c r="A18534" s="2" t="s">
        <v>18534</v>
      </c>
      <c r="B18534" s="2" t="str">
        <f>IFERROR(__xludf.DUMMYFUNCTION("GOOGLETRANSLATE(A18534, ""en"", ""mt"")"),"Meta kienet il-Konfederazzjoni tar-Renu?")</f>
        <v>Meta kienet il-Konfederazzjoni tar-Renu?</v>
      </c>
    </row>
    <row r="18535" ht="15.75" customHeight="1">
      <c r="A18535" s="2" t="s">
        <v>18535</v>
      </c>
      <c r="B18535" s="2" t="str">
        <f>IFERROR(__xludf.DUMMYFUNCTION("GOOGLETRANSLATE(A18535, ""en"", ""mt"")"),"injorat it-twissija")</f>
        <v>injorat it-twissija</v>
      </c>
    </row>
    <row r="18536" ht="15.75" customHeight="1">
      <c r="A18536" s="2" t="s">
        <v>18536</v>
      </c>
      <c r="B18536" s="2" t="str">
        <f>IFERROR(__xludf.DUMMYFUNCTION("GOOGLETRANSLATE(A18536, ""en"", ""mt"")"),"300")</f>
        <v>300</v>
      </c>
    </row>
    <row r="18537" ht="15.75" customHeight="1">
      <c r="A18537" s="2" t="s">
        <v>18537</v>
      </c>
      <c r="B18537" s="2" t="str">
        <f>IFERROR(__xludf.DUMMYFUNCTION("GOOGLETRANSLATE(A18537, ""en"", ""mt"")"),"Francis Aidan Gasquet")</f>
        <v>Francis Aidan Gasquet</v>
      </c>
    </row>
    <row r="18538" ht="15.75" customHeight="1">
      <c r="A18538" s="2" t="s">
        <v>18538</v>
      </c>
      <c r="B18538" s="2" t="str">
        <f>IFERROR(__xludf.DUMMYFUNCTION("GOOGLETRANSLATE(A18538, ""en"", ""mt"")"),"L")</f>
        <v>L</v>
      </c>
    </row>
    <row r="18539" ht="15.75" customHeight="1">
      <c r="A18539" s="2" t="s">
        <v>18539</v>
      </c>
      <c r="B18539" s="2" t="str">
        <f>IFERROR(__xludf.DUMMYFUNCTION("GOOGLETRANSLATE(A18539, ""en"", ""mt"")"),"Liema dilemma hija eżempju tajjeb ta 'sperġur?")</f>
        <v>Liema dilemma hija eżempju tajjeb ta 'sperġur?</v>
      </c>
    </row>
    <row r="18540" ht="15.75" customHeight="1">
      <c r="A18540" s="2" t="s">
        <v>18540</v>
      </c>
      <c r="B18540" s="2" t="str">
        <f>IFERROR(__xludf.DUMMYFUNCTION("GOOGLETRANSLATE(A18540, ""en"", ""mt"")"),"Min espost it-tliet liġijiet tal-mozzjoni?")</f>
        <v>Min espost it-tliet liġijiet tal-mozzjoni?</v>
      </c>
    </row>
    <row r="18541" ht="15.75" customHeight="1">
      <c r="A18541" s="2" t="s">
        <v>18541</v>
      </c>
      <c r="B18541" s="2" t="str">
        <f>IFERROR(__xludf.DUMMYFUNCTION("GOOGLETRANSLATE(A18541, ""en"", ""mt"")"),"Għażla tad-Droga, Doża, Rotta, Frekwenza, u Tul tat-Terapija")</f>
        <v>Għażla tad-Droga, Doża, Rotta, Frekwenza, u Tul tat-Terapija</v>
      </c>
    </row>
    <row r="18542" ht="15.75" customHeight="1">
      <c r="A18542" s="2" t="s">
        <v>18542</v>
      </c>
      <c r="B18542" s="2" t="str">
        <f>IFERROR(__xludf.DUMMYFUNCTION("GOOGLETRANSLATE(A18542, ""en"", ""mt"")"),"kittien")</f>
        <v>kittien</v>
      </c>
    </row>
    <row r="18543" ht="15.75" customHeight="1">
      <c r="A18543" s="2" t="s">
        <v>18543</v>
      </c>
      <c r="B18543" s="2" t="str">
        <f>IFERROR(__xludf.DUMMYFUNCTION("GOOGLETRANSLATE(A18543, ""en"", ""mt"")"),"X'inhi l-iktar kawża rari ta 'funzjoni immuni ħażina f'pajjiżi li qed jiżviluppaw?")</f>
        <v>X'inhi l-iktar kawża rari ta 'funzjoni immuni ħażina f'pajjiżi li qed jiżviluppaw?</v>
      </c>
    </row>
    <row r="18544" ht="15.75" customHeight="1">
      <c r="A18544" s="2" t="s">
        <v>18544</v>
      </c>
      <c r="B18544" s="2" t="str">
        <f>IFERROR(__xludf.DUMMYFUNCTION("GOOGLETRANSLATE(A18544, ""en"", ""mt"")"),"Kemm ir-residenti ta 'Jacksonville City għandhom aktar minn tmintax?")</f>
        <v>Kemm ir-residenti ta 'Jacksonville City għandhom aktar minn tmintax?</v>
      </c>
    </row>
    <row r="18545" ht="15.75" customHeight="1">
      <c r="A18545" s="2" t="s">
        <v>18545</v>
      </c>
      <c r="B18545" s="2" t="str">
        <f>IFERROR(__xludf.DUMMYFUNCTION("GOOGLETRANSLATE(A18545, ""en"", ""mt"")"),"X'jista 'ġie studjat fl-ewkarioti uniċellulari?")</f>
        <v>X'jista 'ġie studjat fl-ewkarioti uniċellulari?</v>
      </c>
    </row>
    <row r="18546" ht="15.75" customHeight="1">
      <c r="A18546" s="2" t="s">
        <v>18546</v>
      </c>
      <c r="B18546" s="2" t="str">
        <f>IFERROR(__xludf.DUMMYFUNCTION("GOOGLETRANSLATE(A18546, ""en"", ""mt"")"),"X'inhu spiss mifhum bħala l-kawża tar-riġidità tal-materja?")</f>
        <v>X'inhu spiss mifhum bħala l-kawża tar-riġidità tal-materja?</v>
      </c>
    </row>
    <row r="18547" ht="15.75" customHeight="1">
      <c r="A18547" s="2" t="s">
        <v>18547</v>
      </c>
      <c r="B18547" s="2" t="str">
        <f>IFERROR(__xludf.DUMMYFUNCTION("GOOGLETRANSLATE(A18547, ""en"", ""mt"")"),"Dak li jiddetermina jekk it-tentakli humiex fuq il-bilanċjaturi jew le?")</f>
        <v>Dak li jiddetermina jekk it-tentakli humiex fuq il-bilanċjaturi jew le?</v>
      </c>
    </row>
    <row r="18548" ht="15.75" customHeight="1">
      <c r="A18548" s="2" t="s">
        <v>18548</v>
      </c>
      <c r="B18548" s="2" t="str">
        <f>IFERROR(__xludf.DUMMYFUNCTION("GOOGLETRANSLATE(A18548, ""en"", ""mt"")"),"Assoċjazzjoni tal-Karozzi tal-Istat tal-Kalifornja")</f>
        <v>Assoċjazzjoni tal-Karozzi tal-Istat tal-Kalifornja</v>
      </c>
    </row>
    <row r="18549" ht="15.75" customHeight="1">
      <c r="A18549" s="2" t="s">
        <v>18549</v>
      </c>
      <c r="B18549" s="2" t="str">
        <f>IFERROR(__xludf.DUMMYFUNCTION("GOOGLETRANSLATE(A18549, ""en"", ""mt"")"),"li dewmien jiswa l-flus, u f'każijiet ta 'konġestjonijiet, id-dewmien jista' jiswa ħafna")</f>
        <v>li dewmien jiswa l-flus, u f'każijiet ta 'konġestjonijiet, id-dewmien jista' jiswa ħafna</v>
      </c>
    </row>
    <row r="18550" ht="15.75" customHeight="1">
      <c r="A18550" s="2" t="s">
        <v>18550</v>
      </c>
      <c r="B18550" s="2" t="str">
        <f>IFERROR(__xludf.DUMMYFUNCTION("GOOGLETRANSLATE(A18550, ""en"", ""mt"")"),"L-201,000,000 SQ MI ta 'Rainforest Cover What?")</f>
        <v>L-201,000,000 SQ MI ta 'Rainforest Cover What?</v>
      </c>
    </row>
    <row r="18551" ht="15.75" customHeight="1">
      <c r="A18551" s="2" t="s">
        <v>18551</v>
      </c>
      <c r="B18551" s="2" t="str">
        <f>IFERROR(__xludf.DUMMYFUNCTION("GOOGLETRANSLATE(A18551, ""en"", ""mt"")"),"L-ilma fuq in-naħa tal-punent ħareġ taħt il-baċin u lejn liema oċean?")</f>
        <v>L-ilma fuq in-naħa tal-punent ħareġ taħt il-baċin u lejn liema oċean?</v>
      </c>
    </row>
    <row r="18552" ht="15.75" customHeight="1">
      <c r="A18552" s="2" t="s">
        <v>18552</v>
      </c>
      <c r="B18552" s="2" t="str">
        <f>IFERROR(__xludf.DUMMYFUNCTION("GOOGLETRANSLATE(A18552, ""en"", ""mt"")"),"era storika")</f>
        <v>era storika</v>
      </c>
    </row>
    <row r="18553" ht="15.75" customHeight="1">
      <c r="A18553" s="2" t="s">
        <v>18553</v>
      </c>
      <c r="B18553" s="2" t="str">
        <f>IFERROR(__xludf.DUMMYFUNCTION("GOOGLETRANSLATE(A18553, ""en"", ""mt"")"),"It-tentakli ta 'ctenophores cydippid huma tipikament fringed bit-tentilla (""ftit tentakli""), għalkemm ftit ġeneri għandhom tentakli sempliċi mingħajr dawn il-sidebranches. It-tentakli u t-tentilla huma densament mgħottija b'kolloblasti mikroskopiċi li j"&amp;"aqbdu l-priża billi jeħlu magħha. Il-kolloblasti huma ċelloli speċjalizzati f'forma ta 'faqqiegħ fis-saff ta' barra ta 'l-epidermide, u għandhom tliet komponenti ewlenin: ras koppla bil-vesikuli (kmamar) li fihom kolla; zokk li jankra ċ-ċellula fis-saff t"&amp;"'isfel tal-epidermide jew fil-mesoglea; u ħajta spirali li tgħaqqad iz-zokk u hija mwaħħla mar-ras u mal-għerq taz-zokk. Il-funzjoni tal-ħajt spirali hija inċerta, iżda tista 'tassorbi l-istress meta l-priża tipprova taħrab, u b'hekk tipprevjeni li l-koll"&amp;"obast jinqata'. Minbarra l-kolloblasti, il-membri tal-ġeneru Haeckelia, li jitimgħu prinċipalment fuq il-bram, jinkorporaw in-nematokiti tal-vittmi tagħhom fit-tentakli tagħhom stess - xi nudibranchs li jieklu cnidaria bl-istess mod jinkorporaw nematokiti"&amp;" fil-korpi tagħhom għad-difiża. It-tentilla ta 'euplokamis tvarja b'mod sinifikanti minn dawk ta' ċidippidi oħra: fihom muskolu strijat, tip ta 'ċellula mod ieħor mhux magħruf fil-phylum ctenophora; U huma mkebbsa meta jkunu rilassati, waqt li t-tentilla "&amp;"tal-ctenophores l-oħra kollha tawwalija meta jkunu rilassati. It-tentilla ta 'Euplokamis għandhom tliet tipi ta' moviment li jintużaw fil-qbid tal-priża: jistgħu joħorġu malajr ħafna (f'40 sa 60 millisekonda); Jistgħu jikbru, li jistgħu jattiraw il-priża "&amp;"billi jġibu ruħhom bħal dud żgħir planktoniku; U huma coil priża tonda. Il-flicking uniku huwa moviment li ma joħroġx imħaddem mill-kontrazzjoni tal-muskolu strijat. Il-moviment tat-tikmix huwa prodott minn muskoli lixxi, iżda ta 'tip speċjalizzat ħafna. "&amp;"Il-coiling madwar il-priża jitwettaq fil-biċċa l-kbira mir-ritorn tat-tentilla għall-istat inattiv tagħhom, iżda l-kolji jistgħu jiġu ssikkati mill-muskolu lixx.")</f>
        <v>It-tentakli ta 'ctenophores cydippid huma tipikament fringed bit-tentilla ("ftit tentakli"), għalkemm ftit ġeneri għandhom tentakli sempliċi mingħajr dawn il-sidebranches. It-tentakli u t-tentilla huma densament mgħottija b'kolloblasti mikroskopiċi li jaqbdu l-priża billi jeħlu magħha. Il-kolloblasti huma ċelloli speċjalizzati f'forma ta 'faqqiegħ fis-saff ta' barra ta 'l-epidermide, u għandhom tliet komponenti ewlenin: ras koppla bil-vesikuli (kmamar) li fihom kolla; zokk li jankra ċ-ċellula fis-saff t'isfel tal-epidermide jew fil-mesoglea; u ħajta spirali li tgħaqqad iz-zokk u hija mwaħħla mar-ras u mal-għerq taz-zokk. Il-funzjoni tal-ħajt spirali hija inċerta, iżda tista 'tassorbi l-istress meta l-priża tipprova taħrab, u b'hekk tipprevjeni li l-kollobast jinqata'. Minbarra l-kolloblasti, il-membri tal-ġeneru Haeckelia, li jitimgħu prinċipalment fuq il-bram, jinkorporaw in-nematokiti tal-vittmi tagħhom fit-tentakli tagħhom stess - xi nudibranchs li jieklu cnidaria bl-istess mod jinkorporaw nematokiti fil-korpi tagħhom għad-difiża. It-tentilla ta 'euplokamis tvarja b'mod sinifikanti minn dawk ta' ċidippidi oħra: fihom muskolu strijat, tip ta 'ċellula mod ieħor mhux magħruf fil-phylum ctenophora; U huma mkebbsa meta jkunu rilassati, waqt li t-tentilla tal-ctenophores l-oħra kollha tawwalija meta jkunu rilassati. It-tentilla ta 'Euplokamis għandhom tliet tipi ta' moviment li jintużaw fil-qbid tal-priża: jistgħu joħorġu malajr ħafna (f'40 sa 60 millisekonda); Jistgħu jikbru, li jistgħu jattiraw il-priża billi jġibu ruħhom bħal dud żgħir planktoniku; U huma coil priża tonda. Il-flicking uniku huwa moviment li ma joħroġx imħaddem mill-kontrazzjoni tal-muskolu strijat. Il-moviment tat-tikmix huwa prodott minn muskoli lixxi, iżda ta 'tip speċjalizzat ħafna. Il-coiling madwar il-priża jitwettaq fil-biċċa l-kbira mir-ritorn tat-tentilla għall-istat inattiv tagħhom, iżda l-kolji jistgħu jiġu ssikkati mill-muskolu lixx.</v>
      </c>
    </row>
    <row r="18554" ht="15.75" customHeight="1">
      <c r="A18554" s="2" t="s">
        <v>18554</v>
      </c>
      <c r="B18554" s="2" t="str">
        <f>IFERROR(__xludf.DUMMYFUNCTION("GOOGLETRANSLATE(A18554, ""en"", ""mt"")"),"Meta ħarġet l-identità Franki?")</f>
        <v>Meta ħarġet l-identità Franki?</v>
      </c>
    </row>
    <row r="18555" ht="15.75" customHeight="1">
      <c r="A18555" s="2" t="s">
        <v>18555</v>
      </c>
      <c r="B18555" s="2" t="str">
        <f>IFERROR(__xludf.DUMMYFUNCTION("GOOGLETRANSLATE(A18555, ""en"", ""mt"")"),"Brownlee jargumenta li xi kultant in-nies iġibu ruħhom b'liema mod biex jinstemgħu l-ħruġ tagħhom?")</f>
        <v>Brownlee jargumenta li xi kultant in-nies iġibu ruħhom b'liema mod biex jinstemgħu l-ħruġ tagħhom?</v>
      </c>
    </row>
    <row r="18556" ht="15.75" customHeight="1">
      <c r="A18556" s="2" t="s">
        <v>18556</v>
      </c>
      <c r="B18556" s="2" t="str">
        <f>IFERROR(__xludf.DUMMYFUNCTION("GOOGLETRANSLATE(A18556, ""en"", ""mt"")"),"1910 sal-1940")</f>
        <v>1910 sal-1940</v>
      </c>
    </row>
    <row r="18557" ht="15.75" customHeight="1">
      <c r="A18557" s="2" t="s">
        <v>18557</v>
      </c>
      <c r="B18557" s="2" t="str">
        <f>IFERROR(__xludf.DUMMYFUNCTION("GOOGLETRANSLATE(A18557, ""en"", ""mt"")")," Min kien ir-raġel ta 'Ogedei?")</f>
        <v> Min kien ir-raġel ta 'Ogedei?</v>
      </c>
    </row>
    <row r="18558" ht="15.75" customHeight="1">
      <c r="A18558" s="2" t="s">
        <v>18558</v>
      </c>
      <c r="B18558" s="2" t="str">
        <f>IFERROR(__xludf.DUMMYFUNCTION("GOOGLETRANSLATE(A18558, ""en"", ""mt"")"),"studenti gradwati u li għadhom ma ggradwawx")</f>
        <v>studenti gradwati u li għadhom ma ggradwawx</v>
      </c>
    </row>
    <row r="18559" ht="15.75" customHeight="1">
      <c r="A18559" s="2" t="s">
        <v>18559</v>
      </c>
      <c r="B18559" s="2" t="str">
        <f>IFERROR(__xludf.DUMMYFUNCTION("GOOGLETRANSLATE(A18559, ""en"", ""mt"")"),"mukus")</f>
        <v>mukus</v>
      </c>
    </row>
    <row r="18560" ht="15.75" customHeight="1">
      <c r="A18560" s="2" t="s">
        <v>18560</v>
      </c>
      <c r="B18560" s="2" t="str">
        <f>IFERROR(__xludf.DUMMYFUNCTION("GOOGLETRANSLATE(A18560, ""en"", ""mt"")"),"Impass kostituzzjonali")</f>
        <v>Impass kostituzzjonali</v>
      </c>
    </row>
    <row r="18561" ht="15.75" customHeight="1">
      <c r="A18561" s="2" t="s">
        <v>18561</v>
      </c>
      <c r="B18561" s="2" t="str">
        <f>IFERROR(__xludf.DUMMYFUNCTION("GOOGLETRANSLATE(A18561, ""en"", ""mt"")"),"Liema parti jilagħbu l-avvenimenti fl-ekonomija tar-Rabat?")</f>
        <v>Liema parti jilagħbu l-avvenimenti fl-ekonomija tar-Rabat?</v>
      </c>
    </row>
    <row r="18562" ht="15.75" customHeight="1">
      <c r="A18562" s="2" t="s">
        <v>18562</v>
      </c>
      <c r="B18562" s="2" t="str">
        <f>IFERROR(__xludf.DUMMYFUNCTION("GOOGLETRANSLATE(A18562, ""en"", ""mt"")"),"Tramuntana")</f>
        <v>Tramuntana</v>
      </c>
    </row>
    <row r="18563" ht="15.75" customHeight="1">
      <c r="A18563" s="2" t="s">
        <v>18563</v>
      </c>
      <c r="B18563" s="2" t="str">
        <f>IFERROR(__xludf.DUMMYFUNCTION("GOOGLETRANSLATE(A18563, ""en"", ""mt"")"),"Liema parti tar-Rhine tgħaddi minn North Rhine-Westphalia?")</f>
        <v>Liema parti tar-Rhine tgħaddi minn North Rhine-Westphalia?</v>
      </c>
    </row>
    <row r="18564" ht="15.75" customHeight="1">
      <c r="A18564" s="2" t="s">
        <v>18564</v>
      </c>
      <c r="B18564" s="2" t="str">
        <f>IFERROR(__xludf.DUMMYFUNCTION("GOOGLETRANSLATE(A18564, ""en"", ""mt"")"),"Liema seklu l-Franċiżi adottaw il-vokaliżmu Ġermaniku?")</f>
        <v>Liema seklu l-Franċiżi adottaw il-vokaliżmu Ġermaniku?</v>
      </c>
    </row>
    <row r="18565" ht="15.75" customHeight="1">
      <c r="A18565" s="2" t="s">
        <v>18565</v>
      </c>
      <c r="B18565" s="2" t="str">
        <f>IFERROR(__xludf.DUMMYFUNCTION("GOOGLETRANSLATE(A18565, ""en"", ""mt"")"),"Il-piż tal-bojlers u l-kondensaturi ġeneralment jagħmel il-proporzjon tal-enerġija għall-piż ta 'impjant tal-fwar inqas milli għal magni ta' kombustjoni interna. Għal applikazzjonijiet mobbli l-istim ġie sostitwit fil-biċċa l-kbira minn magni ta 'kombustj"&amp;"oni interna jew muturi elettriċi. Madankollu, il-biċċa l-kbira tal-enerġija elettrika hija ġġenerata bl-użu tal-impjant tat-turbina tal-fwar, sabiex indirettament l-industrija tad-dinja għadha tiddependi fuq l-enerġija tal-fwar. Tħassib riċenti dwar is-so"&amp;"rsi tal-fjuwil u t-tniġġis inċitaw interess imġedded fil-fwar kemm bħala komponent tal-proċessi ta 'kogenerazzjoni kif ukoll bħala mover ewlieni. Dan qed isir magħruf bħala l-moviment avvanzat tal-fwar. [Ċitazzjoni meħtieġa]")</f>
        <v>Il-piż tal-bojlers u l-kondensaturi ġeneralment jagħmel il-proporzjon tal-enerġija għall-piż ta 'impjant tal-fwar inqas milli għal magni ta' kombustjoni interna. Għal applikazzjonijiet mobbli l-istim ġie sostitwit fil-biċċa l-kbira minn magni ta 'kombustjoni interna jew muturi elettriċi. Madankollu, il-biċċa l-kbira tal-enerġija elettrika hija ġġenerata bl-użu tal-impjant tat-turbina tal-fwar, sabiex indirettament l-industrija tad-dinja għadha tiddependi fuq l-enerġija tal-fwar. Tħassib riċenti dwar is-sorsi tal-fjuwil u t-tniġġis inċitaw interess imġedded fil-fwar kemm bħala komponent tal-proċessi ta 'kogenerazzjoni kif ukoll bħala mover ewlieni. Dan qed isir magħruf bħala l-moviment avvanzat tal-fwar. [Ċitazzjoni meħtieġa]</v>
      </c>
    </row>
    <row r="18566" ht="15.75" customHeight="1">
      <c r="A18566" s="2" t="s">
        <v>18566</v>
      </c>
      <c r="B18566" s="2" t="str">
        <f>IFERROR(__xludf.DUMMYFUNCTION("GOOGLETRANSLATE(A18566, ""en"", ""mt"")"),"ċelloli dendritiċi")</f>
        <v>ċelloli dendritiċi</v>
      </c>
    </row>
    <row r="18567" ht="15.75" customHeight="1">
      <c r="A18567" s="2" t="s">
        <v>18567</v>
      </c>
      <c r="B18567" s="2" t="str">
        <f>IFERROR(__xludf.DUMMYFUNCTION("GOOGLETRANSLATE(A18567, ""en"", ""mt"")"),"Ħafna mill-figuri ewlenin tagħhom irritornaw fil-Parlament?")</f>
        <v>Ħafna mill-figuri ewlenin tagħhom irritornaw fil-Parlament?</v>
      </c>
    </row>
    <row r="18568" ht="15.75" customHeight="1">
      <c r="A18568" s="2" t="s">
        <v>18568</v>
      </c>
      <c r="B18568" s="2" t="str">
        <f>IFERROR(__xludf.DUMMYFUNCTION("GOOGLETRANSLATE(A18568, ""en"", ""mt"")"),"32,463")</f>
        <v>32,463</v>
      </c>
    </row>
    <row r="18569" ht="15.75" customHeight="1">
      <c r="A18569" s="2" t="s">
        <v>18569</v>
      </c>
      <c r="B18569" s="2" t="str">
        <f>IFERROR(__xludf.DUMMYFUNCTION("GOOGLETRANSLATE(A18569, ""en"", ""mt"")"),"F'liema sena waslet ir-Riforma Protestanta fi Franza?")</f>
        <v>F'liema sena waslet ir-Riforma Protestanta fi Franza?</v>
      </c>
    </row>
    <row r="18570" ht="15.75" customHeight="1">
      <c r="A18570" s="2" t="s">
        <v>18570</v>
      </c>
      <c r="B18570" s="2" t="str">
        <f>IFERROR(__xludf.DUMMYFUNCTION("GOOGLETRANSLATE(A18570, ""en"", ""mt"")"),"Min kien Iqbal kritiku?")</f>
        <v>Min kien Iqbal kritiku?</v>
      </c>
    </row>
    <row r="18571" ht="15.75" customHeight="1">
      <c r="A18571" s="2" t="s">
        <v>18571</v>
      </c>
      <c r="B18571" s="2" t="str">
        <f>IFERROR(__xludf.DUMMYFUNCTION("GOOGLETRANSLATE(A18571, ""en"", ""mt"")"),"Dak iż-żmien, pajjiżi bħal Spanja ma kellhomx reat kontra xiex?")</f>
        <v>Dak iż-żmien, pajjiżi bħal Spanja ma kellhomx reat kontra xiex?</v>
      </c>
    </row>
    <row r="18572" ht="15.75" customHeight="1">
      <c r="A18572" s="2" t="s">
        <v>18572</v>
      </c>
      <c r="B18572" s="2" t="str">
        <f>IFERROR(__xludf.DUMMYFUNCTION("GOOGLETRANSLATE(A18572, ""en"", ""mt"")"),"ITV Digital")</f>
        <v>ITV Digital</v>
      </c>
    </row>
    <row r="18573" ht="15.75" customHeight="1">
      <c r="A18573" s="2" t="s">
        <v>18573</v>
      </c>
      <c r="B18573" s="2" t="str">
        <f>IFERROR(__xludf.DUMMYFUNCTION("GOOGLETRANSLATE(A18573, ""en"", ""mt"")")," Liema żona taċ-Ċina rnexxielha l-Ġappun fl-1935?")</f>
        <v> Liema żona taċ-Ċina rnexxielha l-Ġappun fl-1935?</v>
      </c>
    </row>
    <row r="18574" ht="15.75" customHeight="1">
      <c r="A18574" s="2" t="s">
        <v>18574</v>
      </c>
      <c r="B18574" s="2" t="str">
        <f>IFERROR(__xludf.DUMMYFUNCTION("GOOGLETRANSLATE(A18574, ""en"", ""mt"")"),"Min wera l-ewwel darba Bertrands Prime?")</f>
        <v>Min wera l-ewwel darba Bertrands Prime?</v>
      </c>
    </row>
    <row r="18575" ht="15.75" customHeight="1">
      <c r="A18575" s="2" t="s">
        <v>18575</v>
      </c>
      <c r="B18575" s="2" t="str">
        <f>IFERROR(__xludf.DUMMYFUNCTION("GOOGLETRANSLATE(A18575, ""en"", ""mt"")"),"X'inhu l-isem tal-famuż blat li r-Rhine jgħaddi?")</f>
        <v>X'inhu l-isem tal-famuż blat li r-Rhine jgħaddi?</v>
      </c>
    </row>
    <row r="18576" ht="15.75" customHeight="1">
      <c r="A18576" s="2" t="s">
        <v>18576</v>
      </c>
      <c r="B18576" s="2" t="str">
        <f>IFERROR(__xludf.DUMMYFUNCTION("GOOGLETRANSLATE(A18576, ""en"", ""mt"")"),"Kemm nies mietu bil-pesta fis-soċjetà Ottomana fis-seklu 19?")</f>
        <v>Kemm nies mietu bil-pesta fis-soċjetà Ottomana fis-seklu 19?</v>
      </c>
    </row>
    <row r="18577" ht="15.75" customHeight="1">
      <c r="A18577" s="2" t="s">
        <v>18577</v>
      </c>
      <c r="B18577" s="2" t="str">
        <f>IFERROR(__xludf.DUMMYFUNCTION("GOOGLETRANSLATE(A18577, ""en"", ""mt"")"),"X'tagħmel Cytokine TGF-β tħeġġeġ l-attività ta '?")</f>
        <v>X'tagħmel Cytokine TGF-β tħeġġeġ l-attività ta '?</v>
      </c>
    </row>
    <row r="18578" ht="15.75" customHeight="1">
      <c r="A18578" s="2" t="s">
        <v>18578</v>
      </c>
      <c r="B18578" s="2" t="str">
        <f>IFERROR(__xludf.DUMMYFUNCTION("GOOGLETRANSLATE(A18578, ""en"", ""mt"")"),"Mohamed Morsi")</f>
        <v>Mohamed Morsi</v>
      </c>
    </row>
    <row r="18579" ht="15.75" customHeight="1">
      <c r="A18579" s="2" t="s">
        <v>18579</v>
      </c>
      <c r="B18579" s="2" t="str">
        <f>IFERROR(__xludf.DUMMYFUNCTION("GOOGLETRANSLATE(A18579, ""en"", ""mt"")"),"Flimkien ma 'vetturi tat-triq, lokomottivi u vapuri, fuq liema vetturi ntużaw magni tal-fwar waqt il-kultivazzjoni?")</f>
        <v>Flimkien ma 'vetturi tat-triq, lokomottivi u vapuri, fuq liema vetturi ntużaw magni tal-fwar waqt il-kultivazzjoni?</v>
      </c>
    </row>
    <row r="18580" ht="15.75" customHeight="1">
      <c r="A18580" s="2" t="s">
        <v>18580</v>
      </c>
      <c r="B18580" s="2" t="str">
        <f>IFERROR(__xludf.DUMMYFUNCTION("GOOGLETRANSLATE(A18580, ""en"", ""mt"")"),"X'kien l-iskop ta 'csnet")</f>
        <v>X'kien l-iskop ta 'csnet</v>
      </c>
    </row>
    <row r="18581" ht="15.75" customHeight="1">
      <c r="A18581" s="2" t="s">
        <v>18581</v>
      </c>
      <c r="B18581" s="2" t="str">
        <f>IFERROR(__xludf.DUMMYFUNCTION("GOOGLETRANSLATE(A18581, ""en"", ""mt"")"),"Iddikjara l-liġi marzjali u bagħtet lill-milizja tal-istat biex iżżomm l-ordni")</f>
        <v>Iddikjara l-liġi marzjali u bagħtet lill-milizja tal-istat biex iżżomm l-ordni</v>
      </c>
    </row>
    <row r="18582" ht="15.75" customHeight="1">
      <c r="A18582" s="2" t="s">
        <v>18582</v>
      </c>
      <c r="B18582" s="2" t="str">
        <f>IFERROR(__xludf.DUMMYFUNCTION("GOOGLETRANSLATE(A18582, ""en"", ""mt"")"),"Charles W. Eliot")</f>
        <v>Charles W. Eliot</v>
      </c>
    </row>
    <row r="18583" ht="15.75" customHeight="1">
      <c r="A18583" s="2" t="s">
        <v>18583</v>
      </c>
      <c r="B18583" s="2" t="str">
        <f>IFERROR(__xludf.DUMMYFUNCTION("GOOGLETRANSLATE(A18583, ""en"", ""mt"")"),"Kemm qal li t-tielet rapport ta 'valutazzjoni tal-IPCC qal li l-livelli tal-baħar se jogħlew mill-1990 sal-2100?")</f>
        <v>Kemm qal li t-tielet rapport ta 'valutazzjoni tal-IPCC qal li l-livelli tal-baħar se jogħlew mill-1990 sal-2100?</v>
      </c>
    </row>
    <row r="18584" ht="15.75" customHeight="1">
      <c r="A18584" s="2" t="s">
        <v>18584</v>
      </c>
      <c r="B18584" s="2" t="str">
        <f>IFERROR(__xludf.DUMMYFUNCTION("GOOGLETRANSLATE(A18584, ""en"", ""mt"")"),"Meta r-Renju Unit jissottoskrivi formalment għall-ftehim dwar il-politika soċjali?")</f>
        <v>Meta r-Renju Unit jissottoskrivi formalment għall-ftehim dwar il-politika soċjali?</v>
      </c>
    </row>
    <row r="18585" ht="15.75" customHeight="1">
      <c r="A18585" s="2" t="s">
        <v>18585</v>
      </c>
      <c r="B18585" s="2" t="str">
        <f>IFERROR(__xludf.DUMMYFUNCTION("GOOGLETRANSLATE(A18585, ""en"", ""mt"")"),"marġinalment aktar min-normal")</f>
        <v>marġinalment aktar min-normal</v>
      </c>
    </row>
    <row r="18586" ht="15.75" customHeight="1">
      <c r="A18586" s="2" t="s">
        <v>18586</v>
      </c>
      <c r="B18586" s="2" t="str">
        <f>IFERROR(__xludf.DUMMYFUNCTION("GOOGLETRANSLATE(A18586, ""en"", ""mt"")"),"Mikroorganiżmi")</f>
        <v>Mikroorganiżmi</v>
      </c>
    </row>
    <row r="18587" ht="15.75" customHeight="1">
      <c r="A18587" s="2" t="s">
        <v>18587</v>
      </c>
      <c r="B18587" s="2" t="str">
        <f>IFERROR(__xludf.DUMMYFUNCTION("GOOGLETRANSLATE(A18587, ""en"", ""mt"")"),"Ir-Renu huwa l-itwal xmara fil-Ġermanja. Huwa hawn li r-Rhine jiltaqa 'ma' xi tributarji ewlenin tiegħu, bħalma huma l-Neckar, il-Main u, aktar tard, il-Moselle, li tikkontribwixxi kwittanza medja ta 'aktar minn 300 m3 / s (11,000 cu ft / s). Franza fil-g"&amp;"rigal tiskula lejn ir-Renu permezz tal-Moselle; Xmajjar iżgħar ixxotta l-vosges u l-muntanji tal-ġura. Il-biċċa l-kbira tal-Lussemburgu u parti żgħira ħafna tal-Belġju wkoll ixxotta lejn ir-Renu permezz tal-Moselle. Hekk kif tersaq lejn il-fruntiera Oland"&amp;"iża, ir-Rhine għandu rilaxx medju annwali ta '2,290 m3 / s (81,000 cu ft / s) u wisa' medja ta '400 m (1,300 ft).")</f>
        <v>Ir-Renu huwa l-itwal xmara fil-Ġermanja. Huwa hawn li r-Rhine jiltaqa 'ma' xi tributarji ewlenin tiegħu, bħalma huma l-Neckar, il-Main u, aktar tard, il-Moselle, li tikkontribwixxi kwittanza medja ta 'aktar minn 300 m3 / s (11,000 cu ft / s). Franza fil-grigal tiskula lejn ir-Renu permezz tal-Moselle; Xmajjar iżgħar ixxotta l-vosges u l-muntanji tal-ġura. Il-biċċa l-kbira tal-Lussemburgu u parti żgħira ħafna tal-Belġju wkoll ixxotta lejn ir-Renu permezz tal-Moselle. Hekk kif tersaq lejn il-fruntiera Olandiża, ir-Rhine għandu rilaxx medju annwali ta '2,290 m3 / s (81,000 cu ft / s) u wisa' medja ta '400 m (1,300 ft).</v>
      </c>
    </row>
    <row r="18588" ht="15.75" customHeight="1">
      <c r="A18588" s="2" t="s">
        <v>18588</v>
      </c>
      <c r="B18588" s="2" t="str">
        <f>IFERROR(__xludf.DUMMYFUNCTION("GOOGLETRANSLATE(A18588, ""en"", ""mt"")"),"Mozzjoni kontinwa tul it-tort")</f>
        <v>Mozzjoni kontinwa tul it-tort</v>
      </c>
    </row>
    <row r="18589" ht="15.75" customHeight="1">
      <c r="A18589" s="2" t="s">
        <v>18589</v>
      </c>
      <c r="B18589" s="2" t="str">
        <f>IFERROR(__xludf.DUMMYFUNCTION("GOOGLETRANSLATE(A18589, ""en"", ""mt"")"),"X'inhu l-kobor tal-forza maqsum minn meta tiġi miżjuda forza esterna?")</f>
        <v>X'inhu l-kobor tal-forza maqsum minn meta tiġi miżjuda forza esterna?</v>
      </c>
    </row>
    <row r="18590" ht="15.75" customHeight="1">
      <c r="A18590" s="2" t="s">
        <v>18590</v>
      </c>
      <c r="B18590" s="2" t="str">
        <f>IFERROR(__xludf.DUMMYFUNCTION("GOOGLETRANSLATE(A18590, ""en"", ""mt"")"),"Min għandu l-ferrovija ta 'veloċità għolja ta' California?")</f>
        <v>Min għandu l-ferrovija ta 'veloċità għolja ta' California?</v>
      </c>
    </row>
    <row r="18591" ht="15.75" customHeight="1">
      <c r="A18591" s="2" t="s">
        <v>18591</v>
      </c>
      <c r="B18591" s="2" t="str">
        <f>IFERROR(__xludf.DUMMYFUNCTION("GOOGLETRANSLATE(A18591, ""en"", ""mt"")"),"Għal żmien twil kien jemmen li dak li kien popolat ħafna?")</f>
        <v>Għal żmien twil kien jemmen li dak li kien popolat ħafna?</v>
      </c>
    </row>
    <row r="18592" ht="15.75" customHeight="1">
      <c r="A18592" s="2" t="s">
        <v>18592</v>
      </c>
      <c r="B18592" s="2" t="str">
        <f>IFERROR(__xludf.DUMMYFUNCTION("GOOGLETRANSLATE(A18592, ""en"", ""mt"")"),"Tentattiv biex tenfasizza l-akkademiċi fuq l-atletika")</f>
        <v>Tentattiv biex tenfasizza l-akkademiċi fuq l-atletika</v>
      </c>
    </row>
    <row r="18593" ht="15.75" customHeight="1">
      <c r="A18593" s="2" t="s">
        <v>18593</v>
      </c>
      <c r="B18593" s="2" t="str">
        <f>IFERROR(__xludf.DUMMYFUNCTION("GOOGLETRANSLATE(A18593, ""en"", ""mt"")"),"Min ħareġ bit-teorija tar-relatività?")</f>
        <v>Min ħareġ bit-teorija tar-relatività?</v>
      </c>
    </row>
    <row r="18594" ht="15.75" customHeight="1">
      <c r="A18594" s="2" t="s">
        <v>18594</v>
      </c>
      <c r="B18594" s="2" t="str">
        <f>IFERROR(__xludf.DUMMYFUNCTION("GOOGLETRANSLATE(A18594, ""en"", ""mt"")"),"X’infissru d-differenzi bejn l-ARPANET u SITA HLN u X.25?")</f>
        <v>X’infissru d-differenzi bejn l-ARPANET u SITA HLN u X.25?</v>
      </c>
    </row>
    <row r="18595" ht="15.75" customHeight="1">
      <c r="A18595" s="2" t="s">
        <v>18595</v>
      </c>
      <c r="B18595" s="2" t="str">
        <f>IFERROR(__xludf.DUMMYFUNCTION("GOOGLETRANSLATE(A18595, ""en"", ""mt"")"),"Dak li l-kompjuters jistgħu u ma jistgħux jagħmlu")</f>
        <v>Dak li l-kompjuters jistgħu u ma jistgħux jagħmlu</v>
      </c>
    </row>
    <row r="18596" ht="15.75" customHeight="1">
      <c r="A18596" s="2" t="s">
        <v>18596</v>
      </c>
      <c r="B18596" s="2" t="str">
        <f>IFERROR(__xludf.DUMMYFUNCTION("GOOGLETRANSLATE(A18596, ""en"", ""mt"")"),"""Belt Ġdida Bold tan-Nofsinhar""")</f>
        <v>"Belt Ġdida Bold tan-Nofsinhar"</v>
      </c>
    </row>
    <row r="18597" ht="15.75" customHeight="1">
      <c r="A18597" s="2" t="s">
        <v>18597</v>
      </c>
      <c r="B18597" s="2" t="str">
        <f>IFERROR(__xludf.DUMMYFUNCTION("GOOGLETRANSLATE(A18597, ""en"", ""mt"")"),"riċetturi ta 'immunoglobulina taċ-ċelloli qattiel (KIR)")</f>
        <v>riċetturi ta 'immunoglobulina taċ-ċelloli qattiel (KIR)</v>
      </c>
    </row>
    <row r="18598" ht="15.75" customHeight="1">
      <c r="A18598" s="2" t="s">
        <v>18598</v>
      </c>
      <c r="B18598" s="2" t="str">
        <f>IFERROR(__xludf.DUMMYFUNCTION("GOOGLETRANSLATE(A18598, ""en"", ""mt"")"),"F'liema baċin jaqa 't-trab?")</f>
        <v>F'liema baċin jaqa 't-trab?</v>
      </c>
    </row>
    <row r="18599" ht="15.75" customHeight="1">
      <c r="A18599" s="2" t="s">
        <v>18599</v>
      </c>
      <c r="B18599" s="2" t="str">
        <f>IFERROR(__xludf.DUMMYFUNCTION("GOOGLETRANSLATE(A18599, ""en"", ""mt"")"),"Minn liema seklu ġie l-isem tar-Renu?")</f>
        <v>Minn liema seklu ġie l-isem tar-Renu?</v>
      </c>
    </row>
    <row r="18600" ht="15.75" customHeight="1">
      <c r="A18600" s="2" t="s">
        <v>18600</v>
      </c>
      <c r="B18600" s="2" t="str">
        <f>IFERROR(__xludf.DUMMYFUNCTION("GOOGLETRANSLATE(A18600, ""en"", ""mt"")"),"Min kiteb ""il-prosperità moħbija tal-foqra""?")</f>
        <v>Min kiteb "il-prosperità moħbija tal-foqra"?</v>
      </c>
    </row>
    <row r="18601" ht="15.75" customHeight="1">
      <c r="A18601" s="2" t="s">
        <v>18601</v>
      </c>
      <c r="B18601" s="2" t="str">
        <f>IFERROR(__xludf.DUMMYFUNCTION("GOOGLETRANSLATE(A18601, ""en"", ""mt"")"),"każ tal-ħġieġ")</f>
        <v>każ tal-ħġieġ</v>
      </c>
    </row>
    <row r="18602" ht="15.75" customHeight="1">
      <c r="A18602" s="2" t="s">
        <v>18602</v>
      </c>
      <c r="B18602" s="2" t="str">
        <f>IFERROR(__xludf.DUMMYFUNCTION("GOOGLETRANSLATE(A18602, ""en"", ""mt"")"),"""Old Brittaniku"" injora t-twissija")</f>
        <v>"Old Brittaniku" injora t-twissija</v>
      </c>
    </row>
    <row r="18603" ht="15.75" customHeight="1">
      <c r="A18603" s="2" t="s">
        <v>18603</v>
      </c>
      <c r="B18603" s="2" t="str">
        <f>IFERROR(__xludf.DUMMYFUNCTION("GOOGLETRANSLATE(A18603, ""en"", ""mt"")"),"X'ina fittxew it-trattati li jippermettu mill-fondazzjoni tagħha?")</f>
        <v>X'ina fittxew it-trattati li jippermettu mill-fondazzjoni tagħha?</v>
      </c>
    </row>
    <row r="18604" ht="15.75" customHeight="1">
      <c r="A18604" s="2" t="s">
        <v>18604</v>
      </c>
      <c r="B18604" s="2" t="str">
        <f>IFERROR(__xludf.DUMMYFUNCTION("GOOGLETRANSLATE(A18604, ""en"", ""mt"")"),"pulmun")</f>
        <v>pulmun</v>
      </c>
    </row>
    <row r="18605" ht="15.75" customHeight="1">
      <c r="A18605" s="2" t="s">
        <v>18605</v>
      </c>
      <c r="B18605" s="2" t="str">
        <f>IFERROR(__xludf.DUMMYFUNCTION("GOOGLETRANSLATE(A18605, ""en"", ""mt"")"),"Min jipproduċi lista ta 'rekwiżiti għal proġett, li jagħti veduta ġenerali tal-għanijiet tal-proġett?")</f>
        <v>Min jipproduċi lista ta 'rekwiżiti għal proġett, li jagħti veduta ġenerali tal-għanijiet tal-proġett?</v>
      </c>
    </row>
    <row r="18606" ht="15.75" customHeight="1">
      <c r="A18606" s="2" t="s">
        <v>18606</v>
      </c>
      <c r="B18606" s="2" t="str">
        <f>IFERROR(__xludf.DUMMYFUNCTION("GOOGLETRANSLATE(A18606, ""en"", ""mt"")"),"Fejn ittieħdet il-kejl għall-gravità standard fid-dinja?")</f>
        <v>Fejn ittieħdet il-kejl għall-gravità standard fid-dinja?</v>
      </c>
    </row>
    <row r="18607" ht="15.75" customHeight="1">
      <c r="A18607" s="2" t="s">
        <v>18607</v>
      </c>
      <c r="B18607" s="2" t="str">
        <f>IFERROR(__xludf.DUMMYFUNCTION("GOOGLETRANSLATE(A18607, ""en"", ""mt"")"),"Is-sistema immunitarja hija sistema ta 'ħafna strutturi u proċessi bijoloġiċi fi ħdan organiżmu li jipproteġi kontra l-mard. Biex tiffunzjona kif suppost, sistema immuni għandha tiskopri varjetà wiesgħa ta 'aġenti, magħrufa bħala patoġeni, minn viruses għ"&amp;"al dud parassitiku, u tiddistingwihom mit-tessut b'saħħtu tal-organiżmu stess. F’ħafna speċi, is-sistema immunitarja tista ’tiġi kklassifikata f’subsistemi, bħas-sistema immuni innata kontra s-sistema immunitarja adattiva, jew l-immunità umoristika kontra"&amp;" l-immunità medjata miċ-ċelloli. Fil-bnedmin, il-barriera tad-demm-moħħ, l-ostaklu tal-fluwidu tad-demm-cerebrospinali, u l-ostakli simili tal-moħħ fluwidu jisseparaw is-sistema immuni periferali mis-sistema newroimmuni li tipproteġi l-moħħ.")</f>
        <v>Is-sistema immunitarja hija sistema ta 'ħafna strutturi u proċessi bijoloġiċi fi ħdan organiżmu li jipproteġi kontra l-mard. Biex tiffunzjona kif suppost, sistema immuni għandha tiskopri varjetà wiesgħa ta 'aġenti, magħrufa bħala patoġeni, minn viruses għal dud parassitiku, u tiddistingwihom mit-tessut b'saħħtu tal-organiżmu stess. F’ħafna speċi, is-sistema immunitarja tista ’tiġi kklassifikata f’subsistemi, bħas-sistema immuni innata kontra s-sistema immunitarja adattiva, jew l-immunità umoristika kontra l-immunità medjata miċ-ċelloli. Fil-bnedmin, il-barriera tad-demm-moħħ, l-ostaklu tal-fluwidu tad-demm-cerebrospinali, u l-ostakli simili tal-moħħ fluwidu jisseparaw is-sistema immuni periferali mis-sistema newroimmuni li tipproteġi l-moħħ.</v>
      </c>
    </row>
    <row r="18608" ht="15.75" customHeight="1">
      <c r="A18608" s="2" t="s">
        <v>18608</v>
      </c>
      <c r="B18608" s="2" t="str">
        <f>IFERROR(__xludf.DUMMYFUNCTION("GOOGLETRANSLATE(A18608, ""en"", ""mt"")"),"Kif qabbel ir-rapport tal-IPCC tal-2001 mar-realtà fuq il-livelli tat-temperatura?")</f>
        <v>Kif qabbel ir-rapport tal-IPCC tal-2001 mar-realtà fuq il-livelli tat-temperatura?</v>
      </c>
    </row>
    <row r="18609" ht="15.75" customHeight="1">
      <c r="A18609" s="2" t="s">
        <v>18609</v>
      </c>
      <c r="B18609" s="2" t="str">
        <f>IFERROR(__xludf.DUMMYFUNCTION("GOOGLETRANSLATE(A18609, ""en"", ""mt"")"),"Liema organizzazzjoni bniet djar fil-viċinat fis-snin tletin?")</f>
        <v>Liema organizzazzjoni bniet djar fil-viċinat fis-snin tletin?</v>
      </c>
    </row>
    <row r="18610" ht="15.75" customHeight="1">
      <c r="A18610" s="2" t="s">
        <v>18610</v>
      </c>
      <c r="B18610" s="2" t="str">
        <f>IFERROR(__xludf.DUMMYFUNCTION("GOOGLETRANSLATE(A18610, ""en"", ""mt"")"),"Liema studju jissuġġerixxi li l-istimi preċedenti kienu eċċessivi?")</f>
        <v>Liema studju jissuġġerixxi li l-istimi preċedenti kienu eċċessivi?</v>
      </c>
    </row>
    <row r="18611" ht="15.75" customHeight="1">
      <c r="A18611" s="2" t="s">
        <v>18611</v>
      </c>
      <c r="B18611" s="2" t="str">
        <f>IFERROR(__xludf.DUMMYFUNCTION("GOOGLETRANSLATE(A18611, ""en"", ""mt"")"),"X'kienet l-USSR u l-Istati Uniti l-aktar inkwetati dwarhom?")</f>
        <v>X'kienet l-USSR u l-Istati Uniti l-aktar inkwetati dwarhom?</v>
      </c>
    </row>
    <row r="18612" ht="15.75" customHeight="1">
      <c r="A18612" s="2" t="s">
        <v>18612</v>
      </c>
      <c r="B18612" s="2" t="str">
        <f>IFERROR(__xludf.DUMMYFUNCTION("GOOGLETRANSLATE(A18612, ""en"", ""mt"")"),"X’kawża li s-sejbiet ta ’Oxfam jiġu interrogati?")</f>
        <v>X’kawża li s-sejbiet ta ’Oxfam jiġu interrogati?</v>
      </c>
    </row>
    <row r="18613" ht="15.75" customHeight="1">
      <c r="A18613" s="2" t="s">
        <v>18613</v>
      </c>
      <c r="B18613" s="2" t="str">
        <f>IFERROR(__xludf.DUMMYFUNCTION("GOOGLETRANSLATE(A18613, ""en"", ""mt"")"),"Maududi kien jemmen li l-Iżlam kellu bżonn dak li jkun stabbilit?")</f>
        <v>Maududi kien jemmen li l-Iżlam kellu bżonn dak li jkun stabbilit?</v>
      </c>
    </row>
    <row r="18614" ht="15.75" customHeight="1">
      <c r="A18614" s="2" t="s">
        <v>18614</v>
      </c>
      <c r="B18614" s="2" t="str">
        <f>IFERROR(__xludf.DUMMYFUNCTION("GOOGLETRANSLATE(A18614, ""en"", ""mt"")"),"Ix-xjentisti ma jaqblux ma 'kif inbidlet il-foresta tropikali tal-Amażonja maż-żmien ma' xi wħud billi argumentaw li kienet imnaqqsa għal refugia iżolata separata minn xiex?")</f>
        <v>Ix-xjentisti ma jaqblux ma 'kif inbidlet il-foresta tropikali tal-Amażonja maż-żmien ma' xi wħud billi argumentaw li kienet imnaqqsa għal refugia iżolata separata minn xiex?</v>
      </c>
    </row>
    <row r="18615" ht="15.75" customHeight="1">
      <c r="A18615" s="2" t="s">
        <v>18615</v>
      </c>
      <c r="B18615" s="2" t="str">
        <f>IFERROR(__xludf.DUMMYFUNCTION("GOOGLETRANSLATE(A18615, ""en"", ""mt"")"),"Il-Kunsill tal-Belt ta 'Edinburgu")</f>
        <v>Il-Kunsill tal-Belt ta 'Edinburgu</v>
      </c>
    </row>
    <row r="18616" ht="15.75" customHeight="1">
      <c r="A18616" s="2" t="s">
        <v>18616</v>
      </c>
      <c r="B18616" s="2" t="str">
        <f>IFERROR(__xludf.DUMMYFUNCTION("GOOGLETRANSLATE(A18616, ""en"", ""mt"")"),"Tim tal-Università tat-Tramuntana tal-Florida")</f>
        <v>Tim tal-Università tat-Tramuntana tal-Florida</v>
      </c>
    </row>
    <row r="18617" ht="15.75" customHeight="1">
      <c r="A18617" s="2" t="s">
        <v>18617</v>
      </c>
      <c r="B18617" s="2" t="str">
        <f>IFERROR(__xludf.DUMMYFUNCTION("GOOGLETRANSLATE(A18617, ""en"", ""mt"")"),"Deabolis")</f>
        <v>Deabolis</v>
      </c>
    </row>
    <row r="18618" ht="15.75" customHeight="1">
      <c r="A18618" s="2" t="s">
        <v>18618</v>
      </c>
      <c r="B18618" s="2" t="str">
        <f>IFERROR(__xludf.DUMMYFUNCTION("GOOGLETRANSLATE(A18618, ""en"", ""mt"")"),"X'tip ta 'magni tal-fwar ipproduċew l-iktar enerġija sal-bidu tas-seklu 20?")</f>
        <v>X'tip ta 'magni tal-fwar ipproduċew l-iktar enerġija sal-bidu tas-seklu 20?</v>
      </c>
    </row>
    <row r="18619" ht="15.75" customHeight="1">
      <c r="A18619" s="2" t="s">
        <v>18619</v>
      </c>
      <c r="B18619" s="2" t="str">
        <f>IFERROR(__xludf.DUMMYFUNCTION("GOOGLETRANSLATE(A18619, ""en"", ""mt"")"),"Re tal-Ingilterra")</f>
        <v>Re tal-Ingilterra</v>
      </c>
    </row>
    <row r="18620" ht="15.75" customHeight="1">
      <c r="A18620" s="2" t="s">
        <v>18620</v>
      </c>
      <c r="B18620" s="2" t="str">
        <f>IFERROR(__xludf.DUMMYFUNCTION("GOOGLETRANSLATE(A18620, ""en"", ""mt"")"),"lejn iċ-ċentru tal-passaġġ mgħawweġ")</f>
        <v>lejn iċ-ċentru tal-passaġġ mgħawweġ</v>
      </c>
    </row>
    <row r="18621" ht="15.75" customHeight="1">
      <c r="A18621" s="2" t="s">
        <v>18621</v>
      </c>
      <c r="B18621" s="2" t="str">
        <f>IFERROR(__xludf.DUMMYFUNCTION("GOOGLETRANSLATE(A18621, ""en"", ""mt"")"),"Kemm hemm bits ta 'spiss fil-primes użati għall-algoritmi ta' kriptografija ewlenija RSA?")</f>
        <v>Kemm hemm bits ta 'spiss fil-primes użati għall-algoritmi ta' kriptografija ewlenija RSA?</v>
      </c>
    </row>
    <row r="18622" ht="15.75" customHeight="1">
      <c r="A18622" s="2" t="s">
        <v>18622</v>
      </c>
      <c r="B18622" s="2" t="str">
        <f>IFERROR(__xludf.DUMMYFUNCTION("GOOGLETRANSLATE(A18622, ""en"", ""mt"")"),"F'liema każ il-qorti ddikjarat li l-Awstrija ma tħallietx iżżomm postijiet fl-iskejjel Awstrijaċi esklussivament għall-istudenti Awstrijaċi?")</f>
        <v>F'liema każ il-qorti ddikjarat li l-Awstrija ma tħallietx iżżomm postijiet fl-iskejjel Awstrijaċi esklussivament għall-istudenti Awstrijaċi?</v>
      </c>
    </row>
    <row r="18623" ht="15.75" customHeight="1">
      <c r="A18623" s="2" t="s">
        <v>18623</v>
      </c>
      <c r="B18623" s="2" t="str">
        <f>IFERROR(__xludf.DUMMYFUNCTION("GOOGLETRANSLATE(A18623, ""en"", ""mt"")"),"300 irġiel")</f>
        <v>300 irġiel</v>
      </c>
    </row>
    <row r="18624" ht="15.75" customHeight="1">
      <c r="A18624" s="2" t="s">
        <v>18624</v>
      </c>
      <c r="B18624" s="2" t="str">
        <f>IFERROR(__xludf.DUMMYFUNCTION("GOOGLETRANSLATE(A18624, ""en"", ""mt"")"),"Riċetturi ta 'rikonoxximent tal-mudelli")</f>
        <v>Riċetturi ta 'rikonoxximent tal-mudelli</v>
      </c>
    </row>
    <row r="18625" ht="15.75" customHeight="1">
      <c r="A18625" s="2" t="s">
        <v>18625</v>
      </c>
      <c r="B18625" s="2" t="str">
        <f>IFERROR(__xludf.DUMMYFUNCTION("GOOGLETRANSLATE(A18625, ""en"", ""mt"")"),"Xi jkun hemm lista tal-aqwa 250 swieq tat-trasport ippubblikati?")</f>
        <v>Xi jkun hemm lista tal-aqwa 250 swieq tat-trasport ippubblikati?</v>
      </c>
    </row>
    <row r="18626" ht="15.75" customHeight="1">
      <c r="A18626" s="2" t="s">
        <v>18626</v>
      </c>
      <c r="B18626" s="2" t="str">
        <f>IFERROR(__xludf.DUMMYFUNCTION("GOOGLETRANSLATE(A18626, ""en"", ""mt"")"),"Dak li temm it-triad")</f>
        <v>Dak li temm it-triad</v>
      </c>
    </row>
    <row r="18627" ht="15.75" customHeight="1">
      <c r="A18627" s="2" t="s">
        <v>18627</v>
      </c>
      <c r="B18627" s="2" t="str">
        <f>IFERROR(__xludf.DUMMYFUNCTION("GOOGLETRANSLATE(A18627, ""en"", ""mt"")"),"Arthur H. Compton")</f>
        <v>Arthur H. Compton</v>
      </c>
    </row>
    <row r="18628" ht="15.75" customHeight="1">
      <c r="A18628" s="2" t="s">
        <v>18628</v>
      </c>
      <c r="B18628" s="2" t="str">
        <f>IFERROR(__xludf.DUMMYFUNCTION("GOOGLETRANSLATE(A18628, ""en"", ""mt"")"),"fażi ta 'setup f'kull nodu involut")</f>
        <v>fażi ta 'setup f'kull nodu involut</v>
      </c>
    </row>
    <row r="18629" ht="15.75" customHeight="1">
      <c r="A18629" s="2" t="s">
        <v>18629</v>
      </c>
      <c r="B18629" s="2" t="str">
        <f>IFERROR(__xludf.DUMMYFUNCTION("GOOGLETRANSLATE(A18629, ""en"", ""mt"")"),"Kilogramma-forza")</f>
        <v>Kilogramma-forza</v>
      </c>
    </row>
    <row r="18630" ht="15.75" customHeight="1">
      <c r="A18630" s="2" t="s">
        <v>18630</v>
      </c>
      <c r="B18630" s="2" t="str">
        <f>IFERROR(__xludf.DUMMYFUNCTION("GOOGLETRANSLATE(A18630, ""en"", ""mt"")"),"7")</f>
        <v>7</v>
      </c>
    </row>
    <row r="18631" ht="15.75" customHeight="1">
      <c r="A18631" s="2" t="s">
        <v>18631</v>
      </c>
      <c r="B18631" s="2" t="str">
        <f>IFERROR(__xludf.DUMMYFUNCTION("GOOGLETRANSLATE(A18631, ""en"", ""mt"")")," X'kienet il-Gwerra Ċivili kontra Ragibagh li qatt ma nsejħu?")</f>
        <v> X'kienet il-Gwerra Ċivili kontra Ragibagh li qatt ma nsejħu?</v>
      </c>
    </row>
    <row r="18632" ht="15.75" customHeight="1">
      <c r="A18632" s="2" t="s">
        <v>18632</v>
      </c>
      <c r="B18632" s="2" t="str">
        <f>IFERROR(__xludf.DUMMYFUNCTION("GOOGLETRANSLATE(A18632, ""en"", ""mt"")"),"Partijiet oħra ta 'oġġett")</f>
        <v>Partijiet oħra ta 'oġġett</v>
      </c>
    </row>
    <row r="18633" ht="15.75" customHeight="1">
      <c r="A18633" s="2" t="s">
        <v>18633</v>
      </c>
      <c r="B18633" s="2" t="str">
        <f>IFERROR(__xludf.DUMMYFUNCTION("GOOGLETRANSLATE(A18633, ""en"", ""mt"")"),"Kemm studenti ġew irreġistrati fi skejjel pubbliċi fir-Rabat?")</f>
        <v>Kemm studenti ġew irreġistrati fi skejjel pubbliċi fir-Rabat?</v>
      </c>
    </row>
    <row r="18634" ht="15.75" customHeight="1">
      <c r="A18634" s="2" t="s">
        <v>18634</v>
      </c>
      <c r="B18634" s="2" t="str">
        <f>IFERROR(__xludf.DUMMYFUNCTION("GOOGLETRANSLATE(A18634, ""en"", ""mt"")"),"permess ta 'okkupazzjoni")</f>
        <v>permess ta 'okkupazzjoni</v>
      </c>
    </row>
    <row r="18635" ht="15.75" customHeight="1">
      <c r="A18635" s="2" t="s">
        <v>18635</v>
      </c>
      <c r="B18635" s="2" t="str">
        <f>IFERROR(__xludf.DUMMYFUNCTION("GOOGLETRANSLATE(A18635, ""en"", ""mt"")"),"Kemm hi wiesgħa r-Renu fil-Ġermanja?")</f>
        <v>Kemm hi wiesgħa r-Renu fil-Ġermanja?</v>
      </c>
    </row>
    <row r="18636" ht="15.75" customHeight="1">
      <c r="A18636" s="2" t="s">
        <v>18636</v>
      </c>
      <c r="B18636" s="2" t="str">
        <f>IFERROR(__xludf.DUMMYFUNCTION("GOOGLETRANSLATE(A18636, ""en"", ""mt"")"),"Wieħed (jew aktar")</f>
        <v>Wieħed (jew aktar</v>
      </c>
    </row>
    <row r="18637" ht="15.75" customHeight="1">
      <c r="A18637" s="2" t="s">
        <v>18637</v>
      </c>
      <c r="B18637" s="2" t="str">
        <f>IFERROR(__xludf.DUMMYFUNCTION("GOOGLETRANSLATE(A18637, ""en"", ""mt"")"),"Min hu meqjus bħala l-awtorità aħħarija dwar it-tibdil fil-klima?")</f>
        <v>Min hu meqjus bħala l-awtorità aħħarija dwar it-tibdil fil-klima?</v>
      </c>
    </row>
    <row r="18638" ht="15.75" customHeight="1">
      <c r="A18638" s="2" t="s">
        <v>18638</v>
      </c>
      <c r="B18638" s="2" t="str">
        <f>IFERROR(__xludf.DUMMYFUNCTION("GOOGLETRANSLATE(A18638, ""en"", ""mt"")"),"Kif huwa determinat id-dħul f'suq ma 'ħaddiema b'ħiliet varji?")</f>
        <v>Kif huwa determinat id-dħul f'suq ma 'ħaddiema b'ħiliet varji?</v>
      </c>
    </row>
    <row r="18639" ht="15.75" customHeight="1">
      <c r="A18639" s="2" t="s">
        <v>18639</v>
      </c>
      <c r="B18639" s="2" t="str">
        <f>IFERROR(__xludf.DUMMYFUNCTION("GOOGLETRANSLATE(A18639, ""en"", ""mt"")"),"Xingu")</f>
        <v>Xingu</v>
      </c>
    </row>
    <row r="18640" ht="15.75" customHeight="1">
      <c r="A18640" s="2" t="s">
        <v>18640</v>
      </c>
      <c r="B18640" s="2" t="str">
        <f>IFERROR(__xludf.DUMMYFUNCTION("GOOGLETRANSLATE(A18640, ""en"", ""mt"")"),"Liema denominazzjoni tinsisti li l-istudenti jridu jkunu wkoll membru tal-knisja fundatriċi?")</f>
        <v>Liema denominazzjoni tinsisti li l-istudenti jridu jkunu wkoll membru tal-knisja fundatriċi?</v>
      </c>
    </row>
    <row r="18641" ht="15.75" customHeight="1">
      <c r="A18641" s="2" t="s">
        <v>18641</v>
      </c>
      <c r="B18641" s="2" t="str">
        <f>IFERROR(__xludf.DUMMYFUNCTION("GOOGLETRANSLATE(A18641, ""en"", ""mt"")"),"Il-proġett ta 'tiġdid urban kien maħsub biex jgħin lir-residenti ta' liema lokal?")</f>
        <v>Il-proġett ta 'tiġdid urban kien maħsub biex jgħin lir-residenti ta' liema lokal?</v>
      </c>
    </row>
    <row r="18642" ht="15.75" customHeight="1">
      <c r="A18642" s="2" t="s">
        <v>18642</v>
      </c>
      <c r="B18642" s="2" t="str">
        <f>IFERROR(__xludf.DUMMYFUNCTION("GOOGLETRANSLATE(A18642, ""en"", ""mt"")"),"Liema teorija tispjega l-aħjar il-gravità?")</f>
        <v>Liema teorija tispjega l-aħjar il-gravità?</v>
      </c>
    </row>
    <row r="18643" ht="15.75" customHeight="1">
      <c r="A18643" s="2" t="s">
        <v>18643</v>
      </c>
      <c r="B18643" s="2" t="str">
        <f>IFERROR(__xludf.DUMMYFUNCTION("GOOGLETRANSLATE(A18643, ""en"", ""mt"")"),"40%")</f>
        <v>40%</v>
      </c>
    </row>
    <row r="18644" ht="15.75" customHeight="1">
      <c r="A18644" s="2" t="s">
        <v>18644</v>
      </c>
      <c r="B18644" s="2" t="str">
        <f>IFERROR(__xludf.DUMMYFUNCTION("GOOGLETRANSLATE(A18644, ""en"", ""mt"")"),"X'forma ta 'Lag Constance f'Delta Interna?")</f>
        <v>X'forma ta 'Lag Constance f'Delta Interna?</v>
      </c>
    </row>
    <row r="18645" ht="15.75" customHeight="1">
      <c r="A18645" s="2" t="s">
        <v>18645</v>
      </c>
      <c r="B18645" s="2" t="str">
        <f>IFERROR(__xludf.DUMMYFUNCTION("GOOGLETRANSLATE(A18645, ""en"", ""mt"")")," Wara l-1945, dak li kkontesta l-Imperu Brittaniku?")</f>
        <v> Wara l-1945, dak li kkontesta l-Imperu Brittaniku?</v>
      </c>
    </row>
    <row r="18646" ht="15.75" customHeight="1">
      <c r="A18646" s="2" t="s">
        <v>18646</v>
      </c>
      <c r="B18646" s="2" t="str">
        <f>IFERROR(__xludf.DUMMYFUNCTION("GOOGLETRANSLATE(A18646, ""en"", ""mt"")"),"1773 jew qabel")</f>
        <v>1773 jew qabel</v>
      </c>
    </row>
    <row r="18647" ht="15.75" customHeight="1">
      <c r="A18647" s="2" t="s">
        <v>18647</v>
      </c>
      <c r="B18647" s="2" t="str">
        <f>IFERROR(__xludf.DUMMYFUNCTION("GOOGLETRANSLATE(A18647, ""en"", ""mt"")"),"Ho")</f>
        <v>Ho</v>
      </c>
    </row>
    <row r="18648" ht="15.75" customHeight="1">
      <c r="A18648" s="2" t="s">
        <v>18648</v>
      </c>
      <c r="B18648" s="2" t="str">
        <f>IFERROR(__xludf.DUMMYFUNCTION("GOOGLETRANSLATE(A18648, ""en"", ""mt"")"),"Kemm hemm riżervi naturali f'Varsavja?")</f>
        <v>Kemm hemm riżervi naturali f'Varsavja?</v>
      </c>
    </row>
    <row r="18649" ht="15.75" customHeight="1">
      <c r="A18649" s="2" t="s">
        <v>18649</v>
      </c>
      <c r="B18649" s="2" t="str">
        <f>IFERROR(__xludf.DUMMYFUNCTION("GOOGLETRANSLATE(A18649, ""en"", ""mt"")"),"l-abbuż tal-pożizzjoni dominanti")</f>
        <v>l-abbuż tal-pożizzjoni dominanti</v>
      </c>
    </row>
    <row r="18650" ht="15.75" customHeight="1">
      <c r="A18650" s="2" t="s">
        <v>18650</v>
      </c>
      <c r="B18650" s="2" t="str">
        <f>IFERROR(__xludf.DUMMYFUNCTION("GOOGLETRANSLATE(A18650, ""en"", ""mt"")"),"il-magna tat-Turing")</f>
        <v>il-magna tat-Turing</v>
      </c>
    </row>
    <row r="18651" ht="15.75" customHeight="1">
      <c r="A18651" s="2" t="s">
        <v>18651</v>
      </c>
      <c r="B18651" s="2" t="str">
        <f>IFERROR(__xludf.DUMMYFUNCTION("GOOGLETRANSLATE(A18651, ""en"", ""mt"")"),"Għal liema pajjiż tieħu l-Moselle?")</f>
        <v>Għal liema pajjiż tieħu l-Moselle?</v>
      </c>
    </row>
    <row r="18652" ht="15.75" customHeight="1">
      <c r="A18652" s="2" t="s">
        <v>18652</v>
      </c>
      <c r="B18652" s="2" t="str">
        <f>IFERROR(__xludf.DUMMYFUNCTION("GOOGLETRANSLATE(A18652, ""en"", ""mt"")"),"X'tip ta 'bdiewa opponew ħafna mill-proġetti ta' trasport fl-Amażonja?")</f>
        <v>X'tip ta 'bdiewa opponew ħafna mill-proġetti ta' trasport fl-Amażonja?</v>
      </c>
    </row>
    <row r="18653" ht="15.75" customHeight="1">
      <c r="A18653" s="2" t="s">
        <v>18653</v>
      </c>
      <c r="B18653" s="2" t="str">
        <f>IFERROR(__xludf.DUMMYFUNCTION("GOOGLETRANSLATE(A18653, ""en"", ""mt"")"),"Ir-rivali lokali tagħhom, Polonia Warsaw, għandhom inqas partitarji, iżda rnexxielhom jirbħu l-Kampjonat Ekstraklasa fl-2000. Huma rebħu wkoll il-kampjonat tal-pajjiż fl-1946, u rebħu t-tazza darbtejn ukoll. Il-post tad-dar ta 'Polonia jinsab fi Triq Konw"&amp;"iktorska, għaxar minuti mixi fit-tramuntana mill-belt il-qadima. Polonia ġiet relegata mill-aqwa titjira tal-pajjiż fl-2013 minħabba s-sitwazzjoni finanzjarja diżastruża tagħhom. Issa qegħdin jilagħbu fir-4 kampjonat (il-5 livell fil-Polonja) - il-kampjon"&amp;"at professjonali tal-qiegħ fl-istruttura Nazzjonali - Pollakka tal-Futbol (PZPN).")</f>
        <v>Ir-rivali lokali tagħhom, Polonia Warsaw, għandhom inqas partitarji, iżda rnexxielhom jirbħu l-Kampjonat Ekstraklasa fl-2000. Huma rebħu wkoll il-kampjonat tal-pajjiż fl-1946, u rebħu t-tazza darbtejn ukoll. Il-post tad-dar ta 'Polonia jinsab fi Triq Konwiktorska, għaxar minuti mixi fit-tramuntana mill-belt il-qadima. Polonia ġiet relegata mill-aqwa titjira tal-pajjiż fl-2013 minħabba s-sitwazzjoni finanzjarja diżastruża tagħhom. Issa qegħdin jilagħbu fir-4 kampjonat (il-5 livell fil-Polonja) - il-kampjonat professjonali tal-qiegħ fl-istruttura Nazzjonali - Pollakka tal-Futbol (PZPN).</v>
      </c>
    </row>
    <row r="18654" ht="15.75" customHeight="1">
      <c r="A18654" s="2" t="s">
        <v>18654</v>
      </c>
      <c r="B18654" s="2" t="str">
        <f>IFERROR(__xludf.DUMMYFUNCTION("GOOGLETRANSLATE(A18654, ""en"", ""mt"")"),"L-Amażonja tirrappreżenta inqas minn nofs il-pjaneti li fadal?")</f>
        <v>L-Amażonja tirrappreżenta inqas minn nofs il-pjaneti li fadal?</v>
      </c>
    </row>
    <row r="18655" ht="15.75" customHeight="1">
      <c r="A18655" s="2" t="s">
        <v>18655</v>
      </c>
      <c r="B18655" s="2" t="str">
        <f>IFERROR(__xludf.DUMMYFUNCTION("GOOGLETRANSLATE(A18655, ""en"", ""mt"")"),"Sa 1.5 metri (4.9 ft) twal")</f>
        <v>Sa 1.5 metri (4.9 ft) twal</v>
      </c>
    </row>
    <row r="18656" ht="15.75" customHeight="1">
      <c r="A18656" s="2" t="s">
        <v>18656</v>
      </c>
      <c r="B18656" s="2" t="str">
        <f>IFERROR(__xludf.DUMMYFUNCTION("GOOGLETRANSLATE(A18656, ""en"", ""mt"")"),"il-kummissjoni")</f>
        <v>il-kummissjoni</v>
      </c>
    </row>
    <row r="18657" ht="15.75" customHeight="1">
      <c r="A18657" s="2" t="s">
        <v>18657</v>
      </c>
      <c r="B18657" s="2" t="str">
        <f>IFERROR(__xludf.DUMMYFUNCTION("GOOGLETRANSLATE(A18657, ""en"", ""mt"")"),"Liema parti hija l-iktar b'saħħitha fid-dar t'isfel tar-Rabat?")</f>
        <v>Liema parti hija l-iktar b'saħħitha fid-dar t'isfel tar-Rabat?</v>
      </c>
    </row>
    <row r="18658" ht="15.75" customHeight="1">
      <c r="A18658" s="2" t="s">
        <v>18658</v>
      </c>
      <c r="B18658" s="2" t="str">
        <f>IFERROR(__xludf.DUMMYFUNCTION("GOOGLETRANSLATE(A18658, ""en"", ""mt"")"),"aktar minn ħamsin")</f>
        <v>aktar minn ħamsin</v>
      </c>
    </row>
    <row r="18659" ht="15.75" customHeight="1">
      <c r="A18659" s="2" t="s">
        <v>18659</v>
      </c>
      <c r="B18659" s="2" t="str">
        <f>IFERROR(__xludf.DUMMYFUNCTION("GOOGLETRANSLATE(A18659, ""en"", ""mt"")"),"Antoine Lavoisier")</f>
        <v>Antoine Lavoisier</v>
      </c>
    </row>
    <row r="18660" ht="15.75" customHeight="1">
      <c r="A18660" s="2" t="s">
        <v>18660</v>
      </c>
      <c r="B18660" s="2" t="str">
        <f>IFERROR(__xludf.DUMMYFUNCTION("GOOGLETRANSLATE(A18660, ""en"", ""mt"")"),"Kemm hemm sulari fil-bini li tlesta fl-1967?")</f>
        <v>Kemm hemm sulari fil-bini li tlesta fl-1967?</v>
      </c>
    </row>
    <row r="18661" ht="15.75" customHeight="1">
      <c r="A18661" s="2" t="s">
        <v>18661</v>
      </c>
      <c r="B18661" s="2" t="str">
        <f>IFERROR(__xludf.DUMMYFUNCTION("GOOGLETRANSLATE(A18661, ""en"", ""mt"")"),"il-Mingo")</f>
        <v>il-Mingo</v>
      </c>
    </row>
    <row r="18662" ht="15.75" customHeight="1">
      <c r="A18662" s="2" t="s">
        <v>18662</v>
      </c>
      <c r="B18662" s="2" t="str">
        <f>IFERROR(__xludf.DUMMYFUNCTION("GOOGLETRANSLATE(A18662, ""en"", ""mt"")"),"Is-suspettat qed jitkellem ma 'investigaturi kriminali")</f>
        <v>Is-suspettat qed jitkellem ma 'investigaturi kriminali</v>
      </c>
    </row>
    <row r="18663" ht="15.75" customHeight="1">
      <c r="A18663" s="2" t="s">
        <v>18663</v>
      </c>
      <c r="B18663" s="2" t="str">
        <f>IFERROR(__xludf.DUMMYFUNCTION("GOOGLETRANSLATE(A18663, ""en"", ""mt"")"),"Liema tliet setturi ta 'xogħlijiet pubbliċi hemm?")</f>
        <v>Liema tliet setturi ta 'xogħlijiet pubbliċi hemm?</v>
      </c>
    </row>
    <row r="18664" ht="15.75" customHeight="1">
      <c r="A18664" s="2" t="s">
        <v>18664</v>
      </c>
      <c r="B18664" s="2" t="str">
        <f>IFERROR(__xludf.DUMMYFUNCTION("GOOGLETRANSLATE(A18664, ""en"", ""mt"")"),"Phlogiston")</f>
        <v>Phlogiston</v>
      </c>
    </row>
    <row r="18665" ht="15.75" customHeight="1">
      <c r="A18665" s="2" t="s">
        <v>18665</v>
      </c>
      <c r="B18665" s="2" t="str">
        <f>IFERROR(__xludf.DUMMYFUNCTION("GOOGLETRANSLATE(A18665, ""en"", ""mt"")"),"Min stabbilixxa l-ammont ta 'numri ewlenin li jeżistu?")</f>
        <v>Min stabbilixxa l-ammont ta 'numri ewlenin li jeżistu?</v>
      </c>
    </row>
    <row r="18666" ht="15.75" customHeight="1">
      <c r="A18666" s="2" t="s">
        <v>18666</v>
      </c>
      <c r="B18666" s="2" t="str">
        <f>IFERROR(__xludf.DUMMYFUNCTION("GOOGLETRANSLATE(A18666, ""en"", ""mt"")"),"Min hu l-fundatur tal-Bungie u l-iżviluppatur tal-video game taż-żfin?")</f>
        <v>Min hu l-fundatur tal-Bungie u l-iżviluppatur tal-video game taż-żfin?</v>
      </c>
    </row>
    <row r="18667" ht="15.75" customHeight="1">
      <c r="A18667" s="2" t="s">
        <v>18667</v>
      </c>
      <c r="B18667" s="2" t="str">
        <f>IFERROR(__xludf.DUMMYFUNCTION("GOOGLETRANSLATE(A18667, ""en"", ""mt"")"),"X’kiseb Hagen wara li ġie mitfugħ fix-xmara?")</f>
        <v>X’kiseb Hagen wara li ġie mitfugħ fix-xmara?</v>
      </c>
    </row>
    <row r="18668" ht="15.75" customHeight="1">
      <c r="A18668" s="2" t="s">
        <v>18668</v>
      </c>
      <c r="B18668" s="2" t="str">
        <f>IFERROR(__xludf.DUMMYFUNCTION("GOOGLETRANSLATE(A18668, ""en"", ""mt"")"),"Dynasties Sui u Tang")</f>
        <v>Dynasties Sui u Tang</v>
      </c>
    </row>
    <row r="18669" ht="15.75" customHeight="1">
      <c r="A18669" s="2" t="s">
        <v>18669</v>
      </c>
      <c r="B18669" s="2" t="str">
        <f>IFERROR(__xludf.DUMMYFUNCTION("GOOGLETRANSLATE(A18669, ""en"", ""mt"")"),"F'liema sena ħoloq il-Mużew Walker u inkorpora l-U ta 'C bħala istituzzjoni coed?")</f>
        <v>F'liema sena ħoloq il-Mużew Walker u inkorpora l-U ta 'C bħala istituzzjoni coed?</v>
      </c>
    </row>
    <row r="18670" ht="15.75" customHeight="1">
      <c r="A18670" s="2" t="s">
        <v>18670</v>
      </c>
      <c r="B18670" s="2" t="str">
        <f>IFERROR(__xludf.DUMMYFUNCTION("GOOGLETRANSLATE(A18670, ""en"", ""mt"")"),"Magazine tax-Xjenza")</f>
        <v>Magazine tax-Xjenza</v>
      </c>
    </row>
    <row r="18671" ht="15.75" customHeight="1">
      <c r="A18671" s="2" t="s">
        <v>18671</v>
      </c>
      <c r="B18671" s="2" t="str">
        <f>IFERROR(__xludf.DUMMYFUNCTION("GOOGLETRANSLATE(A18671, ""en"", ""mt"")"),"Min kiteb Freakonomics u huwa wkoll antropologu?")</f>
        <v>Min kiteb Freakonomics u huwa wkoll antropologu?</v>
      </c>
    </row>
    <row r="18672" ht="15.75" customHeight="1">
      <c r="A18672" s="2" t="s">
        <v>18672</v>
      </c>
      <c r="B18672" s="2" t="str">
        <f>IFERROR(__xludf.DUMMYFUNCTION("GOOGLETRANSLATE(A18672, ""en"", ""mt"")"),"Ċelloli T Vγ9 / Vδ2")</f>
        <v>Ċelloli T Vγ9 / Vδ2</v>
      </c>
    </row>
    <row r="18673" ht="15.75" customHeight="1">
      <c r="A18673" s="2" t="s">
        <v>18673</v>
      </c>
      <c r="B18673" s="2" t="str">
        <f>IFERROR(__xludf.DUMMYFUNCTION("GOOGLETRANSLATE(A18673, ""en"", ""mt"")"),"X'taħseb li t-tama li twettaq ir-rivoluzzjoni tal-bellus fl-Indja?")</f>
        <v>X'taħseb li t-tama li twettaq ir-rivoluzzjoni tal-bellus fl-Indja?</v>
      </c>
    </row>
    <row r="18674" ht="15.75" customHeight="1">
      <c r="A18674" s="2" t="s">
        <v>18674</v>
      </c>
      <c r="B18674" s="2" t="str">
        <f>IFERROR(__xludf.DUMMYFUNCTION("GOOGLETRANSLATE(A18674, ""en"", ""mt"")"),"Sacramento akbar")</f>
        <v>Sacramento akbar</v>
      </c>
    </row>
    <row r="18675" ht="15.75" customHeight="1">
      <c r="A18675" s="2" t="s">
        <v>18675</v>
      </c>
      <c r="B18675" s="2" t="str">
        <f>IFERROR(__xludf.DUMMYFUNCTION("GOOGLETRANSLATE(A18675, ""en"", ""mt"")"),"Spiżeriji ta 'Speċjalità")</f>
        <v>Spiżeriji ta 'Speċjalità</v>
      </c>
    </row>
    <row r="18676" ht="15.75" customHeight="1">
      <c r="A18676" s="2" t="s">
        <v>18676</v>
      </c>
      <c r="B18676" s="2" t="str">
        <f>IFERROR(__xludf.DUMMYFUNCTION("GOOGLETRANSLATE(A18676, ""en"", ""mt"")"),"F'liema korp ta 'l-ilma jinżamm ir-Regatta ta' Harvard - Yale?")</f>
        <v>F'liema korp ta 'l-ilma jinżamm ir-Regatta ta' Harvard - Yale?</v>
      </c>
    </row>
    <row r="18677" ht="15.75" customHeight="1">
      <c r="A18677" s="2" t="s">
        <v>18677</v>
      </c>
      <c r="B18677" s="2" t="str">
        <f>IFERROR(__xludf.DUMMYFUNCTION("GOOGLETRANSLATE(A18677, ""en"", ""mt"")"),"Kemm kienet se tħallas BSKYB għad-drittijiet tal-Lega Primier?")</f>
        <v>Kemm kienet se tħallas BSKYB għad-drittijiet tal-Lega Primier?</v>
      </c>
    </row>
    <row r="18678" ht="15.75" customHeight="1">
      <c r="A18678" s="2" t="s">
        <v>18678</v>
      </c>
      <c r="B18678" s="2" t="str">
        <f>IFERROR(__xludf.DUMMYFUNCTION("GOOGLETRANSLATE(A18678, ""en"", ""mt"")"),"Kważi 3,000")</f>
        <v>Kważi 3,000</v>
      </c>
    </row>
    <row r="18679" ht="15.75" customHeight="1">
      <c r="A18679" s="2" t="s">
        <v>18679</v>
      </c>
      <c r="B18679" s="2" t="str">
        <f>IFERROR(__xludf.DUMMYFUNCTION("GOOGLETRANSLATE(A18679, ""en"", ""mt"")"),"X'se jħaffef l-ossiġnu kkonċentrat?")</f>
        <v>X'se jħaffef l-ossiġnu kkonċentrat?</v>
      </c>
    </row>
    <row r="18680" ht="15.75" customHeight="1">
      <c r="A18680" s="2" t="s">
        <v>18680</v>
      </c>
      <c r="B18680" s="2" t="str">
        <f>IFERROR(__xludf.DUMMYFUNCTION("GOOGLETRANSLATE(A18680, ""en"", ""mt"")"),"Diversi speċi ta 'gremxul inixxu?")</f>
        <v>Diversi speċi ta 'gremxul inixxu?</v>
      </c>
    </row>
    <row r="18681" ht="15.75" customHeight="1">
      <c r="A18681" s="2" t="s">
        <v>18681</v>
      </c>
      <c r="B18681" s="2" t="str">
        <f>IFERROR(__xludf.DUMMYFUNCTION("GOOGLETRANSLATE(A18681, ""en"", ""mt"")"),"imxarrab")</f>
        <v>imxarrab</v>
      </c>
    </row>
    <row r="18682" ht="15.75" customHeight="1">
      <c r="A18682" s="2" t="s">
        <v>18682</v>
      </c>
      <c r="B18682" s="2" t="str">
        <f>IFERROR(__xludf.DUMMYFUNCTION("GOOGLETRANSLATE(A18682, ""en"", ""mt"")"),"Kif bdiet il-gwerra?")</f>
        <v>Kif bdiet il-gwerra?</v>
      </c>
    </row>
    <row r="18683" ht="15.75" customHeight="1">
      <c r="A18683" s="2" t="s">
        <v>18683</v>
      </c>
      <c r="B18683" s="2" t="str">
        <f>IFERROR(__xludf.DUMMYFUNCTION("GOOGLETRANSLATE(A18683, ""en"", ""mt"")"),"L-evidenza tindika li ċ-ċidippidi mhumiex xiex?")</f>
        <v>L-evidenza tindika li ċ-ċidippidi mhumiex xiex?</v>
      </c>
    </row>
    <row r="18684" ht="15.75" customHeight="1">
      <c r="A18684" s="2" t="s">
        <v>18684</v>
      </c>
      <c r="B18684" s="2" t="str">
        <f>IFERROR(__xludf.DUMMYFUNCTION("GOOGLETRANSLATE(A18684, ""en"", ""mt"")"),"Kemm mill-abitanti ta 'Berlin tkellmu bl-Ingliż fl-1933?")</f>
        <v>Kemm mill-abitanti ta 'Berlin tkellmu bl-Ingliż fl-1933?</v>
      </c>
    </row>
    <row r="18685" ht="15.75" customHeight="1">
      <c r="A18685" s="2" t="s">
        <v>18685</v>
      </c>
      <c r="B18685" s="2" t="str">
        <f>IFERROR(__xludf.DUMMYFUNCTION("GOOGLETRANSLATE(A18685, ""en"", ""mt"")"),"Kemm hemm Kattoliċi Franċiżi fl-1598?")</f>
        <v>Kemm hemm Kattoliċi Franċiżi fl-1598?</v>
      </c>
    </row>
    <row r="18686" ht="15.75" customHeight="1">
      <c r="A18686" s="2" t="s">
        <v>18686</v>
      </c>
      <c r="B18686" s="2" t="str">
        <f>IFERROR(__xludf.DUMMYFUNCTION("GOOGLETRANSLATE(A18686, ""en"", ""mt"")"),"X'kienet il-popolazzjoni tal-Ewropa fl-1665?")</f>
        <v>X'kienet il-popolazzjoni tal-Ewropa fl-1665?</v>
      </c>
    </row>
    <row r="18687" ht="15.75" customHeight="1">
      <c r="A18687" s="2" t="s">
        <v>18687</v>
      </c>
      <c r="B18687" s="2" t="str">
        <f>IFERROR(__xludf.DUMMYFUNCTION("GOOGLETRANSLATE(A18687, ""en"", ""mt"")"),"NSF kien pass importanti għal xiex?")</f>
        <v>NSF kien pass importanti għal xiex?</v>
      </c>
    </row>
    <row r="18688" ht="15.75" customHeight="1">
      <c r="A18688" s="2" t="s">
        <v>18688</v>
      </c>
      <c r="B18688" s="2" t="str">
        <f>IFERROR(__xludf.DUMMYFUNCTION("GOOGLETRANSLATE(A18688, ""en"", ""mt"")"),"Kolonizzanti, Influwenza, u Annexing")</f>
        <v>Kolonizzanti, Influwenza, u Annexing</v>
      </c>
    </row>
    <row r="18689" ht="15.75" customHeight="1">
      <c r="A18689" s="2" t="s">
        <v>18689</v>
      </c>
      <c r="B18689" s="2" t="str">
        <f>IFERROR(__xludf.DUMMYFUNCTION("GOOGLETRANSLATE(A18689, ""en"", ""mt"")"),"rivista kummerċjali għall-industrija tal-kostruzzjoni")</f>
        <v>rivista kummerċjali għall-industrija tal-kostruzzjoni</v>
      </c>
    </row>
    <row r="18690" ht="15.75" customHeight="1">
      <c r="A18690" s="2" t="s">
        <v>18690</v>
      </c>
      <c r="B18690" s="2" t="str">
        <f>IFERROR(__xludf.DUMMYFUNCTION("GOOGLETRANSLATE(A18690, ""en"", ""mt"")"),"L-Istati Uniti / il-Kanada")</f>
        <v>L-Istati Uniti / il-Kanada</v>
      </c>
    </row>
    <row r="18691" ht="15.75" customHeight="1">
      <c r="A18691" s="2" t="s">
        <v>18691</v>
      </c>
      <c r="B18691" s="2" t="str">
        <f>IFERROR(__xludf.DUMMYFUNCTION("GOOGLETRANSLATE(A18691, ""en"", ""mt"")"),"Għal xiex tispikka l-akronimu FIS?")</f>
        <v>Għal xiex tispikka l-akronimu FIS?</v>
      </c>
    </row>
    <row r="18692" ht="15.75" customHeight="1">
      <c r="A18692" s="2" t="s">
        <v>18692</v>
      </c>
      <c r="B18692" s="2" t="str">
        <f>IFERROR(__xludf.DUMMYFUNCTION("GOOGLETRANSLATE(A18692, ""en"", ""mt"")"),"Matthew Murray")</f>
        <v>Matthew Murray</v>
      </c>
    </row>
    <row r="18693" ht="15.75" customHeight="1">
      <c r="A18693" s="2" t="s">
        <v>18693</v>
      </c>
      <c r="B18693" s="2" t="str">
        <f>IFERROR(__xludf.DUMMYFUNCTION("GOOGLETRANSLATE(A18693, ""en"", ""mt"")"),"Min kien il-proponent ewlieni tat-teorija ċellulari tal-immunità?")</f>
        <v>Min kien il-proponent ewlieni tat-teorija ċellulari tal-immunità?</v>
      </c>
    </row>
    <row r="18694" ht="15.75" customHeight="1">
      <c r="A18694" s="2" t="s">
        <v>18694</v>
      </c>
      <c r="B18694" s="2" t="str">
        <f>IFERROR(__xludf.DUMMYFUNCTION("GOOGLETRANSLATE(A18694, ""en"", ""mt"")"),"Matematika applikata")</f>
        <v>Matematika applikata</v>
      </c>
    </row>
    <row r="18695" ht="15.75" customHeight="1">
      <c r="A18695" s="2" t="s">
        <v>18695</v>
      </c>
      <c r="B18695" s="2" t="str">
        <f>IFERROR(__xludf.DUMMYFUNCTION("GOOGLETRANSLATE(A18695, ""en"", ""mt"")"),"Hemm Sit ta 'Wirt Dinji tal-UNESCO fil-Gorge Rhine bejn il-Koblenz u xiex?")</f>
        <v>Hemm Sit ta 'Wirt Dinji tal-UNESCO fil-Gorge Rhine bejn il-Koblenz u xiex?</v>
      </c>
    </row>
    <row r="18696" ht="15.75" customHeight="1">
      <c r="A18696" s="2" t="s">
        <v>18696</v>
      </c>
      <c r="B18696" s="2" t="str">
        <f>IFERROR(__xludf.DUMMYFUNCTION("GOOGLETRANSLATE(A18696, ""en"", ""mt"")"),"Preżentazzjoni tal-antiġen")</f>
        <v>Preżentazzjoni tal-antiġen</v>
      </c>
    </row>
    <row r="18697" ht="15.75" customHeight="1">
      <c r="A18697" s="2" t="s">
        <v>18697</v>
      </c>
      <c r="B18697" s="2" t="str">
        <f>IFERROR(__xludf.DUMMYFUNCTION("GOOGLETRANSLATE(A18697, ""en"", ""mt"")"),"aktar ġid")</f>
        <v>aktar ġid</v>
      </c>
    </row>
    <row r="18698" ht="15.75" customHeight="1">
      <c r="A18698" s="2" t="s">
        <v>18698</v>
      </c>
      <c r="B18698" s="2" t="str">
        <f>IFERROR(__xludf.DUMMYFUNCTION("GOOGLETRANSLATE(A18698, ""en"", ""mt"")"),"Kolonja tal-Kap Olandiża")</f>
        <v>Kolonja tal-Kap Olandiża</v>
      </c>
    </row>
    <row r="18699" ht="15.75" customHeight="1">
      <c r="A18699" s="2" t="s">
        <v>18699</v>
      </c>
      <c r="B18699" s="2" t="str">
        <f>IFERROR(__xludf.DUMMYFUNCTION("GOOGLETRANSLATE(A18699, ""en"", ""mt"")"),"X'kienet ir-raġuni ewlenija għall-bidla għall-fehma li l-inugwaljanza tad-dħul tagħmel ħsara lit-tkabbir?")</f>
        <v>X'kienet ir-raġuni ewlenija għall-bidla għall-fehma li l-inugwaljanza tad-dħul tagħmel ħsara lit-tkabbir?</v>
      </c>
    </row>
    <row r="18700" ht="15.75" customHeight="1">
      <c r="A18700" s="2" t="s">
        <v>18700</v>
      </c>
      <c r="B18700" s="2" t="str">
        <f>IFERROR(__xludf.DUMMYFUNCTION("GOOGLETRANSLATE(A18700, ""en"", ""mt"")"),"aktar pożittiv")</f>
        <v>aktar pożittiv</v>
      </c>
    </row>
    <row r="18701" ht="15.75" customHeight="1">
      <c r="A18701" s="2" t="s">
        <v>18701</v>
      </c>
      <c r="B18701" s="2" t="str">
        <f>IFERROR(__xludf.DUMMYFUNCTION("GOOGLETRANSLATE(A18701, ""en"", ""mt"")"),"Liema terminu jaħsbu li l-Iżlamisti għandhom jiġu applikati għalihom?")</f>
        <v>Liema terminu jaħsbu li l-Iżlamisti għandhom jiġu applikati għalihom?</v>
      </c>
    </row>
    <row r="18702" ht="15.75" customHeight="1">
      <c r="A18702" s="2" t="s">
        <v>18702</v>
      </c>
      <c r="B18702" s="2" t="str">
        <f>IFERROR(__xludf.DUMMYFUNCTION("GOOGLETRANSLATE(A18702, ""en"", ""mt"")"),"bejn wieħed u ieħor 260 kilometru")</f>
        <v>bejn wieħed u ieħor 260 kilometru</v>
      </c>
    </row>
    <row r="18703" ht="15.75" customHeight="1">
      <c r="A18703" s="2" t="s">
        <v>18703</v>
      </c>
      <c r="B18703" s="2" t="str">
        <f>IFERROR(__xludf.DUMMYFUNCTION("GOOGLETRANSLATE(A18703, ""en"", ""mt"")"),"Fejn jinsab in-Nofsinhar ta 'Hollywood?")</f>
        <v>Fejn jinsab in-Nofsinhar ta 'Hollywood?</v>
      </c>
    </row>
    <row r="18704" ht="15.75" customHeight="1">
      <c r="A18704" s="2" t="s">
        <v>18704</v>
      </c>
      <c r="B18704" s="2" t="str">
        <f>IFERROR(__xludf.DUMMYFUNCTION("GOOGLETRANSLATE(A18704, ""en"", ""mt"")"),"Liema riċerkatur uża l-ewwel kelma ossiġnu?")</f>
        <v>Liema riċerkatur uża l-ewwel kelma ossiġnu?</v>
      </c>
    </row>
    <row r="18705" ht="15.75" customHeight="1">
      <c r="A18705" s="2" t="s">
        <v>18705</v>
      </c>
      <c r="B18705" s="2" t="str">
        <f>IFERROR(__xludf.DUMMYFUNCTION("GOOGLETRANSLATE(A18705, ""en"", ""mt"")"),"Storja turbulenti tal-belt u pajjiż")</f>
        <v>Storja turbulenti tal-belt u pajjiż</v>
      </c>
    </row>
    <row r="18706" ht="15.75" customHeight="1">
      <c r="A18706" s="2" t="s">
        <v>18706</v>
      </c>
      <c r="B18706" s="2" t="str">
        <f>IFERROR(__xludf.DUMMYFUNCTION("GOOGLETRANSLATE(A18706, ""en"", ""mt"")"),"X'żieda ma 'l-età?")</f>
        <v>X'żieda ma 'l-età?</v>
      </c>
    </row>
    <row r="18707" ht="15.75" customHeight="1">
      <c r="A18707" s="2" t="s">
        <v>18707</v>
      </c>
      <c r="B18707" s="2" t="str">
        <f>IFERROR(__xludf.DUMMYFUNCTION("GOOGLETRANSLATE(A18707, ""en"", ""mt"")"),"X'inhu l-assi ta 'vistula li jaqsamha f'żewġ partijiet?")</f>
        <v>X'inhu l-assi ta 'vistula li jaqsamha f'żewġ partijiet?</v>
      </c>
    </row>
    <row r="18708" ht="15.75" customHeight="1">
      <c r="A18708" s="2" t="s">
        <v>18708</v>
      </c>
      <c r="B18708" s="2" t="str">
        <f>IFERROR(__xludf.DUMMYFUNCTION("GOOGLETRANSLATE(A18708, ""en"", ""mt"")"),"Il-magni tal-fwar bi pressjoni għolja kienu żgħar biżżejjed li jistgħu jintużaw f'liema applikazzjoni?")</f>
        <v>Il-magni tal-fwar bi pressjoni għolja kienu żgħar biżżejjed li jistgħu jintużaw f'liema applikazzjoni?</v>
      </c>
    </row>
    <row r="18709" ht="15.75" customHeight="1">
      <c r="A18709" s="2" t="s">
        <v>18709</v>
      </c>
      <c r="B18709" s="2" t="str">
        <f>IFERROR(__xludf.DUMMYFUNCTION("GOOGLETRANSLATE(A18709, ""en"", ""mt"")"),"Dwar il-kumplessità tal-komputazzjoni tal-algoritmi")</f>
        <v>Dwar il-kumplessità tal-komputazzjoni tal-algoritmi</v>
      </c>
    </row>
    <row r="18710" ht="15.75" customHeight="1">
      <c r="A18710" s="2" t="s">
        <v>18710</v>
      </c>
      <c r="B18710" s="2" t="str">
        <f>IFERROR(__xludf.DUMMYFUNCTION("GOOGLETRANSLATE(A18710, ""en"", ""mt"")"),"X'għandu jieħu pajjiż b'inugwaljanza għolja itwal biex tinkiseb?")</f>
        <v>X'għandu jieħu pajjiż b'inugwaljanza għolja itwal biex tinkiseb?</v>
      </c>
    </row>
    <row r="18711" ht="15.75" customHeight="1">
      <c r="A18711" s="2" t="s">
        <v>18711</v>
      </c>
      <c r="B18711" s="2" t="str">
        <f>IFERROR(__xludf.DUMMYFUNCTION("GOOGLETRANSLATE(A18711, ""en"", ""mt"")"),"Kemm għandu Janitors full-time Victoria?")</f>
        <v>Kemm għandu Janitors full-time Victoria?</v>
      </c>
    </row>
    <row r="18712" ht="15.75" customHeight="1">
      <c r="A18712" s="2" t="s">
        <v>18712</v>
      </c>
      <c r="B18712" s="2" t="str">
        <f>IFERROR(__xludf.DUMMYFUNCTION("GOOGLETRANSLATE(A18712, ""en"", ""mt"")"),"Kif bdiet il-paċi?")</f>
        <v>Kif bdiet il-paċi?</v>
      </c>
    </row>
    <row r="18713" ht="15.75" customHeight="1">
      <c r="A18713" s="2" t="s">
        <v>18713</v>
      </c>
      <c r="B18713" s="2" t="str">
        <f>IFERROR(__xludf.DUMMYFUNCTION("GOOGLETRANSLATE(A18713, ""en"", ""mt"")"),"Liema dilemma hija eżempju tajjeb ta 'diżubbidjenza ċivili morali?")</f>
        <v>Liema dilemma hija eżempju tajjeb ta 'diżubbidjenza ċivili morali?</v>
      </c>
    </row>
    <row r="18714" ht="15.75" customHeight="1">
      <c r="A18714" s="2" t="s">
        <v>18714</v>
      </c>
      <c r="B18714" s="2" t="str">
        <f>IFERROR(__xludf.DUMMYFUNCTION("GOOGLETRANSLATE(A18714, ""en"", ""mt"")"),"Liema żieda fid-domanda għall-karozzi b'sitt magni taċ-ċilindru?")</f>
        <v>Liema żieda fid-domanda għall-karozzi b'sitt magni taċ-ċilindru?</v>
      </c>
    </row>
    <row r="18715" ht="15.75" customHeight="1">
      <c r="A18715" s="2" t="s">
        <v>18715</v>
      </c>
      <c r="B18715" s="2" t="str">
        <f>IFERROR(__xludf.DUMMYFUNCTION("GOOGLETRANSLATE(A18715, ""en"", ""mt"")"),"Oranġerija ġdida")</f>
        <v>Oranġerija ġdida</v>
      </c>
    </row>
    <row r="18716" ht="15.75" customHeight="1">
      <c r="A18716" s="2" t="s">
        <v>18716</v>
      </c>
      <c r="B18716" s="2" t="str">
        <f>IFERROR(__xludf.DUMMYFUNCTION("GOOGLETRANSLATE(A18716, ""en"", ""mt"")"),"X'inhu l-ispiżerija tal-konsulent mhux ikkonċernat?")</f>
        <v>X'inhu l-ispiżerija tal-konsulent mhux ikkonċernat?</v>
      </c>
    </row>
    <row r="18717" ht="15.75" customHeight="1">
      <c r="A18717" s="2" t="s">
        <v>18717</v>
      </c>
      <c r="B18717" s="2" t="str">
        <f>IFERROR(__xludf.DUMMYFUNCTION("GOOGLETRANSLATE(A18717, ""en"", ""mt"")")," Liema movimenti ma segwewx direzzjoni aktar radikali?")</f>
        <v> Liema movimenti ma segwewx direzzjoni aktar radikali?</v>
      </c>
    </row>
    <row r="18718" ht="15.75" customHeight="1">
      <c r="A18718" s="2" t="s">
        <v>18718</v>
      </c>
      <c r="B18718" s="2" t="str">
        <f>IFERROR(__xludf.DUMMYFUNCTION("GOOGLETRANSLATE(A18718, ""en"", ""mt"")"),"Tipprevjeni l-installazzjoni ta 'immaġini pagani")</f>
        <v>Tipprevjeni l-installazzjoni ta 'immaġini pagani</v>
      </c>
    </row>
    <row r="18719" ht="15.75" customHeight="1">
      <c r="A18719" s="2" t="s">
        <v>18719</v>
      </c>
      <c r="B18719" s="2" t="str">
        <f>IFERROR(__xludf.DUMMYFUNCTION("GOOGLETRANSLATE(A18719, ""en"", ""mt"")"),"Liema pajjiż minbarra l-Kuba l-Istati Uniti ppruvaw jannessu fl-1898?")</f>
        <v>Liema pajjiż minbarra l-Kuba l-Istati Uniti ppruvaw jannessu fl-1898?</v>
      </c>
    </row>
    <row r="18720" ht="15.75" customHeight="1">
      <c r="A18720" s="2" t="s">
        <v>18720</v>
      </c>
      <c r="B18720" s="2" t="str">
        <f>IFERROR(__xludf.DUMMYFUNCTION("GOOGLETRANSLATE(A18720, ""en"", ""mt"")"),"Baċin tax-Xmara Yangzi")</f>
        <v>Baċin tax-Xmara Yangzi</v>
      </c>
    </row>
    <row r="18721" ht="15.75" customHeight="1">
      <c r="A18721" s="2" t="s">
        <v>18721</v>
      </c>
      <c r="B18721" s="2" t="str">
        <f>IFERROR(__xludf.DUMMYFUNCTION("GOOGLETRANSLATE(A18721, ""en"", ""mt"")"),"Kif jivvutaw il-membri meta jkun hemm diviżjoni?")</f>
        <v>Kif jivvutaw il-membri meta jkun hemm diviżjoni?</v>
      </c>
    </row>
    <row r="18722" ht="15.75" customHeight="1">
      <c r="A18722" s="2" t="s">
        <v>18722</v>
      </c>
      <c r="B18722" s="2" t="str">
        <f>IFERROR(__xludf.DUMMYFUNCTION("GOOGLETRANSLATE(A18722, ""en"", ""mt"")"),"inputs")</f>
        <v>inputs</v>
      </c>
    </row>
    <row r="18723" ht="15.75" customHeight="1">
      <c r="A18723" s="2" t="s">
        <v>18723</v>
      </c>
      <c r="B18723" s="2" t="str">
        <f>IFERROR(__xludf.DUMMYFUNCTION("GOOGLETRANSLATE(A18723, ""en"", ""mt"")"),"X'inhu t-terminu għal kompitu li ġeneralment isellef lilu nnifsu biex jissolvew minn kompjuter?")</f>
        <v>X'inhu t-terminu għal kompitu li ġeneralment isellef lilu nnifsu biex jissolvew minn kompjuter?</v>
      </c>
    </row>
    <row r="18724" ht="15.75" customHeight="1">
      <c r="A18724" s="2" t="s">
        <v>18724</v>
      </c>
      <c r="B18724" s="2" t="str">
        <f>IFERROR(__xludf.DUMMYFUNCTION("GOOGLETRANSLATE(A18724, ""en"", ""mt"")"),"Min ipprefera t-taqsima Brookhaven?")</f>
        <v>Min ipprefera t-taqsima Brookhaven?</v>
      </c>
    </row>
    <row r="18725" ht="15.75" customHeight="1">
      <c r="A18725" s="2" t="s">
        <v>18725</v>
      </c>
      <c r="B18725" s="2" t="str">
        <f>IFERROR(__xludf.DUMMYFUNCTION("GOOGLETRANSLATE(A18725, ""en"", ""mt"")"),"industrija")</f>
        <v>industrija</v>
      </c>
    </row>
    <row r="18726" ht="15.75" customHeight="1">
      <c r="A18726" s="2" t="s">
        <v>18726</v>
      </c>
      <c r="B18726" s="2" t="str">
        <f>IFERROR(__xludf.DUMMYFUNCTION("GOOGLETRANSLATE(A18726, ""en"", ""mt"")"),"Il-kapitolu soċjali huwa kapitolu tat-Trattat tal-1997 ta 'Amsterdam li jkopri kwistjonijiet ta' politika soċjali fil-liġi tal-Unjoni Ewropea. Il-bażi għall-kapitolu soċjali ġiet żviluppata fl-1989 mir-rappreżentanti tas- ""imsieħba soċjali"", jiġifieri l"&amp;"-Unice, il-Konfederazzjoni ta 'Min Iħaddem, il-Konfederazzjoni tat-Trejdjunjins Ewropej (ETUC) u Ceep, iċ-Ċentru Ewropew ta' l-Intrapriżi Pubbliċi. Verżjoni attenwata ġiet adottata bħala l-Karta Soċjali fil-Kunsill Ewropew ta 'Strasburgu tal-1989. Il-Kart"&amp;"a Soċjali tiddikjara 30 prinċipju ġenerali, inkluż fuq remunerazzjoni ġusta ta 'impjiegi, saħħa u sigurtà fuq ix-xogħol, drittijiet ta' persuni b'diżabilità u anzjani, id-drittijiet tal-ħaddiema, dwar taħriġ vokazzjonali u titjib tal-kundizzjonijiet tal-g"&amp;"ħajxien. Il-Karta Soċjali saret il-bażi għal-leġislazzjoni tal-Komunità Ewropea dwar dawn il-kwistjonijiet f'40 biċċa ta 'leġiżlazzjoni.")</f>
        <v>Il-kapitolu soċjali huwa kapitolu tat-Trattat tal-1997 ta 'Amsterdam li jkopri kwistjonijiet ta' politika soċjali fil-liġi tal-Unjoni Ewropea. Il-bażi għall-kapitolu soċjali ġiet żviluppata fl-1989 mir-rappreżentanti tas- "imsieħba soċjali", jiġifieri l-Unice, il-Konfederazzjoni ta 'Min Iħaddem, il-Konfederazzjoni tat-Trejdjunjins Ewropej (ETUC) u Ceep, iċ-Ċentru Ewropew ta' l-Intrapriżi Pubbliċi. Verżjoni attenwata ġiet adottata bħala l-Karta Soċjali fil-Kunsill Ewropew ta 'Strasburgu tal-1989. Il-Karta Soċjali tiddikjara 30 prinċipju ġenerali, inkluż fuq remunerazzjoni ġusta ta 'impjiegi, saħħa u sigurtà fuq ix-xogħol, drittijiet ta' persuni b'diżabilità u anzjani, id-drittijiet tal-ħaddiema, dwar taħriġ vokazzjonali u titjib tal-kundizzjonijiet tal-għajxien. Il-Karta Soċjali saret il-bażi għal-leġislazzjoni tal-Komunità Ewropea dwar dawn il-kwistjonijiet f'40 biċċa ta 'leġiżlazzjoni.</v>
      </c>
    </row>
    <row r="18727" ht="15.75" customHeight="1">
      <c r="A18727" s="2" t="s">
        <v>18727</v>
      </c>
      <c r="B18727" s="2" t="str">
        <f>IFERROR(__xludf.DUMMYFUNCTION("GOOGLETRANSLATE(A18727, ""en"", ""mt"")"),"Avvenimenti ewlenin ukoll għandhom parti kbira fit-turiżmu fir-Rabat, partikolarment it-turiżmu kulturali u t-turiżmu sportiv. Ħafna minn dawn l-avvenimenti huma ċċentrati fuq Melbourne, iżda oħrajn iseħħu fi bliet reġjonali, bħas-supercars V8 u l-mutur A"&amp;"wstraljan Grand Prix fil-Gżira Phillip, il-Grand Annwali Steeplechase f'Warrnambool u l-Airshow Internazzjonali Awstraljan f'Geelong u bosta festivals lokali bħall - Popolari Port Fairy Folk Festival, Queenscliff Music Festival, Bells Beach Surfclassic u "&amp;"The Bright Autumn Festival.")</f>
        <v>Avvenimenti ewlenin ukoll għandhom parti kbira fit-turiżmu fir-Rabat, partikolarment it-turiżmu kulturali u t-turiżmu sportiv. Ħafna minn dawn l-avvenimenti huma ċċentrati fuq Melbourne, iżda oħrajn iseħħu fi bliet reġjonali, bħas-supercars V8 u l-mutur Awstraljan Grand Prix fil-Gżira Phillip, il-Grand Annwali Steeplechase f'Warrnambool u l-Airshow Internazzjonali Awstraljan f'Geelong u bosta festivals lokali bħall - Popolari Port Fairy Folk Festival, Queenscliff Music Festival, Bells Beach Surfclassic u The Bright Autumn Festival.</v>
      </c>
    </row>
    <row r="18728" ht="15.75" customHeight="1">
      <c r="A18728" s="2" t="s">
        <v>18728</v>
      </c>
      <c r="B18728" s="2" t="str">
        <f>IFERROR(__xludf.DUMMYFUNCTION("GOOGLETRANSLATE(A18728, ""en"", ""mt"")"),"X'kien l-iktar importanti minn dawn l-ibliet jew bliet?")</f>
        <v>X'kien l-iktar importanti minn dawn l-ibliet jew bliet?</v>
      </c>
    </row>
    <row r="18729" ht="15.75" customHeight="1">
      <c r="A18729" s="2" t="s">
        <v>18729</v>
      </c>
      <c r="B18729" s="2" t="str">
        <f>IFERROR(__xludf.DUMMYFUNCTION("GOOGLETRANSLATE(A18729, ""en"", ""mt"")"),"Wara l-konkwista ta 'Dali fl-1253, l-ex-dinastija Duan li kienet inħatret bħala Gvernaturi Ġenerali, rikonoxxuti bħala uffiċjali imperjali mill-gvernijiet tal-era Yuan, Ming, u Qing, prinċipalment fil-provinċja ta' Yunnan. Is-suċċessjoni għad-dinastija Yu"&amp;"an, madankollu, kienet problema intrattabbli, aktar tard li kkawżat ħafna konflitti u ġlieda interna. Dan ħareġ kmieni mit-tmiem tar-renju ta 'Kublai. Kublai oriġinarjament semma lit-tifel il-kbir tiegħu, Zhenjin, bħala l-Prinċep tal-Kuruna, iżda miet qud"&amp;"diem Kublai fl-1285. Għalhekk, it-tielet iben ta 'Zhenjin, bl-appoġġ ta' ommu Kökejin u l-Ministru Bayan, irnexxielu t-tron u ddeċieda bħala Temür Khan, jew L-Imperatur Chengzong, mill-1294 sal-1307. Temür Khan iddeċieda li jżomm u jkompli ħafna mix-xogħo"&amp;"l li beda minn nannuh. Huwa għamel ukoll il-paċi mal-Khanates tal-Mongolja tal-Punent kif ukoll ma 'pajjiżi ġirien bħall-Vjetnam, li rrikonoxxew is-suzerainty nominali tiegħu u għamlu tributi għal ftit għexieren ta' snin. Madankollu, il-korruzzjoni fid-di"&amp;"nastija Yuan bdiet matul ir-renju ta 'Temür Khan.")</f>
        <v>Wara l-konkwista ta 'Dali fl-1253, l-ex-dinastija Duan li kienet inħatret bħala Gvernaturi Ġenerali, rikonoxxuti bħala uffiċjali imperjali mill-gvernijiet tal-era Yuan, Ming, u Qing, prinċipalment fil-provinċja ta' Yunnan. Is-suċċessjoni għad-dinastija Yuan, madankollu, kienet problema intrattabbli, aktar tard li kkawżat ħafna konflitti u ġlieda interna. Dan ħareġ kmieni mit-tmiem tar-renju ta 'Kublai. Kublai oriġinarjament semma lit-tifel il-kbir tiegħu, Zhenjin, bħala l-Prinċep tal-Kuruna, iżda miet quddiem Kublai fl-1285. Għalhekk, it-tielet iben ta 'Zhenjin, bl-appoġġ ta' ommu Kökejin u l-Ministru Bayan, irnexxielu t-tron u ddeċieda bħala Temür Khan, jew L-Imperatur Chengzong, mill-1294 sal-1307. Temür Khan iddeċieda li jżomm u jkompli ħafna mix-xogħol li beda minn nannuh. Huwa għamel ukoll il-paċi mal-Khanates tal-Mongolja tal-Punent kif ukoll ma 'pajjiżi ġirien bħall-Vjetnam, li rrikonoxxew is-suzerainty nominali tiegħu u għamlu tributi għal ftit għexieren ta' snin. Madankollu, il-korruzzjoni fid-dinastija Yuan bdiet matul ir-renju ta 'Temür Khan.</v>
      </c>
    </row>
    <row r="18730" ht="15.75" customHeight="1">
      <c r="A18730" s="2" t="s">
        <v>18730</v>
      </c>
      <c r="B18730" s="2" t="str">
        <f>IFERROR(__xludf.DUMMYFUNCTION("GOOGLETRANSLATE(A18730, ""en"", ""mt"")"),"Mill-2004 sal-2005 Harvard naqqas in-numru ta 'studenti li jaqilgħu unuri Latini minn 90% għal xiex?")</f>
        <v>Mill-2004 sal-2005 Harvard naqqas in-numru ta 'studenti li jaqilgħu unuri Latini minn 90% għal xiex?</v>
      </c>
    </row>
    <row r="18731" ht="15.75" customHeight="1">
      <c r="A18731" s="2" t="s">
        <v>18731</v>
      </c>
      <c r="B18731" s="2" t="str">
        <f>IFERROR(__xludf.DUMMYFUNCTION("GOOGLETRANSLATE(A18731, ""en"", ""mt"")"),"Min iffinanzja l-Bord tal-Fiduċjarji oriġinali?")</f>
        <v>Min iffinanzja l-Bord tal-Fiduċjarji oriġinali?</v>
      </c>
    </row>
    <row r="18732" ht="15.75" customHeight="1">
      <c r="A18732" s="2" t="s">
        <v>18732</v>
      </c>
      <c r="B18732" s="2" t="str">
        <f>IFERROR(__xludf.DUMMYFUNCTION("GOOGLETRANSLATE(A18732, ""en"", ""mt"")"),"Malli sar jaf ta 'partit li jiskonta Franċiż fiż-żona, x'għamel f'Washington?")</f>
        <v>Malli sar jaf ta 'partit li jiskonta Franċiż fiż-żona, x'għamel f'Washington?</v>
      </c>
    </row>
    <row r="18733" ht="15.75" customHeight="1">
      <c r="A18733" s="2" t="s">
        <v>18733</v>
      </c>
      <c r="B18733" s="2" t="str">
        <f>IFERROR(__xludf.DUMMYFUNCTION("GOOGLETRANSLATE(A18733, ""en"", ""mt"")"),"Min inħatar bħala t-tieni fil-kmand lil Lor Loudoun fl-1756?")</f>
        <v>Min inħatar bħala t-tieni fil-kmand lil Lor Loudoun fl-1756?</v>
      </c>
    </row>
    <row r="18734" ht="15.75" customHeight="1">
      <c r="A18734" s="2" t="s">
        <v>18734</v>
      </c>
      <c r="B18734" s="2" t="str">
        <f>IFERROR(__xludf.DUMMYFUNCTION("GOOGLETRANSLATE(A18734, ""en"", ""mt"")"),"Il-Kummissjoni tat-Tagħlim Ogħla")</f>
        <v>Il-Kummissjoni tat-Tagħlim Ogħla</v>
      </c>
    </row>
    <row r="18735" ht="15.75" customHeight="1">
      <c r="A18735" s="2" t="s">
        <v>18735</v>
      </c>
      <c r="B18735" s="2" t="str">
        <f>IFERROR(__xludf.DUMMYFUNCTION("GOOGLETRANSLATE(A18735, ""en"", ""mt"")"),"F'liema tip ta 'postijiet jintużaw ix-xmajjar?")</f>
        <v>F'liema tip ta 'postijiet jintużaw ix-xmajjar?</v>
      </c>
    </row>
    <row r="18736" ht="15.75" customHeight="1">
      <c r="A18736" s="2" t="s">
        <v>18736</v>
      </c>
      <c r="B18736" s="2" t="str">
        <f>IFERROR(__xludf.DUMMYFUNCTION("GOOGLETRANSLATE(A18736, ""en"", ""mt"")"),"617 ft (")</f>
        <v>617 ft (</v>
      </c>
    </row>
    <row r="18737" ht="15.75" customHeight="1">
      <c r="A18737" s="2" t="s">
        <v>18737</v>
      </c>
      <c r="B18737" s="2" t="str">
        <f>IFERROR(__xludf.DUMMYFUNCTION("GOOGLETRANSLATE(A18737, ""en"", ""mt"")"),"Liema vot fuq abbozz iseħħ fl-istadju 3?")</f>
        <v>Liema vot fuq abbozz iseħħ fl-istadju 3?</v>
      </c>
    </row>
    <row r="18738" ht="15.75" customHeight="1">
      <c r="A18738" s="2" t="s">
        <v>18738</v>
      </c>
      <c r="B18738" s="2" t="str">
        <f>IFERROR(__xludf.DUMMYFUNCTION("GOOGLETRANSLATE(A18738, ""en"", ""mt"")"),"Dan id-dibattitu wera diffiċli")</f>
        <v>Dan id-dibattitu wera diffiċli</v>
      </c>
    </row>
    <row r="18739" ht="15.75" customHeight="1">
      <c r="A18739" s="2" t="s">
        <v>18739</v>
      </c>
      <c r="B18739" s="2" t="str">
        <f>IFERROR(__xludf.DUMMYFUNCTION("GOOGLETRANSLATE(A18739, ""en"", ""mt"")"),"Samuel P. Huntington")</f>
        <v>Samuel P. Huntington</v>
      </c>
    </row>
    <row r="18740" ht="15.75" customHeight="1">
      <c r="A18740" s="2" t="s">
        <v>18740</v>
      </c>
      <c r="B18740" s="2" t="str">
        <f>IFERROR(__xludf.DUMMYFUNCTION("GOOGLETRANSLATE(A18740, ""en"", ""mt"")"),"Meta AT&amp;T iffinanzja l-proġett, liema teknoloġija użaw?")</f>
        <v>Meta AT&amp;T iffinanzja l-proġett, liema teknoloġija użaw?</v>
      </c>
    </row>
    <row r="18741" ht="15.75" customHeight="1">
      <c r="A18741" s="2" t="s">
        <v>18741</v>
      </c>
      <c r="B18741" s="2" t="str">
        <f>IFERROR(__xludf.DUMMYFUNCTION("GOOGLETRANSLATE(A18741, ""en"", ""mt"")"),"L-ispiżeriji tal-internet meta bdew jidħlu?")</f>
        <v>L-ispiżeriji tal-internet meta bdew jidħlu?</v>
      </c>
    </row>
    <row r="18742" ht="15.75" customHeight="1">
      <c r="A18742" s="2" t="s">
        <v>18742</v>
      </c>
      <c r="B18742" s="2" t="str">
        <f>IFERROR(__xludf.DUMMYFUNCTION("GOOGLETRANSLATE(A18742, ""en"", ""mt"")"),"Il-ħakkiema Mongoljani patronizzaw l-industrija tal-istampar tal-wan. It-teknoloġija tal-istampar Ċiniża ġiet trasferita lill-Mongoli permezz tar-Renju tal-Qocho u l-intermedjarji Tibetani. Xi dokumenti tal-wan bħal Wang Zhen's Nong Shu ġew stampati bit-t"&amp;"ip mobbli tal-fuħħar, teknoloġija ivvintata fis-seklu 12. Madankollu, ħafna xogħlijiet ippubblikati kienu għadhom prodotti permezz ta 'tekniki tradizzjonali ta' stampar ta 'blokki. Il-pubblikazzjoni ta 'test Taoist miktub bl-isem ta' Töregene Khatun, il-m"&amp;"ara ta 'Ögedei, hija waħda mill-ewwel xogħlijiet stampati sponsorjati mill-Mongoli. Fl-1273, il-Mongoli ħolqu d-Direttorat tal-Librerija Imperjali, uffiċċju tal-istampar sponsorjat mill-gvern. Il-gvern tal-Yuan stabbilixxa ċentri għall-istampar matul iċ-Ċ"&amp;"ina. L-iskejjel lokali u l-aġenziji tal-gvern ġew iffinanzjati biex jappoġġjaw il-pubblikazzjoni tal-kotba.")</f>
        <v>Il-ħakkiema Mongoljani patronizzaw l-industrija tal-istampar tal-wan. It-teknoloġija tal-istampar Ċiniża ġiet trasferita lill-Mongoli permezz tar-Renju tal-Qocho u l-intermedjarji Tibetani. Xi dokumenti tal-wan bħal Wang Zhen's Nong Shu ġew stampati bit-tip mobbli tal-fuħħar, teknoloġija ivvintata fis-seklu 12. Madankollu, ħafna xogħlijiet ippubblikati kienu għadhom prodotti permezz ta 'tekniki tradizzjonali ta' stampar ta 'blokki. Il-pubblikazzjoni ta 'test Taoist miktub bl-isem ta' Töregene Khatun, il-mara ta 'Ögedei, hija waħda mill-ewwel xogħlijiet stampati sponsorjati mill-Mongoli. Fl-1273, il-Mongoli ħolqu d-Direttorat tal-Librerija Imperjali, uffiċċju tal-istampar sponsorjat mill-gvern. Il-gvern tal-Yuan stabbilixxa ċentri għall-istampar matul iċ-Ċina. L-iskejjel lokali u l-aġenziji tal-gvern ġew iffinanzjati biex jappoġġjaw il-pubblikazzjoni tal-kotba.</v>
      </c>
    </row>
    <row r="18743" ht="15.75" customHeight="1">
      <c r="A18743" s="2" t="s">
        <v>18743</v>
      </c>
      <c r="B18743" s="2" t="str">
        <f>IFERROR(__xludf.DUMMYFUNCTION("GOOGLETRANSLATE(A18743, ""en"", ""mt"")"),"Għax ippubblika s-sejbiet tiegħu l-ewwel")</f>
        <v>Għax ippubblika s-sejbiet tiegħu l-ewwel</v>
      </c>
    </row>
    <row r="18744" ht="15.75" customHeight="1">
      <c r="A18744" s="2" t="s">
        <v>18744</v>
      </c>
      <c r="B18744" s="2" t="str">
        <f>IFERROR(__xludf.DUMMYFUNCTION("GOOGLETRANSLATE(A18744, ""en"", ""mt"")"),"Diepoldsau")</f>
        <v>Diepoldsau</v>
      </c>
    </row>
    <row r="18745" ht="15.75" customHeight="1">
      <c r="A18745" s="2" t="s">
        <v>18745</v>
      </c>
      <c r="B18745" s="2" t="str">
        <f>IFERROR(__xludf.DUMMYFUNCTION("GOOGLETRANSLATE(A18745, ""en"", ""mt"")"),"Liema popolazzjonijiet okkupaw it-territorju barrani bejn il-Baden modern u l-Württemberg?")</f>
        <v>Liema popolazzjonijiet okkupaw it-territorju barrani bejn il-Baden modern u l-Württemberg?</v>
      </c>
    </row>
    <row r="18746" ht="15.75" customHeight="1">
      <c r="A18746" s="2" t="s">
        <v>18746</v>
      </c>
      <c r="B18746" s="2" t="str">
        <f>IFERROR(__xludf.DUMMYFUNCTION("GOOGLETRANSLATE(A18746, ""en"", ""mt"")"),"Liema kontea qed tiżviluppa ċ-ċentru tan-negozju tagħha?")</f>
        <v>Liema kontea qed tiżviluppa ċ-ċentru tan-negozju tagħha?</v>
      </c>
    </row>
    <row r="18747" ht="15.75" customHeight="1">
      <c r="A18747" s="2" t="s">
        <v>18747</v>
      </c>
      <c r="B18747" s="2" t="str">
        <f>IFERROR(__xludf.DUMMYFUNCTION("GOOGLETRANSLATE(A18747, ""en"", ""mt"")"),"Uħud mid-dħul marru għax-xiri ta 'armi li aggravaw it-tensjoni politika speċjalment f'liema qasam?")</f>
        <v>Uħud mid-dħul marru għax-xiri ta 'armi li aggravaw it-tensjoni politika speċjalment f'liema qasam?</v>
      </c>
    </row>
    <row r="18748" ht="15.75" customHeight="1">
      <c r="A18748" s="2" t="s">
        <v>18748</v>
      </c>
      <c r="B18748" s="2" t="str">
        <f>IFERROR(__xludf.DUMMYFUNCTION("GOOGLETRANSLATE(A18748, ""en"", ""mt"")"),"Min żamm ir-rekords sħaħ dwar ir-riċerka dwar il-klima?")</f>
        <v>Min żamm ir-rekords sħaħ dwar ir-riċerka dwar il-klima?</v>
      </c>
    </row>
    <row r="18749" ht="15.75" customHeight="1">
      <c r="A18749" s="2" t="s">
        <v>18749</v>
      </c>
      <c r="B18749" s="2" t="str">
        <f>IFERROR(__xludf.DUMMYFUNCTION("GOOGLETRANSLATE(A18749, ""en"", ""mt"")"),"X'inhu l-korp ġudizzjarju ewlieni tal-UE?")</f>
        <v>X'inhu l-korp ġudizzjarju ewlieni tal-UE?</v>
      </c>
    </row>
    <row r="18750" ht="15.75" customHeight="1">
      <c r="A18750" s="2" t="s">
        <v>18750</v>
      </c>
      <c r="B18750" s="2" t="str">
        <f>IFERROR(__xludf.DUMMYFUNCTION("GOOGLETRANSLATE(A18750, ""en"", ""mt"")"),"il-perjodu kwaternarju")</f>
        <v>il-perjodu kwaternarju</v>
      </c>
    </row>
    <row r="18751" ht="15.75" customHeight="1">
      <c r="A18751" s="2" t="s">
        <v>18751</v>
      </c>
      <c r="B18751" s="2" t="str">
        <f>IFERROR(__xludf.DUMMYFUNCTION("GOOGLETRANSLATE(A18751, ""en"", ""mt"")"),"X'inhu meħtieġ mill-klijenti biex jiksbu funzjonijiet Sky + jekk ma jissottoskrivux għall-kanali ta 'BSKYB?")</f>
        <v>X'inhu meħtieġ mill-klijenti biex jiksbu funzjonijiet Sky + jekk ma jissottoskrivux għall-kanali ta 'BSKYB?</v>
      </c>
    </row>
    <row r="18752" ht="15.75" customHeight="1">
      <c r="A18752" s="2" t="s">
        <v>18752</v>
      </c>
      <c r="B18752" s="2" t="str">
        <f>IFERROR(__xludf.DUMMYFUNCTION("GOOGLETRANSLATE(A18752, ""en"", ""mt"")"),"X'inhi xibka kumplessa ta 'kuntratti u obbligi legali oħra?")</f>
        <v>X'inhi xibka kumplessa ta 'kuntratti u obbligi legali oħra?</v>
      </c>
    </row>
    <row r="18753" ht="15.75" customHeight="1">
      <c r="A18753" s="2" t="s">
        <v>18753</v>
      </c>
      <c r="B18753" s="2" t="str">
        <f>IFERROR(__xludf.DUMMYFUNCTION("GOOGLETRANSLATE(A18753, ""en"", ""mt"")"),"Meta ġie aċċettat il-Ġappun bħala stat favur l-Għarbi?")</f>
        <v>Meta ġie aċċettat il-Ġappun bħala stat favur l-Għarbi?</v>
      </c>
    </row>
    <row r="18754" ht="15.75" customHeight="1">
      <c r="A18754" s="2" t="s">
        <v>18754</v>
      </c>
      <c r="B18754" s="2" t="str">
        <f>IFERROR(__xludf.DUMMYFUNCTION("GOOGLETRANSLATE(A18754, ""en"", ""mt"")"),"NSF kien inġinerija u operat minn min?")</f>
        <v>NSF kien inġinerija u operat minn min?</v>
      </c>
    </row>
    <row r="18755" ht="15.75" customHeight="1">
      <c r="A18755" s="2" t="s">
        <v>18755</v>
      </c>
      <c r="B18755" s="2" t="str">
        <f>IFERROR(__xludf.DUMMYFUNCTION("GOOGLETRANSLATE(A18755, ""en"", ""mt"")"),"Kamra tad-Dibattitu")</f>
        <v>Kamra tad-Dibattitu</v>
      </c>
    </row>
    <row r="18756" ht="15.75" customHeight="1">
      <c r="A18756" s="2" t="s">
        <v>18756</v>
      </c>
      <c r="B18756" s="2" t="str">
        <f>IFERROR(__xludf.DUMMYFUNCTION("GOOGLETRANSLATE(A18756, ""en"", ""mt"")"),"X'inhi l-pesta oħra maħsuba li nfirxet bl-istess mod?")</f>
        <v>X'inhi l-pesta oħra maħsuba li nfirxet bl-istess mod?</v>
      </c>
    </row>
    <row r="18757" ht="15.75" customHeight="1">
      <c r="A18757" s="2" t="s">
        <v>18757</v>
      </c>
      <c r="B18757" s="2" t="str">
        <f>IFERROR(__xludf.DUMMYFUNCTION("GOOGLETRANSLATE(A18757, ""en"", ""mt"")"),"Liema Teorema tiddikjara li l-kbar kollha anke jistgħu jiġu espressi bħala somma ta 'tliet primes?")</f>
        <v>Liema Teorema tiddikjara li l-kbar kollha anke jistgħu jiġu espressi bħala somma ta 'tliet primes?</v>
      </c>
    </row>
    <row r="18758" ht="15.75" customHeight="1">
      <c r="A18758" s="2" t="s">
        <v>18758</v>
      </c>
      <c r="B18758" s="2" t="str">
        <f>IFERROR(__xludf.DUMMYFUNCTION("GOOGLETRANSLATE(A18758, ""en"", ""mt"")"),"L-U ta 'C għandha rabtiet ma' diversi istituzzjonijiet dipendenti, inkluż?")</f>
        <v>L-U ta 'C għandha rabtiet ma' diversi istituzzjonijiet dipendenti, inkluż?</v>
      </c>
    </row>
    <row r="18759" ht="15.75" customHeight="1">
      <c r="A18759" s="2" t="s">
        <v>18759</v>
      </c>
      <c r="B18759" s="2" t="str">
        <f>IFERROR(__xludf.DUMMYFUNCTION("GOOGLETRANSLATE(A18759, ""en"", ""mt"")"),"X'tip ta 'magni elettriċi pproduċew l-iktar enerġija sal-bidu tas-seklu 20?")</f>
        <v>X'tip ta 'magni elettriċi pproduċew l-iktar enerġija sal-bidu tas-seklu 20?</v>
      </c>
    </row>
    <row r="18760" ht="15.75" customHeight="1">
      <c r="A18760" s="2" t="s">
        <v>18760</v>
      </c>
      <c r="B18760" s="2" t="str">
        <f>IFERROR(__xludf.DUMMYFUNCTION("GOOGLETRANSLATE(A18760, ""en"", ""mt"")"),"bejn 1268 u 1273")</f>
        <v>bejn 1268 u 1273</v>
      </c>
    </row>
    <row r="18761" ht="15.75" customHeight="1">
      <c r="A18761" s="2" t="s">
        <v>18761</v>
      </c>
      <c r="B18761" s="2" t="str">
        <f>IFERROR(__xludf.DUMMYFUNCTION("GOOGLETRANSLATE(A18761, ""en"", ""mt"")"),"stat Iżlamiku")</f>
        <v>stat Iżlamiku</v>
      </c>
    </row>
    <row r="18762" ht="15.75" customHeight="1">
      <c r="A18762" s="2" t="s">
        <v>18762</v>
      </c>
      <c r="B18762" s="2" t="str">
        <f>IFERROR(__xludf.DUMMYFUNCTION("GOOGLETRANSLATE(A18762, ""en"", ""mt"")"),"nar")</f>
        <v>nar</v>
      </c>
    </row>
    <row r="18763" ht="15.75" customHeight="1">
      <c r="A18763" s="2" t="s">
        <v>18763</v>
      </c>
      <c r="B18763" s="2" t="str">
        <f>IFERROR(__xludf.DUMMYFUNCTION("GOOGLETRANSLATE(A18763, ""en"", ""mt"")"),"Kemm kellhom gwerer ir-Rumani tul ir-Renu?")</f>
        <v>Kemm kellhom gwerer ir-Rumani tul ir-Renu?</v>
      </c>
    </row>
    <row r="18764" ht="15.75" customHeight="1">
      <c r="A18764" s="2" t="s">
        <v>18764</v>
      </c>
      <c r="B18764" s="2" t="str">
        <f>IFERROR(__xludf.DUMMYFUNCTION("GOOGLETRANSLATE(A18764, ""en"", ""mt"")"),"New Orleans")</f>
        <v>New Orleans</v>
      </c>
    </row>
    <row r="18765" ht="15.75" customHeight="1">
      <c r="A18765" s="2" t="s">
        <v>18765</v>
      </c>
      <c r="B18765" s="2" t="str">
        <f>IFERROR(__xludf.DUMMYFUNCTION("GOOGLETRANSLATE(A18765, ""en"", ""mt"")"),"Kull sentejn meta t-timijiet ta 'Harvard u Yale Track and Field jingħaqdu biex jikkompetu kontra Tim tal-Università ta' Oxford u Cambridge magħquda")</f>
        <v>Kull sentejn meta t-timijiet ta 'Harvard u Yale Track and Field jingħaqdu biex jikkompetu kontra Tim tal-Università ta' Oxford u Cambridge magħquda</v>
      </c>
    </row>
    <row r="18766" ht="15.75" customHeight="1">
      <c r="A18766" s="2" t="s">
        <v>18766</v>
      </c>
      <c r="B18766" s="2" t="str">
        <f>IFERROR(__xludf.DUMMYFUNCTION("GOOGLETRANSLATE(A18766, ""en"", ""mt"")"),"Min kellu l-Kumpanija Rand?")</f>
        <v>Min kellu l-Kumpanija Rand?</v>
      </c>
    </row>
    <row r="18767" ht="15.75" customHeight="1">
      <c r="A18767" s="2" t="s">
        <v>18767</v>
      </c>
      <c r="B18767" s="2" t="str">
        <f>IFERROR(__xludf.DUMMYFUNCTION("GOOGLETRANSLATE(A18767, ""en"", ""mt"")"),"Kemm idum boudin?")</f>
        <v>Kemm idum boudin?</v>
      </c>
    </row>
    <row r="18768" ht="15.75" customHeight="1">
      <c r="A18768" s="2" t="s">
        <v>18768</v>
      </c>
      <c r="B18768" s="2" t="str">
        <f>IFERROR(__xludf.DUMMYFUNCTION("GOOGLETRANSLATE(A18768, ""en"", ""mt"")"),"Meta ġie sekularizzat il-kurrikulu ta 'Radcliffe?")</f>
        <v>Meta ġie sekularizzat il-kurrikulu ta 'Radcliffe?</v>
      </c>
    </row>
    <row r="18769" ht="15.75" customHeight="1">
      <c r="A18769" s="2" t="s">
        <v>18769</v>
      </c>
      <c r="B18769" s="2" t="str">
        <f>IFERROR(__xludf.DUMMYFUNCTION("GOOGLETRANSLATE(A18769, ""en"", ""mt"")"),"Dak li jgħin lix-xjenzati sal-lum il-fossili?")</f>
        <v>Dak li jgħin lix-xjenzati sal-lum il-fossili?</v>
      </c>
    </row>
    <row r="18770" ht="15.75" customHeight="1">
      <c r="A18770" s="2" t="s">
        <v>18770</v>
      </c>
      <c r="B18770" s="2" t="str">
        <f>IFERROR(__xludf.DUMMYFUNCTION("GOOGLETRANSLATE(A18770, ""en"", ""mt"")"),"L-approċċ tal-kapaċitajiet - xi kultant imsejjaħ l-approċċ għall-iżvilupp tal-bniedem - iħares lejn l-inugwaljanza tad-dħul u l-faqar bħala forma ta '""ċaħda ta' kapaċità"". B'differenza mill-neoliberaliżmu, li ""jiddefinixxi l-benesseri bħala massimizzaz"&amp;"zjoni ta 'utilità"", it-tkabbir ekonomiku u d-dħul huma meqjusa bħala mezz biex jintemm aktar milli t-tmiem innifsu. L-għan tiegħu huwa li ""widen [en] l-għażliet tan-nies u l-livell tal-benesseri miksub tagħhom"" permezz ta 'funzjonazzjonijiet dejjem jiż"&amp;"diedu (l-affarijiet li persuna tagħmel valutazzjoni), kapaċitajiet (il-libertà li tgawdi l-funzjonazzjonijiet) u l-aġenzija (il-kapaċità li ssegwi għanijiet stmati ).")</f>
        <v>L-approċċ tal-kapaċitajiet - xi kultant imsejjaħ l-approċċ għall-iżvilupp tal-bniedem - iħares lejn l-inugwaljanza tad-dħul u l-faqar bħala forma ta '"ċaħda ta' kapaċità". B'differenza mill-neoliberaliżmu, li "jiddefinixxi l-benesseri bħala massimizzazzjoni ta 'utilità", it-tkabbir ekonomiku u d-dħul huma meqjusa bħala mezz biex jintemm aktar milli t-tmiem innifsu. L-għan tiegħu huwa li "widen [en] l-għażliet tan-nies u l-livell tal-benesseri miksub tagħhom" permezz ta 'funzjonazzjonijiet dejjem jiżdiedu (l-affarijiet li persuna tagħmel valutazzjoni), kapaċitajiet (il-libertà li tgawdi l-funzjonazzjonijiet) u l-aġenzija (il-kapaċità li ssegwi għanijiet stmati ).</v>
      </c>
    </row>
    <row r="18771" ht="15.75" customHeight="1">
      <c r="A18771" s="2" t="s">
        <v>18771</v>
      </c>
      <c r="B18771" s="2" t="str">
        <f>IFERROR(__xludf.DUMMYFUNCTION("GOOGLETRANSLATE(A18771, ""en"", ""mt"")"),"Meta l-Gran Brittanja titlob l-Awstralja?")</f>
        <v>Meta l-Gran Brittanja titlob l-Awstralja?</v>
      </c>
    </row>
    <row r="18772" ht="15.75" customHeight="1">
      <c r="A18772" s="2" t="s">
        <v>18772</v>
      </c>
      <c r="B18772" s="2" t="str">
        <f>IFERROR(__xludf.DUMMYFUNCTION("GOOGLETRANSLATE(A18772, ""en"", ""mt"")"),"X'inhuma l-proċessi antiki li jagħmlu?")</f>
        <v>X'inhuma l-proċessi antiki li jagħmlu?</v>
      </c>
    </row>
    <row r="18773" ht="15.75" customHeight="1">
      <c r="A18773" s="2" t="s">
        <v>18773</v>
      </c>
      <c r="B18773" s="2" t="str">
        <f>IFERROR(__xludf.DUMMYFUNCTION("GOOGLETRANSLATE(A18773, ""en"", ""mt"")"),"X'inhu t-terminu għal mudell matematiku li teoretikament jirrappreżenta magna tal-kompjuters ġenerali?")</f>
        <v>X'inhu t-terminu għal mudell matematiku li teoretikament jirrappreżenta magna tal-kompjuters ġenerali?</v>
      </c>
    </row>
    <row r="18774" ht="15.75" customHeight="1">
      <c r="A18774" s="2" t="s">
        <v>18774</v>
      </c>
      <c r="B18774" s="2" t="str">
        <f>IFERROR(__xludf.DUMMYFUNCTION("GOOGLETRANSLATE(A18774, ""en"", ""mt"")"),"X'kien skopert fl-2006 fir-rigward ta 'O4?")</f>
        <v>X'kien skopert fl-2006 fir-rigward ta 'O4?</v>
      </c>
    </row>
    <row r="18775" ht="15.75" customHeight="1">
      <c r="A18775" s="2" t="s">
        <v>18775</v>
      </c>
      <c r="B18775" s="2" t="str">
        <f>IFERROR(__xludf.DUMMYFUNCTION("GOOGLETRANSLATE(A18775, ""en"", ""mt"")"),"L-algoritmi kollha possibbli")</f>
        <v>L-algoritmi kollha possibbli</v>
      </c>
    </row>
    <row r="18776" ht="15.75" customHeight="1">
      <c r="A18776" s="2" t="s">
        <v>18776</v>
      </c>
      <c r="B18776" s="2" t="str">
        <f>IFERROR(__xludf.DUMMYFUNCTION("GOOGLETRANSLATE(A18776, ""en"", ""mt"")"),"Deċiżjonijiet ta 'aġenziji mhux governattivi")</f>
        <v>Deċiżjonijiet ta 'aġenziji mhux governattivi</v>
      </c>
    </row>
    <row r="18777" ht="15.75" customHeight="1">
      <c r="A18777" s="2" t="s">
        <v>18777</v>
      </c>
      <c r="B18777" s="2" t="str">
        <f>IFERROR(__xludf.DUMMYFUNCTION("GOOGLETRANSLATE(A18777, ""en"", ""mt"")"),"Sess")</f>
        <v>Sess</v>
      </c>
    </row>
    <row r="18778" ht="15.75" customHeight="1">
      <c r="A18778" s="2" t="s">
        <v>18778</v>
      </c>
      <c r="B18778" s="2" t="str">
        <f>IFERROR(__xludf.DUMMYFUNCTION("GOOGLETRANSLATE(A18778, ""en"", ""mt"")"),"Kemm hemm imħallfin nisa totali fl-UE?")</f>
        <v>Kemm hemm imħallfin nisa totali fl-UE?</v>
      </c>
    </row>
    <row r="18779" ht="15.75" customHeight="1">
      <c r="A18779" s="2" t="s">
        <v>18779</v>
      </c>
      <c r="B18779" s="2" t="str">
        <f>IFERROR(__xludf.DUMMYFUNCTION("GOOGLETRANSLATE(A18779, ""en"", ""mt"")"),"X'ġara lis-settur tal-edukazzjoni pubblika meta ġestit mill-gvern?")</f>
        <v>X'ġara lis-settur tal-edukazzjoni pubblika meta ġestit mill-gvern?</v>
      </c>
    </row>
    <row r="18780" ht="15.75" customHeight="1">
      <c r="A18780" s="2" t="s">
        <v>18780</v>
      </c>
      <c r="B18780" s="2" t="str">
        <f>IFERROR(__xludf.DUMMYFUNCTION("GOOGLETRANSLATE(A18780, ""en"", ""mt"")"),"L-awtostradi mibnija fl-Amazon Rainforest inbnew primarjament għal x'tip ta 'bdiewa?")</f>
        <v>L-awtostradi mibnija fl-Amazon Rainforest inbnew primarjament għal x'tip ta 'bdiewa?</v>
      </c>
    </row>
    <row r="18781" ht="15.75" customHeight="1">
      <c r="A18781" s="2" t="s">
        <v>18781</v>
      </c>
      <c r="B18781" s="2" t="str">
        <f>IFERROR(__xludf.DUMMYFUNCTION("GOOGLETRANSLATE(A18781, ""en"", ""mt"")"),"1776")</f>
        <v>1776</v>
      </c>
    </row>
    <row r="18782" ht="15.75" customHeight="1">
      <c r="A18782" s="2" t="s">
        <v>18782</v>
      </c>
      <c r="B18782" s="2" t="str">
        <f>IFERROR(__xludf.DUMMYFUNCTION("GOOGLETRANSLATE(A18782, ""en"", ""mt"")"),"Żomm il-maġġoranza tas-siġġijiet")</f>
        <v>Żomm il-maġġoranza tas-siġġijiet</v>
      </c>
    </row>
    <row r="18783" ht="15.75" customHeight="1">
      <c r="A18783" s="2" t="s">
        <v>18783</v>
      </c>
      <c r="B18783" s="2" t="str">
        <f>IFERROR(__xludf.DUMMYFUNCTION("GOOGLETRANSLATE(A18783, ""en"", ""mt"")"),"Agħmel diskors sfidanti, jew diskors li jispjega l-azzjonijiet tagħhom,")</f>
        <v>Agħmel diskors sfidanti, jew diskors li jispjega l-azzjonijiet tagħhom,</v>
      </c>
    </row>
    <row r="18784" ht="15.75" customHeight="1">
      <c r="A18784" s="2" t="s">
        <v>18784</v>
      </c>
      <c r="B18784" s="2" t="str">
        <f>IFERROR(__xludf.DUMMYFUNCTION("GOOGLETRANSLATE(A18784, ""en"", ""mt"")"),"X'jiġri barra mill-ambitu tal-Artikolu 56 skond il-Qorti tal-Ġustizzja?")</f>
        <v>X'jiġri barra mill-ambitu tal-Artikolu 56 skond il-Qorti tal-Ġustizzja?</v>
      </c>
    </row>
    <row r="18785" ht="15.75" customHeight="1">
      <c r="A18785" s="2" t="s">
        <v>18785</v>
      </c>
      <c r="B18785" s="2" t="str">
        <f>IFERROR(__xludf.DUMMYFUNCTION("GOOGLETRANSLATE(A18785, ""en"", ""mt"")"),"Fejn jinsab l-iktar punt baxx ta 'Varsavja?")</f>
        <v>Fejn jinsab l-iktar punt baxx ta 'Varsavja?</v>
      </c>
    </row>
    <row r="18786" ht="15.75" customHeight="1">
      <c r="A18786" s="2" t="s">
        <v>18786</v>
      </c>
      <c r="B18786" s="2" t="str">
        <f>IFERROR(__xludf.DUMMYFUNCTION("GOOGLETRANSLATE(A18786, ""en"", ""mt"")"),"L-Indja")</f>
        <v>L-Indja</v>
      </c>
    </row>
    <row r="18787" ht="15.75" customHeight="1">
      <c r="A18787" s="2" t="s">
        <v>18787</v>
      </c>
      <c r="B18787" s="2" t="str">
        <f>IFERROR(__xludf.DUMMYFUNCTION("GOOGLETRANSLATE(A18787, ""en"", ""mt"")"),"Pakkett jista 'jintbagħat vojt? Jekk iva, huwa fatturabbli?")</f>
        <v>Pakkett jista 'jintbagħat vojt? Jekk iva, huwa fatturabbli?</v>
      </c>
    </row>
    <row r="18788" ht="15.75" customHeight="1">
      <c r="A18788" s="2" t="s">
        <v>18788</v>
      </c>
      <c r="B18788" s="2" t="str">
        <f>IFERROR(__xludf.DUMMYFUNCTION("GOOGLETRANSLATE(A18788, ""en"", ""mt"")"),"X'inhu l-għamla totali ta 'speċi ta' ħut li jgħixu fl-Amażonja?")</f>
        <v>X'inhu l-għamla totali ta 'speċi ta' ħut li jgħixu fl-Amażonja?</v>
      </c>
    </row>
    <row r="18789" ht="15.75" customHeight="1">
      <c r="A18789" s="2" t="s">
        <v>18789</v>
      </c>
      <c r="B18789" s="2" t="str">
        <f>IFERROR(__xludf.DUMMYFUNCTION("GOOGLETRANSLATE(A18789, ""en"", ""mt"")"),"bijomolekuli")</f>
        <v>bijomolekuli</v>
      </c>
    </row>
    <row r="18790" ht="15.75" customHeight="1">
      <c r="A18790" s="2" t="s">
        <v>18790</v>
      </c>
      <c r="B18790" s="2" t="str">
        <f>IFERROR(__xludf.DUMMYFUNCTION("GOOGLETRANSLATE(A18790, ""en"", ""mt"")"),"X'għamel il-forte tiegħu Toyota mill-ġdid?")</f>
        <v>X'għamel il-forte tiegħu Toyota mill-ġdid?</v>
      </c>
    </row>
    <row r="18791" ht="15.75" customHeight="1">
      <c r="A18791" s="2" t="s">
        <v>18791</v>
      </c>
      <c r="B18791" s="2" t="str">
        <f>IFERROR(__xludf.DUMMYFUNCTION("GOOGLETRANSLATE(A18791, ""en"", ""mt"")"),"USSR")</f>
        <v>USSR</v>
      </c>
    </row>
    <row r="18792" ht="15.75" customHeight="1">
      <c r="A18792" s="2" t="s">
        <v>18792</v>
      </c>
      <c r="B18792" s="2" t="str">
        <f>IFERROR(__xludf.DUMMYFUNCTION("GOOGLETRANSLATE(A18792, ""en"", ""mt"")"),"Xi jfisser il-passaġġ respiratorju sabiex jippromwovi l-infezzjoni?")</f>
        <v>Xi jfisser il-passaġġ respiratorju sabiex jippromwovi l-infezzjoni?</v>
      </c>
    </row>
    <row r="18793" ht="15.75" customHeight="1">
      <c r="A18793" s="2" t="s">
        <v>18793</v>
      </c>
      <c r="B18793" s="2" t="str">
        <f>IFERROR(__xludf.DUMMYFUNCTION("GOOGLETRANSLATE(A18793, ""en"", ""mt"")"),"Meta kienet id-deportazzjoni tal-Kanadiżi?")</f>
        <v>Meta kienet id-deportazzjoni tal-Kanadiżi?</v>
      </c>
    </row>
    <row r="18794" ht="15.75" customHeight="1">
      <c r="A18794" s="2" t="s">
        <v>18794</v>
      </c>
      <c r="B18794" s="2" t="str">
        <f>IFERROR(__xludf.DUMMYFUNCTION("GOOGLETRANSLATE(A18794, ""en"", ""mt"")"),"Baran żviluppa l-kunċett ta 'blokka ta' messaġġi adattivi distribwiti waqt ir-riċerka tiegħu fil-Korporazzjoni RAND għall-Forza tal-Ajru tal-Istati Uniti f'netwerks ta 'komunikazzjonijiet sopraviventi, ippreżentat għall-ewwel darba lill-Forza tal-Ajru fis"&amp;"-sajf tal-1961 bħala Briefing B-265, aktar tard ippubblikat bħala RAND RAPPORT -2626 fl-1962, u finalment fir-Rapport RM 3420 fl-1964. Ir-rapport P-2626 iddeskriva arkitettura ġenerali għal netwerk ta 'komunikazzjoni fuq skala kbira, imqassma u li jista' "&amp;"jibqa '. Ix-xogħol jiffoka fuq tliet ideat ewlenin: l-użu ta 'netwerk deċentralizzat b'ħafna mogħdijiet bejn kwalunkwe żewġ punti, li jaqsmu messaġġi ta' l-utent fi blokki ta 'messaġġi, aktar tard imsejħa pakketti, u konsenja ta' dawn il-messaġġi bil-maħż"&amp;"en u l-iswiċċjar 'il quddiem.")</f>
        <v>Baran żviluppa l-kunċett ta 'blokka ta' messaġġi adattivi distribwiti waqt ir-riċerka tiegħu fil-Korporazzjoni RAND għall-Forza tal-Ajru tal-Istati Uniti f'netwerks ta 'komunikazzjonijiet sopraviventi, ippreżentat għall-ewwel darba lill-Forza tal-Ajru fis-sajf tal-1961 bħala Briefing B-265, aktar tard ippubblikat bħala RAND RAPPORT -2626 fl-1962, u finalment fir-Rapport RM 3420 fl-1964. Ir-rapport P-2626 iddeskriva arkitettura ġenerali għal netwerk ta 'komunikazzjoni fuq skala kbira, imqassma u li jista' jibqa '. Ix-xogħol jiffoka fuq tliet ideat ewlenin: l-użu ta 'netwerk deċentralizzat b'ħafna mogħdijiet bejn kwalunkwe żewġ punti, li jaqsmu messaġġi ta' l-utent fi blokki ta 'messaġġi, aktar tard imsejħa pakketti, u konsenja ta' dawn il-messaġġi bil-maħżen u l-iswiċċjar 'il quddiem.</v>
      </c>
    </row>
    <row r="18795" ht="15.75" customHeight="1">
      <c r="A18795" s="2" t="s">
        <v>18795</v>
      </c>
      <c r="B18795" s="2" t="str">
        <f>IFERROR(__xludf.DUMMYFUNCTION("GOOGLETRANSLATE(A18795, ""en"", ""mt"")"),"Tiddefinixxi l-Lvant bħala viżjoni negattiva minnha nnifisha")</f>
        <v>Tiddefinixxi l-Lvant bħala viżjoni negattiva minnha nnifisha</v>
      </c>
    </row>
    <row r="18796" ht="15.75" customHeight="1">
      <c r="A18796" s="2" t="s">
        <v>18796</v>
      </c>
      <c r="B18796" s="2" t="str">
        <f>IFERROR(__xludf.DUMMYFUNCTION("GOOGLETRANSLATE(A18796, ""en"", ""mt"")"),"Pompi ċentrifugali f'diversi stadji")</f>
        <v>Pompi ċentrifugali f'diversi stadji</v>
      </c>
    </row>
    <row r="18797" ht="15.75" customHeight="1">
      <c r="A18797" s="2" t="s">
        <v>18797</v>
      </c>
      <c r="B18797" s="2" t="str">
        <f>IFERROR(__xludf.DUMMYFUNCTION("GOOGLETRANSLATE(A18797, ""en"", ""mt"")"),"~ 74,000 (bp = qabel il-preżent)")</f>
        <v>~ 74,000 (bp = qabel il-preżent)</v>
      </c>
    </row>
    <row r="18798" ht="15.75" customHeight="1">
      <c r="A18798" s="2" t="s">
        <v>18798</v>
      </c>
      <c r="B18798" s="2" t="str">
        <f>IFERROR(__xludf.DUMMYFUNCTION("GOOGLETRANSLATE(A18798, ""en"", ""mt"")"),"Bejn liema żewġ toroq tul Kearney Boulevard kienu residenti Afrikani-Amerikani għonja?")</f>
        <v>Bejn liema żewġ toroq tul Kearney Boulevard kienu residenti Afrikani-Amerikani għonja?</v>
      </c>
    </row>
    <row r="18799" ht="15.75" customHeight="1">
      <c r="A18799" s="2" t="s">
        <v>18799</v>
      </c>
      <c r="B18799" s="2" t="str">
        <f>IFERROR(__xludf.DUMMYFUNCTION("GOOGLETRANSLATE(A18799, ""en"", ""mt"")"),"New South Wales")</f>
        <v>New South Wales</v>
      </c>
    </row>
    <row r="18800" ht="15.75" customHeight="1">
      <c r="A18800" s="2" t="s">
        <v>18800</v>
      </c>
      <c r="B18800" s="2" t="str">
        <f>IFERROR(__xludf.DUMMYFUNCTION("GOOGLETRANSLATE(A18800, ""en"", ""mt"")"),"1806-07")</f>
        <v>1806-07</v>
      </c>
    </row>
    <row r="18801" ht="15.75" customHeight="1">
      <c r="A18801" s="2" t="s">
        <v>18801</v>
      </c>
      <c r="B18801" s="2" t="str">
        <f>IFERROR(__xludf.DUMMYFUNCTION("GOOGLETRANSLATE(A18801, ""en"", ""mt"")"),"Meta kien hemm protesta armata fl-Eureka Stockade dwar it-taxxi tal-minjieri?")</f>
        <v>Meta kien hemm protesta armata fl-Eureka Stockade dwar it-taxxi tal-minjieri?</v>
      </c>
    </row>
    <row r="18802" ht="15.75" customHeight="1">
      <c r="A18802" s="2" t="s">
        <v>18802</v>
      </c>
      <c r="B18802" s="2" t="str">
        <f>IFERROR(__xludf.DUMMYFUNCTION("GOOGLETRANSLATE(A18802, ""en"", ""mt"")"),"Minn liema kummissjoni hija akkreditata l-University of Chicago Press?")</f>
        <v>Minn liema kummissjoni hija akkreditata l-University of Chicago Press?</v>
      </c>
    </row>
    <row r="18803" ht="15.75" customHeight="1">
      <c r="A18803" s="2" t="s">
        <v>18803</v>
      </c>
      <c r="B18803" s="2" t="str">
        <f>IFERROR(__xludf.DUMMYFUNCTION("GOOGLETRANSLATE(A18803, ""en"", ""mt"")"),"Nuqqas ta 'Parlament tal-Iskozja")</f>
        <v>Nuqqas ta 'Parlament tal-Iskozja</v>
      </c>
    </row>
    <row r="18804" ht="15.75" customHeight="1">
      <c r="A18804" s="2" t="s">
        <v>18804</v>
      </c>
      <c r="B18804" s="2" t="str">
        <f>IFERROR(__xludf.DUMMYFUNCTION("GOOGLETRANSLATE(A18804, ""en"", ""mt"")"),"F'taxxa progressiva, x'jista 'jiżdied hekk kif l-ammont ta' bażi taxxabbli jonqos?")</f>
        <v>F'taxxa progressiva, x'jista 'jiżdied hekk kif l-ammont ta' bażi taxxabbli jonqos?</v>
      </c>
    </row>
    <row r="18805" ht="15.75" customHeight="1">
      <c r="A18805" s="2" t="s">
        <v>18805</v>
      </c>
      <c r="B18805" s="2" t="str">
        <f>IFERROR(__xludf.DUMMYFUNCTION("GOOGLETRANSLATE(A18805, ""en"", ""mt"")"),"Minn Frar 2011, kemm-il numri ġiet ippruvata l-konġettura ta 'Goldbach?")</f>
        <v>Minn Frar 2011, kemm-il numri ġiet ippruvata l-konġettura ta 'Goldbach?</v>
      </c>
    </row>
    <row r="18806" ht="15.75" customHeight="1">
      <c r="A18806" s="2" t="s">
        <v>18806</v>
      </c>
      <c r="B18806" s="2" t="str">
        <f>IFERROR(__xludf.DUMMYFUNCTION("GOOGLETRANSLATE(A18806, ""en"", ""mt"")"),"Ix-xita miżjuda u t-temperaturi mnaqqsa jistgħu jagħmlu dak li ma jistax ikun sostenibbli?")</f>
        <v>Ix-xita miżjuda u t-temperaturi mnaqqsa jistgħu jagħmlu dak li ma jistax ikun sostenibbli?</v>
      </c>
    </row>
    <row r="18807" ht="15.75" customHeight="1">
      <c r="A18807" s="2" t="s">
        <v>18807</v>
      </c>
      <c r="B18807" s="2" t="str">
        <f>IFERROR(__xludf.DUMMYFUNCTION("GOOGLETRANSLATE(A18807, ""en"", ""mt"")"),"Avvenimenti u Festivals")</f>
        <v>Avvenimenti u Festivals</v>
      </c>
    </row>
    <row r="18808" ht="15.75" customHeight="1">
      <c r="A18808" s="2" t="s">
        <v>18808</v>
      </c>
      <c r="B18808" s="2" t="str">
        <f>IFERROR(__xludf.DUMMYFUNCTION("GOOGLETRANSLATE(A18808, ""en"", ""mt"")"),"Il-ħolqien ta 'gradjenti topografiċi jikkawża xiex?")</f>
        <v>Il-ħolqien ta 'gradjenti topografiċi jikkawża xiex?</v>
      </c>
    </row>
    <row r="18809" ht="15.75" customHeight="1">
      <c r="A18809" s="2" t="s">
        <v>18809</v>
      </c>
      <c r="B18809" s="2" t="str">
        <f>IFERROR(__xludf.DUMMYFUNCTION("GOOGLETRANSLATE(A18809, ""en"", ""mt"")"),"Ipproteġi l-Art tar-Re fil-Wied ta 'Ohio")</f>
        <v>Ipproteġi l-Art tar-Re fil-Wied ta 'Ohio</v>
      </c>
    </row>
    <row r="18810" ht="15.75" customHeight="1">
      <c r="A18810" s="2" t="s">
        <v>18810</v>
      </c>
      <c r="B18810" s="2" t="str">
        <f>IFERROR(__xludf.DUMMYFUNCTION("GOOGLETRANSLATE(A18810, ""en"", ""mt"")"),"sorċerija jew saħansitra velenu")</f>
        <v>sorċerija jew saħansitra velenu</v>
      </c>
    </row>
    <row r="18811" ht="15.75" customHeight="1">
      <c r="A18811" s="2" t="s">
        <v>18811</v>
      </c>
      <c r="B18811" s="2" t="str">
        <f>IFERROR(__xludf.DUMMYFUNCTION("GOOGLETRANSLATE(A18811, ""en"", ""mt"")"),"X'jistgħu jikkawżaw li jitħallew barra l-iskadenzi tar-rapport tal-IPCC?")</f>
        <v>X'jistgħu jikkawżaw li jitħallew barra l-iskadenzi tar-rapport tal-IPCC?</v>
      </c>
    </row>
    <row r="18812" ht="15.75" customHeight="1">
      <c r="A18812" s="2" t="s">
        <v>18812</v>
      </c>
      <c r="B18812" s="2" t="str">
        <f>IFERROR(__xludf.DUMMYFUNCTION("GOOGLETRANSLATE(A18812, ""en"", ""mt"")"),"jipproteġu l-artijiet tribali tagħhom minn interessi kummerċjali")</f>
        <v>jipproteġu l-artijiet tribali tagħhom minn interessi kummerċjali</v>
      </c>
    </row>
    <row r="18813" ht="15.75" customHeight="1">
      <c r="A18813" s="2" t="s">
        <v>18813</v>
      </c>
      <c r="B18813" s="2" t="str">
        <f>IFERROR(__xludf.DUMMYFUNCTION("GOOGLETRANSLATE(A18813, ""en"", ""mt"")")," X’tagħmel l-elite Mongolja li xtaqu Buyantu?")</f>
        <v> X’tagħmel l-elite Mongolja li xtaqu Buyantu?</v>
      </c>
    </row>
    <row r="18814" ht="15.75" customHeight="1">
      <c r="A18814" s="2" t="s">
        <v>18814</v>
      </c>
      <c r="B18814" s="2" t="str">
        <f>IFERROR(__xludf.DUMMYFUNCTION("GOOGLETRANSLATE(A18814, ""en"", ""mt"")"),"X'inhi l-forza li tikkawża saħħa riġida fl-istrutturi?")</f>
        <v>X'inhi l-forza li tikkawża saħħa riġida fl-istrutturi?</v>
      </c>
    </row>
    <row r="18815" ht="15.75" customHeight="1">
      <c r="A18815" s="2" t="s">
        <v>18815</v>
      </c>
      <c r="B18815" s="2" t="str">
        <f>IFERROR(__xludf.DUMMYFUNCTION("GOOGLETRANSLATE(A18815, ""en"", ""mt"")"),"Edukazzjoni meħtieġa tat-tfal bħala Kattoliċi")</f>
        <v>Edukazzjoni meħtieġa tat-tfal bħala Kattoliċi</v>
      </c>
    </row>
    <row r="18816" ht="15.75" customHeight="1">
      <c r="A18816" s="2" t="s">
        <v>18816</v>
      </c>
      <c r="B18816" s="2" t="str">
        <f>IFERROR(__xludf.DUMMYFUNCTION("GOOGLETRANSLATE(A18816, ""en"", ""mt"")"),"Liema persentaġġ ta 'ossiġnu ġeneralment jiġi fornut minn maskra medika?")</f>
        <v>Liema persentaġġ ta 'ossiġnu ġeneralment jiġi fornut minn maskra medika?</v>
      </c>
    </row>
    <row r="18817" ht="15.75" customHeight="1">
      <c r="A18817" s="2" t="s">
        <v>18817</v>
      </c>
      <c r="B18817" s="2" t="str">
        <f>IFERROR(__xludf.DUMMYFUNCTION("GOOGLETRANSLATE(A18817, ""en"", ""mt"")"),"Movimenti Iżlamisti anti-demokratiċi")</f>
        <v>Movimenti Iżlamisti anti-demokratiċi</v>
      </c>
    </row>
    <row r="18818" ht="15.75" customHeight="1">
      <c r="A18818" s="2" t="s">
        <v>18818</v>
      </c>
      <c r="B18818" s="2" t="str">
        <f>IFERROR(__xludf.DUMMYFUNCTION("GOOGLETRANSLATE(A18818, ""en"", ""mt"")"),"F’liema sena bdiet il-konkwista Mongoljana taċ-Ċina?")</f>
        <v>F’liema sena bdiet il-konkwista Mongoljana taċ-Ċina?</v>
      </c>
    </row>
    <row r="18819" ht="15.75" customHeight="1">
      <c r="A18819" s="2" t="s">
        <v>18819</v>
      </c>
      <c r="B18819" s="2" t="str">
        <f>IFERROR(__xludf.DUMMYFUNCTION("GOOGLETRANSLATE(A18819, ""en"", ""mt"")"),"Meta huma diżattivati ​​ċ-ċelloli T qattiel?")</f>
        <v>Meta huma diżattivati ​​ċ-ċelloli T qattiel?</v>
      </c>
    </row>
    <row r="18820" ht="15.75" customHeight="1">
      <c r="A18820" s="2" t="s">
        <v>18820</v>
      </c>
      <c r="B18820" s="2" t="str">
        <f>IFERROR(__xludf.DUMMYFUNCTION("GOOGLETRANSLATE(A18820, ""en"", ""mt"")"),"2020")</f>
        <v>2020</v>
      </c>
    </row>
    <row r="18821" ht="15.75" customHeight="1">
      <c r="A18821" s="2" t="s">
        <v>18821</v>
      </c>
      <c r="B18821" s="2" t="str">
        <f>IFERROR(__xludf.DUMMYFUNCTION("GOOGLETRANSLATE(A18821, ""en"", ""mt"")"),"X’neħħew struttura ġerarkika?")</f>
        <v>X’neħħew struttura ġerarkika?</v>
      </c>
    </row>
    <row r="18822" ht="15.75" customHeight="1">
      <c r="A18822" s="2" t="s">
        <v>18822</v>
      </c>
      <c r="B18822" s="2" t="str">
        <f>IFERROR(__xludf.DUMMYFUNCTION("GOOGLETRANSLATE(A18822, ""en"", ""mt"")"),"Liema titlu taw lil Johnson Sioux?")</f>
        <v>Liema titlu taw lil Johnson Sioux?</v>
      </c>
    </row>
    <row r="18823" ht="15.75" customHeight="1">
      <c r="A18823" s="2" t="s">
        <v>18823</v>
      </c>
      <c r="B18823" s="2" t="str">
        <f>IFERROR(__xludf.DUMMYFUNCTION("GOOGLETRANSLATE(A18823, ""en"", ""mt"")"),"Fama Eugene")</f>
        <v>Fama Eugene</v>
      </c>
    </row>
    <row r="18824" ht="15.75" customHeight="1">
      <c r="A18824" s="2" t="s">
        <v>18824</v>
      </c>
      <c r="B18824" s="2" t="str">
        <f>IFERROR(__xludf.DUMMYFUNCTION("GOOGLETRANSLATE(A18824, ""en"", ""mt"")"),"Tul liema karatteristika ġeografika jinsabu disa 'djar residenzjali?")</f>
        <v>Tul liema karatteristika ġeografika jinsabu disa 'djar residenzjali?</v>
      </c>
    </row>
    <row r="18825" ht="15.75" customHeight="1">
      <c r="A18825" s="2" t="s">
        <v>18825</v>
      </c>
      <c r="B18825" s="2" t="str">
        <f>IFERROR(__xludf.DUMMYFUNCTION("GOOGLETRANSLATE(A18825, ""en"", ""mt"")"),"etajiet assoluti")</f>
        <v>etajiet assoluti</v>
      </c>
    </row>
    <row r="18826" ht="15.75" customHeight="1">
      <c r="A18826" s="2" t="s">
        <v>18826</v>
      </c>
      <c r="B18826" s="2" t="str">
        <f>IFERROR(__xludf.DUMMYFUNCTION("GOOGLETRANSLATE(A18826, ""en"", ""mt"")"),"X'inhi l-unika forma ta 'enerġija potenzjali li tista' tinbidel?")</f>
        <v>X'inhi l-unika forma ta 'enerġija potenzjali li tista' tinbidel?</v>
      </c>
    </row>
    <row r="18827" ht="15.75" customHeight="1">
      <c r="A18827" s="2" t="s">
        <v>18827</v>
      </c>
      <c r="B18827" s="2" t="str">
        <f>IFERROR(__xludf.DUMMYFUNCTION("GOOGLETRANSLATE(A18827, ""en"", ""mt"")"),"F'liema etude ta 'neumes rythmiques tidher il-Prime 19?")</f>
        <v>F'liema etude ta 'neumes rythmiques tidher il-Prime 19?</v>
      </c>
    </row>
    <row r="18828" ht="15.75" customHeight="1">
      <c r="A18828" s="2" t="s">
        <v>18828</v>
      </c>
      <c r="B18828" s="2" t="str">
        <f>IFERROR(__xludf.DUMMYFUNCTION("GOOGLETRANSLATE(A18828, ""en"", ""mt"")"),"F'liema parti tal-ISSA US kienet ġdida Franza?")</f>
        <v>F'liema parti tal-ISSA US kienet ġdida Franza?</v>
      </c>
    </row>
    <row r="18829" ht="15.75" customHeight="1">
      <c r="A18829" s="2" t="s">
        <v>18829</v>
      </c>
      <c r="B18829" s="2" t="str">
        <f>IFERROR(__xludf.DUMMYFUNCTION("GOOGLETRANSLATE(A18829, ""en"", ""mt"")"),"trasmissjoni turbo-elettrika,")</f>
        <v>trasmissjoni turbo-elettrika,</v>
      </c>
    </row>
    <row r="18830" ht="15.75" customHeight="1">
      <c r="A18830" s="2" t="s">
        <v>18830</v>
      </c>
      <c r="B18830" s="2" t="str">
        <f>IFERROR(__xludf.DUMMYFUNCTION("GOOGLETRANSLATE(A18830, ""en"", ""mt"")"),"L-isports tal-kulleġġ huma wkoll popolari fin-Nofsinhar tal-Kalifornja. L-UCLA Bruins u l-USC Trojans iż-żewġ timijiet tal-qasam fid-Diviżjoni I tal-NCAA fil-Konferenza Pac-12, u hemm rivalità għal żmien twil bejn l-iskejjel.")</f>
        <v>L-isports tal-kulleġġ huma wkoll popolari fin-Nofsinhar tal-Kalifornja. L-UCLA Bruins u l-USC Trojans iż-żewġ timijiet tal-qasam fid-Diviżjoni I tal-NCAA fil-Konferenza Pac-12, u hemm rivalità għal żmien twil bejn l-iskejjel.</v>
      </c>
    </row>
    <row r="18831" ht="15.75" customHeight="1">
      <c r="A18831" s="2" t="s">
        <v>18831</v>
      </c>
      <c r="B18831" s="2" t="str">
        <f>IFERROR(__xludf.DUMMYFUNCTION("GOOGLETRANSLATE(A18831, ""en"", ""mt"")"),"1.4 u 5.8 ° C")</f>
        <v>1.4 u 5.8 ° C</v>
      </c>
    </row>
    <row r="18832" ht="15.75" customHeight="1">
      <c r="A18832" s="2" t="s">
        <v>18832</v>
      </c>
      <c r="B18832" s="2" t="str">
        <f>IFERROR(__xludf.DUMMYFUNCTION("GOOGLETRANSLATE(A18832, ""en"", ""mt"")"),"X'inhu kkreditat Donald Davies")</f>
        <v>X'inhu kkreditat Donald Davies</v>
      </c>
    </row>
    <row r="18833" ht="15.75" customHeight="1">
      <c r="A18833" s="2" t="s">
        <v>18833</v>
      </c>
      <c r="B18833" s="2" t="str">
        <f>IFERROR(__xludf.DUMMYFUNCTION("GOOGLETRANSLATE(A18833, ""en"", ""mt"")"),"livell aktar baxx ta 'utilità ekonomika fis-soċjetà")</f>
        <v>livell aktar baxx ta 'utilità ekonomika fis-soċjetà</v>
      </c>
    </row>
    <row r="18834" ht="15.75" customHeight="1">
      <c r="A18834" s="2" t="s">
        <v>18834</v>
      </c>
      <c r="B18834" s="2" t="str">
        <f>IFERROR(__xludf.DUMMYFUNCTION("GOOGLETRANSLATE(A18834, ""en"", ""mt"")"),"Parlament Skoċċiż")</f>
        <v>Parlament Skoċċiż</v>
      </c>
    </row>
    <row r="18835" ht="15.75" customHeight="1">
      <c r="A18835" s="2" t="s">
        <v>18835</v>
      </c>
      <c r="B18835" s="2" t="str">
        <f>IFERROR(__xludf.DUMMYFUNCTION("GOOGLETRANSLATE(A18835, ""en"", ""mt"")"),"X'għamel l-orogenija alpina li għaddejja qabel l-Eocene?")</f>
        <v>X'għamel l-orogenija alpina li għaddejja qabel l-Eocene?</v>
      </c>
    </row>
    <row r="18836" ht="15.75" customHeight="1">
      <c r="A18836" s="2" t="s">
        <v>18836</v>
      </c>
      <c r="B18836" s="2" t="str">
        <f>IFERROR(__xludf.DUMMYFUNCTION("GOOGLETRANSLATE(A18836, ""en"", ""mt"")")," Bassett ma jiffokax fuq dak li juri l-idea tiegħu?")</f>
        <v> Bassett ma jiffokax fuq dak li juri l-idea tiegħu?</v>
      </c>
    </row>
    <row r="18837" ht="15.75" customHeight="1">
      <c r="A18837" s="2" t="s">
        <v>18837</v>
      </c>
      <c r="B18837" s="2" t="str">
        <f>IFERROR(__xludf.DUMMYFUNCTION("GOOGLETRANSLATE(A18837, ""en"", ""mt"")"),"Minn fejn kien jiddependi Jean de?")</f>
        <v>Minn fejn kien jiddependi Jean de?</v>
      </c>
    </row>
    <row r="18838" ht="15.75" customHeight="1">
      <c r="A18838" s="2" t="s">
        <v>18838</v>
      </c>
      <c r="B18838" s="2" t="str">
        <f>IFERROR(__xludf.DUMMYFUNCTION("GOOGLETRANSLATE(A18838, ""en"", ""mt"")"),"X'inhi magna tat-Turing deterministika bi provvista żejda ta 'żigarelli bl-addoċċ?")</f>
        <v>X'inhi magna tat-Turing deterministika bi provvista żejda ta 'żigarelli bl-addoċċ?</v>
      </c>
    </row>
    <row r="18839" ht="15.75" customHeight="1">
      <c r="A18839" s="2" t="s">
        <v>18839</v>
      </c>
      <c r="B18839" s="2" t="str">
        <f>IFERROR(__xludf.DUMMYFUNCTION("GOOGLETRANSLATE(A18839, ""en"", ""mt"")"),"l-istess")</f>
        <v>l-istess</v>
      </c>
    </row>
    <row r="18840" ht="15.75" customHeight="1">
      <c r="A18840" s="2" t="s">
        <v>18840</v>
      </c>
      <c r="B18840" s="2" t="str">
        <f>IFERROR(__xludf.DUMMYFUNCTION("GOOGLETRANSLATE(A18840, ""en"", ""mt"")"),"Ħdejn il-ħalq sat-tarf oppost")</f>
        <v>Ħdejn il-ħalq sat-tarf oppost</v>
      </c>
    </row>
    <row r="18841" ht="15.75" customHeight="1">
      <c r="A18841" s="2" t="s">
        <v>18841</v>
      </c>
      <c r="B18841" s="2" t="str">
        <f>IFERROR(__xludf.DUMMYFUNCTION("GOOGLETRANSLATE(A18841, ""en"", ""mt"")"),"ċaħdiet li jħallsu t-taxxi")</f>
        <v>ċaħdiet li jħallsu t-taxxi</v>
      </c>
    </row>
    <row r="18842" ht="15.75" customHeight="1">
      <c r="A18842" s="2" t="s">
        <v>18842</v>
      </c>
      <c r="B18842" s="2" t="str">
        <f>IFERROR(__xludf.DUMMYFUNCTION("GOOGLETRANSLATE(A18842, ""en"", ""mt"")"),"Multi-kulturali")</f>
        <v>Multi-kulturali</v>
      </c>
    </row>
    <row r="18843" ht="15.75" customHeight="1">
      <c r="A18843" s="2" t="s">
        <v>18843</v>
      </c>
      <c r="B18843" s="2" t="str">
        <f>IFERROR(__xludf.DUMMYFUNCTION("GOOGLETRANSLATE(A18843, ""en"", ""mt"")"),"Huwa dejjem possibbli li l-forzi jimmudellaw bħala dovuti għal xiex?")</f>
        <v>Huwa dejjem possibbli li l-forzi jimmudellaw bħala dovuti għal xiex?</v>
      </c>
    </row>
    <row r="18844" ht="15.75" customHeight="1">
      <c r="A18844" s="2" t="s">
        <v>18844</v>
      </c>
      <c r="B18844" s="2" t="str">
        <f>IFERROR(__xludf.DUMMYFUNCTION("GOOGLETRANSLATE(A18844, ""en"", ""mt"")"),"mmejla u ħruq")</f>
        <v>mmejla u ħruq</v>
      </c>
    </row>
    <row r="18845" ht="15.75" customHeight="1">
      <c r="A18845" s="2" t="s">
        <v>18845</v>
      </c>
      <c r="B18845" s="2" t="str">
        <f>IFERROR(__xludf.DUMMYFUNCTION("GOOGLETRANSLATE(A18845, ""en"", ""mt"")"),"L-Iskola tal-Amministrazzjoni tas-Servizz Soċjali tal-Università")</f>
        <v>L-Iskola tal-Amministrazzjoni tas-Servizz Soċjali tal-Università</v>
      </c>
    </row>
    <row r="18846" ht="15.75" customHeight="1">
      <c r="A18846" s="2" t="s">
        <v>18846</v>
      </c>
      <c r="B18846" s="2" t="str">
        <f>IFERROR(__xludf.DUMMYFUNCTION("GOOGLETRANSLATE(A18846, ""en"", ""mt"")"),"Liema xprunat żieda fl-appoġġ għar-riforma tal-gvern?")</f>
        <v>Liema xprunat żieda fl-appoġġ għar-riforma tal-gvern?</v>
      </c>
    </row>
    <row r="18847" ht="15.75" customHeight="1">
      <c r="A18847" s="2" t="s">
        <v>18847</v>
      </c>
      <c r="B18847" s="2" t="str">
        <f>IFERROR(__xludf.DUMMYFUNCTION("GOOGLETRANSLATE(A18847, ""en"", ""mt"")"),"2006")</f>
        <v>2006</v>
      </c>
    </row>
    <row r="18848" ht="15.75" customHeight="1">
      <c r="A18848" s="2" t="s">
        <v>18848</v>
      </c>
      <c r="B18848" s="2" t="str">
        <f>IFERROR(__xludf.DUMMYFUNCTION("GOOGLETRANSLATE(A18848, ""en"", ""mt"")"),"X'ammont ta 'flus investa Kent-Brown f'Harvard?")</f>
        <v>X'ammont ta 'flus investa Kent-Brown f'Harvard?</v>
      </c>
    </row>
    <row r="18849" ht="15.75" customHeight="1">
      <c r="A18849" s="2" t="s">
        <v>18849</v>
      </c>
      <c r="B18849" s="2" t="str">
        <f>IFERROR(__xludf.DUMMYFUNCTION("GOOGLETRANSLATE(A18849, ""en"", ""mt"")"),"Erbatax")</f>
        <v>Erbatax</v>
      </c>
    </row>
    <row r="18850" ht="15.75" customHeight="1">
      <c r="A18850" s="2" t="s">
        <v>18850</v>
      </c>
      <c r="B18850" s="2" t="str">
        <f>IFERROR(__xludf.DUMMYFUNCTION("GOOGLETRANSLATE(A18850, ""en"", ""mt"")"),"Il-gvern ta 'Kublai ffaċċja diffikultajiet finanzjarji wara 1279. Il-gwerer u l-proġetti ta' kostruzzjoni kienu xorbu t-Teżor tal-Mongolja. L-isforzi biex jinġabru u jinġabru d-dħul mit-taxxa kienu affetwati mill-korruzzjoni u l-iskandli politiċi. L-isped"&amp;"izzjonijiet militari mmaniġġjati ħażin segwew il-problemi finanzjarji. It-tieni invażjoni ta 'Kublai fil-Ġappun fl-1281 falliet minħabba tifun inauspicious. Kublai botched il-kampanji tiegħu kontra Annam, Champa, u Java, iżda rebaħ rebħa pirrika kontra Bu"&amp;"rma. L-ispedizzjonijiet kienu mxekkla mill-marda, klima inospitabbli, u art tropikali mhux xierqa għall-gwerra mmuntata tal-Mongoli. Id-dinastija Tran li ddeċidiet lil Annam (Dai Viet) mgħaffeġ u għelbet lill-Mongoli fil-battalja ta ’Bạch ằng (1288). Ir-r"&amp;"eġjun Ċiniż ta 'Fujian kien id-dar oriġinali tal-klan Tran (Chen) Ċiniż qabel ma emigraw taħt Trần Kinh (陳京, Chén Jīng) lejn Dai Viet u li d-dixxendenti tagħhom stabbilixxew id-dinastija Trần li ddeċidiet il-Vjetnam ạại Việt, u ċerti membri ta' Il-klann x"&amp;"orta jista 'jitkellem Ċiniż bħal meta mibgħut dinastija Yuan kellu laqgħa mal-Prinċep Trần li jitkellmu Ċiniż Trần Quốc Tuấn (aktar tard ir-Re Trần Hưng ạo) fl-1282. Il-Professur Liam Kelley innota li n-nies mid-Dynasty Song Dynasty bħal Zhao Zhong u Xu Z"&amp;"ongdao ħarab lejn it-Tran Dynasty iddeċidiet il-Vjetnam wara l-invażjoni tal-kanzunetta Mongolja u għenu lill-ġlieda kontra t-Tran kontra l-invażjoni tal-Mongolja. Id-dinastija Tran oriġinat mir-reġjun tal-Fujian taċ-Ċina kif għamlet il-kleru Daoist Xu Zo"&amp;"ngdao li rreġistra l-invażjoni tal-Mongolja u rrefera għalihom bħala ""banditi tat-tramuntana"". Annam, Burma, u Champa għarfu l-eġemonija tal-Mongol u stabbilixxew relazzjonijiet tributarji mad-dinastija Yuan.")</f>
        <v>Il-gvern ta 'Kublai ffaċċja diffikultajiet finanzjarji wara 1279. Il-gwerer u l-proġetti ta' kostruzzjoni kienu xorbu t-Teżor tal-Mongolja. L-isforzi biex jinġabru u jinġabru d-dħul mit-taxxa kienu affetwati mill-korruzzjoni u l-iskandli politiċi. L-ispedizzjonijiet militari mmaniġġjati ħażin segwew il-problemi finanzjarji. It-tieni invażjoni ta 'Kublai fil-Ġappun fl-1281 falliet minħabba tifun inauspicious. Kublai botched il-kampanji tiegħu kontra Annam, Champa, u Java, iżda rebaħ rebħa pirrika kontra Burma. L-ispedizzjonijiet kienu mxekkla mill-marda, klima inospitabbli, u art tropikali mhux xierqa għall-gwerra mmuntata tal-Mongoli. Id-dinastija Tran li ddeċidiet lil Annam (Dai Viet) mgħaffeġ u għelbet lill-Mongoli fil-battalja ta ’Bạch ằng (1288). Ir-reġjun Ċiniż ta 'Fujian kien id-dar oriġinali tal-klan Tran (Chen) Ċiniż qabel ma emigraw taħt Trần Kinh (陳京, Chén Jīng) lejn Dai Viet u li d-dixxendenti tagħhom stabbilixxew id-dinastija Trần li ddeċidiet il-Vjetnam ạại Việt, u ċerti membri ta' Il-klann xorta jista 'jitkellem Ċiniż bħal meta mibgħut dinastija Yuan kellu laqgħa mal-Prinċep Trần li jitkellmu Ċiniż Trần Quốc Tuấn (aktar tard ir-Re Trần Hưng ạo) fl-1282. Il-Professur Liam Kelley innota li n-nies mid-Dynasty Song Dynasty bħal Zhao Zhong u Xu Zongdao ħarab lejn it-Tran Dynasty iddeċidiet il-Vjetnam wara l-invażjoni tal-kanzunetta Mongolja u għenu lill-ġlieda kontra t-Tran kontra l-invażjoni tal-Mongolja. Id-dinastija Tran oriġinat mir-reġjun tal-Fujian taċ-Ċina kif għamlet il-kleru Daoist Xu Zongdao li rreġistra l-invażjoni tal-Mongolja u rrefera għalihom bħala "banditi tat-tramuntana". Annam, Burma, u Champa għarfu l-eġemonija tal-Mongol u stabbilixxew relazzjonijiet tributarji mad-dinastija Yuan.</v>
      </c>
    </row>
    <row r="18851" ht="15.75" customHeight="1">
      <c r="A18851" s="2" t="s">
        <v>18851</v>
      </c>
      <c r="B18851" s="2" t="str">
        <f>IFERROR(__xludf.DUMMYFUNCTION("GOOGLETRANSLATE(A18851, ""en"", ""mt"")"),"għax hu jew hi jistgħu mbagħad ibigħu aktar mediċini lill-pazjent")</f>
        <v>għax hu jew hi jistgħu mbagħad ibigħu aktar mediċini lill-pazjent</v>
      </c>
    </row>
    <row r="18852" ht="15.75" customHeight="1">
      <c r="A18852" s="2" t="s">
        <v>18852</v>
      </c>
      <c r="B18852" s="2" t="str">
        <f>IFERROR(__xludf.DUMMYFUNCTION("GOOGLETRANSLATE(A18852, ""en"", ""mt"")"),"il-kleru")</f>
        <v>il-kleru</v>
      </c>
    </row>
    <row r="18853" ht="15.75" customHeight="1">
      <c r="A18853" s="2" t="s">
        <v>18853</v>
      </c>
      <c r="B18853" s="2" t="str">
        <f>IFERROR(__xludf.DUMMYFUNCTION("GOOGLETRANSLATE(A18853, ""en"", ""mt"")"),"protesta mhux vjolenti")</f>
        <v>protesta mhux vjolenti</v>
      </c>
    </row>
    <row r="18854" ht="15.75" customHeight="1">
      <c r="A18854" s="2" t="s">
        <v>18854</v>
      </c>
      <c r="B18854" s="2" t="str">
        <f>IFERROR(__xludf.DUMMYFUNCTION("GOOGLETRANSLATE(A18854, ""en"", ""mt"")"),"L-Asjatiċi jirrappreżentaw liema frazzjoni ta 'Hmong?")</f>
        <v>L-Asjatiċi jirrappreżentaw liema frazzjoni ta 'Hmong?</v>
      </c>
    </row>
    <row r="18855" ht="15.75" customHeight="1">
      <c r="A18855" s="2" t="s">
        <v>18855</v>
      </c>
      <c r="B18855" s="2" t="str">
        <f>IFERROR(__xludf.DUMMYFUNCTION("GOOGLETRANSLATE(A18855, ""en"", ""mt"")"),"F'liema sena l-istudent iddeċieda li jokkupa l-uffiċċju tal-president?")</f>
        <v>F'liema sena l-istudent iddeċieda li jokkupa l-uffiċċju tal-president?</v>
      </c>
    </row>
    <row r="18856" ht="15.75" customHeight="1">
      <c r="A18856" s="2" t="s">
        <v>18856</v>
      </c>
      <c r="B18856" s="2" t="str">
        <f>IFERROR(__xludf.DUMMYFUNCTION("GOOGLETRANSLATE(A18856, ""en"", ""mt"")"),"Meta l-minorenni jiżviluppaw f'adulti?")</f>
        <v>Meta l-minorenni jiżviluppaw f'adulti?</v>
      </c>
    </row>
    <row r="18857" ht="15.75" customHeight="1">
      <c r="A18857" s="2" t="s">
        <v>18857</v>
      </c>
      <c r="B18857" s="2" t="str">
        <f>IFERROR(__xludf.DUMMYFUNCTION("GOOGLETRANSLATE(A18857, ""en"", ""mt"")"),"Gene CYP27B1")</f>
        <v>Gene CYP27B1</v>
      </c>
    </row>
    <row r="18858" ht="15.75" customHeight="1">
      <c r="A18858" s="2" t="s">
        <v>18858</v>
      </c>
      <c r="B18858" s="2" t="str">
        <f>IFERROR(__xludf.DUMMYFUNCTION("GOOGLETRANSLATE(A18858, ""en"", ""mt"")"),"Fejn intuża l-iswiċċjar tal-pakketti fis-snin 1980?")</f>
        <v>Fejn intuża l-iswiċċjar tal-pakketti fis-snin 1980?</v>
      </c>
    </row>
    <row r="18859" ht="15.75" customHeight="1">
      <c r="A18859" s="2" t="s">
        <v>18859</v>
      </c>
      <c r="B18859" s="2" t="str">
        <f>IFERROR(__xludf.DUMMYFUNCTION("GOOGLETRANSLATE(A18859, ""en"", ""mt"")"),"Jegħleb sekulari")</f>
        <v>Jegħleb sekulari</v>
      </c>
    </row>
    <row r="18860" ht="15.75" customHeight="1">
      <c r="A18860" s="2" t="s">
        <v>18860</v>
      </c>
      <c r="B18860" s="2" t="str">
        <f>IFERROR(__xludf.DUMMYFUNCTION("GOOGLETRANSLATE(A18860, ""en"", ""mt"")"),"Qgħad")</f>
        <v>Qgħad</v>
      </c>
    </row>
    <row r="18861" ht="15.75" customHeight="1">
      <c r="A18861" s="2" t="s">
        <v>18861</v>
      </c>
      <c r="B18861" s="2" t="str">
        <f>IFERROR(__xludf.DUMMYFUNCTION("GOOGLETRANSLATE(A18861, ""en"", ""mt"")"),"X'jiġri wara adsa li fiha għaddas jiddekompressa malajr wisq?")</f>
        <v>X'jiġri wara adsa li fiha għaddas jiddekompressa malajr wisq?</v>
      </c>
    </row>
    <row r="18862" ht="15.75" customHeight="1">
      <c r="A18862" s="2" t="s">
        <v>18862</v>
      </c>
      <c r="B18862" s="2" t="str">
        <f>IFERROR(__xludf.DUMMYFUNCTION("GOOGLETRANSLATE(A18862, ""en"", ""mt"")"),"Cameron")</f>
        <v>Cameron</v>
      </c>
    </row>
    <row r="18863" ht="15.75" customHeight="1">
      <c r="A18863" s="2" t="s">
        <v>18863</v>
      </c>
      <c r="B18863" s="2" t="str">
        <f>IFERROR(__xludf.DUMMYFUNCTION("GOOGLETRANSLATE(A18863, ""en"", ""mt"")"),"1285")</f>
        <v>1285</v>
      </c>
    </row>
    <row r="18864" ht="15.75" customHeight="1">
      <c r="A18864" s="2" t="s">
        <v>18864</v>
      </c>
      <c r="B18864" s="2" t="str">
        <f>IFERROR(__xludf.DUMMYFUNCTION("GOOGLETRANSLATE(A18864, ""en"", ""mt"")"),"Quebec")</f>
        <v>Quebec</v>
      </c>
    </row>
    <row r="18865" ht="15.75" customHeight="1">
      <c r="A18865" s="2" t="s">
        <v>18865</v>
      </c>
      <c r="B18865" s="2" t="str">
        <f>IFERROR(__xludf.DUMMYFUNCTION("GOOGLETRANSLATE(A18865, ""en"", ""mt"")"),"Burlington Northern Santa Fe Railway u Union Pacific Railroad")</f>
        <v>Burlington Northern Santa Fe Railway u Union Pacific Railroad</v>
      </c>
    </row>
    <row r="18866" ht="15.75" customHeight="1">
      <c r="A18866" s="2" t="s">
        <v>18866</v>
      </c>
      <c r="B18866" s="2" t="str">
        <f>IFERROR(__xludf.DUMMYFUNCTION("GOOGLETRANSLATE(A18866, ""en"", ""mt"")"),"Min ħaseb li s-sistema tal-klassi soċjali tal-wan għandha tissejjaħ klassijiet soċjali?")</f>
        <v>Min ħaseb li s-sistema tal-klassi soċjali tal-wan għandha tissejjaħ klassijiet soċjali?</v>
      </c>
    </row>
    <row r="18867" ht="15.75" customHeight="1">
      <c r="A18867" s="2" t="s">
        <v>18867</v>
      </c>
      <c r="B18867" s="2" t="str">
        <f>IFERROR(__xludf.DUMMYFUNCTION("GOOGLETRANSLATE(A18867, ""en"", ""mt"")"),"X'tip ta 'ċelloli jaħkmu jew jieklu patoġeni u partiċelli barranin?")</f>
        <v>X'tip ta 'ċelloli jaħkmu jew jieklu patoġeni u partiċelli barranin?</v>
      </c>
    </row>
    <row r="18868" ht="15.75" customHeight="1">
      <c r="A18868" s="2" t="s">
        <v>18868</v>
      </c>
      <c r="B18868" s="2" t="str">
        <f>IFERROR(__xludf.DUMMYFUNCTION("GOOGLETRANSLATE(A18868, ""en"", ""mt"")"),"Iċ-ċiklu ta 'Rankine u l-biċċa l-kbira tal-magni tal-fwar prattiċi għandhom pompa tal-ilma biex tirriċikla jew tagħlaq l-ilma tal-bojler, sabiex ikunu jistgħu jitmexxew kontinwament. Utilità u bojlers industrijali jużaw komunement pompi ċentrifugali f'div"&amp;"ersi stadji; Madankollu, tipi oħra jintużaw. Mezz ieħor biex iforni ilma ta 'l-għalf tal-bojler bi pressjoni baxxa huwa injettur, li juża ġett tal-fwar ġeneralment fornut mill-bojler. L-injetturi saru popolari fl-1850s iżda m'għadhomx jintużaw ħafna, ħlie"&amp;"f f'applikazzjonijiet bħal lokomottivi tal-fwar.")</f>
        <v>Iċ-ċiklu ta 'Rankine u l-biċċa l-kbira tal-magni tal-fwar prattiċi għandhom pompa tal-ilma biex tirriċikla jew tagħlaq l-ilma tal-bojler, sabiex ikunu jistgħu jitmexxew kontinwament. Utilità u bojlers industrijali jużaw komunement pompi ċentrifugali f'diversi stadji; Madankollu, tipi oħra jintużaw. Mezz ieħor biex iforni ilma ta 'l-għalf tal-bojler bi pressjoni baxxa huwa injettur, li juża ġett tal-fwar ġeneralment fornut mill-bojler. L-injetturi saru popolari fl-1850s iżda m'għadhomx jintużaw ħafna, ħlief f'applikazzjonijiet bħal lokomottivi tal-fwar.</v>
      </c>
    </row>
    <row r="18869" ht="15.75" customHeight="1">
      <c r="A18869" s="2" t="s">
        <v>18869</v>
      </c>
      <c r="B18869" s="2" t="str">
        <f>IFERROR(__xludf.DUMMYFUNCTION("GOOGLETRANSLATE(A18869, ""en"", ""mt"")"),"kura tas-saħħa")</f>
        <v>kura tas-saħħa</v>
      </c>
    </row>
    <row r="18870" ht="15.75" customHeight="1">
      <c r="A18870" s="2" t="s">
        <v>18870</v>
      </c>
      <c r="B18870" s="2" t="str">
        <f>IFERROR(__xludf.DUMMYFUNCTION("GOOGLETRANSLATE(A18870, ""en"", ""mt"")"),"Għaliex wieħed irid jagħti diskors?")</f>
        <v>Għaliex wieħed irid jagħti diskors?</v>
      </c>
    </row>
    <row r="18871" ht="15.75" customHeight="1">
      <c r="A18871" s="2" t="s">
        <v>18871</v>
      </c>
      <c r="B18871" s="2" t="str">
        <f>IFERROR(__xludf.DUMMYFUNCTION("GOOGLETRANSLATE(A18871, ""en"", ""mt"")"),"sħana moħbija")</f>
        <v>sħana moħbija</v>
      </c>
    </row>
    <row r="18872" ht="15.75" customHeight="1">
      <c r="A18872" s="2" t="s">
        <v>18872</v>
      </c>
      <c r="B18872" s="2" t="str">
        <f>IFERROR(__xludf.DUMMYFUNCTION("GOOGLETRANSLATE(A18872, ""en"", ""mt"")"),"żona moderata")</f>
        <v>żona moderata</v>
      </c>
    </row>
    <row r="18873" ht="15.75" customHeight="1">
      <c r="A18873" s="2" t="s">
        <v>18873</v>
      </c>
      <c r="B18873" s="2" t="str">
        <f>IFERROR(__xludf.DUMMYFUNCTION("GOOGLETRANSLATE(A18873, ""en"", ""mt"")"),"Kif inżammu konnessjonijiet ta 'veloċità għolja u minn min kienu mmonitorjati?")</f>
        <v>Kif inżammu konnessjonijiet ta 'veloċità għolja u minn min kienu mmonitorjati?</v>
      </c>
    </row>
    <row r="18874" ht="15.75" customHeight="1">
      <c r="A18874" s="2" t="s">
        <v>18874</v>
      </c>
      <c r="B18874" s="2" t="str">
        <f>IFERROR(__xludf.DUMMYFUNCTION("GOOGLETRANSLATE(A18874, ""en"", ""mt"")"),"Studenti Internazzjonali")</f>
        <v>Studenti Internazzjonali</v>
      </c>
    </row>
    <row r="18875" ht="15.75" customHeight="1">
      <c r="A18875" s="2" t="s">
        <v>18875</v>
      </c>
      <c r="B18875" s="2" t="str">
        <f>IFERROR(__xludf.DUMMYFUNCTION("GOOGLETRANSLATE(A18875, ""en"", ""mt"")"),"Meta Toyota qalet li se tibdel l-impjant tar-Rabat tagħha f'fabbrika tal-ajruplan?")</f>
        <v>Meta Toyota qalet li se tibdel l-impjant tar-Rabat tagħha f'fabbrika tal-ajruplan?</v>
      </c>
    </row>
    <row r="18876" ht="15.75" customHeight="1">
      <c r="A18876" s="2" t="s">
        <v>18876</v>
      </c>
      <c r="B18876" s="2" t="str">
        <f>IFERROR(__xludf.DUMMYFUNCTION("GOOGLETRANSLATE(A18876, ""en"", ""mt"")"),"ġlieda, ġuħ, u mrar")</f>
        <v>ġlieda, ġuħ, u mrar</v>
      </c>
    </row>
    <row r="18877" ht="15.75" customHeight="1">
      <c r="A18877" s="2" t="s">
        <v>18877</v>
      </c>
      <c r="B18877" s="2" t="str">
        <f>IFERROR(__xludf.DUMMYFUNCTION("GOOGLETRANSLATE(A18877, ""en"", ""mt"")"),"Bi tweġiba għall-għajnuna Amerikana lill-Iżrael")</f>
        <v>Bi tweġiba għall-għajnuna Amerikana lill-Iżrael</v>
      </c>
    </row>
    <row r="18878" ht="15.75" customHeight="1">
      <c r="A18878" s="2" t="s">
        <v>18878</v>
      </c>
      <c r="B18878" s="2" t="str">
        <f>IFERROR(__xludf.DUMMYFUNCTION("GOOGLETRANSLATE(A18878, ""en"", ""mt"")"),"Klassifikazzjonijiet differenti tal-ħaddiema")</f>
        <v>Klassifikazzjonijiet differenti tal-ħaddiema</v>
      </c>
    </row>
    <row r="18879" ht="15.75" customHeight="1">
      <c r="A18879" s="2" t="s">
        <v>18879</v>
      </c>
      <c r="B18879" s="2" t="str">
        <f>IFERROR(__xludf.DUMMYFUNCTION("GOOGLETRANSLATE(A18879, ""en"", ""mt"")")," Liema aspett tal-mediċina tal-Punent xtaq iċ-Ċiniżi?")</f>
        <v> Liema aspett tal-mediċina tal-Punent xtaq iċ-Ċiniżi?</v>
      </c>
    </row>
    <row r="18880" ht="15.75" customHeight="1">
      <c r="A18880" s="2" t="s">
        <v>18880</v>
      </c>
      <c r="B18880" s="2" t="str">
        <f>IFERROR(__xludf.DUMMYFUNCTION("GOOGLETRANSLATE(A18880, ""en"", ""mt"")"),"Liema sett ta 'pajjiżi għandhom mobilità ekonomika aktar baxxa mill-Istati Uniti?")</f>
        <v>Liema sett ta 'pajjiżi għandhom mobilità ekonomika aktar baxxa mill-Istati Uniti?</v>
      </c>
    </row>
    <row r="18881" ht="15.75" customHeight="1">
      <c r="A18881" s="2" t="s">
        <v>18881</v>
      </c>
      <c r="B18881" s="2" t="str">
        <f>IFERROR(__xludf.DUMMYFUNCTION("GOOGLETRANSLATE(A18881, ""en"", ""mt"")"),"8.4%")</f>
        <v>8.4%</v>
      </c>
    </row>
    <row r="18882" ht="15.75" customHeight="1">
      <c r="A18882" s="2" t="s">
        <v>18882</v>
      </c>
      <c r="B18882" s="2" t="str">
        <f>IFERROR(__xludf.DUMMYFUNCTION("GOOGLETRANSLATE(A18882, ""en"", ""mt"")"),"Xi teħtieġ ribelljoni fl-enċiklopedija ta 'Christian Bay?")</f>
        <v>Xi teħtieġ ribelljoni fl-enċiklopedija ta 'Christian Bay?</v>
      </c>
    </row>
    <row r="18883" ht="15.75" customHeight="1">
      <c r="A18883" s="2" t="s">
        <v>18883</v>
      </c>
      <c r="B18883" s="2" t="str">
        <f>IFERROR(__xludf.DUMMYFUNCTION("GOOGLETRANSLATE(A18883, ""en"", ""mt"")"),"Qabbad kompjuters ospitanti (servers) f'eluf ta 'kumpaniji kbar, istituzzjonijiet edukattivi, u aġenziji tal-gvern")</f>
        <v>Qabbad kompjuters ospitanti (servers) f'eluf ta 'kumpaniji kbar, istituzzjonijiet edukattivi, u aġenziji tal-gvern</v>
      </c>
    </row>
    <row r="18884" ht="15.75" customHeight="1">
      <c r="A18884" s="2" t="s">
        <v>18884</v>
      </c>
      <c r="B18884" s="2" t="str">
        <f>IFERROR(__xludf.DUMMYFUNCTION("GOOGLETRANSLATE(A18884, ""en"", ""mt"")"),"Vetturi tal-forza ortogonali jistgħu b'erba 'dimensjonijiet ma' xiex?")</f>
        <v>Vetturi tal-forza ortogonali jistgħu b'erba 'dimensjonijiet ma' xiex?</v>
      </c>
    </row>
    <row r="18885" ht="15.75" customHeight="1">
      <c r="A18885" s="2" t="s">
        <v>18885</v>
      </c>
      <c r="B18885" s="2" t="str">
        <f>IFERROR(__xludf.DUMMYFUNCTION("GOOGLETRANSLATE(A18885, ""en"", ""mt"")"),"Min ħakem il-Gżira Kanarji fis-seklu 14?")</f>
        <v>Min ħakem il-Gżira Kanarji fis-seklu 14?</v>
      </c>
    </row>
    <row r="18886" ht="15.75" customHeight="1">
      <c r="A18886" s="2" t="s">
        <v>18886</v>
      </c>
      <c r="B18886" s="2" t="str">
        <f>IFERROR(__xludf.DUMMYFUNCTION("GOOGLETRANSLATE(A18886, ""en"", ""mt"")"),"X'taħseb li Ghandi dak li tuża l-kuxjenza tiegħek?")</f>
        <v>X'taħseb li Ghandi dak li tuża l-kuxjenza tiegħek?</v>
      </c>
    </row>
    <row r="18887" ht="15.75" customHeight="1">
      <c r="A18887" s="2" t="s">
        <v>18887</v>
      </c>
      <c r="B18887" s="2" t="str">
        <f>IFERROR(__xludf.DUMMYFUNCTION("GOOGLETRANSLATE(A18887, ""en"", ""mt"")"),"X'inhi l-popolazzjoni tal-akbar żona ta 'Los Angeles?")</f>
        <v>X'inhi l-popolazzjoni tal-akbar żona ta 'Los Angeles?</v>
      </c>
    </row>
    <row r="18888" ht="15.75" customHeight="1">
      <c r="A18888" s="2" t="s">
        <v>18888</v>
      </c>
      <c r="B18888" s="2" t="str">
        <f>IFERROR(__xludf.DUMMYFUNCTION("GOOGLETRANSLATE(A18888, ""en"", ""mt"")"),"Xi jsostnu xi teoriji dwar id-diżubbidjenza ċivili?")</f>
        <v>Xi jsostnu xi teoriji dwar id-diżubbidjenza ċivili?</v>
      </c>
    </row>
    <row r="18889" ht="15.75" customHeight="1">
      <c r="A18889" s="2" t="s">
        <v>18889</v>
      </c>
      <c r="B18889" s="2" t="str">
        <f>IFERROR(__xludf.DUMMYFUNCTION("GOOGLETRANSLATE(A18889, ""en"", ""mt"")"),"Liema ilma jispiċċa mill-baħar u barra mill-Bajja ta 'qabel tal-Baħar?")</f>
        <v>Liema ilma jispiċċa mill-baħar u barra mill-Bajja ta 'qabel tal-Baħar?</v>
      </c>
    </row>
    <row r="18890" ht="15.75" customHeight="1">
      <c r="A18890" s="2" t="s">
        <v>18890</v>
      </c>
      <c r="B18890" s="2" t="str">
        <f>IFERROR(__xludf.DUMMYFUNCTION("GOOGLETRANSLATE(A18890, ""en"", ""mt"")"),"Dak li jżomm is-sensittività tas-sistema immuni fl-istess livelli?")</f>
        <v>Dak li jżomm is-sensittività tas-sistema immuni fl-istess livelli?</v>
      </c>
    </row>
    <row r="18891" ht="15.75" customHeight="1">
      <c r="A18891" s="2" t="s">
        <v>18891</v>
      </c>
      <c r="B18891" s="2" t="str">
        <f>IFERROR(__xludf.DUMMYFUNCTION("GOOGLETRANSLATE(A18891, ""en"", ""mt"")"),"Fejn ir-Ribault tella 'l-bandiera billi sostniet l-art għal Franza?")</f>
        <v>Fejn ir-Ribault tella 'l-bandiera billi sostniet l-art għal Franza?</v>
      </c>
    </row>
    <row r="18892" ht="15.75" customHeight="1">
      <c r="A18892" s="2" t="s">
        <v>18892</v>
      </c>
      <c r="B18892" s="2" t="str">
        <f>IFERROR(__xludf.DUMMYFUNCTION("GOOGLETRANSLATE(A18892, ""en"", ""mt"")"),"Minn xiex dehret l-inugwaljanza fl-inugwaljanza fid-distribuzzjoni tad-dħul?")</f>
        <v>Minn xiex dehret l-inugwaljanza fl-inugwaljanza fid-distribuzzjoni tad-dħul?</v>
      </c>
    </row>
    <row r="18893" ht="15.75" customHeight="1">
      <c r="A18893" s="2" t="s">
        <v>18893</v>
      </c>
      <c r="B18893" s="2" t="str">
        <f>IFERROR(__xludf.DUMMYFUNCTION("GOOGLETRANSLATE(A18893, ""en"", ""mt"")"),"9000 bp")</f>
        <v>9000 bp</v>
      </c>
    </row>
    <row r="18894" ht="15.75" customHeight="1">
      <c r="A18894" s="2" t="s">
        <v>18894</v>
      </c>
      <c r="B18894" s="2" t="str">
        <f>IFERROR(__xludf.DUMMYFUNCTION("GOOGLETRANSLATE(A18894, ""en"", ""mt"")"),"Arthur Woolf")</f>
        <v>Arthur Woolf</v>
      </c>
    </row>
    <row r="18895" ht="15.75" customHeight="1">
      <c r="A18895" s="2" t="s">
        <v>18895</v>
      </c>
      <c r="B18895" s="2" t="str">
        <f>IFERROR(__xludf.DUMMYFUNCTION("GOOGLETRANSLATE(A18895, ""en"", ""mt"")"),"Antikità tard")</f>
        <v>Antikità tard</v>
      </c>
    </row>
    <row r="18896" ht="15.75" customHeight="1">
      <c r="A18896" s="2" t="s">
        <v>18896</v>
      </c>
      <c r="B18896" s="2" t="str">
        <f>IFERROR(__xludf.DUMMYFUNCTION("GOOGLETRANSLATE(A18896, ""en"", ""mt"")"),"Brooklyn")</f>
        <v>Brooklyn</v>
      </c>
    </row>
    <row r="18897" ht="15.75" customHeight="1">
      <c r="A18897" s="2" t="s">
        <v>18897</v>
      </c>
      <c r="B18897" s="2" t="str">
        <f>IFERROR(__xludf.DUMMYFUNCTION("GOOGLETRANSLATE(A18897, ""en"", ""mt"")"),"Imperatur Ningzong")</f>
        <v>Imperatur Ningzong</v>
      </c>
    </row>
    <row r="18898" ht="15.75" customHeight="1">
      <c r="A18898" s="2" t="s">
        <v>18898</v>
      </c>
      <c r="B18898" s="2" t="str">
        <f>IFERROR(__xludf.DUMMYFUNCTION("GOOGLETRANSLATE(A18898, ""en"", ""mt"")"),"Pathway ta 'interferenza RNA")</f>
        <v>Pathway ta 'interferenza RNA</v>
      </c>
    </row>
    <row r="18899" ht="15.75" customHeight="1">
      <c r="A18899" s="2" t="s">
        <v>18899</v>
      </c>
      <c r="B18899" s="2" t="str">
        <f>IFERROR(__xludf.DUMMYFUNCTION("GOOGLETRANSLATE(A18899, ""en"", ""mt"")"),"Liema uffiċċju kien miżmum minn George W. Bush?")</f>
        <v>Liema uffiċċju kien miżmum minn George W. Bush?</v>
      </c>
    </row>
    <row r="18900" ht="15.75" customHeight="1">
      <c r="A18900" s="2" t="s">
        <v>18900</v>
      </c>
      <c r="B18900" s="2" t="str">
        <f>IFERROR(__xludf.DUMMYFUNCTION("GOOGLETRANSLATE(A18900, ""en"", ""mt"")"),"In-Nofsinhar ta ’California hija d-dar għall-Ajruport Internazzjonali ta’ Los Angeles, it-tieni ajruport l-aktar busine fl-Istati Uniti mill-volum tal-passiġġieri (ara l-ajruporti l-aktar traffikużi tad-dinja mit-traffiku tal-passiġġieri) u t-tielet mill-"&amp;"volum internazzjonali tal-passiġġieri (ara l-ajruporti l-aktar traffikużi fl-Istati Uniti bit-traffiku internazzjonali tal-passiġġieri ); L-Ajruport Internazzjonali ta 'San Diego L-Ajruport ta' Runway Uniku l-aktar bieżel fid-dinja; L-Ajruport ta 'Van Nuy"&amp;"s, l-Ajruport ta' l-Avjazzjoni Ġenerali l-aktar traffikuż fid-dinja; Ajruporti kummerċjali ewlenin fil-Kontea ta 'Orange, Bakersfield, Ontario, Burbank u Long Beach; u bosta ajruporti ta 'l-avjazzjoni kummerċjali u ġenerali iżgħar.")</f>
        <v>In-Nofsinhar ta ’California hija d-dar għall-Ajruport Internazzjonali ta’ Los Angeles, it-tieni ajruport l-aktar busine fl-Istati Uniti mill-volum tal-passiġġieri (ara l-ajruporti l-aktar traffikużi tad-dinja mit-traffiku tal-passiġġieri) u t-tielet mill-volum internazzjonali tal-passiġġieri (ara l-ajruporti l-aktar traffikużi fl-Istati Uniti bit-traffiku internazzjonali tal-passiġġieri ); L-Ajruport Internazzjonali ta 'San Diego L-Ajruport ta' Runway Uniku l-aktar bieżel fid-dinja; L-Ajruport ta 'Van Nuys, l-Ajruport ta' l-Avjazzjoni Ġenerali l-aktar traffikuż fid-dinja; Ajruporti kummerċjali ewlenin fil-Kontea ta 'Orange, Bakersfield, Ontario, Burbank u Long Beach; u bosta ajruporti ta 'l-avjazzjoni kummerċjali u ġenerali iżgħar.</v>
      </c>
    </row>
    <row r="18901" ht="15.75" customHeight="1">
      <c r="A18901" s="2" t="s">
        <v>18901</v>
      </c>
      <c r="B18901" s="2" t="str">
        <f>IFERROR(__xludf.DUMMYFUNCTION("GOOGLETRANSLATE(A18901, ""en"", ""mt"")"),"11-il miljun")</f>
        <v>11-il miljun</v>
      </c>
    </row>
    <row r="18902" ht="15.75" customHeight="1">
      <c r="A18902" s="2" t="s">
        <v>18902</v>
      </c>
      <c r="B18902" s="2" t="str">
        <f>IFERROR(__xludf.DUMMYFUNCTION("GOOGLETRANSLATE(A18902, ""en"", ""mt"")"),"Liema fruntiera testendi l-megaregion?")</f>
        <v>Liema fruntiera testendi l-megaregion?</v>
      </c>
    </row>
    <row r="18903" ht="15.75" customHeight="1">
      <c r="A18903" s="2" t="s">
        <v>18903</v>
      </c>
      <c r="B18903" s="2" t="str">
        <f>IFERROR(__xludf.DUMMYFUNCTION("GOOGLETRANSLATE(A18903, ""en"", ""mt"")"),"M. Theo Kearney")</f>
        <v>M. Theo Kearney</v>
      </c>
    </row>
    <row r="18904" ht="15.75" customHeight="1">
      <c r="A18904" s="2" t="s">
        <v>18904</v>
      </c>
      <c r="B18904" s="2" t="str">
        <f>IFERROR(__xludf.DUMMYFUNCTION("GOOGLETRANSLATE(A18904, ""en"", ""mt"")"),"Ħafna xjenzati tal-Lvant Nofsani")</f>
        <v>Ħafna xjenzati tal-Lvant Nofsani</v>
      </c>
    </row>
    <row r="18905" ht="15.75" customHeight="1">
      <c r="A18905" s="2" t="s">
        <v>18905</v>
      </c>
      <c r="B18905" s="2" t="str">
        <f>IFERROR(__xludf.DUMMYFUNCTION("GOOGLETRANSLATE(A18905, ""en"", ""mt"")"),"Liema teatru kien l-aħjar eżempju ta '""Teatru Monumentali Pollakk""?")</f>
        <v>Liema teatru kien l-aħjar eżempju ta '"Teatru Monumentali Pollakk"?</v>
      </c>
    </row>
    <row r="18906" ht="15.75" customHeight="1">
      <c r="A18906" s="2" t="s">
        <v>18906</v>
      </c>
      <c r="B18906" s="2" t="str">
        <f>IFERROR(__xludf.DUMMYFUNCTION("GOOGLETRANSLATE(A18906, ""en"", ""mt"")"),"Kemm hija twila l-Maria darbiet?")</f>
        <v>Kemm hija twila l-Maria darbiet?</v>
      </c>
    </row>
    <row r="18907" ht="15.75" customHeight="1">
      <c r="A18907" s="2" t="s">
        <v>18907</v>
      </c>
      <c r="B18907" s="2" t="str">
        <f>IFERROR(__xludf.DUMMYFUNCTION("GOOGLETRANSLATE(A18907, ""en"", ""mt"")"),"F’liema sena twaqqfet Charleston, North Carolina?")</f>
        <v>F’liema sena twaqqfet Charleston, North Carolina?</v>
      </c>
    </row>
    <row r="18908" ht="15.75" customHeight="1">
      <c r="A18908" s="2" t="s">
        <v>18908</v>
      </c>
      <c r="B18908" s="2" t="str">
        <f>IFERROR(__xludf.DUMMYFUNCTION("GOOGLETRANSLATE(A18908, ""en"", ""mt"")"),"Ergäzungsschulen")</f>
        <v>Ergäzungsschulen</v>
      </c>
    </row>
    <row r="18909" ht="15.75" customHeight="1">
      <c r="A18909" s="2" t="s">
        <v>18909</v>
      </c>
      <c r="B18909" s="2" t="str">
        <f>IFERROR(__xludf.DUMMYFUNCTION("GOOGLETRANSLATE(A18909, ""en"", ""mt"")"),"Dewar")</f>
        <v>Dewar</v>
      </c>
    </row>
    <row r="18910" ht="15.75" customHeight="1">
      <c r="A18910" s="2" t="s">
        <v>18910</v>
      </c>
      <c r="B18910" s="2" t="str">
        <f>IFERROR(__xludf.DUMMYFUNCTION("GOOGLETRANSLATE(A18910, ""en"", ""mt"")"),"X'inhu l-istudju ta 'settijiet żgħar ta' proteini?")</f>
        <v>X'inhu l-istudju ta 'settijiet żgħar ta' proteini?</v>
      </c>
    </row>
    <row r="18911" ht="15.75" customHeight="1">
      <c r="A18911" s="2" t="s">
        <v>18911</v>
      </c>
      <c r="B18911" s="2" t="str">
        <f>IFERROR(__xludf.DUMMYFUNCTION("GOOGLETRANSLATE(A18911, ""en"", ""mt"")"),"3,468")</f>
        <v>3,468</v>
      </c>
    </row>
    <row r="18912" ht="15.75" customHeight="1">
      <c r="A18912" s="2" t="s">
        <v>18912</v>
      </c>
      <c r="B18912" s="2" t="str">
        <f>IFERROR(__xludf.DUMMYFUNCTION("GOOGLETRANSLATE(A18912, ""en"", ""mt"")"),"Monasteru Latin f'Sant'eufemia")</f>
        <v>Monasteru Latin f'Sant'eufemia</v>
      </c>
    </row>
    <row r="18913" ht="15.75" customHeight="1">
      <c r="A18913" s="2" t="s">
        <v>18913</v>
      </c>
      <c r="B18913" s="2" t="str">
        <f>IFERROR(__xludf.DUMMYFUNCTION("GOOGLETRANSLATE(A18913, ""en"", ""mt"")"),"Meta r-Renju Unit ma jissottoskrivix għall-ftehim dwar il-politika soċjali?")</f>
        <v>Meta r-Renju Unit ma jissottoskrivix għall-ftehim dwar il-politika soċjali?</v>
      </c>
    </row>
    <row r="18914" ht="15.75" customHeight="1">
      <c r="A18914" s="2" t="s">
        <v>18914</v>
      </c>
      <c r="B18914" s="2" t="str">
        <f>IFERROR(__xludf.DUMMYFUNCTION("GOOGLETRANSLATE(A18914, ""en"", ""mt"")"),"Ekonomista")</f>
        <v>Ekonomista</v>
      </c>
    </row>
    <row r="18915" ht="15.75" customHeight="1">
      <c r="A18915" s="2" t="s">
        <v>18915</v>
      </c>
      <c r="B18915" s="2" t="str">
        <f>IFERROR(__xludf.DUMMYFUNCTION("GOOGLETRANSLATE(A18915, ""en"", ""mt"")"),"motiv kreattiv")</f>
        <v>motiv kreattiv</v>
      </c>
    </row>
    <row r="18916" ht="15.75" customHeight="1">
      <c r="A18916" s="2" t="s">
        <v>18916</v>
      </c>
      <c r="B18916" s="2" t="str">
        <f>IFERROR(__xludf.DUMMYFUNCTION("GOOGLETRANSLATE(A18916, ""en"", ""mt"")"),"F'liema sena bdiet il-kaċċa tal-kennies?")</f>
        <v>F'liema sena bdiet il-kaċċa tal-kennies?</v>
      </c>
    </row>
    <row r="18917" ht="15.75" customHeight="1">
      <c r="A18917" s="2" t="s">
        <v>18917</v>
      </c>
      <c r="B18917" s="2" t="str">
        <f>IFERROR(__xludf.DUMMYFUNCTION("GOOGLETRANSLATE(A18917, ""en"", ""mt"")"),"tagħlim bejn il-pari u d-dotazzjoni finanzjarja tal-iskola")</f>
        <v>tagħlim bejn il-pari u d-dotazzjoni finanzjarja tal-iskola</v>
      </c>
    </row>
    <row r="18918" ht="15.75" customHeight="1">
      <c r="A18918" s="2" t="s">
        <v>18918</v>
      </c>
      <c r="B18918" s="2" t="str">
        <f>IFERROR(__xludf.DUMMYFUNCTION("GOOGLETRANSLATE(A18918, ""en"", ""mt"")"),"Id-diżubbidjenza ċivili ġiet argumentata fi żminijiet aktar riċenti li sofrew minn xiex?")</f>
        <v>Id-diżubbidjenza ċivili ġiet argumentata fi żminijiet aktar riċenti li sofrew minn xiex?</v>
      </c>
    </row>
    <row r="18919" ht="15.75" customHeight="1">
      <c r="A18919" s="2" t="s">
        <v>18919</v>
      </c>
      <c r="B18919" s="2" t="str">
        <f>IFERROR(__xludf.DUMMYFUNCTION("GOOGLETRANSLATE(A18919, ""en"", ""mt"")"),"X'inhu mira sekondarja li tinvoka mhux ħati?")</f>
        <v>X'inhu mira sekondarja li tinvoka mhux ħati?</v>
      </c>
    </row>
    <row r="18920" ht="15.75" customHeight="1">
      <c r="A18920" s="2" t="s">
        <v>18920</v>
      </c>
      <c r="B18920" s="2" t="str">
        <f>IFERROR(__xludf.DUMMYFUNCTION("GOOGLETRANSLATE(A18920, ""en"", ""mt"")"),"Marzu 2003")</f>
        <v>Marzu 2003</v>
      </c>
    </row>
    <row r="18921" ht="15.75" customHeight="1">
      <c r="A18921" s="2" t="s">
        <v>18921</v>
      </c>
      <c r="B18921" s="2" t="str">
        <f>IFERROR(__xludf.DUMMYFUNCTION("GOOGLETRANSLATE(A18921, ""en"", ""mt"")"),"Min assimult il-lingwa Rumana?")</f>
        <v>Min assimult il-lingwa Rumana?</v>
      </c>
    </row>
    <row r="18922" ht="15.75" customHeight="1">
      <c r="A18922" s="2" t="s">
        <v>18922</v>
      </c>
      <c r="B18922" s="2" t="str">
        <f>IFERROR(__xludf.DUMMYFUNCTION("GOOGLETRANSLATE(A18922, ""en"", ""mt"")"),"X'kien ippreżentat lill-Parlament Skoċċiż mir-Reġina fl-1989?")</f>
        <v>X'kien ippreżentat lill-Parlament Skoċċiż mir-Reġina fl-1989?</v>
      </c>
    </row>
    <row r="18923" ht="15.75" customHeight="1">
      <c r="A18923" s="2" t="s">
        <v>18923</v>
      </c>
      <c r="B18923" s="2" t="str">
        <f>IFERROR(__xludf.DUMMYFUNCTION("GOOGLETRANSLATE(A18923, ""en"", ""mt"")"),"karboidrati")</f>
        <v>karboidrati</v>
      </c>
    </row>
    <row r="18924" ht="15.75" customHeight="1">
      <c r="A18924" s="2" t="s">
        <v>18924</v>
      </c>
      <c r="B18924" s="2" t="str">
        <f>IFERROR(__xludf.DUMMYFUNCTION("GOOGLETRANSLATE(A18924, ""en"", ""mt"")"),"Kemm kienu jafu l-imperaturi Mongoljani?")</f>
        <v>Kemm kienu jafu l-imperaturi Mongoljani?</v>
      </c>
    </row>
    <row r="18925" ht="15.75" customHeight="1">
      <c r="A18925" s="2" t="s">
        <v>18925</v>
      </c>
      <c r="B18925" s="2" t="str">
        <f>IFERROR(__xludf.DUMMYFUNCTION("GOOGLETRANSLATE(A18925, ""en"", ""mt"")"),"Algoritmu speċifiku li juri t (n) jirrappreżenta liema miżura tal-kumplessità tal-ħin?")</f>
        <v>Algoritmu speċifiku li juri t (n) jirrappreżenta liema miżura tal-kumplessità tal-ħin?</v>
      </c>
    </row>
    <row r="18926" ht="15.75" customHeight="1">
      <c r="A18926" s="2" t="s">
        <v>18926</v>
      </c>
      <c r="B18926" s="2" t="str">
        <f>IFERROR(__xludf.DUMMYFUNCTION("GOOGLETRANSLATE(A18926, ""en"", ""mt"")"),"Il-Kumpanija Ohio")</f>
        <v>Il-Kumpanija Ohio</v>
      </c>
    </row>
    <row r="18927" ht="15.75" customHeight="1">
      <c r="A18927" s="2" t="s">
        <v>18927</v>
      </c>
      <c r="B18927" s="2" t="str">
        <f>IFERROR(__xludf.DUMMYFUNCTION("GOOGLETRANSLATE(A18927, ""en"", ""mt"")"),"X'inhu l-isem tal-operazzjoni tar-Renju Unit għal BSKYB?")</f>
        <v>X'inhu l-isem tal-operazzjoni tar-Renju Unit għal BSKYB?</v>
      </c>
    </row>
    <row r="18928" ht="15.75" customHeight="1">
      <c r="A18928" s="2" t="s">
        <v>18928</v>
      </c>
      <c r="B18928" s="2" t="str">
        <f>IFERROR(__xludf.DUMMYFUNCTION("GOOGLETRANSLATE(A18928, ""en"", ""mt"")"),"Ġeneratur elettriku")</f>
        <v>Ġeneratur elettriku</v>
      </c>
    </row>
    <row r="18929" ht="15.75" customHeight="1">
      <c r="A18929" s="2" t="s">
        <v>18929</v>
      </c>
      <c r="B18929" s="2" t="str">
        <f>IFERROR(__xludf.DUMMYFUNCTION("GOOGLETRANSLATE(A18929, ""en"", ""mt"")"),"Opentv")</f>
        <v>Opentv</v>
      </c>
    </row>
    <row r="18930" ht="15.75" customHeight="1">
      <c r="A18930" s="2" t="s">
        <v>18930</v>
      </c>
      <c r="B18930" s="2" t="str">
        <f>IFERROR(__xludf.DUMMYFUNCTION("GOOGLETRANSLATE(A18930, ""en"", ""mt"")"),"Il-President tal-Università Robert Maynard Hutchins De-enfasizza Varsity Athletics")</f>
        <v>Il-President tal-Università Robert Maynard Hutchins De-enfasizza Varsity Athletics</v>
      </c>
    </row>
    <row r="18931" ht="15.75" customHeight="1">
      <c r="A18931" s="2" t="s">
        <v>18931</v>
      </c>
      <c r="B18931" s="2" t="str">
        <f>IFERROR(__xludf.DUMMYFUNCTION("GOOGLETRANSLATE(A18931, ""en"", ""mt"")"),"Għaqda ta ’Alla")</f>
        <v>Għaqda ta ’Alla</v>
      </c>
    </row>
    <row r="18932" ht="15.75" customHeight="1">
      <c r="A18932" s="2" t="s">
        <v>18932</v>
      </c>
      <c r="B18932" s="2" t="str">
        <f>IFERROR(__xludf.DUMMYFUNCTION("GOOGLETRANSLATE(A18932, ""en"", ""mt"")"),"Matul iż-żminijiet tal-glaċjali, fejn kien jinsab il-ħalq tar-Renu?")</f>
        <v>Matul iż-żminijiet tal-glaċjali, fejn kien jinsab il-ħalq tar-Renu?</v>
      </c>
    </row>
    <row r="18933" ht="15.75" customHeight="1">
      <c r="A18933" s="2" t="s">
        <v>18933</v>
      </c>
      <c r="B18933" s="2" t="str">
        <f>IFERROR(__xludf.DUMMYFUNCTION("GOOGLETRANSLATE(A18933, ""en"", ""mt"")"),"Evidenza jew avvenimenti ġodda sinifikanti li jibdlu l-fehim tagħna tax-xjenza tal-klima")</f>
        <v>Evidenza jew avvenimenti ġodda sinifikanti li jibdlu l-fehim tagħna tax-xjenza tal-klima</v>
      </c>
    </row>
    <row r="18934" ht="15.75" customHeight="1">
      <c r="A18934" s="2" t="s">
        <v>18934</v>
      </c>
      <c r="B18934" s="2" t="str">
        <f>IFERROR(__xludf.DUMMYFUNCTION("GOOGLETRANSLATE(A18934, ""en"", ""mt"")"),"Kemm hemm żoni metropolitani estiżi?")</f>
        <v>Kemm hemm żoni metropolitani estiżi?</v>
      </c>
    </row>
    <row r="18935" ht="15.75" customHeight="1">
      <c r="A18935" s="2" t="s">
        <v>18935</v>
      </c>
      <c r="B18935" s="2" t="str">
        <f>IFERROR(__xludf.DUMMYFUNCTION("GOOGLETRANSLATE(A18935, ""en"", ""mt"")"),"Pressjonijiet totali baxxi użati")</f>
        <v>Pressjonijiet totali baxxi użati</v>
      </c>
    </row>
    <row r="18936" ht="15.75" customHeight="1">
      <c r="A18936" s="2" t="s">
        <v>18936</v>
      </c>
      <c r="B18936" s="2" t="str">
        <f>IFERROR(__xludf.DUMMYFUNCTION("GOOGLETRANSLATE(A18936, ""en"", ""mt"")"),"b'regoli komuni għall-faħam u l-azzar")</f>
        <v>b'regoli komuni għall-faħam u l-azzar</v>
      </c>
    </row>
    <row r="18937" ht="15.75" customHeight="1">
      <c r="A18937" s="2" t="s">
        <v>18937</v>
      </c>
      <c r="B18937" s="2" t="str">
        <f>IFERROR(__xludf.DUMMYFUNCTION("GOOGLETRANSLATE(A18937, ""en"", ""mt"")"),"X'kien Hoho?")</f>
        <v>X'kien Hoho?</v>
      </c>
    </row>
    <row r="18938" ht="15.75" customHeight="1">
      <c r="A18938" s="2" t="s">
        <v>18938</v>
      </c>
      <c r="B18938" s="2" t="str">
        <f>IFERROR(__xludf.DUMMYFUNCTION("GOOGLETRANSLATE(A18938, ""en"", ""mt"")"),"Kemm żejt li Nixon ta l-istati fl-1974?")</f>
        <v>Kemm żejt li Nixon ta l-istati fl-1974?</v>
      </c>
    </row>
    <row r="18939" ht="15.75" customHeight="1">
      <c r="A18939" s="2" t="s">
        <v>18939</v>
      </c>
      <c r="B18939" s="2" t="str">
        <f>IFERROR(__xludf.DUMMYFUNCTION("GOOGLETRANSLATE(A18939, ""en"", ""mt"")"),"X'inhi ċ-ċavetta biex tinkiseb il-ħiliet meħtieġa għal impjiegi ta 'domanda għolja?")</f>
        <v>X'inhi ċ-ċavetta biex tinkiseb il-ħiliet meħtieġa għal impjiegi ta 'domanda għolja?</v>
      </c>
    </row>
    <row r="18940" ht="15.75" customHeight="1">
      <c r="A18940" s="2" t="s">
        <v>18940</v>
      </c>
      <c r="B18940" s="2" t="str">
        <f>IFERROR(__xludf.DUMMYFUNCTION("GOOGLETRANSLATE(A18940, ""en"", ""mt"")"),"L-Assoċjazzjoni Medika Amerikana (AMA)")</f>
        <v>L-Assoċjazzjoni Medika Amerikana (AMA)</v>
      </c>
    </row>
    <row r="18941" ht="15.75" customHeight="1">
      <c r="A18941" s="2" t="s">
        <v>18941</v>
      </c>
      <c r="B18941" s="2" t="str">
        <f>IFERROR(__xludf.DUMMYFUNCTION("GOOGLETRANSLATE(A18941, ""en"", ""mt"")"),"labirint ta 'problemi semantiċi")</f>
        <v>labirint ta 'problemi semantiċi</v>
      </c>
    </row>
    <row r="18942" ht="15.75" customHeight="1">
      <c r="A18942" s="2" t="s">
        <v>18942</v>
      </c>
      <c r="B18942" s="2" t="str">
        <f>IFERROR(__xludf.DUMMYFUNCTION("GOOGLETRANSLATE(A18942, ""en"", ""mt"")"),"Liema kundizzjoni għandha tkun sodisfatta sabiex P tkun espressa fil-bażi 1 minflok il-bażi 10 u xorta jkollok perjodu ta 'P-1?")</f>
        <v>Liema kundizzjoni għandha tkun sodisfatta sabiex P tkun espressa fil-bażi 1 minflok il-bażi 10 u xorta jkollok perjodu ta 'P-1?</v>
      </c>
    </row>
    <row r="18943" ht="15.75" customHeight="1">
      <c r="A18943" s="2" t="s">
        <v>18943</v>
      </c>
      <c r="B18943" s="2" t="str">
        <f>IFERROR(__xludf.DUMMYFUNCTION("GOOGLETRANSLATE(A18943, ""en"", ""mt"")"),"Liema avveniment kien l-agħar eżempju ta 'persekuzzjoni Huguenot?")</f>
        <v>Liema avveniment kien l-agħar eżempju ta 'persekuzzjoni Huguenot?</v>
      </c>
    </row>
    <row r="18944" ht="15.75" customHeight="1">
      <c r="A18944" s="2" t="s">
        <v>18944</v>
      </c>
      <c r="B18944" s="2" t="str">
        <f>IFERROR(__xludf.DUMMYFUNCTION("GOOGLETRANSLATE(A18944, ""en"", ""mt"")"),"X'inhi l-importanza tal-ispiżjar fid-deċennji li ġejjin?")</f>
        <v>X'inhi l-importanza tal-ispiżjar fid-deċennji li ġejjin?</v>
      </c>
    </row>
    <row r="18945" ht="15.75" customHeight="1">
      <c r="A18945" s="2" t="s">
        <v>18945</v>
      </c>
      <c r="B18945" s="2" t="str">
        <f>IFERROR(__xludf.DUMMYFUNCTION("GOOGLETRANSLATE(A18945, ""en"", ""mt"")"),"Kif jinħallu l-komunikazzjonijiet tal-modalità tal-pakketti?")</f>
        <v>Kif jinħallu l-komunikazzjonijiet tal-modalità tal-pakketti?</v>
      </c>
    </row>
    <row r="18946" ht="15.75" customHeight="1">
      <c r="A18946" s="2" t="s">
        <v>18946</v>
      </c>
      <c r="B18946" s="2" t="str">
        <f>IFERROR(__xludf.DUMMYFUNCTION("GOOGLETRANSLATE(A18946, ""en"", ""mt"")"),"Xi spiżeriji tal-internet ibigħu mediċini bir-riċetta mingħajr ma jeħtieġu riċetta")</f>
        <v>Xi spiżeriji tal-internet ibigħu mediċini bir-riċetta mingħajr ma jeħtieġu riċetta</v>
      </c>
    </row>
    <row r="18947" ht="15.75" customHeight="1">
      <c r="A18947" s="2" t="s">
        <v>18947</v>
      </c>
      <c r="B18947" s="2" t="str">
        <f>IFERROR(__xludf.DUMMYFUNCTION("GOOGLETRANSLATE(A18947, ""en"", ""mt"")"),"Id-deforestazzjoni naqset bi 18% matul liema snin?")</f>
        <v>Id-deforestazzjoni naqset bi 18% matul liema snin?</v>
      </c>
    </row>
    <row r="18948" ht="15.75" customHeight="1">
      <c r="A18948" s="2" t="s">
        <v>18948</v>
      </c>
      <c r="B18948" s="2" t="str">
        <f>IFERROR(__xludf.DUMMYFUNCTION("GOOGLETRANSLATE(A18948, ""en"", ""mt"")"),"Ħsad fqir fl-1757")</f>
        <v>Ħsad fqir fl-1757</v>
      </c>
    </row>
    <row r="18949" ht="15.75" customHeight="1">
      <c r="A18949" s="2" t="s">
        <v>18949</v>
      </c>
      <c r="B18949" s="2" t="str">
        <f>IFERROR(__xludf.DUMMYFUNCTION("GOOGLETRANSLATE(A18949, ""en"", ""mt"")"),"X'inhuma kawżi komuni oħra ta 'fatalitajiet f'okkupazzjonijiet perikolużi fid-dinja?")</f>
        <v>X'inhuma kawżi komuni oħra ta 'fatalitajiet f'okkupazzjonijiet perikolużi fid-dinja?</v>
      </c>
    </row>
    <row r="18950" ht="15.75" customHeight="1">
      <c r="A18950" s="2" t="s">
        <v>18950</v>
      </c>
      <c r="B18950" s="2" t="str">
        <f>IFERROR(__xludf.DUMMYFUNCTION("GOOGLETRANSLATE(A18950, ""en"", ""mt"")"),"Id-diżubbidjenza ċivili titwettaq prinċipalment minn liema grupp ta 'popolazzjoni?")</f>
        <v>Id-diżubbidjenza ċivili titwettaq prinċipalment minn liema grupp ta 'popolazzjoni?</v>
      </c>
    </row>
    <row r="18951" ht="15.75" customHeight="1">
      <c r="A18951" s="2" t="s">
        <v>18951</v>
      </c>
      <c r="B18951" s="2" t="str">
        <f>IFERROR(__xludf.DUMMYFUNCTION("GOOGLETRANSLATE(A18951, ""en"", ""mt"")"),"Min iddeskriva ċ-Ċina ta 'Kublai lejn l-Ewropa?")</f>
        <v>Min iddeskriva ċ-Ċina ta 'Kublai lejn l-Ewropa?</v>
      </c>
    </row>
    <row r="18952" ht="15.75" customHeight="1">
      <c r="A18952" s="2" t="s">
        <v>18952</v>
      </c>
      <c r="B18952" s="2" t="str">
        <f>IFERROR(__xludf.DUMMYFUNCTION("GOOGLETRANSLATE(A18952, ""en"", ""mt"")"),"Jekk A u Q huma koprime, liema teorema jqis li progressjoni aritmetika għandha numru infinit ta 'garżi?")</f>
        <v>Jekk A u Q huma koprime, liema teorema jqis li progressjoni aritmetika għandha numru infinit ta 'garżi?</v>
      </c>
    </row>
    <row r="18953" ht="15.75" customHeight="1">
      <c r="A18953" s="2" t="s">
        <v>18953</v>
      </c>
      <c r="B18953" s="2" t="str">
        <f>IFERROR(__xludf.DUMMYFUNCTION("GOOGLETRANSLATE(A18953, ""en"", ""mt"")"),"Min kien ir-Re Uighur ta 'Qocho kklassifikat hawn fuq?")</f>
        <v>Min kien ir-Re Uighur ta 'Qocho kklassifikat hawn fuq?</v>
      </c>
    </row>
    <row r="18954" ht="15.75" customHeight="1">
      <c r="A18954" s="2" t="s">
        <v>18954</v>
      </c>
      <c r="B18954" s="2" t="str">
        <f>IFERROR(__xludf.DUMMYFUNCTION("GOOGLETRANSLATE(A18954, ""en"", ""mt"")"),"Fejn invada n-Normanni fis-seklu 11?")</f>
        <v>Fejn invada n-Normanni fis-seklu 11?</v>
      </c>
    </row>
    <row r="18955" ht="15.75" customHeight="1">
      <c r="A18955" s="2" t="s">
        <v>18955</v>
      </c>
      <c r="B18955" s="2" t="str">
        <f>IFERROR(__xludf.DUMMYFUNCTION("GOOGLETRANSLATE(A18955, ""en"", ""mt"")"),"X'inhi l-kelma Pollakka għal kuruni?")</f>
        <v>X'inhi l-kelma Pollakka għal kuruni?</v>
      </c>
    </row>
    <row r="18956" ht="15.75" customHeight="1">
      <c r="A18956" s="2" t="s">
        <v>18956</v>
      </c>
      <c r="B18956" s="2" t="str">
        <f>IFERROR(__xludf.DUMMYFUNCTION("GOOGLETRANSLATE(A18956, ""en"", ""mt"")"),"Il-bżonnijiet ta 'min se jagħmel ħsara lill-informatika fl-ispiżerija?")</f>
        <v>Il-bżonnijiet ta 'min se jagħmel ħsara lill-informatika fl-ispiżerija?</v>
      </c>
    </row>
    <row r="18957" ht="15.75" customHeight="1">
      <c r="A18957" s="2" t="s">
        <v>18957</v>
      </c>
      <c r="B18957" s="2" t="str">
        <f>IFERROR(__xludf.DUMMYFUNCTION("GOOGLETRANSLATE(A18957, ""en"", ""mt"")"),"X’ma sservix bħala ġustifikazzjoni għall-impożizzjoni ta ’politiki imperjalisti fuq ċerti popli jew reġjuni?")</f>
        <v>X’ma sservix bħala ġustifikazzjoni għall-impożizzjoni ta ’politiki imperjalisti fuq ċerti popli jew reġjuni?</v>
      </c>
    </row>
    <row r="18958" ht="15.75" customHeight="1">
      <c r="A18958" s="2" t="s">
        <v>18958</v>
      </c>
      <c r="B18958" s="2" t="str">
        <f>IFERROR(__xludf.DUMMYFUNCTION("GOOGLETRANSLATE(A18958, ""en"", ""mt"")"),"Minn xiex kien is-7 l-ikbar minn Srodmiescie?")</f>
        <v>Minn xiex kien is-7 l-ikbar minn Srodmiescie?</v>
      </c>
    </row>
    <row r="18959" ht="15.75" customHeight="1">
      <c r="A18959" s="2" t="s">
        <v>18959</v>
      </c>
      <c r="B18959" s="2" t="str">
        <f>IFERROR(__xludf.DUMMYFUNCTION("GOOGLETRANSLATE(A18959, ""en"", ""mt"")"),"Liema mediċina tista 'twassal għal tnaqqis fil-fungi?")</f>
        <v>Liema mediċina tista 'twassal għal tnaqqis fil-fungi?</v>
      </c>
    </row>
    <row r="18960" ht="15.75" customHeight="1">
      <c r="A18960" s="2" t="s">
        <v>18960</v>
      </c>
      <c r="B18960" s="2" t="str">
        <f>IFERROR(__xludf.DUMMYFUNCTION("GOOGLETRANSLATE(A18960, ""en"", ""mt"")"),"Klassi I MHC")</f>
        <v>Klassi I MHC</v>
      </c>
    </row>
    <row r="18961" ht="15.75" customHeight="1">
      <c r="A18961" s="2" t="s">
        <v>18961</v>
      </c>
      <c r="B18961" s="2" t="str">
        <f>IFERROR(__xludf.DUMMYFUNCTION("GOOGLETRANSLATE(A18961, ""en"", ""mt"")"),"Sa x-xokk taż-żejt")</f>
        <v>Sa x-xokk taż-żejt</v>
      </c>
    </row>
    <row r="18962" ht="15.75" customHeight="1">
      <c r="A18962" s="2" t="s">
        <v>18962</v>
      </c>
      <c r="B18962" s="2" t="str">
        <f>IFERROR(__xludf.DUMMYFUNCTION("GOOGLETRANSLATE(A18962, ""en"", ""mt"")"),"X'qed issostitwixxa ħaddiema b'ħiliet aktar baxxi fl-Istati Uniti?")</f>
        <v>X'qed issostitwixxa ħaddiema b'ħiliet aktar baxxi fl-Istati Uniti?</v>
      </c>
    </row>
    <row r="18963" ht="15.75" customHeight="1">
      <c r="A18963" s="2" t="s">
        <v>18963</v>
      </c>
      <c r="B18963" s="2" t="str">
        <f>IFERROR(__xludf.DUMMYFUNCTION("GOOGLETRANSLATE(A18963, ""en"", ""mt"")"),"F'liema direzzjoni joriġina l-biċċa l-kbira tar-riħ fi Fresno?")</f>
        <v>F'liema direzzjoni joriġina l-biċċa l-kbira tar-riħ fi Fresno?</v>
      </c>
    </row>
    <row r="18964" ht="15.75" customHeight="1">
      <c r="A18964" s="2" t="s">
        <v>18964</v>
      </c>
      <c r="B18964" s="2" t="str">
        <f>IFERROR(__xludf.DUMMYFUNCTION("GOOGLETRANSLATE(A18964, ""en"", ""mt"")"),"L-Artikolu 101 (1)")</f>
        <v>L-Artikolu 101 (1)</v>
      </c>
    </row>
    <row r="18965" ht="15.75" customHeight="1">
      <c r="A18965" s="2" t="s">
        <v>18965</v>
      </c>
      <c r="B18965" s="2" t="str">
        <f>IFERROR(__xludf.DUMMYFUNCTION("GOOGLETRANSLATE(A18965, ""en"", ""mt"")"),"Suċċessjoni faunal")</f>
        <v>Suċċessjoni faunal</v>
      </c>
    </row>
    <row r="18966" ht="15.75" customHeight="1">
      <c r="A18966" s="2" t="s">
        <v>18966</v>
      </c>
      <c r="B18966" s="2" t="str">
        <f>IFERROR(__xludf.DUMMYFUNCTION("GOOGLETRANSLATE(A18966, ""en"", ""mt"")"),"Minn liema pajjiżi oriġinaw in-Norveġja?")</f>
        <v>Minn liema pajjiżi oriġinaw in-Norveġja?</v>
      </c>
    </row>
    <row r="18967" ht="15.75" customHeight="1">
      <c r="A18967" s="2" t="s">
        <v>18967</v>
      </c>
      <c r="B18967" s="2" t="str">
        <f>IFERROR(__xludf.DUMMYFUNCTION("GOOGLETRANSLATE(A18967, ""en"", ""mt"")"),"X'kien nieqes fit-tieni rapport ta 'valutazzjoni?")</f>
        <v>X'kien nieqes fit-tieni rapport ta 'valutazzjoni?</v>
      </c>
    </row>
    <row r="18968" ht="15.75" customHeight="1">
      <c r="A18968" s="2" t="s">
        <v>18968</v>
      </c>
      <c r="B18968" s="2" t="str">
        <f>IFERROR(__xludf.DUMMYFUNCTION("GOOGLETRANSLATE(A18968, ""en"", ""mt"")"),"Xi jfittxu l-ġeokronologi fil-qlub tat-tħaffir?")</f>
        <v>Xi jfittxu l-ġeokronologi fil-qlub tat-tħaffir?</v>
      </c>
    </row>
    <row r="18969" ht="15.75" customHeight="1">
      <c r="A18969" s="2" t="s">
        <v>18969</v>
      </c>
      <c r="B18969" s="2" t="str">
        <f>IFERROR(__xludf.DUMMYFUNCTION("GOOGLETRANSLATE(A18969, ""en"", ""mt"")"),"21,000")</f>
        <v>21,000</v>
      </c>
    </row>
    <row r="18970" ht="15.75" customHeight="1">
      <c r="A18970" s="2" t="s">
        <v>18970</v>
      </c>
      <c r="B18970" s="2" t="str">
        <f>IFERROR(__xludf.DUMMYFUNCTION("GOOGLETRANSLATE(A18970, ""en"", ""mt"")"),"Hughes Hotel")</f>
        <v>Hughes Hotel</v>
      </c>
    </row>
    <row r="18971" ht="15.75" customHeight="1">
      <c r="A18971" s="2" t="s">
        <v>18971</v>
      </c>
      <c r="B18971" s="2" t="str">
        <f>IFERROR(__xludf.DUMMYFUNCTION("GOOGLETRANSLATE(A18971, ""en"", ""mt"")"),"Il-ħalq tar-Renu fil-Lag Constance jifforma delta interna. Id-delta hija delimitata fil-Punent mill-Alter Rhein (""Old Rhine"") u fil-Lvant minn sezzjoni moderna kanalizzata. Il-biċċa l-kbira tad-delta hija santwarju tar-riserva naturali u tal-għasafar. D"&amp;"an jinkludi l-bliet Awstrijaċi ta 'Gaißau, Höchst u Fußach. Ir-Rhine Naturali oriġinarjament ramifikat f'mill-inqas żewġ dirgħajn u ffurma gżejjer żgħar billi jippreċipitaw is-sedimenti. Fid-djalett Alemannic lokali, is-singular huwa ppronunzjat ""Isel"" "&amp;"u din hija wkoll il-pronunzja lokali ta 'Esel (""Donkey""). Ħafna oqsma lokali għandhom isem uffiċjali li fih dan l-element.")</f>
        <v>Il-ħalq tar-Renu fil-Lag Constance jifforma delta interna. Id-delta hija delimitata fil-Punent mill-Alter Rhein ("Old Rhine") u fil-Lvant minn sezzjoni moderna kanalizzata. Il-biċċa l-kbira tad-delta hija santwarju tar-riserva naturali u tal-għasafar. Dan jinkludi l-bliet Awstrijaċi ta 'Gaißau, Höchst u Fußach. Ir-Rhine Naturali oriġinarjament ramifikat f'mill-inqas żewġ dirgħajn u ffurma gżejjer żgħar billi jippreċipitaw is-sedimenti. Fid-djalett Alemannic lokali, is-singular huwa ppronunzjat "Isel" u din hija wkoll il-pronunzja lokali ta 'Esel ("Donkey"). Ħafna oqsma lokali għandhom isem uffiċjali li fih dan l-element.</v>
      </c>
    </row>
    <row r="18972" ht="15.75" customHeight="1">
      <c r="A18972" s="2" t="s">
        <v>18972</v>
      </c>
      <c r="B18972" s="2" t="str">
        <f>IFERROR(__xludf.DUMMYFUNCTION("GOOGLETRANSLATE(A18972, ""en"", ""mt"")"),"Il-Beroida, magħrufa wkoll bħala Nuda, m'għandhom l-ebda appendiċi ta 'l-għalf, iżda l-farinġi kbir tagħhom, eżatt ġewwa l-ħalq il-kbir u jimlew ħafna mill-ġisem tas-sakka, iġorru ""makrocilia"" fit-tarf orali. Dawn il-gzuz imdewba ta 'bosta eluf ta' ċili"&amp;" kbar huma kapaċi ""jigdem"" biċċiet ta 'priża li huma kbar wisq biex jibilgħu sħaħ - kważi dejjem ċtenofori oħra. Quddiem il-qasam tal-makrocilia, fuq il-ħalq ""xufftejn"" f'xi speċi ta 'beroe, hemm par ta' strixxi dojoq ta 'ċelloli epiteljali li jeħlu f"&amp;"uq il-ħajt tal-istonku li ""biż-żipp"" il-ħalq jingħalaq meta l-annimal ma jkunx qed jitma', billi jifforma Konnessjonijiet interċellulari mal-istrixxa tal-kolla opposta. Dan l-għeluq issikkat jissimplifika l-faċċata tal-annimal meta jkun qed isegwi l-pri"&amp;"ża.")</f>
        <v>Il-Beroida, magħrufa wkoll bħala Nuda, m'għandhom l-ebda appendiċi ta 'l-għalf, iżda l-farinġi kbir tagħhom, eżatt ġewwa l-ħalq il-kbir u jimlew ħafna mill-ġisem tas-sakka, iġorru "makrocilia" fit-tarf orali. Dawn il-gzuz imdewba ta 'bosta eluf ta' ċili kbar huma kapaċi "jigdem" biċċiet ta 'priża li huma kbar wisq biex jibilgħu sħaħ - kważi dejjem ċtenofori oħra. Quddiem il-qasam tal-makrocilia, fuq il-ħalq "xufftejn" f'xi speċi ta 'beroe, hemm par ta' strixxi dojoq ta 'ċelloli epiteljali li jeħlu fuq il-ħajt tal-istonku li "biż-żipp" il-ħalq jingħalaq meta l-annimal ma jkunx qed jitma', billi jifforma Konnessjonijiet interċellulari mal-istrixxa tal-kolla opposta. Dan l-għeluq issikkat jissimplifika l-faċċata tal-annimal meta jkun qed isegwi l-priża.</v>
      </c>
    </row>
    <row r="18973" ht="15.75" customHeight="1">
      <c r="A18973" s="2" t="s">
        <v>18973</v>
      </c>
      <c r="B18973" s="2" t="str">
        <f>IFERROR(__xludf.DUMMYFUNCTION("GOOGLETRANSLATE(A18973, ""en"", ""mt"")"),"Ma 'ma' l-istati u l-gvernijiet spiss jaħdmu fil-lockstep?")</f>
        <v>Ma 'ma' l-istati u l-gvernijiet spiss jaħdmu fil-lockstep?</v>
      </c>
    </row>
    <row r="18974" ht="15.75" customHeight="1">
      <c r="A18974" s="2" t="s">
        <v>18974</v>
      </c>
      <c r="B18974" s="2" t="str">
        <f>IFERROR(__xludf.DUMMYFUNCTION("GOOGLETRANSLATE(A18974, ""en"", ""mt"")"),"Il-liġi tal-kompetizzjoni tal-UE għandha l-oriġini tagħha fil-ftehim Ewropew tal-Komunità tal-Faħam u l-Azzar (ECSC) bejn Franza, l-Italja, il-Belġju, l-Olanda, il-Lussemburgu u l-Ġermanja fl-1951 wara t-Tieni Gwerra Dinjija. Il-ftehim kellu l-għan li jip"&amp;"prevjeni lill-Ġermanja milli terġa 'tistabbilixxi d-dominanza fil-produzzjoni tal-faħam u l-azzar hekk kif il-membri ħassew li d-dominanza tagħha kkontribwixxiet għat-tifqigħa tal-gwerra. L-Artikolu 65 tal-Ftehim ipprojbixxa kartelli u l-Artikolu 66 għame"&amp;"l dispożizzjonijiet għal konċentrazzjonijiet, jew għaqdiet, u l-abbuż ta 'pożizzjoni dominanti mill-kumpaniji. Din kienet l-ewwel darba li l-prinċipji tal-liġi tal-kompetizzjoni ġew inklużi fi ftehim reġjonali plurilaterali u stabbilixxew il-mudell trans-"&amp;"Ewropew tal-liġi tal-kompetizzjoni. Fl-1957 ir-regoli tal-kompetizzjoni ġew inklużi fit-Trattat ta 'Ruma, magħruf ukoll bħala t-Trattat tal-KE, li stabbilixxa l-Komunità Ekonomika Ewropea (KEE). It-Trattat ta 'Ruma stabbilixxa l-promulgazzjoni tal-liġi ta"&amp;"l-kompetizzjoni bħala wieħed mill-għanijiet ewlenin tal-KEE permezz ta' ""l-istituzzjoni ta 'sistema li tiżgura li l-kompetizzjoni fis-suq komuni ma tkunx mgħawġa"". Iż-żewġ dispożizzjonijiet ċentrali dwar il-liġi tal-kompetizzjoni tal-UE dwar il-kumpanij"&amp;"i ġew stabbiliti fl-Artikolu 85, li pprojbixxa ftehim anti-kompetittivi, soġġett għal xi eżenzjonijiet, u l-Artikolu 86 li jipprojbixxi l-abbuż ta 'pożizzjoni dominanti. It-trattat stabbilixxa wkoll prinċipji dwar il-liġi tal-kompetizzjoni għall-istati me"&amp;"mbri, bl-Artikolu 90 li jkopri impriżi pubbliċi, u l-Artikolu 92 jagħmel dispożizzjonijiet dwar l-għajnuna mill-Istat. Ir-regolamenti dwar l-għaqdiet ma kinux inklużi minħabba li l-Istati Membri ma setgħux jistabbilixxu kunsens dwar il-kwistjoni dak iż-żm"&amp;"ien.")</f>
        <v>Il-liġi tal-kompetizzjoni tal-UE għandha l-oriġini tagħha fil-ftehim Ewropew tal-Komunità tal-Faħam u l-Azzar (ECSC) bejn Franza, l-Italja, il-Belġju, l-Olanda, il-Lussemburgu u l-Ġermanja fl-1951 wara t-Tieni Gwerra Dinjija. Il-ftehim kellu l-għan li jipprevjeni lill-Ġermanja milli terġa 'tistabbilixxi d-dominanza fil-produzzjoni tal-faħam u l-azzar hekk kif il-membri ħassew li d-dominanza tagħha kkontribwixxiet għat-tifqigħa tal-gwerra. L-Artikolu 65 tal-Ftehim ipprojbixxa kartelli u l-Artikolu 66 għamel dispożizzjonijiet għal konċentrazzjonijiet, jew għaqdiet, u l-abbuż ta 'pożizzjoni dominanti mill-kumpaniji. Din kienet l-ewwel darba li l-prinċipji tal-liġi tal-kompetizzjoni ġew inklużi fi ftehim reġjonali plurilaterali u stabbilixxew il-mudell trans-Ewropew tal-liġi tal-kompetizzjoni. Fl-1957 ir-regoli tal-kompetizzjoni ġew inklużi fit-Trattat ta 'Ruma, magħruf ukoll bħala t-Trattat tal-KE, li stabbilixxa l-Komunità Ekonomika Ewropea (KEE). It-Trattat ta 'Ruma stabbilixxa l-promulgazzjoni tal-liġi tal-kompetizzjoni bħala wieħed mill-għanijiet ewlenin tal-KEE permezz ta' "l-istituzzjoni ta 'sistema li tiżgura li l-kompetizzjoni fis-suq komuni ma tkunx mgħawġa". Iż-żewġ dispożizzjonijiet ċentrali dwar il-liġi tal-kompetizzjoni tal-UE dwar il-kumpaniji ġew stabbiliti fl-Artikolu 85, li pprojbixxa ftehim anti-kompetittivi, soġġett għal xi eżenzjonijiet, u l-Artikolu 86 li jipprojbixxi l-abbuż ta 'pożizzjoni dominanti. It-trattat stabbilixxa wkoll prinċipji dwar il-liġi tal-kompetizzjoni għall-istati membri, bl-Artikolu 90 li jkopri impriżi pubbliċi, u l-Artikolu 92 jagħmel dispożizzjonijiet dwar l-għajnuna mill-Istat. Ir-regolamenti dwar l-għaqdiet ma kinux inklużi minħabba li l-Istati Membri ma setgħux jistabbilixxu kunsens dwar il-kwistjoni dak iż-żmien.</v>
      </c>
    </row>
    <row r="18975" ht="15.75" customHeight="1">
      <c r="A18975" s="2" t="s">
        <v>18975</v>
      </c>
      <c r="B18975" s="2" t="str">
        <f>IFERROR(__xludf.DUMMYFUNCTION("GOOGLETRANSLATE(A18975, ""en"", ""mt"")"),"X'inhu l-quċċata tas-silġ fir-Rabat?")</f>
        <v>X'inhu l-quċċata tas-silġ fir-Rabat?</v>
      </c>
    </row>
    <row r="18976" ht="15.75" customHeight="1">
      <c r="A18976" s="2" t="s">
        <v>18976</v>
      </c>
      <c r="B18976" s="2" t="str">
        <f>IFERROR(__xludf.DUMMYFUNCTION("GOOGLETRANSLATE(A18976, ""en"", ""mt"")"),"Fuq livell internazzjonali, liema pożizzjonijiet kompetittivi tal-industrija huma affettwati?")</f>
        <v>Fuq livell internazzjonali, liema pożizzjonijiet kompetittivi tal-industrija huma affettwati?</v>
      </c>
    </row>
    <row r="18977" ht="15.75" customHeight="1">
      <c r="A18977" s="2" t="s">
        <v>18977</v>
      </c>
      <c r="B18977" s="2" t="str">
        <f>IFERROR(__xludf.DUMMYFUNCTION("GOOGLETRANSLATE(A18977, ""en"", ""mt"")"),"paraboliċi")</f>
        <v>paraboliċi</v>
      </c>
    </row>
    <row r="18978" ht="15.75" customHeight="1">
      <c r="A18978" s="2" t="s">
        <v>18978</v>
      </c>
      <c r="B18978" s="2" t="str">
        <f>IFERROR(__xludf.DUMMYFUNCTION("GOOGLETRANSLATE(A18978, ""en"", ""mt"")"),"Kemm mili l-problema tal-bejjiegħ li tivvjaġġa tfittex li tikklassifika rotta bejn il-15-il belt iżgħar fil-Ġermanja?")</f>
        <v>Kemm mili l-problema tal-bejjiegħ li tivvjaġġa tfittex li tikklassifika rotta bejn il-15-il belt iżgħar fil-Ġermanja?</v>
      </c>
    </row>
    <row r="18979" ht="15.75" customHeight="1">
      <c r="A18979" s="2" t="s">
        <v>18979</v>
      </c>
      <c r="B18979" s="2" t="str">
        <f>IFERROR(__xludf.DUMMYFUNCTION("GOOGLETRANSLATE(A18979, ""en"", ""mt"")"),"X'jieklu l-beroids?")</f>
        <v>X'jieklu l-beroids?</v>
      </c>
    </row>
    <row r="18980" ht="15.75" customHeight="1">
      <c r="A18980" s="2" t="s">
        <v>18980</v>
      </c>
      <c r="B18980" s="2" t="str">
        <f>IFERROR(__xludf.DUMMYFUNCTION("GOOGLETRANSLATE(A18980, ""en"", ""mt"")"),"Rivoluzzjoni tal-kant")</f>
        <v>Rivoluzzjoni tal-kant</v>
      </c>
    </row>
    <row r="18981" ht="15.75" customHeight="1">
      <c r="A18981" s="2" t="s">
        <v>18981</v>
      </c>
      <c r="B18981" s="2" t="str">
        <f>IFERROR(__xludf.DUMMYFUNCTION("GOOGLETRANSLATE(A18981, ""en"", ""mt"")"),"Spazjali Ġenesi")</f>
        <v>Spazjali Ġenesi</v>
      </c>
    </row>
    <row r="18982" ht="15.75" customHeight="1">
      <c r="A18982" s="2" t="s">
        <v>18982</v>
      </c>
      <c r="B18982" s="2" t="str">
        <f>IFERROR(__xludf.DUMMYFUNCTION("GOOGLETRANSLATE(A18982, ""en"", ""mt"")"),"il-karatteristiċi tal-popli li jirbħu")</f>
        <v>il-karatteristiċi tal-popli li jirbħu</v>
      </c>
    </row>
    <row r="18983" ht="15.75" customHeight="1">
      <c r="A18983" s="2" t="s">
        <v>18983</v>
      </c>
      <c r="B18983" s="2" t="str">
        <f>IFERROR(__xludf.DUMMYFUNCTION("GOOGLETRANSLATE(A18983, ""en"", ""mt"")"),"bħala gluons")</f>
        <v>bħala gluons</v>
      </c>
    </row>
    <row r="18984" ht="15.75" customHeight="1">
      <c r="A18984" s="2" t="s">
        <v>18984</v>
      </c>
      <c r="B18984" s="2" t="str">
        <f>IFERROR(__xludf.DUMMYFUNCTION("GOOGLETRANSLATE(A18984, ""en"", ""mt"")"),"X'inbena oriġinarjament bħala kwartieri ġenerali tal-Kunsill tal-Kontea Midlothian ta 'qabel l-1875?")</f>
        <v>X'inbena oriġinarjament bħala kwartieri ġenerali tal-Kunsill tal-Kontea Midlothian ta 'qabel l-1875?</v>
      </c>
    </row>
    <row r="18985" ht="15.75" customHeight="1">
      <c r="A18985" s="2" t="s">
        <v>18985</v>
      </c>
      <c r="B18985" s="2" t="str">
        <f>IFERROR(__xludf.DUMMYFUNCTION("GOOGLETRANSLATE(A18985, ""en"", ""mt"")"),"X'tip ta 'mezz huwa radju 10Base5?")</f>
        <v>X'tip ta 'mezz huwa radju 10Base5?</v>
      </c>
    </row>
    <row r="18986" ht="15.75" customHeight="1">
      <c r="A18986" s="2" t="s">
        <v>18986</v>
      </c>
      <c r="B18986" s="2" t="str">
        <f>IFERROR(__xludf.DUMMYFUNCTION("GOOGLETRANSLATE(A18986, ""en"", ""mt"")"),"mapep")</f>
        <v>mapep</v>
      </c>
    </row>
    <row r="18987" ht="15.75" customHeight="1">
      <c r="A18987" s="2" t="s">
        <v>18987</v>
      </c>
      <c r="B18987" s="2" t="str">
        <f>IFERROR(__xludf.DUMMYFUNCTION("GOOGLETRANSLATE(A18987, ""en"", ""mt"")"),"X'kienet KMJ oriġinarjament magħrufa bħala?")</f>
        <v>X'kienet KMJ oriġinarjament magħrufa bħala?</v>
      </c>
    </row>
    <row r="18988" ht="15.75" customHeight="1">
      <c r="A18988" s="2" t="s">
        <v>18988</v>
      </c>
      <c r="B18988" s="2" t="str">
        <f>IFERROR(__xludf.DUMMYFUNCTION("GOOGLETRANSLATE(A18988, ""en"", ""mt"")"),"ġbir ta 'fondi")</f>
        <v>ġbir ta 'fondi</v>
      </c>
    </row>
    <row r="18989" ht="15.75" customHeight="1">
      <c r="A18989" s="2" t="s">
        <v>18989</v>
      </c>
      <c r="B18989" s="2" t="str">
        <f>IFERROR(__xludf.DUMMYFUNCTION("GOOGLETRANSLATE(A18989, ""en"", ""mt"")"),"baxx")</f>
        <v>baxx</v>
      </c>
    </row>
    <row r="18990" ht="15.75" customHeight="1">
      <c r="A18990" s="2" t="s">
        <v>18990</v>
      </c>
      <c r="B18990" s="2" t="str">
        <f>IFERROR(__xludf.DUMMYFUNCTION("GOOGLETRANSLATE(A18990, ""en"", ""mt"")"),"Liema trattat ġie promulgat fl-2004?")</f>
        <v>Liema trattat ġie promulgat fl-2004?</v>
      </c>
    </row>
    <row r="18991" ht="15.75" customHeight="1">
      <c r="A18991" s="2" t="s">
        <v>18991</v>
      </c>
      <c r="B18991" s="2" t="str">
        <f>IFERROR(__xludf.DUMMYFUNCTION("GOOGLETRANSLATE(A18991, ""en"", ""mt"")"),"Kunsill tal-Belt ta 'Varsavja")</f>
        <v>Kunsill tal-Belt ta 'Varsavja</v>
      </c>
    </row>
    <row r="18992" ht="15.75" customHeight="1">
      <c r="A18992" s="2" t="s">
        <v>18992</v>
      </c>
      <c r="B18992" s="2" t="str">
        <f>IFERROR(__xludf.DUMMYFUNCTION("GOOGLETRANSLATE(A18992, ""en"", ""mt"")"),"Għal liema korp huma ċerti poteri speċifikati espliċitament bħala riservati?")</f>
        <v>Għal liema korp huma ċerti poteri speċifikati espliċitament bħala riservati?</v>
      </c>
    </row>
    <row r="18993" ht="15.75" customHeight="1">
      <c r="A18993" s="2" t="s">
        <v>18993</v>
      </c>
      <c r="B18993" s="2" t="str">
        <f>IFERROR(__xludf.DUMMYFUNCTION("GOOGLETRANSLATE(A18993, ""en"", ""mt"")"),"Bini b'forma ta 'weraq")</f>
        <v>Bini b'forma ta 'weraq</v>
      </c>
    </row>
    <row r="18994" ht="15.75" customHeight="1">
      <c r="A18994" s="2" t="s">
        <v>18994</v>
      </c>
      <c r="B18994" s="2" t="str">
        <f>IFERROR(__xludf.DUMMYFUNCTION("GOOGLETRANSLATE(A18994, ""en"", ""mt"")"),"l- ""spin")</f>
        <v>l- "spin</v>
      </c>
    </row>
    <row r="18995" ht="15.75" customHeight="1">
      <c r="A18995" s="2" t="s">
        <v>18995</v>
      </c>
      <c r="B18995" s="2" t="str">
        <f>IFERROR(__xludf.DUMMYFUNCTION("GOOGLETRANSLATE(A18995, ""en"", ""mt"")"),"inkompetenti, ineffiċjenti, jew negliku")</f>
        <v>inkompetenti, ineffiċjenti, jew negliku</v>
      </c>
    </row>
    <row r="18996" ht="15.75" customHeight="1">
      <c r="A18996" s="2" t="s">
        <v>18996</v>
      </c>
      <c r="B18996" s="2" t="str">
        <f>IFERROR(__xludf.DUMMYFUNCTION("GOOGLETRANSLATE(A18996, ""en"", ""mt"")"),"kummerċ ħieles")</f>
        <v>kummerċ ħieles</v>
      </c>
    </row>
    <row r="18997" ht="15.75" customHeight="1">
      <c r="A18997" s="2" t="s">
        <v>18997</v>
      </c>
      <c r="B18997" s="2" t="str">
        <f>IFERROR(__xludf.DUMMYFUNCTION("GOOGLETRANSLATE(A18997, ""en"", ""mt"")"),"Bureau tal-Affarijiet Buddisti u Tibetani")</f>
        <v>Bureau tal-Affarijiet Buddisti u Tibetani</v>
      </c>
    </row>
    <row r="18998" ht="15.75" customHeight="1">
      <c r="A18998" s="2" t="s">
        <v>18998</v>
      </c>
      <c r="B18998" s="2" t="str">
        <f>IFERROR(__xludf.DUMMYFUNCTION("GOOGLETRANSLATE(A18998, ""en"", ""mt"")"),"Kant rivoluzzjoni biex iġġib l-indipendenza lill-pajjiżi tal-Baltiku")</f>
        <v>Kant rivoluzzjoni biex iġġib l-indipendenza lill-pajjiżi tal-Baltiku</v>
      </c>
    </row>
    <row r="18999" ht="15.75" customHeight="1">
      <c r="A18999" s="2" t="s">
        <v>18999</v>
      </c>
      <c r="B18999" s="2" t="str">
        <f>IFERROR(__xludf.DUMMYFUNCTION("GOOGLETRANSLATE(A18999, ""en"", ""mt"")"),"Ministri ta 'liema fidi ġew imħarrġa mill-università fis-snin bikrin?")</f>
        <v>Ministri ta 'liema fidi ġew imħarrġa mill-università fis-snin bikrin?</v>
      </c>
    </row>
    <row r="19000" ht="15.75" customHeight="1">
      <c r="A19000" s="2" t="s">
        <v>19000</v>
      </c>
      <c r="B19000" s="2" t="str">
        <f>IFERROR(__xludf.DUMMYFUNCTION("GOOGLETRANSLATE(A19000, ""en"", ""mt"")"),"Liema materjali kombustibbli ħafna jissaddad?")</f>
        <v>Liema materjali kombustibbli ħafna jissaddad?</v>
      </c>
    </row>
    <row r="19001" ht="15.75" customHeight="1">
      <c r="A19001" s="2" t="s">
        <v>19001</v>
      </c>
      <c r="B19001" s="2" t="str">
        <f>IFERROR(__xludf.DUMMYFUNCTION("GOOGLETRANSLATE(A19001, ""en"", ""mt"")"),"ossiġnu likwidu")</f>
        <v>ossiġnu likwidu</v>
      </c>
    </row>
    <row r="19002" ht="15.75" customHeight="1">
      <c r="A19002" s="2" t="s">
        <v>19002</v>
      </c>
      <c r="B19002" s="2" t="str">
        <f>IFERROR(__xludf.DUMMYFUNCTION("GOOGLETRANSLATE(A19002, ""en"", ""mt"")"),"Min iddikjara li ried li Iżrael jisparixxi?")</f>
        <v>Min iddikjara li ried li Iżrael jisparixxi?</v>
      </c>
    </row>
    <row r="19003" ht="15.75" customHeight="1">
      <c r="A19003" s="2" t="s">
        <v>19003</v>
      </c>
      <c r="B19003" s="2" t="str">
        <f>IFERROR(__xludf.DUMMYFUNCTION("GOOGLETRANSLATE(A19003, ""en"", ""mt"")"),"Madwar 1015 Kelvins")</f>
        <v>Madwar 1015 Kelvins</v>
      </c>
    </row>
    <row r="19004" ht="15.75" customHeight="1">
      <c r="A19004" s="2" t="s">
        <v>19004</v>
      </c>
      <c r="B19004" s="2" t="str">
        <f>IFERROR(__xludf.DUMMYFUNCTION("GOOGLETRANSLATE(A19004, ""en"", ""mt"")"),"Min skopra l-effett Compton?")</f>
        <v>Min skopra l-effett Compton?</v>
      </c>
    </row>
    <row r="19005" ht="15.75" customHeight="1">
      <c r="A19005" s="2" t="s">
        <v>19005</v>
      </c>
      <c r="B19005" s="2" t="str">
        <f>IFERROR(__xludf.DUMMYFUNCTION("GOOGLETRANSLATE(A19005, ""en"", ""mt"")"),"L-esej ta 'Thoreau ma ġiex ippubblikat sa wara t-tmiem tal-Gwerra tal-Messiku")</f>
        <v>L-esej ta 'Thoreau ma ġiex ippubblikat sa wara t-tmiem tal-Gwerra tal-Messiku</v>
      </c>
    </row>
    <row r="19006" ht="15.75" customHeight="1">
      <c r="A19006" s="2" t="s">
        <v>19006</v>
      </c>
      <c r="B19006" s="2" t="str">
        <f>IFERROR(__xludf.DUMMYFUNCTION("GOOGLETRANSLATE(A19006, ""en"", ""mt"")"),"Għaliex GM, Ford u Chrysler introduċew karozzi effiċjenti fil-fjuwil u żgħar fis-suq tal-Istati Uniti?")</f>
        <v>Għaliex GM, Ford u Chrysler introduċew karozzi effiċjenti fil-fjuwil u żgħar fis-suq tal-Istati Uniti?</v>
      </c>
    </row>
    <row r="19007" ht="15.75" customHeight="1">
      <c r="A19007" s="2" t="s">
        <v>19007</v>
      </c>
      <c r="B19007" s="2" t="str">
        <f>IFERROR(__xludf.DUMMYFUNCTION("GOOGLETRANSLATE(A19007, ""en"", ""mt"")")," X'kienet tilef il-Ħamas fl-elezzjoni leġiżlattiva ta 'Jannar 2006?")</f>
        <v> X'kienet tilef il-Ħamas fl-elezzjoni leġiżlattiva ta 'Jannar 2006?</v>
      </c>
    </row>
    <row r="19008" ht="15.75" customHeight="1">
      <c r="A19008" s="2" t="s">
        <v>19008</v>
      </c>
      <c r="B19008" s="2" t="str">
        <f>IFERROR(__xludf.DUMMYFUNCTION("GOOGLETRANSLATE(A19008, ""en"", ""mt"")"),"Għaliex xi nies għażlu li jmorru l-ħabs għad-diżubbidjenza tagħhom?")</f>
        <v>Għaliex xi nies għażlu li jmorru l-ħabs għad-diżubbidjenza tagħhom?</v>
      </c>
    </row>
    <row r="19009" ht="15.75" customHeight="1">
      <c r="A19009" s="2" t="s">
        <v>19009</v>
      </c>
      <c r="B19009" s="2" t="str">
        <f>IFERROR(__xludf.DUMMYFUNCTION("GOOGLETRANSLATE(A19009, ""en"", ""mt"")"),"modulari")</f>
        <v>modulari</v>
      </c>
    </row>
    <row r="19010" ht="15.75" customHeight="1">
      <c r="A19010" s="2" t="s">
        <v>19010</v>
      </c>
      <c r="B19010" s="2" t="str">
        <f>IFERROR(__xludf.DUMMYFUNCTION("GOOGLETRANSLATE(A19010, ""en"", ""mt"")"),"Liema sodod huma saturati dwar in-nitroġenu?")</f>
        <v>Liema sodod huma saturati dwar in-nitroġenu?</v>
      </c>
    </row>
    <row r="19011" ht="15.75" customHeight="1">
      <c r="A19011" s="2" t="s">
        <v>19011</v>
      </c>
      <c r="B19011" s="2" t="str">
        <f>IFERROR(__xludf.DUMMYFUNCTION("GOOGLETRANSLATE(A19011, ""en"", ""mt"")"),"Kemm hemm klassijiet ta 'sensittività eċċessiva immuni?")</f>
        <v>Kemm hemm klassijiet ta 'sensittività eċċessiva immuni?</v>
      </c>
    </row>
    <row r="19012" ht="15.75" customHeight="1">
      <c r="A19012" s="2" t="s">
        <v>19012</v>
      </c>
      <c r="B19012" s="2" t="str">
        <f>IFERROR(__xludf.DUMMYFUNCTION("GOOGLETRANSLATE(A19012, ""en"", ""mt"")"),"F'liema sena r-refuġjati Huguenot bdew imorru l-ewwel darba f'Londra?")</f>
        <v>F'liema sena r-refuġjati Huguenot bdew imorru l-ewwel darba f'Londra?</v>
      </c>
    </row>
    <row r="19013" ht="15.75" customHeight="1">
      <c r="A19013" s="2" t="s">
        <v>19013</v>
      </c>
      <c r="B19013" s="2" t="str">
        <f>IFERROR(__xludf.DUMMYFUNCTION("GOOGLETRANSLATE(A19013, ""en"", ""mt"")"),"X'jistgħu jużaw it-turbini tal-fwar tal-power station bħala sink kiesaħ fin-nuqqas ta 'ilma?")</f>
        <v>X'jistgħu jużaw it-turbini tal-fwar tal-power station bħala sink kiesaħ fin-nuqqas ta 'ilma?</v>
      </c>
    </row>
    <row r="19014" ht="15.75" customHeight="1">
      <c r="A19014" s="2" t="s">
        <v>19014</v>
      </c>
      <c r="B19014" s="2" t="str">
        <f>IFERROR(__xludf.DUMMYFUNCTION("GOOGLETRANSLATE(A19014, ""en"", ""mt"")"),"Min jistudja l-fluss monetarju mistenni matul il-ħajja tal-proġett u biex jimmonitorja l-ħlasijiet matul il-proċess?")</f>
        <v>Min jistudja l-fluss monetarju mistenni matul il-ħajja tal-proġett u biex jimmonitorja l-ħlasijiet matul il-proċess?</v>
      </c>
    </row>
    <row r="19015" ht="15.75" customHeight="1">
      <c r="A19015" s="2" t="s">
        <v>19015</v>
      </c>
      <c r="B19015" s="2" t="str">
        <f>IFERROR(__xludf.DUMMYFUNCTION("GOOGLETRANSLATE(A19015, ""en"", ""mt"")"),"Huma kellhom il-pajjiż ta 'Ohio u li kienu jinnegozjaw mal-Ingliżi irrispettivament mill-Franċiżi")</f>
        <v>Huma kellhom il-pajjiż ta 'Ohio u li kienu jinnegozjaw mal-Ingliżi irrispettivament mill-Franċiżi</v>
      </c>
    </row>
    <row r="19016" ht="15.75" customHeight="1">
      <c r="A19016" s="2" t="s">
        <v>19016</v>
      </c>
      <c r="B19016" s="2" t="str">
        <f>IFERROR(__xludf.DUMMYFUNCTION("GOOGLETRANSLATE(A19016, ""en"", ""mt"")"),"Meta kienet il-kompetenza għall-unjoni biex toħloq sentenzi kriminali għal reati ekoloġiċi kkontestati?")</f>
        <v>Meta kienet il-kompetenza għall-unjoni biex toħloq sentenzi kriminali għal reati ekoloġiċi kkontestati?</v>
      </c>
    </row>
    <row r="19017" ht="15.75" customHeight="1">
      <c r="A19017" s="2" t="s">
        <v>19017</v>
      </c>
      <c r="B19017" s="2" t="str">
        <f>IFERROR(__xludf.DUMMYFUNCTION("GOOGLETRANSLATE(A19017, ""en"", ""mt"")"),"Liema sena twieldet Santa Eliżabetta?")</f>
        <v>Liema sena twieldet Santa Eliżabetta?</v>
      </c>
    </row>
    <row r="19018" ht="15.75" customHeight="1">
      <c r="A19018" s="2" t="s">
        <v>19018</v>
      </c>
      <c r="B19018" s="2" t="str">
        <f>IFERROR(__xludf.DUMMYFUNCTION("GOOGLETRANSLATE(A19018, ""en"", ""mt"")"),"X'inhu xogħol ta 'Thomas Piketty?")</f>
        <v>X'inhu xogħol ta 'Thomas Piketty?</v>
      </c>
    </row>
    <row r="19019" ht="15.75" customHeight="1">
      <c r="A19019" s="2" t="s">
        <v>19019</v>
      </c>
      <c r="B19019" s="2" t="str">
        <f>IFERROR(__xludf.DUMMYFUNCTION("GOOGLETRANSLATE(A19019, ""en"", ""mt"")"),"Liema moviment tad-drittijiet ċivili fl-Istati Uniti kien magħruf għad-diżubbidjenza tiegħu?")</f>
        <v>Liema moviment tad-drittijiet ċivili fl-Istati Uniti kien magħruf għad-diżubbidjenza tiegħu?</v>
      </c>
    </row>
    <row r="19020" ht="15.75" customHeight="1">
      <c r="A19020" s="2" t="s">
        <v>19020</v>
      </c>
      <c r="B19020" s="2" t="str">
        <f>IFERROR(__xludf.DUMMYFUNCTION("GOOGLETRANSLATE(A19020, ""en"", ""mt"")"),"Liema magni mhumiex daqshekk qawwija fil-prinċipju?")</f>
        <v>Liema magni mhumiex daqshekk qawwija fil-prinċipju?</v>
      </c>
    </row>
    <row r="19021" ht="15.75" customHeight="1">
      <c r="A19021" s="2" t="s">
        <v>19021</v>
      </c>
      <c r="B19021" s="2" t="str">
        <f>IFERROR(__xludf.DUMMYFUNCTION("GOOGLETRANSLATE(A19021, ""en"", ""mt"")"),"Liema flussi bejn Bingen u Bonn?")</f>
        <v>Liema flussi bejn Bingen u Bonn?</v>
      </c>
    </row>
    <row r="19022" ht="15.75" customHeight="1">
      <c r="A19022" s="2" t="s">
        <v>19022</v>
      </c>
      <c r="B19022" s="2" t="str">
        <f>IFERROR(__xludf.DUMMYFUNCTION("GOOGLETRANSLATE(A19022, ""en"", ""mt"")"),"Skrivan tal-vot")</f>
        <v>Skrivan tal-vot</v>
      </c>
    </row>
    <row r="19023" ht="15.75" customHeight="1">
      <c r="A19023" s="2" t="s">
        <v>19023</v>
      </c>
      <c r="B19023" s="2" t="str">
        <f>IFERROR(__xludf.DUMMYFUNCTION("GOOGLETRANSLATE(A19023, ""en"", ""mt"")"),"Fuq xiex l-iżvilupp ta 'għelieqi taż-żejt ġodda kellhom influwenza negattiva?")</f>
        <v>Fuq xiex l-iżvilupp ta 'għelieqi taż-żejt ġodda kellhom influwenza negattiva?</v>
      </c>
    </row>
    <row r="19024" ht="15.75" customHeight="1">
      <c r="A19024" s="2" t="s">
        <v>19024</v>
      </c>
      <c r="B19024" s="2" t="str">
        <f>IFERROR(__xludf.DUMMYFUNCTION("GOOGLETRANSLATE(A19024, ""en"", ""mt"")"),"Dejta minn esperimenti fiżiċi tista 'tiġi estrapolata fuq il-post biex tifhem liema proċessi?")</f>
        <v>Dejta minn esperimenti fiżiċi tista 'tiġi estrapolata fuq il-post biex tifhem liema proċessi?</v>
      </c>
    </row>
    <row r="19025" ht="15.75" customHeight="1">
      <c r="A19025" s="2" t="s">
        <v>19025</v>
      </c>
      <c r="B19025" s="2" t="str">
        <f>IFERROR(__xludf.DUMMYFUNCTION("GOOGLETRANSLATE(A19025, ""en"", ""mt"")"),"Min kien essenzjali għall-Iżlam li jimita?")</f>
        <v>Min kien essenzjali għall-Iżlam li jimita?</v>
      </c>
    </row>
    <row r="19026" ht="15.75" customHeight="1">
      <c r="A19026" s="2" t="s">
        <v>19026</v>
      </c>
      <c r="B19026" s="2" t="str">
        <f>IFERROR(__xludf.DUMMYFUNCTION("GOOGLETRANSLATE(A19026, ""en"", ""mt"")"),"Liema qċaċet f'tul ta 'mewġ 680 u 768 nm?")</f>
        <v>Liema qċaċet f'tul ta 'mewġ 680 u 768 nm?</v>
      </c>
    </row>
    <row r="19027" ht="15.75" customHeight="1">
      <c r="A19027" s="2" t="s">
        <v>19027</v>
      </c>
      <c r="B19027" s="2" t="str">
        <f>IFERROR(__xludf.DUMMYFUNCTION("GOOGLETRANSLATE(A19027, ""en"", ""mt"")"),"tond")</f>
        <v>tond</v>
      </c>
    </row>
    <row r="19028" ht="15.75" customHeight="1">
      <c r="A19028" s="2" t="s">
        <v>19028</v>
      </c>
      <c r="B19028" s="2" t="str">
        <f>IFERROR(__xludf.DUMMYFUNCTION("GOOGLETRANSLATE(A19028, ""en"", ""mt"")"),"F'liema oqsma l-informatika tal-ispiżerija mhix ippreparata biex taħdem?")</f>
        <v>F'liema oqsma l-informatika tal-ispiżerija mhix ippreparata biex taħdem?</v>
      </c>
    </row>
    <row r="19029" ht="15.75" customHeight="1">
      <c r="A19029" s="2" t="s">
        <v>19029</v>
      </c>
      <c r="B19029" s="2" t="str">
        <f>IFERROR(__xludf.DUMMYFUNCTION("GOOGLETRANSLATE(A19029, ""en"", ""mt"")"),"X'jiġri l-moviment b'veloċità kostanti?")</f>
        <v>X'jiġri l-moviment b'veloċità kostanti?</v>
      </c>
    </row>
    <row r="19030" ht="15.75" customHeight="1">
      <c r="A19030" s="2" t="s">
        <v>19030</v>
      </c>
      <c r="B19030" s="2" t="str">
        <f>IFERROR(__xludf.DUMMYFUNCTION("GOOGLETRANSLATE(A19030, ""en"", ""mt"")"),"X'impjanat Bhutto li japprova fi żmien sitt xhur, qabel ma ġie mwaqqa '?")</f>
        <v>X'impjanat Bhutto li japprova fi żmien sitt xhur, qabel ma ġie mwaqqa '?</v>
      </c>
    </row>
    <row r="19031" ht="15.75" customHeight="1">
      <c r="A19031" s="2" t="s">
        <v>19031</v>
      </c>
      <c r="B19031" s="2" t="str">
        <f>IFERROR(__xludf.DUMMYFUNCTION("GOOGLETRANSLATE(A19031, ""en"", ""mt"")"),"Charles Darwin")</f>
        <v>Charles Darwin</v>
      </c>
    </row>
    <row r="19032" ht="15.75" customHeight="1">
      <c r="A19032" s="2" t="s">
        <v>19032</v>
      </c>
      <c r="B19032" s="2" t="str">
        <f>IFERROR(__xludf.DUMMYFUNCTION("GOOGLETRANSLATE(A19032, ""en"", ""mt"")"),"X'tip ta 'żwieġ interetniku sar komuni fid-dinastija Jin?")</f>
        <v>X'tip ta 'żwieġ interetniku sar komuni fid-dinastija Jin?</v>
      </c>
    </row>
    <row r="19033" ht="15.75" customHeight="1">
      <c r="A19033" s="2" t="s">
        <v>19033</v>
      </c>
      <c r="B19033" s="2" t="str">
        <f>IFERROR(__xludf.DUMMYFUNCTION("GOOGLETRANSLATE(A19033, ""en"", ""mt"")"),"F'soċjetà morali ideali, minn xiex ikunu ħielsa ċ-ċittadini kollha?")</f>
        <v>F'soċjetà morali ideali, minn xiex ikunu ħielsa ċ-ċittadini kollha?</v>
      </c>
    </row>
    <row r="19034" ht="15.75" customHeight="1">
      <c r="A19034" s="2" t="s">
        <v>19034</v>
      </c>
      <c r="B19034" s="2" t="str">
        <f>IFERROR(__xludf.DUMMYFUNCTION("GOOGLETRANSLATE(A19034, ""en"", ""mt"")"),"seklu sittax")</f>
        <v>seklu sittax</v>
      </c>
    </row>
    <row r="19035" ht="15.75" customHeight="1">
      <c r="A19035" s="2" t="s">
        <v>19035</v>
      </c>
      <c r="B19035" s="2" t="str">
        <f>IFERROR(__xludf.DUMMYFUNCTION("GOOGLETRANSLATE(A19035, ""en"", ""mt"")"),"aktar minn 17.5 miljun")</f>
        <v>aktar minn 17.5 miljun</v>
      </c>
    </row>
    <row r="19036" ht="15.75" customHeight="1">
      <c r="A19036" s="2" t="s">
        <v>19036</v>
      </c>
      <c r="B19036" s="2" t="str">
        <f>IFERROR(__xludf.DUMMYFUNCTION("GOOGLETRANSLATE(A19036, ""en"", ""mt"")"),"F'liema forma huma l-iktar mediċini fl-isptar?")</f>
        <v>F'liema forma huma l-iktar mediċini fl-isptar?</v>
      </c>
    </row>
    <row r="19037" ht="15.75" customHeight="1">
      <c r="A19037" s="2" t="s">
        <v>19037</v>
      </c>
      <c r="B19037" s="2" t="str">
        <f>IFERROR(__xludf.DUMMYFUNCTION("GOOGLETRANSLATE(A19037, ""en"", ""mt"")"),"Id-deċellerazzjoni tista 'tiġi deskritta permezz ta' xiex?")</f>
        <v>Id-deċellerazzjoni tista 'tiġi deskritta permezz ta' xiex?</v>
      </c>
    </row>
    <row r="19038" ht="15.75" customHeight="1">
      <c r="A19038" s="2" t="s">
        <v>19038</v>
      </c>
      <c r="B19038" s="2" t="str">
        <f>IFERROR(__xludf.DUMMYFUNCTION("GOOGLETRANSLATE(A19038, ""en"", ""mt"")"),"Il-Fiżika tal-Partiċelli ħolqot mudell uniku biex tiddeskrivi xiex?")</f>
        <v>Il-Fiżika tal-Partiċelli ħolqot mudell uniku biex tiddeskrivi xiex?</v>
      </c>
    </row>
    <row r="19039" ht="15.75" customHeight="1">
      <c r="A19039" s="2" t="s">
        <v>19039</v>
      </c>
      <c r="B19039" s="2" t="str">
        <f>IFERROR(__xludf.DUMMYFUNCTION("GOOGLETRANSLATE(A19039, ""en"", ""mt"")"),"X'inhi waħda mir-raġunijiet li n-nazzjonijiet sottożviluppati rċevew għajnuna mid-dħul taż-żejt?")</f>
        <v>X'inhi waħda mir-raġunijiet li n-nazzjonijiet sottożviluppati rċevew għajnuna mid-dħul taż-żejt?</v>
      </c>
    </row>
    <row r="19040" ht="15.75" customHeight="1">
      <c r="A19040" s="2" t="s">
        <v>19040</v>
      </c>
      <c r="B19040" s="2" t="str">
        <f>IFERROR(__xludf.DUMMYFUNCTION("GOOGLETRANSLATE(A19040, ""en"", ""mt"")"),"Kummissjoni v Italja l-Qorti tal-Ġustizzja")</f>
        <v>Kummissjoni v Italja l-Qorti tal-Ġustizzja</v>
      </c>
    </row>
    <row r="19041" ht="15.75" customHeight="1">
      <c r="A19041" s="2" t="s">
        <v>19041</v>
      </c>
      <c r="B19041" s="2" t="str">
        <f>IFERROR(__xludf.DUMMYFUNCTION("GOOGLETRANSLATE(A19041, ""en"", ""mt"")"),"Ottubru 2007")</f>
        <v>Ottubru 2007</v>
      </c>
    </row>
    <row r="19042" ht="15.75" customHeight="1">
      <c r="A19042" s="2" t="s">
        <v>19042</v>
      </c>
      <c r="B19042" s="2" t="str">
        <f>IFERROR(__xludf.DUMMYFUNCTION("GOOGLETRANSLATE(A19042, ""en"", ""mt"")"),"OnDemar Dias")</f>
        <v>OnDemar Dias</v>
      </c>
    </row>
    <row r="19043" ht="15.75" customHeight="1">
      <c r="A19043" s="2" t="s">
        <v>19043</v>
      </c>
      <c r="B19043" s="2" t="str">
        <f>IFERROR(__xludf.DUMMYFUNCTION("GOOGLETRANSLATE(A19043, ""en"", ""mt"")"),"Ħafna mill-bażi tat-taxxa tal-belt tinħela, u twassal għal problemi bil-finanzjament tal-edukazzjoni, is-sanità u l-kontroll tat-traffiku fil-limiti tal-belt. Barra minn hekk, ir-residenti fis-subborgi mhux inkorporati kellhom diffikultà biex jiksbu servi"&amp;"zzi muniċipali, bħalma huma l-infurzar tad-drenaġġ u l-kodiċi tal-bini. Fl-1958, studju rrakkomanda li l-Belt ta 'Jacksonville tibda tehmeż komunitajiet periferiċi sabiex toħloq il-bażi tat-taxxa meħtieġa biex ittejjeb is-servizzi madwar il-kontea. Il-vot"&amp;"anti barra l-limiti tal-belt ċaħdu pjanijiet ta ’annessjoni f’sitt referendum bejn l-1960 u l-1965.")</f>
        <v>Ħafna mill-bażi tat-taxxa tal-belt tinħela, u twassal għal problemi bil-finanzjament tal-edukazzjoni, is-sanità u l-kontroll tat-traffiku fil-limiti tal-belt. Barra minn hekk, ir-residenti fis-subborgi mhux inkorporati kellhom diffikultà biex jiksbu servizzi muniċipali, bħalma huma l-infurzar tad-drenaġġ u l-kodiċi tal-bini. Fl-1958, studju rrakkomanda li l-Belt ta 'Jacksonville tibda tehmeż komunitajiet periferiċi sabiex toħloq il-bażi tat-taxxa meħtieġa biex ittejjeb is-servizzi madwar il-kontea. Il-votanti barra l-limiti tal-belt ċaħdu pjanijiet ta ’annessjoni f’sitt referendum bejn l-1960 u l-1965.</v>
      </c>
    </row>
    <row r="19044" ht="15.75" customHeight="1">
      <c r="A19044" s="2" t="s">
        <v>19044</v>
      </c>
      <c r="B19044" s="2" t="str">
        <f>IFERROR(__xludf.DUMMYFUNCTION("GOOGLETRANSLATE(A19044, ""en"", ""mt"")"),"dritta")</f>
        <v>dritta</v>
      </c>
    </row>
    <row r="19045" ht="15.75" customHeight="1">
      <c r="A19045" s="2" t="s">
        <v>19045</v>
      </c>
      <c r="B19045" s="2" t="str">
        <f>IFERROR(__xludf.DUMMYFUNCTION("GOOGLETRANSLATE(A19045, ""en"", ""mt"")"),"X'ma analizza l-vettura spazjali planetarja?")</f>
        <v>X'ma analizza l-vettura spazjali planetarja?</v>
      </c>
    </row>
    <row r="19046" ht="15.75" customHeight="1">
      <c r="A19046" s="2" t="s">
        <v>19046</v>
      </c>
      <c r="B19046" s="2" t="str">
        <f>IFERROR(__xludf.DUMMYFUNCTION("GOOGLETRANSLATE(A19046, ""en"", ""mt"")"),"tnaqqas il-prezzijiet tal-konsumatur")</f>
        <v>tnaqqas il-prezzijiet tal-konsumatur</v>
      </c>
    </row>
    <row r="19047" ht="15.75" customHeight="1">
      <c r="A19047" s="2" t="s">
        <v>19047</v>
      </c>
      <c r="B19047" s="2" t="str">
        <f>IFERROR(__xludf.DUMMYFUNCTION("GOOGLETRANSLATE(A19047, ""en"", ""mt"")"),"Liema amenetiji huma disponibbli meta tkun irreġistrat f'akkademja militari?")</f>
        <v>Liema amenetiji huma disponibbli meta tkun irreġistrat f'akkademja militari?</v>
      </c>
    </row>
    <row r="19048" ht="15.75" customHeight="1">
      <c r="A19048" s="2" t="s">
        <v>19048</v>
      </c>
      <c r="B19048" s="2" t="str">
        <f>IFERROR(__xludf.DUMMYFUNCTION("GOOGLETRANSLATE(A19048, ""en"", ""mt"")"),"Kif qatt ma jissejħu l-ispiżeriji tal-internet?")</f>
        <v>Kif qatt ma jissejħu l-ispiżeriji tal-internet?</v>
      </c>
    </row>
    <row r="19049" ht="15.75" customHeight="1">
      <c r="A19049" s="2" t="s">
        <v>19049</v>
      </c>
      <c r="B19049" s="2" t="str">
        <f>IFERROR(__xludf.DUMMYFUNCTION("GOOGLETRANSLATE(A19049, ""en"", ""mt"")"),"Meta l-kumpaniji Ġappuniżi introduċew trakkijiet kompatti, liema politika ntemmet?")</f>
        <v>Meta l-kumpaniji Ġappuniżi introduċew trakkijiet kompatti, liema politika ntemmet?</v>
      </c>
    </row>
    <row r="19050" ht="15.75" customHeight="1">
      <c r="A19050" s="2" t="s">
        <v>19050</v>
      </c>
      <c r="B19050" s="2" t="str">
        <f>IFERROR(__xludf.DUMMYFUNCTION("GOOGLETRANSLATE(A19050, ""en"", ""mt"")"),"Pleurobrachia, Beroe u Mnemiopsis")</f>
        <v>Pleurobrachia, Beroe u Mnemiopsis</v>
      </c>
    </row>
    <row r="19051" ht="15.75" customHeight="1">
      <c r="A19051" s="2" t="s">
        <v>19051</v>
      </c>
      <c r="B19051" s="2" t="str">
        <f>IFERROR(__xludf.DUMMYFUNCTION("GOOGLETRANSLATE(A19051, ""en"", ""mt"")"),"L-ilma mkeċċi jmexxihom lura malajr ħafna")</f>
        <v>L-ilma mkeċċi jmexxihom lura malajr ħafna</v>
      </c>
    </row>
    <row r="19052" ht="15.75" customHeight="1">
      <c r="A19052" s="2" t="s">
        <v>19052</v>
      </c>
      <c r="B19052" s="2" t="str">
        <f>IFERROR(__xludf.DUMMYFUNCTION("GOOGLETRANSLATE(A19052, ""en"", ""mt"")"),"Min għandu t-tort talli aġixxa inġustament?")</f>
        <v>Min għandu t-tort talli aġixxa inġustament?</v>
      </c>
    </row>
    <row r="19053" ht="15.75" customHeight="1">
      <c r="A19053" s="2" t="s">
        <v>19053</v>
      </c>
      <c r="B19053" s="2" t="str">
        <f>IFERROR(__xludf.DUMMYFUNCTION("GOOGLETRANSLATE(A19053, ""en"", ""mt"")"),"ċediet b'mod paċifiku mingħajr ma tirreżisti b'mod vjolenti")</f>
        <v>ċediet b'mod paċifiku mingħajr ma tirreżisti b'mod vjolenti</v>
      </c>
    </row>
    <row r="19054" ht="15.75" customHeight="1">
      <c r="A19054" s="2" t="s">
        <v>19054</v>
      </c>
      <c r="B19054" s="2" t="str">
        <f>IFERROR(__xludf.DUMMYFUNCTION("GOOGLETRANSLATE(A19054, ""en"", ""mt"")"),"Min iqis il-Kontea ta 'Los Angeles bħala żona metropolitana separata?")</f>
        <v>Min iqis il-Kontea ta 'Los Angeles bħala żona metropolitana separata?</v>
      </c>
    </row>
    <row r="19055" ht="15.75" customHeight="1">
      <c r="A19055" s="2" t="s">
        <v>19055</v>
      </c>
      <c r="B19055" s="2" t="str">
        <f>IFERROR(__xludf.DUMMYFUNCTION("GOOGLETRANSLATE(A19055, ""en"", ""mt"")"),"F'liema era kienet żviluppata l-bizzilla ""Bucks Point""?")</f>
        <v>F'liema era kienet żviluppata l-bizzilla "Bucks Point"?</v>
      </c>
    </row>
    <row r="19056" ht="15.75" customHeight="1">
      <c r="A19056" s="2" t="s">
        <v>19056</v>
      </c>
      <c r="B19056" s="2" t="str">
        <f>IFERROR(__xludf.DUMMYFUNCTION("GOOGLETRANSLATE(A19056, ""en"", ""mt"")"),"Slave Craton fil-Majjistral tal-Kanada")</f>
        <v>Slave Craton fil-Majjistral tal-Kanada</v>
      </c>
    </row>
    <row r="19057" ht="15.75" customHeight="1">
      <c r="A19057" s="2" t="s">
        <v>19057</v>
      </c>
      <c r="B19057" s="2" t="str">
        <f>IFERROR(__xludf.DUMMYFUNCTION("GOOGLETRANSLATE(A19057, ""en"", ""mt"")"),"Kemm affiljati huma konnessi mal-ACG New Zealand International College?")</f>
        <v>Kemm affiljati huma konnessi mal-ACG New Zealand International College?</v>
      </c>
    </row>
    <row r="19058" ht="15.75" customHeight="1">
      <c r="A19058" s="2" t="s">
        <v>19058</v>
      </c>
      <c r="B19058" s="2" t="str">
        <f>IFERROR(__xludf.DUMMYFUNCTION("GOOGLETRANSLATE(A19058, ""en"", ""mt"")"),"Liġi ta 'Lorentz")</f>
        <v>Liġi ta 'Lorentz</v>
      </c>
    </row>
    <row r="19059" ht="15.75" customHeight="1">
      <c r="A19059" s="2" t="s">
        <v>19059</v>
      </c>
      <c r="B19059" s="2" t="str">
        <f>IFERROR(__xludf.DUMMYFUNCTION("GOOGLETRANSLATE(A19059, ""en"", ""mt"")"),"Meta l-poplu Yuan sofra serje ta 'diżastri naturali?")</f>
        <v>Meta l-poplu Yuan sofra serje ta 'diżastri naturali?</v>
      </c>
    </row>
    <row r="19060" ht="15.75" customHeight="1">
      <c r="A19060" s="2" t="s">
        <v>19060</v>
      </c>
      <c r="B19060" s="2" t="str">
        <f>IFERROR(__xludf.DUMMYFUNCTION("GOOGLETRANSLATE(A19060, ""en"", ""mt"")"),"Librerija Pusey")</f>
        <v>Librerija Pusey</v>
      </c>
    </row>
    <row r="19061" ht="15.75" customHeight="1">
      <c r="A19061" s="2" t="s">
        <v>19061</v>
      </c>
      <c r="B19061" s="2" t="str">
        <f>IFERROR(__xludf.DUMMYFUNCTION("GOOGLETRANSLATE(A19061, ""en"", ""mt"")"),"Liema klabb rebaħ 118 tournaments u 15-il kampjonat nazzjonali?")</f>
        <v>Liema klabb rebaħ 118 tournaments u 15-il kampjonat nazzjonali?</v>
      </c>
    </row>
    <row r="19062" ht="15.75" customHeight="1">
      <c r="A19062" s="2" t="s">
        <v>19062</v>
      </c>
      <c r="B19062" s="2" t="str">
        <f>IFERROR(__xludf.DUMMYFUNCTION("GOOGLETRANSLATE(A19062, ""en"", ""mt"")"),"Friedrich Ratzel ħaseb li l-imperjalizmu kien dak għall-pajjiż?")</f>
        <v>Friedrich Ratzel ħaseb li l-imperjalizmu kien dak għall-pajjiż?</v>
      </c>
    </row>
    <row r="19063" ht="15.75" customHeight="1">
      <c r="A19063" s="2" t="s">
        <v>19063</v>
      </c>
      <c r="B19063" s="2" t="str">
        <f>IFERROR(__xludf.DUMMYFUNCTION("GOOGLETRANSLATE(A19063, ""en"", ""mt"")"),"X'kien il-persentaġġ fil-mira tad-djar li ried jilħaq?")</f>
        <v>X'kien il-persentaġġ fil-mira tad-djar li ried jilħaq?</v>
      </c>
    </row>
    <row r="19064" ht="15.75" customHeight="1">
      <c r="A19064" s="2" t="s">
        <v>19064</v>
      </c>
      <c r="B19064" s="2" t="str">
        <f>IFERROR(__xludf.DUMMYFUNCTION("GOOGLETRANSLATE(A19064, ""en"", ""mt"")"),"Huwa rikonoxxut li rendikont epidemjoloġiku tal-pesta huwa importanti daqs identifikazzjoni tas-sintomi, iżda r-riċerkaturi huma mxekkla min-nuqqas ta 'statistika affidabbli minn dan il-perjodu. Il-biċċa l-kbira tax-xogħol sar fuq it-tixrid tal-pesta fl-I"&amp;"ngilterra, u anke stimi tal-popolazzjoni ġenerali fil-bidu jvarjaw b'aktar minn 100% peress li ma sar l-ebda ċensiment bejn iż-żmien tal-pubblikazzjoni tal-ktieb Domesday u s-sena 1377. Stimi tal-pesta Il-vittmi ġeneralment jiġu estrapolati minn figuri mi"&amp;"ll-kleru.")</f>
        <v>Huwa rikonoxxut li rendikont epidemjoloġiku tal-pesta huwa importanti daqs identifikazzjoni tas-sintomi, iżda r-riċerkaturi huma mxekkla min-nuqqas ta 'statistika affidabbli minn dan il-perjodu. Il-biċċa l-kbira tax-xogħol sar fuq it-tixrid tal-pesta fl-Ingilterra, u anke stimi tal-popolazzjoni ġenerali fil-bidu jvarjaw b'aktar minn 100% peress li ma sar l-ebda ċensiment bejn iż-żmien tal-pubblikazzjoni tal-ktieb Domesday u s-sena 1377. Stimi tal-pesta Il-vittmi ġeneralment jiġu estrapolati minn figuri mill-kleru.</v>
      </c>
    </row>
    <row r="19065" ht="15.75" customHeight="1">
      <c r="A19065" s="2" t="s">
        <v>19065</v>
      </c>
      <c r="B19065" s="2" t="str">
        <f>IFERROR(__xludf.DUMMYFUNCTION("GOOGLETRANSLATE(A19065, ""en"", ""mt"")"),"Liema artikolu jippermetti lill-Kunsill Ewropew jirregola l-għaqdiet bejn id-ditti?")</f>
        <v>Liema artikolu jippermetti lill-Kunsill Ewropew jirregola l-għaqdiet bejn id-ditti?</v>
      </c>
    </row>
    <row r="19066" ht="15.75" customHeight="1">
      <c r="A19066" s="2" t="s">
        <v>19066</v>
      </c>
      <c r="B19066" s="2" t="str">
        <f>IFERROR(__xludf.DUMMYFUNCTION("GOOGLETRANSLATE(A19066, ""en"", ""mt"")"),"1679")</f>
        <v>1679</v>
      </c>
    </row>
    <row r="19067" ht="15.75" customHeight="1">
      <c r="A19067" s="2" t="s">
        <v>19067</v>
      </c>
      <c r="B19067" s="2" t="str">
        <f>IFERROR(__xludf.DUMMYFUNCTION("GOOGLETRANSLATE(A19067, ""en"", ""mt"")"),"X'inhu l-isem ta 'algoritmu ieħor utli għall-ittestjar b'mod konvenjenti tal-primalità ta' ċifri deċimali?")</f>
        <v>X'inhu l-isem ta 'algoritmu ieħor utli għall-ittestjar b'mod konvenjenti tal-primalità ta' ċifri deċimali?</v>
      </c>
    </row>
    <row r="19068" ht="15.75" customHeight="1">
      <c r="A19068" s="2" t="s">
        <v>19068</v>
      </c>
      <c r="B19068" s="2" t="str">
        <f>IFERROR(__xludf.DUMMYFUNCTION("GOOGLETRANSLATE(A19068, ""en"", ""mt"")"),"Tfixkil fl-irqad jista 'jwassal għal żieda f'liema kundizzjonijiet kroniċi?")</f>
        <v>Tfixkil fl-irqad jista 'jwassal għal żieda f'liema kundizzjonijiet kroniċi?</v>
      </c>
    </row>
    <row r="19069" ht="15.75" customHeight="1">
      <c r="A19069" s="2" t="s">
        <v>19069</v>
      </c>
      <c r="B19069" s="2" t="str">
        <f>IFERROR(__xludf.DUMMYFUNCTION("GOOGLETRANSLATE(A19069, ""en"", ""mt"")"),"AppleTalk ġie żviluppat fl-1995 għal min?")</f>
        <v>AppleTalk ġie żviluppat fl-1995 għal min?</v>
      </c>
    </row>
    <row r="19070" ht="15.75" customHeight="1">
      <c r="A19070" s="2" t="s">
        <v>19070</v>
      </c>
      <c r="B19070" s="2" t="str">
        <f>IFERROR(__xludf.DUMMYFUNCTION("GOOGLETRANSLATE(A19070, ""en"", ""mt"")"),"X’opera fost il-pluralità li tonqos ta ’sistemi legali nazzjonali u globalizzati?")</f>
        <v>X’opera fost il-pluralità li tonqos ta ’sistemi legali nazzjonali u globalizzati?</v>
      </c>
    </row>
    <row r="19071" ht="15.75" customHeight="1">
      <c r="A19071" s="2" t="s">
        <v>19071</v>
      </c>
      <c r="B19071" s="2" t="str">
        <f>IFERROR(__xludf.DUMMYFUNCTION("GOOGLETRANSLATE(A19071, ""en"", ""mt"")"),"Għaliex iseħħ livell ogħla ta 'tkabbir ekonomiku minħabba konsum high-end?")</f>
        <v>Għaliex iseħħ livell ogħla ta 'tkabbir ekonomiku minħabba konsum high-end?</v>
      </c>
    </row>
    <row r="19072" ht="15.75" customHeight="1">
      <c r="A19072" s="2" t="s">
        <v>19072</v>
      </c>
      <c r="B19072" s="2" t="str">
        <f>IFERROR(__xludf.DUMMYFUNCTION("GOOGLETRANSLATE(A19072, ""en"", ""mt"")"),"X'tip ta 'azzjonijiet jittieħdu kultant fid-diżubbidjenza ċivili?")</f>
        <v>X'tip ta 'azzjonijiet jittieħdu kultant fid-diżubbidjenza ċivili?</v>
      </c>
    </row>
    <row r="19073" ht="15.75" customHeight="1">
      <c r="A19073" s="2" t="s">
        <v>19073</v>
      </c>
      <c r="B19073" s="2" t="str">
        <f>IFERROR(__xludf.DUMMYFUNCTION("GOOGLETRANSLATE(A19073, ""en"", ""mt"")"),"Magni Uniflow jippruvaw jirrimedjaw id-diffikultajiet li joħorġu miċ-ċiklu tas-soltu tal-kontro-fluss fejn, matul kull puplesija, il-port u l-ħitan taċ-ċilindru jiġu mkessħa mill-fwar tal-egżost li jgħaddi, filwaqt li l-istim tad-dħul li jidħol jaħraq se "&amp;"jaħli ftit mill-enerġija tiegħu fir-restawr tat-temperatura tax-xogħol - L-għan tal-Uniflow huwa li tirrimedja dan id-difett u ttejjeb l-effiċjenza billi tipprovdi port addizzjonali mikxuf mill-pistun fl-aħħar ta 'kull puplesija li tagħmel il-fluss tal-fw"&amp;"ar biss f'direzzjoni waħda. B'dan il-mezz, il-magna uniflow ta 'espansjoni sempliċi tagħti effiċjenza ekwivalenti għal dik ta' sistemi komposti klassiċi bil-vantaġġ miżjud ta 'prestazzjoni ta' tagħbija parzjali superjuri, u effiċjenza komparabbli ma 'turb"&amp;"ini għal magni iżgħar taħt elf elf horsepower. Madankollu, il-magni uniflow tal-gradjent tal-espansjoni termali jipproduċu tul il-ħajt taċ-ċilindru jagħti diffikultajiet prattiċi. [Ċitazzjoni meħtieġa]. Il-quasiturbine hija magna tal-fwar li jdur uniflow "&amp;"fejn il-fwar tal-fwar f'żoni sħan, waqt li tkun qed teżawrixxi f'żoni kesħin.")</f>
        <v>Magni Uniflow jippruvaw jirrimedjaw id-diffikultajiet li joħorġu miċ-ċiklu tas-soltu tal-kontro-fluss fejn, matul kull puplesija, il-port u l-ħitan taċ-ċilindru jiġu mkessħa mill-fwar tal-egżost li jgħaddi, filwaqt li l-istim tad-dħul li jidħol jaħraq se jaħli ftit mill-enerġija tiegħu fir-restawr tat-temperatura tax-xogħol - L-għan tal-Uniflow huwa li tirrimedja dan id-difett u ttejjeb l-effiċjenza billi tipprovdi port addizzjonali mikxuf mill-pistun fl-aħħar ta 'kull puplesija li tagħmel il-fluss tal-fwar biss f'direzzjoni waħda. B'dan il-mezz, il-magna uniflow ta 'espansjoni sempliċi tagħti effiċjenza ekwivalenti għal dik ta' sistemi komposti klassiċi bil-vantaġġ miżjud ta 'prestazzjoni ta' tagħbija parzjali superjuri, u effiċjenza komparabbli ma 'turbini għal magni iżgħar taħt elf elf horsepower. Madankollu, il-magni uniflow tal-gradjent tal-espansjoni termali jipproduċu tul il-ħajt taċ-ċilindru jagħti diffikultajiet prattiċi. [Ċitazzjoni meħtieġa]. Il-quasiturbine hija magna tal-fwar li jdur uniflow fejn il-fwar tal-fwar f'żoni sħan, waqt li tkun qed teżawrixxi f'żoni kesħin.</v>
      </c>
    </row>
    <row r="19074" ht="15.75" customHeight="1">
      <c r="A19074" s="2" t="s">
        <v>19074</v>
      </c>
      <c r="B19074" s="2" t="str">
        <f>IFERROR(__xludf.DUMMYFUNCTION("GOOGLETRANSLATE(A19074, ""en"", ""mt"")"),"L-invażjoni falliet kemm militarment kif ukoll politikament, hekk kif Pitt reġa 'ppjana kampanji sinifikanti kontra Franza l-ġdida")</f>
        <v>L-invażjoni falliet kemm militarment kif ukoll politikament, hekk kif Pitt reġa 'ppjana kampanji sinifikanti kontra Franza l-ġdida</v>
      </c>
    </row>
    <row r="19075" ht="15.75" customHeight="1">
      <c r="A19075" s="2" t="s">
        <v>19075</v>
      </c>
      <c r="B19075" s="2" t="str">
        <f>IFERROR(__xludf.DUMMYFUNCTION("GOOGLETRANSLATE(A19075, ""en"", ""mt"")"),"Ċentru Barnett")</f>
        <v>Ċentru Barnett</v>
      </c>
    </row>
    <row r="19076" ht="15.75" customHeight="1">
      <c r="A19076" s="2" t="s">
        <v>19076</v>
      </c>
      <c r="B19076" s="2" t="str">
        <f>IFERROR(__xludf.DUMMYFUNCTION("GOOGLETRANSLATE(A19076, ""en"", ""mt"")"),"Liema teorija kienet tirrappreżenta l-problema tal-merkurju?")</f>
        <v>Liema teorija kienet tirrappreżenta l-problema tal-merkurju?</v>
      </c>
    </row>
    <row r="19077" ht="15.75" customHeight="1">
      <c r="A19077" s="2" t="s">
        <v>19077</v>
      </c>
      <c r="B19077" s="2" t="str">
        <f>IFERROR(__xludf.DUMMYFUNCTION("GOOGLETRANSLATE(A19077, ""en"", ""mt"")"),"Kemm bits huma tipikament użati fil-logaritmi tal-iskambju ewlieni għall-iskambju taċ-ċavetta Diffie-Hellman?")</f>
        <v>Kemm bits huma tipikament użati fil-logaritmi tal-iskambju ewlieni għall-iskambju taċ-ċavetta Diffie-Hellman?</v>
      </c>
    </row>
    <row r="19078" ht="15.75" customHeight="1">
      <c r="A19078" s="2" t="s">
        <v>19078</v>
      </c>
      <c r="B19078" s="2" t="str">
        <f>IFERROR(__xludf.DUMMYFUNCTION("GOOGLETRANSLATE(A19078, ""en"", ""mt"")"),"X'kienet il-magna bi pressjoni għolja komponent importanti?")</f>
        <v>X'kienet il-magna bi pressjoni għolja komponent importanti?</v>
      </c>
    </row>
    <row r="19079" ht="15.75" customHeight="1">
      <c r="A19079" s="2" t="s">
        <v>19079</v>
      </c>
      <c r="B19079" s="2" t="str">
        <f>IFERROR(__xludf.DUMMYFUNCTION("GOOGLETRANSLATE(A19079, ""en"", ""mt"")"),"Minn liema sena kienu disponibbli 10000 magni tal-horsepower?")</f>
        <v>Minn liema sena kienu disponibbli 10000 magni tal-horsepower?</v>
      </c>
    </row>
    <row r="19080" ht="15.75" customHeight="1">
      <c r="A19080" s="2" t="s">
        <v>19080</v>
      </c>
      <c r="B19080" s="2" t="str">
        <f>IFERROR(__xludf.DUMMYFUNCTION("GOOGLETRANSLATE(A19080, ""en"", ""mt"")"),"L-ispiżeriji tal-isptar spiss jistgħu jinstabu fil-bini tal-isptar. L-ispiżeriji tal-isptar ġeneralment jaħżnu firxa akbar ta 'mediċini, inklużi mediċini aktar speċjalizzati, milli jkunu fattibbli fl-ambjent tal-komunità. Il-biċċa l-kbira tal-mediċini fl-"&amp;"isptar huma doża unitarja, jew doża waħda ta 'mediċina. L-ispiżjara tal-isptar u t-tekniċi tal-ispiżerija mħarrġa jikkomponu prodotti sterili għal pazjenti inkluż nutrizzjoni parenterali totali (TPN), u mediċini oħra mogħtija ġol-vina. Dan huwa proċess ku"&amp;"mpless li jirrikjedi taħriġ adegwat ta 'persunal, assigurazzjoni tal-kwalità tal-prodotti, u faċilitajiet adegwati. Bosta spiżeriji fl-isptar iddeċidew li jesternalizzaw preparazzjonijiet ta 'riskju għoli u xi funzjonijiet oħra ta' taħlit għal kumpaniji l"&amp;"i jispeċjalizzaw fit-taħlit. L-ispiża għolja tal-mediċini u t-teknoloġija relatata mal-mediċina, flimkien mal-impatt potenzjali tal-mediċini u s-servizzi tal-ispiżerija fuq ir-riżultati tal-kura tal-pazjenti u s-sigurtà tal-pazjent, jagħmluha imperattiva "&amp;"li l-ispiżeriji tal-isptar iwettqu fl-ogħla livell possibbli.")</f>
        <v>L-ispiżeriji tal-isptar spiss jistgħu jinstabu fil-bini tal-isptar. L-ispiżeriji tal-isptar ġeneralment jaħżnu firxa akbar ta 'mediċini, inklużi mediċini aktar speċjalizzati, milli jkunu fattibbli fl-ambjent tal-komunità. Il-biċċa l-kbira tal-mediċini fl-isptar huma doża unitarja, jew doża waħda ta 'mediċina. L-ispiżjara tal-isptar u t-tekniċi tal-ispiżerija mħarrġa jikkomponu prodotti sterili għal pazjenti inkluż nutrizzjoni parenterali totali (TPN), u mediċini oħra mogħtija ġol-vina. Dan huwa proċess kumpless li jirrikjedi taħriġ adegwat ta 'persunal, assigurazzjoni tal-kwalità tal-prodotti, u faċilitajiet adegwati. Bosta spiżeriji fl-isptar iddeċidew li jesternalizzaw preparazzjonijiet ta 'riskju għoli u xi funzjonijiet oħra ta' taħlit għal kumpaniji li jispeċjalizzaw fit-taħlit. L-ispiża għolja tal-mediċini u t-teknoloġija relatata mal-mediċina, flimkien mal-impatt potenzjali tal-mediċini u s-servizzi tal-ispiżerija fuq ir-riżultati tal-kura tal-pazjenti u s-sigurtà tal-pazjent, jagħmluha imperattiva li l-ispiżeriji tal-isptar iwettqu fl-ogħla livell possibbli.</v>
      </c>
    </row>
    <row r="19081" ht="15.75" customHeight="1">
      <c r="A19081" s="2" t="s">
        <v>19081</v>
      </c>
      <c r="B19081" s="2" t="str">
        <f>IFERROR(__xludf.DUMMYFUNCTION("GOOGLETRANSLATE(A19081, ""en"", ""mt"")"),"Fresno hija l-kapitali ta 'liema stat?")</f>
        <v>Fresno hija l-kapitali ta 'liema stat?</v>
      </c>
    </row>
    <row r="19082" ht="15.75" customHeight="1">
      <c r="A19082" s="2" t="s">
        <v>19082</v>
      </c>
      <c r="B19082" s="2" t="str">
        <f>IFERROR(__xludf.DUMMYFUNCTION("GOOGLETRANSLATE(A19082, ""en"", ""mt"")"),"X'kienet il-preżenza militari Franċiża fil-bidu tal-paċi?")</f>
        <v>X'kienet il-preżenza militari Franċiża fil-bidu tal-paċi?</v>
      </c>
    </row>
    <row r="19083" ht="15.75" customHeight="1">
      <c r="A19083" s="2" t="s">
        <v>19083</v>
      </c>
      <c r="B19083" s="2" t="str">
        <f>IFERROR(__xludf.DUMMYFUNCTION("GOOGLETRANSLATE(A19083, ""en"", ""mt"")"),"Fl-2004 ir-rivoluzzjoni oranġjo seħħet f'liema pajjiż?")</f>
        <v>Fl-2004 ir-rivoluzzjoni oranġjo seħħet f'liema pajjiż?</v>
      </c>
    </row>
    <row r="19084" ht="15.75" customHeight="1">
      <c r="A19084" s="2" t="s">
        <v>19084</v>
      </c>
      <c r="B19084" s="2" t="str">
        <f>IFERROR(__xludf.DUMMYFUNCTION("GOOGLETRANSLATE(A19084, ""en"", ""mt"")"),"Liema interpretazzjoni tal-Iżlam hija, għal ħafna mill-osservanti, l- ""istandard tad-deheb"" tar-reliġjon tagħhom?")</f>
        <v>Liema interpretazzjoni tal-Iżlam hija, għal ħafna mill-osservanti, l- "istandard tad-deheb" tar-reliġjon tagħhom?</v>
      </c>
    </row>
    <row r="19085" ht="15.75" customHeight="1">
      <c r="A19085" s="2" t="s">
        <v>19085</v>
      </c>
      <c r="B19085" s="2" t="str">
        <f>IFERROR(__xludf.DUMMYFUNCTION("GOOGLETRANSLATE(A19085, ""en"", ""mt"")"),"X'inhi waħda mill-inqas mistoqsijiet miftuħa importanti fix-xjenza teoretika tal-kompjuter?")</f>
        <v>X'inhi waħda mill-inqas mistoqsijiet miftuħa importanti fix-xjenza teoretika tal-kompjuter?</v>
      </c>
    </row>
    <row r="19086" ht="15.75" customHeight="1">
      <c r="A19086" s="2" t="s">
        <v>19086</v>
      </c>
      <c r="B19086" s="2" t="str">
        <f>IFERROR(__xludf.DUMMYFUNCTION("GOOGLETRANSLATE(A19086, ""en"", ""mt"")"),"Avukat")</f>
        <v>Avukat</v>
      </c>
    </row>
    <row r="19087" ht="15.75" customHeight="1">
      <c r="A19087" s="2" t="s">
        <v>19087</v>
      </c>
      <c r="B19087" s="2" t="str">
        <f>IFERROR(__xludf.DUMMYFUNCTION("GOOGLETRANSLATE(A19087, ""en"", ""mt"")"),"Minbarra l-proprjetà analitika tan-numri, fuq liema proprjetà oħra tan-numri tiffoka fuq it-teorija tan-numri?")</f>
        <v>Minbarra l-proprjetà analitika tan-numri, fuq liema proprjetà oħra tan-numri tiffoka fuq it-teorija tan-numri?</v>
      </c>
    </row>
    <row r="19088" ht="15.75" customHeight="1">
      <c r="A19088" s="2" t="s">
        <v>19088</v>
      </c>
      <c r="B19088" s="2" t="str">
        <f>IFERROR(__xludf.DUMMYFUNCTION("GOOGLETRANSLATE(A19088, ""en"", ""mt"")"),"Fl-iktar akkwist komuni ta ’kostruzzjoni, min jaġixxi bħala l-koordinatur tal-proġett?")</f>
        <v>Fl-iktar akkwist komuni ta ’kostruzzjoni, min jaġixxi bħala l-koordinatur tal-proġett?</v>
      </c>
    </row>
    <row r="19089" ht="15.75" customHeight="1">
      <c r="A19089" s="2" t="s">
        <v>19089</v>
      </c>
      <c r="B19089" s="2" t="str">
        <f>IFERROR(__xludf.DUMMYFUNCTION("GOOGLETRANSLATE(A19089, ""en"", ""mt"")"),"X'tip ta 'ideali jiġġeneralizzaw l-aritmetika Noetherian?")</f>
        <v>X'tip ta 'ideali jiġġeneralizzaw l-aritmetika Noetherian?</v>
      </c>
    </row>
    <row r="19090" ht="15.75" customHeight="1">
      <c r="A19090" s="2" t="s">
        <v>19090</v>
      </c>
      <c r="B19090" s="2" t="str">
        <f>IFERROR(__xludf.DUMMYFUNCTION("GOOGLETRANSLATE(A19090, ""en"", ""mt"")"),"Kull erba 'snin.")</f>
        <v>Kull erba 'snin.</v>
      </c>
    </row>
    <row r="19091" ht="15.75" customHeight="1">
      <c r="A19091" s="2" t="s">
        <v>19091</v>
      </c>
      <c r="B19091" s="2" t="str">
        <f>IFERROR(__xludf.DUMMYFUNCTION("GOOGLETRANSLATE(A19091, ""en"", ""mt"")"),"Regola kolonjali, jew okkupazzjoni fiżika ta 'territorju hija eżempju ta' x'tip ta 'imperjalizmu?")</f>
        <v>Regola kolonjali, jew okkupazzjoni fiżika ta 'territorju hija eżempju ta' x'tip ta 'imperjalizmu?</v>
      </c>
    </row>
    <row r="19092" ht="15.75" customHeight="1">
      <c r="A19092" s="2" t="s">
        <v>19092</v>
      </c>
      <c r="B19092" s="2" t="str">
        <f>IFERROR(__xludf.DUMMYFUNCTION("GOOGLETRANSLATE(A19092, ""en"", ""mt"")"),"Bill Aken")</f>
        <v>Bill Aken</v>
      </c>
    </row>
    <row r="19093" ht="15.75" customHeight="1">
      <c r="A19093" s="2" t="s">
        <v>19093</v>
      </c>
      <c r="B19093" s="2" t="str">
        <f>IFERROR(__xludf.DUMMYFUNCTION("GOOGLETRANSLATE(A19093, ""en"", ""mt"")"),"Liema annimali jinkludu l-ekosistema tax-Xmara Czerniakow?")</f>
        <v>Liema annimali jinkludu l-ekosistema tax-Xmara Czerniakow?</v>
      </c>
    </row>
    <row r="19094" ht="15.75" customHeight="1">
      <c r="A19094" s="2" t="s">
        <v>19094</v>
      </c>
      <c r="B19094" s="2" t="str">
        <f>IFERROR(__xludf.DUMMYFUNCTION("GOOGLETRANSLATE(A19094, ""en"", ""mt"")"),"xabla")</f>
        <v>xabla</v>
      </c>
    </row>
    <row r="19095" ht="15.75" customHeight="1">
      <c r="A19095" s="2" t="s">
        <v>19095</v>
      </c>
      <c r="B19095" s="2" t="str">
        <f>IFERROR(__xludf.DUMMYFUNCTION("GOOGLETRANSLATE(A19095, ""en"", ""mt"")"),"Duisport")</f>
        <v>Duisport</v>
      </c>
    </row>
    <row r="19096" ht="15.75" customHeight="1">
      <c r="A19096" s="2" t="s">
        <v>19096</v>
      </c>
      <c r="B19096" s="2" t="str">
        <f>IFERROR(__xludf.DUMMYFUNCTION("GOOGLETRANSLATE(A19096, ""en"", ""mt"")"),"Dinwiddie titlob irtirar immedjat Franċiż mill-pajjiż ta 'Ohio")</f>
        <v>Dinwiddie titlob irtirar immedjat Franċiż mill-pajjiż ta 'Ohio</v>
      </c>
    </row>
    <row r="19097" ht="15.75" customHeight="1">
      <c r="A19097" s="2" t="s">
        <v>19097</v>
      </c>
      <c r="B19097" s="2" t="str">
        <f>IFERROR(__xludf.DUMMYFUNCTION("GOOGLETRANSLATE(A19097, ""en"", ""mt"")"),"Kemm Vittorjani huma Buddisti?")</f>
        <v>Kemm Vittorjani huma Buddisti?</v>
      </c>
    </row>
    <row r="19098" ht="15.75" customHeight="1">
      <c r="A19098" s="2" t="s">
        <v>19098</v>
      </c>
      <c r="B19098" s="2" t="str">
        <f>IFERROR(__xludf.DUMMYFUNCTION("GOOGLETRANSLATE(A19098, ""en"", ""mt"")"),"X'tip ta 'lokomottiva kien Darlington?")</f>
        <v>X'tip ta 'lokomottiva kien Darlington?</v>
      </c>
    </row>
    <row r="19099" ht="15.75" customHeight="1">
      <c r="A19099" s="2" t="s">
        <v>19099</v>
      </c>
      <c r="B19099" s="2" t="str">
        <f>IFERROR(__xludf.DUMMYFUNCTION("GOOGLETRANSLATE(A19099, ""en"", ""mt"")"),"X’kawża li r-reġjuni tas-savanna jikbru fit-tropiċi tal-Amerika t'Isfel fl-aħħar 34 miljun sena?")</f>
        <v>X’kawża li r-reġjuni tas-savanna jikbru fit-tropiċi tal-Amerika t'Isfel fl-aħħar 34 miljun sena?</v>
      </c>
    </row>
    <row r="19100" ht="15.75" customHeight="1">
      <c r="A19100" s="2" t="s">
        <v>19100</v>
      </c>
      <c r="B19100" s="2" t="str">
        <f>IFERROR(__xludf.DUMMYFUNCTION("GOOGLETRANSLATE(A19100, ""en"", ""mt"")"),"bħala grubs taħt l-art")</f>
        <v>bħala grubs taħt l-art</v>
      </c>
    </row>
    <row r="19101" ht="15.75" customHeight="1">
      <c r="A19101" s="2" t="s">
        <v>19101</v>
      </c>
      <c r="B19101" s="2" t="str">
        <f>IFERROR(__xludf.DUMMYFUNCTION("GOOGLETRANSLATE(A19101, ""en"", ""mt"")"),"X'inhu l-isem tal-ktieb editjat mill-arkeologu Betty Meggers?")</f>
        <v>X'inhu l-isem tal-ktieb editjat mill-arkeologu Betty Meggers?</v>
      </c>
    </row>
    <row r="19102" ht="15.75" customHeight="1">
      <c r="A19102" s="2" t="s">
        <v>19102</v>
      </c>
      <c r="B19102" s="2" t="str">
        <f>IFERROR(__xludf.DUMMYFUNCTION("GOOGLETRANSLATE(A19102, ""en"", ""mt"")"),"X'inhuma l-ispiżjara fir-Renju Unit li qed jitħallsu dejjem aktar?")</f>
        <v>X'inhuma l-ispiżjara fir-Renju Unit li qed jitħallsu dejjem aktar?</v>
      </c>
    </row>
    <row r="19103" ht="15.75" customHeight="1">
      <c r="A19103" s="2" t="s">
        <v>19103</v>
      </c>
      <c r="B19103" s="2" t="str">
        <f>IFERROR(__xludf.DUMMYFUNCTION("GOOGLETRANSLATE(A19103, ""en"", ""mt"")"),"Il-forzi jaġixxu f'direzzjoni partikolari u għandhom daqsijiet dipendenti fuq kemm hi qawwija l-imbuttatura jew il-ġibda. Minħabba dawn il-karatteristiċi, il-forzi huma kklassifikati bħala ""kwantitajiet ta 'vettur"". Dan ifisser li l-forzi jsegwu sett di"&amp;"fferenti ta 'regoli matematiċi minn kwantitajiet fiżiċi li m'għandhomx direzzjoni (kwantitajiet skalari denotati). Pereżempju, meta jiġu ddeterminati x'jiġri meta żewġ forzi jaġixxu fuq l-istess oġġett, huwa meħtieġ li tkun taf kemm il-kobor kif ukoll id-"&amp;"direzzjoni taż-żewġ forzi biex tikkalkula r-riżultat. Jekk dawn iż-żewġ biċċiet ta 'informazzjoni mhumiex magħrufa għal kull forza, is-sitwazzjoni hija ambigwa. Pereżempju, jekk taf li żewġ persuni qed jiġbdu l-istess ħabel bil-kobor tal-forza magħrufa im"&amp;"ma ma tafx liema direzzjoni qed tiġbed, huwa impossibbli li tiddetermina x'inhi l-aċċellerazzjoni tal-ħabel. Iż-żewġ persuni jistgħu jkunu qed jiġbdu kontra xulxin hekk kif fl-irmonk tal-gwerra jew iż-żewġ persuni jistgħu jiġbdu fl-istess direzzjoni. F'da"&amp;"n l-eżempju sempliċi b'dimensjoni waħda, mingħajr ma tkun taf id-direzzjoni tal-forzi huwa impossibbli li tiddeċiedi jekk il-forza netta hijiex ir-riżultat li żżid iż-żewġ kobor tal-forza jew li tnaqqas waħda mill-oħra. L-assoċjazzjoni tal-forzi ma 'vetto"&amp;"ri tevita problemi bħal dawn.")</f>
        <v>Il-forzi jaġixxu f'direzzjoni partikolari u għandhom daqsijiet dipendenti fuq kemm hi qawwija l-imbuttatura jew il-ġibda. Minħabba dawn il-karatteristiċi, il-forzi huma kklassifikati bħala "kwantitajiet ta 'vettur". Dan ifisser li l-forzi jsegwu sett differenti ta 'regoli matematiċi minn kwantitajiet fiżiċi li m'għandhomx direzzjoni (kwantitajiet skalari denotati). Pereżempju, meta jiġu ddeterminati x'jiġri meta żewġ forzi jaġixxu fuq l-istess oġġett, huwa meħtieġ li tkun taf kemm il-kobor kif ukoll id-direzzjoni taż-żewġ forzi biex tikkalkula r-riżultat. Jekk dawn iż-żewġ biċċiet ta 'informazzjoni mhumiex magħrufa għal kull forza, is-sitwazzjoni hija ambigwa. Pereżempju, jekk taf li żewġ persuni qed jiġbdu l-istess ħabel bil-kobor tal-forza magħrufa imma ma tafx liema direzzjoni qed tiġbed, huwa impossibbli li tiddetermina x'inhi l-aċċellerazzjoni tal-ħabel. Iż-żewġ persuni jistgħu jkunu qed jiġbdu kontra xulxin hekk kif fl-irmonk tal-gwerra jew iż-żewġ persuni jistgħu jiġbdu fl-istess direzzjoni. F'dan l-eżempju sempliċi b'dimensjoni waħda, mingħajr ma tkun taf id-direzzjoni tal-forzi huwa impossibbli li tiddeċiedi jekk il-forza netta hijiex ir-riżultat li żżid iż-żewġ kobor tal-forza jew li tnaqqas waħda mill-oħra. L-assoċjazzjoni tal-forzi ma 'vettori tevita problemi bħal dawn.</v>
      </c>
    </row>
    <row r="19104" ht="15.75" customHeight="1">
      <c r="A19104" s="2" t="s">
        <v>19104</v>
      </c>
      <c r="B19104" s="2" t="str">
        <f>IFERROR(__xludf.DUMMYFUNCTION("GOOGLETRANSLATE(A19104, ""en"", ""mt"")"),"Matul liema perjodu Radcliffe sar prominenti bħala università?")</f>
        <v>Matul liema perjodu Radcliffe sar prominenti bħala università?</v>
      </c>
    </row>
    <row r="19105" ht="15.75" customHeight="1">
      <c r="A19105" s="2" t="s">
        <v>19105</v>
      </c>
      <c r="B19105" s="2" t="str">
        <f>IFERROR(__xludf.DUMMYFUNCTION("GOOGLETRANSLATE(A19105, ""en"", ""mt"")"),"Le Grande kiteb ukoll li d-definizzjoni tat-terminu diżubbidjenza ċivili daqshekk diffiċli jista 'jiġi deskritt bħala?")</f>
        <v>Le Grande kiteb ukoll li d-definizzjoni tat-terminu diżubbidjenza ċivili daqshekk diffiċli jista 'jiġi deskritt bħala?</v>
      </c>
    </row>
    <row r="19106" ht="15.75" customHeight="1">
      <c r="A19106" s="2" t="s">
        <v>19106</v>
      </c>
      <c r="B19106" s="2" t="str">
        <f>IFERROR(__xludf.DUMMYFUNCTION("GOOGLETRANSLATE(A19106, ""en"", ""mt"")"),"Fejn tinsab is-Sala tal-Kungress?")</f>
        <v>Fejn tinsab is-Sala tal-Kungress?</v>
      </c>
    </row>
    <row r="19107" ht="15.75" customHeight="1">
      <c r="A19107" s="2" t="s">
        <v>19107</v>
      </c>
      <c r="B19107" s="2" t="str">
        <f>IFERROR(__xludf.DUMMYFUNCTION("GOOGLETRANSLATE(A19107, ""en"", ""mt"")"),"27.7 miljun")</f>
        <v>27.7 miljun</v>
      </c>
    </row>
    <row r="19108" ht="15.75" customHeight="1">
      <c r="A19108" s="2" t="s">
        <v>19108</v>
      </c>
      <c r="B19108" s="2" t="str">
        <f>IFERROR(__xludf.DUMMYFUNCTION("GOOGLETRANSLATE(A19108, ""en"", ""mt"")"),"Terrazzi mgħarrqa ta 'qabel")</f>
        <v>Terrazzi mgħarrqa ta 'qabel</v>
      </c>
    </row>
    <row r="19109" ht="15.75" customHeight="1">
      <c r="A19109" s="2" t="s">
        <v>19109</v>
      </c>
      <c r="B19109" s="2" t="str">
        <f>IFERROR(__xludf.DUMMYFUNCTION("GOOGLETRANSLATE(A19109, ""en"", ""mt"")"),"inqas ċivilizzat")</f>
        <v>inqas ċivilizzat</v>
      </c>
    </row>
    <row r="19110" ht="15.75" customHeight="1">
      <c r="A19110" s="2" t="s">
        <v>19110</v>
      </c>
      <c r="B19110" s="2" t="str">
        <f>IFERROR(__xludf.DUMMYFUNCTION("GOOGLETRANSLATE(A19110, ""en"", ""mt"")"),"Is-simbolu għall-ossidu merkurju huwa?")</f>
        <v>Is-simbolu għall-ossidu merkurju huwa?</v>
      </c>
    </row>
    <row r="19111" ht="15.75" customHeight="1">
      <c r="A19111" s="2" t="s">
        <v>19111</v>
      </c>
      <c r="B19111" s="2" t="str">
        <f>IFERROR(__xludf.DUMMYFUNCTION("GOOGLETRANSLATE(A19111, ""en"", ""mt"")"),"Is-Sistema tal-Librerija tal-Università ta ’Harvard hija ċċentrata fil-Librerija Widener fil-Harvard Yard u tinkludi kważi 80 librerija individwali li għandhom aktar minn 18-il miljun volum. Skond l-Assoċjazzjoni Amerikana tal-Librerija, din tagħmilha l-i"&amp;"kbar librerija akkademika fl-Istati Uniti, u waħda mill-ikbar fid-dinja. Cabot Science Library, Lamont Library, u Widener Library huma tlieta mill-aktar libreriji popolari għal dawk li jiggradwaw biex jintużaw, b'aċċess faċli u postijiet ċentrali. Hemm ko"&amp;"tba rari, manuskritti u kollezzjonijiet speċjali oħra fil-libreriji ta 'Harvard; Houghton Library, il-Librerija Arthur u Elizabeth Schlesinger dwar l-Istorja tan-Nisa fl-Amerika, u l-Arkivji tal-Università ta 'Harvard jikkonsistu prinċipalment minn materj"&amp;"ali rari u uniċi. L-eqdem kollezzjoni ta 'mapep, gazzetta u atlasi ta' l-Amerika kemm qodma kif ukoll ġodda hija maħżuna fil-librerija Pusey u miftuħa għall-pubbliku. L-akbar ġabra ta 'materjal tal-lingwa tal-Lvant-Ażjan barra l-Asja tal-Lvant hija miżmum"&amp;"a fil-Librerija ta' Harvard-Yenching.")</f>
        <v>Is-Sistema tal-Librerija tal-Università ta ’Harvard hija ċċentrata fil-Librerija Widener fil-Harvard Yard u tinkludi kważi 80 librerija individwali li għandhom aktar minn 18-il miljun volum. Skond l-Assoċjazzjoni Amerikana tal-Librerija, din tagħmilha l-ikbar librerija akkademika fl-Istati Uniti, u waħda mill-ikbar fid-dinja. Cabot Science Library, Lamont Library, u Widener Library huma tlieta mill-aktar libreriji popolari għal dawk li jiggradwaw biex jintużaw, b'aċċess faċli u postijiet ċentrali. Hemm kotba rari, manuskritti u kollezzjonijiet speċjali oħra fil-libreriji ta 'Harvard; Houghton Library, il-Librerija Arthur u Elizabeth Schlesinger dwar l-Istorja tan-Nisa fl-Amerika, u l-Arkivji tal-Università ta 'Harvard jikkonsistu prinċipalment minn materjali rari u uniċi. L-eqdem kollezzjoni ta 'mapep, gazzetta u atlasi ta' l-Amerika kemm qodma kif ukoll ġodda hija maħżuna fil-librerija Pusey u miftuħa għall-pubbliku. L-akbar ġabra ta 'materjal tal-lingwa tal-Lvant-Ażjan barra l-Asja tal-Lvant hija miżmuma fil-Librerija ta' Harvard-Yenching.</v>
      </c>
    </row>
    <row r="19112" ht="15.75" customHeight="1">
      <c r="A19112" s="2" t="s">
        <v>19112</v>
      </c>
      <c r="B19112" s="2" t="str">
        <f>IFERROR(__xludf.DUMMYFUNCTION("GOOGLETRANSLATE(A19112, ""en"", ""mt"")"),"William Smith")</f>
        <v>William Smith</v>
      </c>
    </row>
    <row r="19113" ht="15.75" customHeight="1">
      <c r="A19113" s="2" t="s">
        <v>19113</v>
      </c>
      <c r="B19113" s="2" t="str">
        <f>IFERROR(__xludf.DUMMYFUNCTION("GOOGLETRANSLATE(A19113, ""en"", ""mt"")"),"Lulju 1977")</f>
        <v>Lulju 1977</v>
      </c>
    </row>
    <row r="19114" ht="15.75" customHeight="1">
      <c r="A19114" s="2" t="s">
        <v>19114</v>
      </c>
      <c r="B19114" s="2" t="str">
        <f>IFERROR(__xludf.DUMMYFUNCTION("GOOGLETRANSLATE(A19114, ""en"", ""mt"")"),"Meta Montreal ma kienx maqbud?")</f>
        <v>Meta Montreal ma kienx maqbud?</v>
      </c>
    </row>
    <row r="19115" ht="15.75" customHeight="1">
      <c r="A19115" s="2" t="s">
        <v>19115</v>
      </c>
      <c r="B19115" s="2" t="str">
        <f>IFERROR(__xludf.DUMMYFUNCTION("GOOGLETRANSLATE(A19115, ""en"", ""mt"")"),"l-iktar bini distintiv")</f>
        <v>l-iktar bini distintiv</v>
      </c>
    </row>
    <row r="19116" ht="15.75" customHeight="1">
      <c r="A19116" s="2" t="s">
        <v>19116</v>
      </c>
      <c r="B19116" s="2" t="str">
        <f>IFERROR(__xludf.DUMMYFUNCTION("GOOGLETRANSLATE(A19116, ""en"", ""mt"")"),"kleru")</f>
        <v>kleru</v>
      </c>
    </row>
    <row r="19117" ht="15.75" customHeight="1">
      <c r="A19117" s="2" t="s">
        <v>19117</v>
      </c>
      <c r="B19117" s="2" t="str">
        <f>IFERROR(__xludf.DUMMYFUNCTION("GOOGLETRANSLATE(A19117, ""en"", ""mt"")"),"tirrifletti x-xewqa li tħeġġeġ kunsens fost il-membri eletti")</f>
        <v>tirrifletti x-xewqa li tħeġġeġ kunsens fost il-membri eletti</v>
      </c>
    </row>
    <row r="19118" ht="15.75" customHeight="1">
      <c r="A19118" s="2" t="s">
        <v>19118</v>
      </c>
      <c r="B19118" s="2" t="str">
        <f>IFERROR(__xludf.DUMMYFUNCTION("GOOGLETRANSLATE(A19118, ""en"", ""mt"")"),"A jew μ")</f>
        <v>A jew μ</v>
      </c>
    </row>
    <row r="19119" ht="15.75" customHeight="1">
      <c r="A19119" s="2" t="s">
        <v>19119</v>
      </c>
      <c r="B19119" s="2" t="str">
        <f>IFERROR(__xludf.DUMMYFUNCTION("GOOGLETRANSLATE(A19119, ""en"", ""mt"")"),"Min għandu l-abbiltà li jbiddel it-taxxa fuq id-dħul fl-Iskozja sa 33 sold?")</f>
        <v>Min għandu l-abbiltà li jbiddel it-taxxa fuq id-dħul fl-Iskozja sa 33 sold?</v>
      </c>
    </row>
    <row r="19120" ht="15.75" customHeight="1">
      <c r="A19120" s="2" t="s">
        <v>19120</v>
      </c>
      <c r="B19120" s="2" t="str">
        <f>IFERROR(__xludf.DUMMYFUNCTION("GOOGLETRANSLATE(A19120, ""en"", ""mt"")"),"Interazzjoni Elettroweak")</f>
        <v>Interazzjoni Elettroweak</v>
      </c>
    </row>
    <row r="19121" ht="15.75" customHeight="1">
      <c r="A19121" s="2" t="s">
        <v>19121</v>
      </c>
      <c r="B19121" s="2" t="str">
        <f>IFERROR(__xludf.DUMMYFUNCTION("GOOGLETRANSLATE(A19121, ""en"", ""mt"")"),"Liema reliġjon huma l-biċċa l-kbira tal-klassi baxxa fir-Rabat?")</f>
        <v>Liema reliġjon huma l-biċċa l-kbira tal-klassi baxxa fir-Rabat?</v>
      </c>
    </row>
    <row r="19122" ht="15.75" customHeight="1">
      <c r="A19122" s="2" t="s">
        <v>19122</v>
      </c>
      <c r="B19122" s="2" t="str">
        <f>IFERROR(__xludf.DUMMYFUNCTION("GOOGLETRANSLATE(A19122, ""en"", ""mt"")"),"Kemm huwa twil l-aboral?")</f>
        <v>Kemm huwa twil l-aboral?</v>
      </c>
    </row>
    <row r="19123" ht="15.75" customHeight="1">
      <c r="A19123" s="2" t="s">
        <v>19123</v>
      </c>
      <c r="B19123" s="2" t="str">
        <f>IFERROR(__xludf.DUMMYFUNCTION("GOOGLETRANSLATE(A19123, ""en"", ""mt"")"),"Liema entità tittratta kwistjonijiet tal-persunal tal-UE?")</f>
        <v>Liema entità tittratta kwistjonijiet tal-persunal tal-UE?</v>
      </c>
    </row>
    <row r="19124" ht="15.75" customHeight="1">
      <c r="A19124" s="2" t="s">
        <v>19124</v>
      </c>
      <c r="B19124" s="2" t="str">
        <f>IFERROR(__xludf.DUMMYFUNCTION("GOOGLETRANSLATE(A19124, ""en"", ""mt"")"),"X'effett kellu n-nifs li l-gass skopert ta 'Priestley fuq il-ġurdien tal-esperiment?")</f>
        <v>X'effett kellu n-nifs li l-gass skopert ta 'Priestley fuq il-ġurdien tal-esperiment?</v>
      </c>
    </row>
    <row r="19125" ht="15.75" customHeight="1">
      <c r="A19125" s="2" t="s">
        <v>19125</v>
      </c>
      <c r="B19125" s="2" t="str">
        <f>IFERROR(__xludf.DUMMYFUNCTION("GOOGLETRANSLATE(A19125, ""en"", ""mt"")"),"Meta ġie elett Iqbal President tal-Lega Musulmana?")</f>
        <v>Meta ġie elett Iqbal President tal-Lega Musulmana?</v>
      </c>
    </row>
    <row r="19126" ht="15.75" customHeight="1">
      <c r="A19126" s="2" t="s">
        <v>19126</v>
      </c>
      <c r="B19126" s="2" t="str">
        <f>IFERROR(__xludf.DUMMYFUNCTION("GOOGLETRANSLATE(A19126, ""en"", ""mt"")"),"Kemm ta 'telf sofra Forbes fl-2008?")</f>
        <v>Kemm ta 'telf sofra Forbes fl-2008?</v>
      </c>
    </row>
    <row r="19127" ht="15.75" customHeight="1">
      <c r="A19127" s="2" t="s">
        <v>19127</v>
      </c>
      <c r="B19127" s="2" t="str">
        <f>IFERROR(__xludf.DUMMYFUNCTION("GOOGLETRANSLATE(A19127, ""en"", ""mt"")"),"Liema belt hija ppjanata li tkun parti mill-ferrovija ta 'veloċità għolja ta' California?")</f>
        <v>Liema belt hija ppjanata li tkun parti mill-ferrovija ta 'veloċità għolja ta' California?</v>
      </c>
    </row>
    <row r="19128" ht="15.75" customHeight="1">
      <c r="A19128" s="2" t="s">
        <v>19128</v>
      </c>
      <c r="B19128" s="2" t="str">
        <f>IFERROR(__xludf.DUMMYFUNCTION("GOOGLETRANSLATE(A19128, ""en"", ""mt"")"),"Min hu adattat biex jinterpreta t-trattati?")</f>
        <v>Min hu adattat biex jinterpreta t-trattati?</v>
      </c>
    </row>
    <row r="19129" ht="15.75" customHeight="1">
      <c r="A19129" s="2" t="s">
        <v>19129</v>
      </c>
      <c r="B19129" s="2" t="str">
        <f>IFERROR(__xludf.DUMMYFUNCTION("GOOGLETRANSLATE(A19129, ""en"", ""mt"")"),"Bilanċ tal-partijiet")</f>
        <v>Bilanċ tal-partijiet</v>
      </c>
    </row>
    <row r="19130" ht="15.75" customHeight="1">
      <c r="A19130" s="2" t="s">
        <v>19130</v>
      </c>
      <c r="B19130" s="2" t="str">
        <f>IFERROR(__xludf.DUMMYFUNCTION("GOOGLETRANSLATE(A19130, ""en"", ""mt"")"),"tul il-kosta, l-insedjamenti kienu qed jikbru fl-intern")</f>
        <v>tul il-kosta, l-insedjamenti kienu qed jikbru fl-intern</v>
      </c>
    </row>
    <row r="19131" ht="15.75" customHeight="1">
      <c r="A19131" s="2" t="s">
        <v>19131</v>
      </c>
      <c r="B19131" s="2" t="str">
        <f>IFERROR(__xludf.DUMMYFUNCTION("GOOGLETRANSLATE(A19131, ""en"", ""mt"")"),"Min brevettat magna kompost bi pressjoni għolja fl-1804?")</f>
        <v>Min brevettat magna kompost bi pressjoni għolja fl-1804?</v>
      </c>
    </row>
    <row r="19132" ht="15.75" customHeight="1">
      <c r="A19132" s="2" t="s">
        <v>19132</v>
      </c>
      <c r="B19132" s="2" t="str">
        <f>IFERROR(__xludf.DUMMYFUNCTION("GOOGLETRANSLATE(A19132, ""en"", ""mt"")"),"vleġeġ, xwabel, u tarki tal-ġilda")</f>
        <v>vleġeġ, xwabel, u tarki tal-ġilda</v>
      </c>
    </row>
    <row r="19133" ht="15.75" customHeight="1">
      <c r="A19133" s="2" t="s">
        <v>19133</v>
      </c>
      <c r="B19133" s="2" t="str">
        <f>IFERROR(__xludf.DUMMYFUNCTION("GOOGLETRANSLATE(A19133, ""en"", ""mt"")"),"352")</f>
        <v>352</v>
      </c>
    </row>
    <row r="19134" ht="15.75" customHeight="1">
      <c r="A19134" s="2" t="s">
        <v>19134</v>
      </c>
      <c r="B19134" s="2" t="str">
        <f>IFERROR(__xludf.DUMMYFUNCTION("GOOGLETRANSLATE(A19134, ""en"", ""mt"")"),"Min imexxi l-iskola lura għall-istituzzjoni ta 'riċerka ewlenija fis-seklu 2oth?")</f>
        <v>Min imexxi l-iskola lura għall-istituzzjoni ta 'riċerka ewlenija fis-seklu 2oth?</v>
      </c>
    </row>
    <row r="19135" ht="15.75" customHeight="1">
      <c r="A19135" s="2" t="s">
        <v>19135</v>
      </c>
      <c r="B19135" s="2" t="str">
        <f>IFERROR(__xludf.DUMMYFUNCTION("GOOGLETRANSLATE(A19135, ""en"", ""mt"")"),"Jones et al. u rikostruzzjonijiet ta 'Briffa")</f>
        <v>Jones et al. u rikostruzzjonijiet ta 'Briffa</v>
      </c>
    </row>
    <row r="19136" ht="15.75" customHeight="1">
      <c r="A19136" s="2" t="s">
        <v>19136</v>
      </c>
      <c r="B19136" s="2" t="str">
        <f>IFERROR(__xludf.DUMMYFUNCTION("GOOGLETRANSLATE(A19136, ""en"", ""mt"")"),"Karluk Kara-Khanid")</f>
        <v>Karluk Kara-Khanid</v>
      </c>
    </row>
    <row r="19137" ht="15.75" customHeight="1">
      <c r="A19137" s="2" t="s">
        <v>19137</v>
      </c>
      <c r="B19137" s="2" t="str">
        <f>IFERROR(__xludf.DUMMYFUNCTION("GOOGLETRANSLATE(A19137, ""en"", ""mt"")"),"X'inhu d-daqs tad-dotazzjoni tal-iskola?")</f>
        <v>X'inhu d-daqs tad-dotazzjoni tal-iskola?</v>
      </c>
    </row>
    <row r="19138" ht="15.75" customHeight="1">
      <c r="A19138" s="2" t="s">
        <v>19138</v>
      </c>
      <c r="B19138" s="2" t="str">
        <f>IFERROR(__xludf.DUMMYFUNCTION("GOOGLETRANSLATE(A19138, ""en"", ""mt"")"),"Għaliex Fresno għandu biss stazzjonijiet tat-televiżjoni UHF?")</f>
        <v>Għaliex Fresno għandu biss stazzjonijiet tat-televiżjoni UHF?</v>
      </c>
    </row>
    <row r="19139" ht="15.75" customHeight="1">
      <c r="A19139" s="2" t="s">
        <v>19139</v>
      </c>
      <c r="B19139" s="2" t="str">
        <f>IFERROR(__xludf.DUMMYFUNCTION("GOOGLETRANSLATE(A19139, ""en"", ""mt"")"),"Kemm hija twila x-Xatt tan-Nofsinhar ta 'Staten Island?")</f>
        <v>Kemm hija twila x-Xatt tan-Nofsinhar ta 'Staten Island?</v>
      </c>
    </row>
    <row r="19140" ht="15.75" customHeight="1">
      <c r="A19140" s="2" t="s">
        <v>19140</v>
      </c>
      <c r="B19140" s="2" t="str">
        <f>IFERROR(__xludf.DUMMYFUNCTION("GOOGLETRANSLATE(A19140, ""en"", ""mt"")"),"515 miljun sena")</f>
        <v>515 miljun sena</v>
      </c>
    </row>
    <row r="19141" ht="15.75" customHeight="1">
      <c r="A19141" s="2" t="s">
        <v>19141</v>
      </c>
      <c r="B19141" s="2" t="str">
        <f>IFERROR(__xludf.DUMMYFUNCTION("GOOGLETRANSLATE(A19141, ""en"", ""mt"")"),"Flimkien mas-Cisce u Nenbse, x'inhu bord ta 'eżami notevoli fi stati Indjani multipli?")</f>
        <v>Flimkien mas-Cisce u Nenbse, x'inhu bord ta 'eżami notevoli fi stati Indjani multipli?</v>
      </c>
    </row>
    <row r="19142" ht="15.75" customHeight="1">
      <c r="A19142" s="2" t="s">
        <v>19142</v>
      </c>
      <c r="B19142" s="2" t="str">
        <f>IFERROR(__xludf.DUMMYFUNCTION("GOOGLETRANSLATE(A19142, ""en"", ""mt"")"),"Kemm libreriji individwali jiffurmaw il-librerija tal-iskola ewlenija?")</f>
        <v>Kemm libreriji individwali jiffurmaw il-librerija tal-iskola ewlenija?</v>
      </c>
    </row>
    <row r="19143" ht="15.75" customHeight="1">
      <c r="A19143" s="2" t="s">
        <v>19143</v>
      </c>
      <c r="B19143" s="2" t="str">
        <f>IFERROR(__xludf.DUMMYFUNCTION("GOOGLETRANSLATE(A19143, ""en"", ""mt"")"),"Ir-Renu u liema xmara oħra xorbu l-ġnub tat-tramuntana tal-Alpi?")</f>
        <v>Ir-Renu u liema xmara oħra xorbu l-ġnub tat-tramuntana tal-Alpi?</v>
      </c>
    </row>
    <row r="19144" ht="15.75" customHeight="1">
      <c r="A19144" s="2" t="s">
        <v>19144</v>
      </c>
      <c r="B19144" s="2" t="str">
        <f>IFERROR(__xludf.DUMMYFUNCTION("GOOGLETRANSLATE(A19144, ""en"", ""mt"")"),"X’għamel dan il-ftehim?")</f>
        <v>X’għamel dan il-ftehim?</v>
      </c>
    </row>
    <row r="19145" ht="15.75" customHeight="1">
      <c r="A19145" s="2" t="s">
        <v>19145</v>
      </c>
      <c r="B19145" s="2" t="str">
        <f>IFERROR(__xludf.DUMMYFUNCTION("GOOGLETRANSLATE(A19145, ""en"", ""mt"")"),"Ma 'min għamlu l-Imperu Ottoman f'WW I?")</f>
        <v>Ma 'min għamlu l-Imperu Ottoman f'WW I?</v>
      </c>
    </row>
    <row r="19146" ht="15.75" customHeight="1">
      <c r="A19146" s="2" t="s">
        <v>19146</v>
      </c>
      <c r="B19146" s="2" t="str">
        <f>IFERROR(__xludf.DUMMYFUNCTION("GOOGLETRANSLATE(A19146, ""en"", ""mt"")"),"X'inhu l-isem tad-deżert fuq il-fruntiera ta 'Arizona?")</f>
        <v>X'inhu l-isem tad-deżert fuq il-fruntiera ta 'Arizona?</v>
      </c>
    </row>
    <row r="19147" ht="15.75" customHeight="1">
      <c r="A19147" s="2" t="s">
        <v>19147</v>
      </c>
      <c r="B19147" s="2" t="str">
        <f>IFERROR(__xludf.DUMMYFUNCTION("GOOGLETRANSLATE(A19147, ""en"", ""mt"")"),"Dynasties Ċiniżi indiġeni")</f>
        <v>Dynasties Ċiniżi indiġeni</v>
      </c>
    </row>
    <row r="19148" ht="15.75" customHeight="1">
      <c r="A19148" s="2" t="s">
        <v>19148</v>
      </c>
      <c r="B19148" s="2" t="str">
        <f>IFERROR(__xludf.DUMMYFUNCTION("GOOGLETRANSLATE(A19148, ""en"", ""mt"")"),"Jean-Marc Bosman")</f>
        <v>Jean-Marc Bosman</v>
      </c>
    </row>
    <row r="19149" ht="15.75" customHeight="1">
      <c r="A19149" s="2" t="s">
        <v>19149</v>
      </c>
      <c r="B19149" s="2" t="str">
        <f>IFERROR(__xludf.DUMMYFUNCTION("GOOGLETRANSLATE(A19149, ""en"", ""mt"")"),"Liema denominazzjoni huma l-iskejjel immexxija mill-Grupp tal-Kulleġġi Akkademiċi?")</f>
        <v>Liema denominazzjoni huma l-iskejjel immexxija mill-Grupp tal-Kulleġġi Akkademiċi?</v>
      </c>
    </row>
    <row r="19150" ht="15.75" customHeight="1">
      <c r="A19150" s="2" t="s">
        <v>19150</v>
      </c>
      <c r="B19150" s="2" t="str">
        <f>IFERROR(__xludf.DUMMYFUNCTION("GOOGLETRANSLATE(A19150, ""en"", ""mt"")"),"Min hu l-president tal-IPCC?")</f>
        <v>Min hu l-president tal-IPCC?</v>
      </c>
    </row>
    <row r="19151" ht="15.75" customHeight="1">
      <c r="A19151" s="2" t="s">
        <v>19151</v>
      </c>
      <c r="B19151" s="2" t="str">
        <f>IFERROR(__xludf.DUMMYFUNCTION("GOOGLETRANSLATE(A19151, ""en"", ""mt"")"),"Residenza tal-Prattika tal-Ispiżerija")</f>
        <v>Residenza tal-Prattika tal-Ispiżerija</v>
      </c>
    </row>
    <row r="19152" ht="15.75" customHeight="1">
      <c r="A19152" s="2" t="s">
        <v>19152</v>
      </c>
      <c r="B19152" s="2" t="str">
        <f>IFERROR(__xludf.DUMMYFUNCTION("GOOGLETRANSLATE(A19152, ""en"", ""mt"")"),"Liema sostituzzjonijiet tat-trakkijiet kumpatti ġew introdotti minn Toyota?")</f>
        <v>Liema sostituzzjonijiet tat-trakkijiet kumpatti ġew introdotti minn Toyota?</v>
      </c>
    </row>
    <row r="19153" ht="15.75" customHeight="1">
      <c r="A19153" s="2" t="s">
        <v>19153</v>
      </c>
      <c r="B19153" s="2" t="str">
        <f>IFERROR(__xludf.DUMMYFUNCTION("GOOGLETRANSLATE(A19153, ""en"", ""mt"")"),"X'inhi t-temperatura approssimattiva tad-dħul tat-turbina ta 'turbina tal-gass?")</f>
        <v>X'inhi t-temperatura approssimattiva tad-dħul tat-turbina ta 'turbina tal-gass?</v>
      </c>
    </row>
    <row r="19154" ht="15.75" customHeight="1">
      <c r="A19154" s="2" t="s">
        <v>19154</v>
      </c>
      <c r="B19154" s="2" t="str">
        <f>IFERROR(__xludf.DUMMYFUNCTION("GOOGLETRANSLATE(A19154, ""en"", ""mt"")"),"Matul l-età ta '18")</f>
        <v>Matul l-età ta '18</v>
      </c>
    </row>
    <row r="19155" ht="15.75" customHeight="1">
      <c r="A19155" s="2" t="s">
        <v>19155</v>
      </c>
      <c r="B19155" s="2" t="str">
        <f>IFERROR(__xludf.DUMMYFUNCTION("GOOGLETRANSLATE(A19155, ""en"", ""mt"")"),"Fiċ-Ċina, din il-persuna dedotta li l-art kienet iffurmata mill-erożjoni tal-muntanji u mid-deposizzjoni tal-ħama, x’kien ismu?")</f>
        <v>Fiċ-Ċina, din il-persuna dedotta li l-art kienet iffurmata mill-erożjoni tal-muntanji u mid-deposizzjoni tal-ħama, x’kien ismu?</v>
      </c>
    </row>
    <row r="19156" ht="15.75" customHeight="1">
      <c r="A19156" s="2" t="s">
        <v>19156</v>
      </c>
      <c r="B19156" s="2" t="str">
        <f>IFERROR(__xludf.DUMMYFUNCTION("GOOGLETRANSLATE(A19156, ""en"", ""mt"")"),"sptarijiet")</f>
        <v>sptarijiet</v>
      </c>
    </row>
    <row r="19157" ht="15.75" customHeight="1">
      <c r="A19157" s="2" t="s">
        <v>19157</v>
      </c>
      <c r="B19157" s="2" t="str">
        <f>IFERROR(__xludf.DUMMYFUNCTION("GOOGLETRANSLATE(A19157, ""en"", ""mt"")"),"L’glise du Saint-Esprit")</f>
        <v>L’glise du Saint-Esprit</v>
      </c>
    </row>
    <row r="19158" ht="15.75" customHeight="1">
      <c r="A19158" s="2" t="s">
        <v>19158</v>
      </c>
      <c r="B19158" s="2" t="str">
        <f>IFERROR(__xludf.DUMMYFUNCTION("GOOGLETRANSLATE(A19158, ""en"", ""mt"")"),"Teżi ta 'Cobham-Edmonds")</f>
        <v>Teżi ta 'Cobham-Edmonds</v>
      </c>
    </row>
    <row r="19159" ht="15.75" customHeight="1">
      <c r="A19159" s="2" t="s">
        <v>19159</v>
      </c>
      <c r="B19159" s="2" t="str">
        <f>IFERROR(__xludf.DUMMYFUNCTION("GOOGLETRANSLATE(A19159, ""en"", ""mt"")"),"Liema karatteristika ġeoloġika hija magħmula minn ossidi ta 'ossiġnu?")</f>
        <v>Liema karatteristika ġeoloġika hija magħmula minn ossidi ta 'ossiġnu?</v>
      </c>
    </row>
    <row r="19160" ht="15.75" customHeight="1">
      <c r="A19160" s="2" t="s">
        <v>19160</v>
      </c>
      <c r="B19160" s="2" t="str">
        <f>IFERROR(__xludf.DUMMYFUNCTION("GOOGLETRANSLATE(A19160, ""en"", ""mt"")"),"Kważi ċ-ċtenofori kollha huma predaturi")</f>
        <v>Kważi ċ-ċtenofori kollha huma predaturi</v>
      </c>
    </row>
    <row r="19161" ht="15.75" customHeight="1">
      <c r="A19161" s="2" t="s">
        <v>19161</v>
      </c>
      <c r="B19161" s="2" t="str">
        <f>IFERROR(__xludf.DUMMYFUNCTION("GOOGLETRANSLATE(A19161, ""en"", ""mt"")"),"Reviżjonijiet tal-Uża tal-Mediċina")</f>
        <v>Reviżjonijiet tal-Uża tal-Mediċina</v>
      </c>
    </row>
    <row r="19162" ht="15.75" customHeight="1">
      <c r="A19162" s="2" t="s">
        <v>19162</v>
      </c>
      <c r="B19162" s="2" t="str">
        <f>IFERROR(__xludf.DUMMYFUNCTION("GOOGLETRANSLATE(A19162, ""en"", ""mt"")"),"Kif tissejjaħ is-sezzjoni tar-Rhine Gorge mill-UNESCO?")</f>
        <v>Kif tissejjaħ is-sezzjoni tar-Rhine Gorge mill-UNESCO?</v>
      </c>
    </row>
    <row r="19163" ht="15.75" customHeight="1">
      <c r="A19163" s="2" t="s">
        <v>19163</v>
      </c>
      <c r="B19163" s="2" t="str">
        <f>IFERROR(__xludf.DUMMYFUNCTION("GOOGLETRANSLATE(A19163, ""en"", ""mt"")"),"Ko-president tal-Grupp ta 'Ħidma II IPCC")</f>
        <v>Ko-president tal-Grupp ta 'Ħidma II IPCC</v>
      </c>
    </row>
    <row r="19164" ht="15.75" customHeight="1">
      <c r="A19164" s="2" t="s">
        <v>19164</v>
      </c>
      <c r="B19164" s="2" t="str">
        <f>IFERROR(__xludf.DUMMYFUNCTION("GOOGLETRANSLATE(A19164, ""en"", ""mt"")"),"Il-forma tad-delta tar-Rhine hija determinata minn żewġ bifurcations: l-ewwel, f'Millingen Aan de Rijn, ir-Rhine jinqasam f'Waal u Pannerdens Kanaal, li jibdel isimha għal Nederrijn f'Rangen, u t-tieni ħdejn Arnhem, l-IJSSEL fergħat barra mill-Nederrijn -"&amp;" Dan joħloq tliet flussi ewlenin, li tnejn minnhom ibiddlu ismijiet pjuttost spiss. L-akbar fergħa ewlenija u fin-Nofsinhar tibda bħala Waal u tkompli bħala Boven MerWede (""Upper MerWede""), Beneden MerWede (""Lower MerWede""), Noord River (""North River"&amp;"""), Nieuwe Maas (""New Meuse""), Het Scheur (""The RIP"") u Nieuwe Waterweg (""New Waterway""). Il-fluss tan-nofs jibda bħala Nederrijn, imbagħad jinbidel f'Lek, imbagħad jingħaqad mal-Noord, u b'hekk jifforma Nieuwe Maas. Il-fluss tat-tramuntana jżomm l"&amp;"-isem IJSSEL sakemm jgħaddi fil-Lag IJsselmeer. Tliet flussi oħra jġorru ammonti sinifikanti ta 'ilma: in-Nieuwe MerWede (""New MerWede""), li fergħat mill-fergħa tan-Nofsinhar fejn tinbidel minn Boven għal Beneden MerWede; L-Oude Maas (""Old Meuse""), li"&amp;" fergħat mill-fergħa tan-Nofsinhar fejn tinbidel minn Beneden MerWede f'Noord, u Dordtse Kil, li fergħat minn Oude Maas.")</f>
        <v>Il-forma tad-delta tar-Rhine hija determinata minn żewġ bifurcations: l-ewwel, f'Millingen Aan de Rijn, ir-Rhine jinqasam f'Waal u Pannerdens Kanaal, li jibdel isimha għal Nederrijn f'Rangen, u t-tieni ħdejn Arnhem, l-IJSSEL fergħat barra mill-Nederrijn - Dan joħloq tliet flussi ewlenin, li tnejn minnhom ibiddlu ismijiet pjuttost spiss. L-akbar fergħa ewlenija u fin-Nofsinhar tibda bħala Waal u tkompli bħala Boven MerWede ("Upper MerWede"), Beneden MerWede ("Lower MerWede"), Noord River ("North River"), Nieuwe Maas ("New Meuse"), Het Scheur ("The RIP") u Nieuwe Waterweg ("New Waterway"). Il-fluss tan-nofs jibda bħala Nederrijn, imbagħad jinbidel f'Lek, imbagħad jingħaqad mal-Noord, u b'hekk jifforma Nieuwe Maas. Il-fluss tat-tramuntana jżomm l-isem IJSSEL sakemm jgħaddi fil-Lag IJsselmeer. Tliet flussi oħra jġorru ammonti sinifikanti ta 'ilma: in-Nieuwe MerWede ("New MerWede"), li fergħat mill-fergħa tan-Nofsinhar fejn tinbidel minn Boven għal Beneden MerWede; L-Oude Maas ("Old Meuse"), li fergħat mill-fergħa tan-Nofsinhar fejn tinbidel minn Beneden MerWede f'Noord, u Dordtse Kil, li fergħat minn Oude Maas.</v>
      </c>
    </row>
    <row r="19165" ht="15.75" customHeight="1">
      <c r="A19165" s="2" t="s">
        <v>19165</v>
      </c>
      <c r="B19165" s="2" t="str">
        <f>IFERROR(__xludf.DUMMYFUNCTION("GOOGLETRANSLATE(A19165, ""en"", ""mt"")"),"Il-Programm tal-Ambjent tan-Nazzjonijiet Uniti (UNEP) u l-Organizzazzjoni Meteoroloġika Dinjija (WMO),")</f>
        <v>Il-Programm tal-Ambjent tan-Nazzjonijiet Uniti (UNEP) u l-Organizzazzjoni Meteoroloġika Dinjija (WMO),</v>
      </c>
    </row>
    <row r="19166" ht="15.75" customHeight="1">
      <c r="A19166" s="2" t="s">
        <v>19166</v>
      </c>
      <c r="B19166" s="2" t="str">
        <f>IFERROR(__xludf.DUMMYFUNCTION("GOOGLETRANSLATE(A19166, ""en"", ""mt"")"),"Min kienet it-tifla ta 'Ayurbarwada?")</f>
        <v>Min kienet it-tifla ta 'Ayurbarwada?</v>
      </c>
    </row>
    <row r="19167" ht="15.75" customHeight="1">
      <c r="A19167" s="2" t="s">
        <v>19167</v>
      </c>
      <c r="B19167" s="2" t="str">
        <f>IFERROR(__xludf.DUMMYFUNCTION("GOOGLETRANSLATE(A19167, ""en"", ""mt"")"),"James Dewar")</f>
        <v>James Dewar</v>
      </c>
    </row>
    <row r="19168" ht="15.75" customHeight="1">
      <c r="A19168" s="2" t="s">
        <v>19168</v>
      </c>
      <c r="B19168" s="2" t="str">
        <f>IFERROR(__xludf.DUMMYFUNCTION("GOOGLETRANSLATE(A19168, ""en"", ""mt"")"),"deterministiku")</f>
        <v>deterministiku</v>
      </c>
    </row>
    <row r="19169" ht="15.75" customHeight="1">
      <c r="A19169" s="2" t="s">
        <v>19169</v>
      </c>
      <c r="B19169" s="2" t="str">
        <f>IFERROR(__xludf.DUMMYFUNCTION("GOOGLETRANSLATE(A19169, ""en"", ""mt"")"),"żoni kbar")</f>
        <v>żoni kbar</v>
      </c>
    </row>
    <row r="19170" ht="15.75" customHeight="1">
      <c r="A19170" s="2" t="s">
        <v>19170</v>
      </c>
      <c r="B19170" s="2" t="str">
        <f>IFERROR(__xludf.DUMMYFUNCTION("GOOGLETRANSLATE(A19170, ""en"", ""mt"")"),"1 ta 'Ġunju, 1953")</f>
        <v>1 ta 'Ġunju, 1953</v>
      </c>
    </row>
    <row r="19171" ht="15.75" customHeight="1">
      <c r="A19171" s="2" t="s">
        <v>19171</v>
      </c>
      <c r="B19171" s="2" t="str">
        <f>IFERROR(__xludf.DUMMYFUNCTION("GOOGLETRANSLATE(A19171, ""en"", ""mt"")"),"Boulton")</f>
        <v>Boulton</v>
      </c>
    </row>
    <row r="19172" ht="15.75" customHeight="1">
      <c r="A19172" s="2" t="s">
        <v>19172</v>
      </c>
      <c r="B19172" s="2" t="str">
        <f>IFERROR(__xludf.DUMMYFUNCTION("GOOGLETRANSLATE(A19172, ""en"", ""mt"")"),"In-netwerks privati ​​spiss kienu konnessi permezz ta ’gateways man-netwerk pubbliku biex jilħqu postijiet mhux fuq in-netwerk privat")</f>
        <v>In-netwerks privati ​​spiss kienu konnessi permezz ta ’gateways man-netwerk pubbliku biex jilħqu postijiet mhux fuq in-netwerk privat</v>
      </c>
    </row>
    <row r="19173" ht="15.75" customHeight="1">
      <c r="A19173" s="2" t="s">
        <v>19173</v>
      </c>
      <c r="B19173" s="2" t="str">
        <f>IFERROR(__xludf.DUMMYFUNCTION("GOOGLETRANSLATE(A19173, ""en"", ""mt"")")," Min minbarra l-Asja Kolonizzata Brittanika?")</f>
        <v> Min minbarra l-Asja Kolonizzata Brittanika?</v>
      </c>
    </row>
    <row r="19174" ht="15.75" customHeight="1">
      <c r="A19174" s="2" t="s">
        <v>19174</v>
      </c>
      <c r="B19174" s="2" t="str">
        <f>IFERROR(__xludf.DUMMYFUNCTION("GOOGLETRANSLATE(A19174, ""en"", ""mt"")"),"Liema hija l-akbar belt li mhix konnessa ma 'awtostrada bejn l-istati?")</f>
        <v>Liema hija l-akbar belt li mhix konnessa ma 'awtostrada bejn l-istati?</v>
      </c>
    </row>
    <row r="19175" ht="15.75" customHeight="1">
      <c r="A19175" s="2" t="s">
        <v>19175</v>
      </c>
      <c r="B19175" s="2" t="str">
        <f>IFERROR(__xludf.DUMMYFUNCTION("GOOGLETRANSLATE(A19175, ""en"", ""mt"")"),"makroskopikament bħala forza strutturali")</f>
        <v>makroskopikament bħala forza strutturali</v>
      </c>
    </row>
    <row r="19176" ht="15.75" customHeight="1">
      <c r="A19176" s="2" t="s">
        <v>19176</v>
      </c>
      <c r="B19176" s="2" t="str">
        <f>IFERROR(__xludf.DUMMYFUNCTION("GOOGLETRANSLATE(A19176, ""en"", ""mt"")"),"fin-Nofsinhar taċ-Ċina")</f>
        <v>fin-Nofsinhar taċ-Ċina</v>
      </c>
    </row>
    <row r="19177" ht="15.75" customHeight="1">
      <c r="A19177" s="2" t="s">
        <v>19177</v>
      </c>
      <c r="B19177" s="2" t="str">
        <f>IFERROR(__xludf.DUMMYFUNCTION("GOOGLETRANSLATE(A19177, ""en"", ""mt"")"),"Għal xiex tfisser LGM?")</f>
        <v>Għal xiex tfisser LGM?</v>
      </c>
    </row>
    <row r="19178" ht="15.75" customHeight="1">
      <c r="A19178" s="2" t="s">
        <v>19178</v>
      </c>
      <c r="B19178" s="2" t="str">
        <f>IFERROR(__xludf.DUMMYFUNCTION("GOOGLETRANSLATE(A19178, ""en"", ""mt"")"),"X'jistgħu jiddependu t-tekniċi tal-ispiżerija fuq aktar u aktar?")</f>
        <v>X'jistgħu jiddependu t-tekniċi tal-ispiżerija fuq aktar u aktar?</v>
      </c>
    </row>
    <row r="19179" ht="15.75" customHeight="1">
      <c r="A19179" s="2" t="s">
        <v>19179</v>
      </c>
      <c r="B19179" s="2" t="str">
        <f>IFERROR(__xludf.DUMMYFUNCTION("GOOGLETRANSLATE(A19179, ""en"", ""mt"")"),"il-kap tal-gvern kien ikun qed jaġixxi fil-kapaċità tagħha jew tiegħu bħala uffiċjal pubbliku")</f>
        <v>il-kap tal-gvern kien ikun qed jaġixxi fil-kapaċità tagħha jew tiegħu bħala uffiċjal pubbliku</v>
      </c>
    </row>
    <row r="19180" ht="15.75" customHeight="1">
      <c r="A19180" s="2" t="s">
        <v>19180</v>
      </c>
      <c r="B19180" s="2" t="str">
        <f>IFERROR(__xludf.DUMMYFUNCTION("GOOGLETRANSLATE(A19180, ""en"", ""mt"")"),"F’liema ktieb iddeskriviet Betty Meggers li l-idea tal-Amażonja kienet popolata ftit?")</f>
        <v>F’liema ktieb iddeskriviet Betty Meggers li l-idea tal-Amażonja kienet popolata ftit?</v>
      </c>
    </row>
    <row r="19181" ht="15.75" customHeight="1">
      <c r="A19181" s="2" t="s">
        <v>19181</v>
      </c>
      <c r="B19181" s="2" t="str">
        <f>IFERROR(__xludf.DUMMYFUNCTION("GOOGLETRANSLATE(A19181, ""en"", ""mt"")"),"X'kien l-isem Ingliż tal-kalendarju ta 'Gou?")</f>
        <v>X'kien l-isem Ingliż tal-kalendarju ta 'Gou?</v>
      </c>
    </row>
    <row r="19182" ht="15.75" customHeight="1">
      <c r="A19182" s="2" t="s">
        <v>19182</v>
      </c>
      <c r="B19182" s="2" t="str">
        <f>IFERROR(__xludf.DUMMYFUNCTION("GOOGLETRANSLATE(A19182, ""en"", ""mt"")"),"Fl-1758 x'kien il-pjan ta 'Duc de Choiseul għal sforzi militari ffokati?")</f>
        <v>Fl-1758 x'kien il-pjan ta 'Duc de Choiseul għal sforzi militari ffokati?</v>
      </c>
    </row>
    <row r="19183" ht="15.75" customHeight="1">
      <c r="A19183" s="2" t="s">
        <v>19183</v>
      </c>
      <c r="B19183" s="2" t="str">
        <f>IFERROR(__xludf.DUMMYFUNCTION("GOOGLETRANSLATE(A19183, ""en"", ""mt"")"),"Platyctenids minorenni jaġixxu bħal dak?")</f>
        <v>Platyctenids minorenni jaġixxu bħal dak?</v>
      </c>
    </row>
    <row r="19184" ht="15.75" customHeight="1">
      <c r="A19184" s="2" t="s">
        <v>19184</v>
      </c>
      <c r="B19184" s="2" t="str">
        <f>IFERROR(__xludf.DUMMYFUNCTION("GOOGLETRANSLATE(A19184, ""en"", ""mt"")"),"Il-Lega Musulmana kollha tal-Indja")</f>
        <v>Il-Lega Musulmana kollha tal-Indja</v>
      </c>
    </row>
    <row r="19185" ht="15.75" customHeight="1">
      <c r="A19185" s="2" t="s">
        <v>19185</v>
      </c>
      <c r="B19185" s="2" t="str">
        <f>IFERROR(__xludf.DUMMYFUNCTION("GOOGLETRANSLATE(A19185, ""en"", ""mt"")"),"Liema territorju ġie ċedut lill-Gran Brittanja?")</f>
        <v>Liema territorju ġie ċedut lill-Gran Brittanja?</v>
      </c>
    </row>
    <row r="19186" ht="15.75" customHeight="1">
      <c r="A19186" s="2" t="s">
        <v>19186</v>
      </c>
      <c r="B19186" s="2" t="str">
        <f>IFERROR(__xludf.DUMMYFUNCTION("GOOGLETRANSLATE(A19186, ""en"", ""mt"")"),"mekkaniżmu ta 'stoking katina jew kamin")</f>
        <v>mekkaniżmu ta 'stoking katina jew kamin</v>
      </c>
    </row>
    <row r="19187" ht="15.75" customHeight="1">
      <c r="A19187" s="2" t="s">
        <v>19187</v>
      </c>
      <c r="B19187" s="2" t="str">
        <f>IFERROR(__xludf.DUMMYFUNCTION("GOOGLETRANSLATE(A19187, ""en"", ""mt"")"),"Fil-fokus tiegħu fuq il-kalifat, il-partit jieħu ħsieb differenti tal-istorja Musulmana minn xi Iżlamisti oħra bħal Muhammad Qutb. HT jara l-punt ta 'bidla tal-Islam l-Islam bħala li ma jseħħx mal-mewt ta' Ali, jew wieħed mill-erba 'l-oħra ta' kalifi ggwi"&amp;"dati bir-raġun fis-7 seklu, iżda bl-abolizzjoni tal-kalifat Ottoman fl-1924. Dan huwa maħsub li temm is-sistema Iżlamika vera , xi ħaġa li għaliha tort ""il-poteri kolonjali li ma jemmnux (Kafir) li taħdem permezz tal-modernist Tork Mustafa Kemal Atatürk.")</f>
        <v>Fil-fokus tiegħu fuq il-kalifat, il-partit jieħu ħsieb differenti tal-istorja Musulmana minn xi Iżlamisti oħra bħal Muhammad Qutb. HT jara l-punt ta 'bidla tal-Islam l-Islam bħala li ma jseħħx mal-mewt ta' Ali, jew wieħed mill-erba 'l-oħra ta' kalifi ggwidati bir-raġun fis-7 seklu, iżda bl-abolizzjoni tal-kalifat Ottoman fl-1924. Dan huwa maħsub li temm is-sistema Iżlamika vera , xi ħaġa li għaliha tort "il-poteri kolonjali li ma jemmnux (Kafir) li taħdem permezz tal-modernist Tork Mustafa Kemal Atatürk.</v>
      </c>
    </row>
    <row r="19188" ht="15.75" customHeight="1">
      <c r="A19188" s="2" t="s">
        <v>19188</v>
      </c>
      <c r="B19188" s="2" t="str">
        <f>IFERROR(__xludf.DUMMYFUNCTION("GOOGLETRANSLATE(A19188, ""en"", ""mt"")"),"X'kienet l-aġenzija tal-benefiċċji tal-gvernijiet tar-Renju Unit li teqred fl-2012?")</f>
        <v>X'kienet l-aġenzija tal-benefiċċji tal-gvernijiet tar-Renju Unit li teqred fl-2012?</v>
      </c>
    </row>
    <row r="19189" ht="15.75" customHeight="1">
      <c r="A19189" s="2" t="s">
        <v>19189</v>
      </c>
      <c r="B19189" s="2" t="str">
        <f>IFERROR(__xludf.DUMMYFUNCTION("GOOGLETRANSLATE(A19189, ""en"", ""mt"")"),"F'liema angolu ġew issettjati l-gruppi ta 'pistuni f'relazzjoni ma' xulxin f'kompost b'erba 'ċilindri?")</f>
        <v>F'liema angolu ġew issettjati l-gruppi ta 'pistuni f'relazzjoni ma' xulxin f'kompost b'erba 'ċilindri?</v>
      </c>
    </row>
    <row r="19190" ht="15.75" customHeight="1">
      <c r="A19190" s="2" t="s">
        <v>19190</v>
      </c>
      <c r="B19190" s="2" t="str">
        <f>IFERROR(__xludf.DUMMYFUNCTION("GOOGLETRANSLATE(A19190, ""en"", ""mt"")"),"Meta Vinogradov ipproponi l-erba 'problemi konġetturali tiegħu?")</f>
        <v>Meta Vinogradov ipproponi l-erba 'problemi konġetturali tiegħu?</v>
      </c>
    </row>
    <row r="19191" ht="15.75" customHeight="1">
      <c r="A19191" s="2" t="s">
        <v>19191</v>
      </c>
      <c r="B19191" s="2" t="str">
        <f>IFERROR(__xludf.DUMMYFUNCTION("GOOGLETRANSLATE(A19191, ""en"", ""mt"")"),"Att tal-Kolonja tar-Rabat 1855")</f>
        <v>Att tal-Kolonja tar-Rabat 1855</v>
      </c>
    </row>
    <row r="19192" ht="15.75" customHeight="1">
      <c r="A19192" s="2" t="s">
        <v>19192</v>
      </c>
      <c r="B19192" s="2" t="str">
        <f>IFERROR(__xludf.DUMMYFUNCTION("GOOGLETRANSLATE(A19192, ""en"", ""mt"")"),"Iżlamiku qawwi")</f>
        <v>Iżlamiku qawwi</v>
      </c>
    </row>
    <row r="19193" ht="15.75" customHeight="1">
      <c r="A19193" s="2" t="s">
        <v>19193</v>
      </c>
      <c r="B19193" s="2" t="str">
        <f>IFERROR(__xludf.DUMMYFUNCTION("GOOGLETRANSLATE(A19193, ""en"", ""mt"")"),"1988")</f>
        <v>1988</v>
      </c>
    </row>
    <row r="19194" ht="15.75" customHeight="1">
      <c r="A19194" s="2" t="s">
        <v>19194</v>
      </c>
      <c r="B19194" s="2" t="str">
        <f>IFERROR(__xludf.DUMMYFUNCTION("GOOGLETRANSLATE(A19194, ""en"", ""mt"")"),"Samuel Webber")</f>
        <v>Samuel Webber</v>
      </c>
    </row>
    <row r="19195" ht="15.75" customHeight="1">
      <c r="A19195" s="2" t="s">
        <v>19195</v>
      </c>
      <c r="B19195" s="2" t="str">
        <f>IFERROR(__xludf.DUMMYFUNCTION("GOOGLETRANSLATE(A19195, ""en"", ""mt"")"),"X'għandu l-affext tal-mekkanika ta 'Newton?")</f>
        <v>X'għandu l-affext tal-mekkanika ta 'Newton?</v>
      </c>
    </row>
    <row r="19196" ht="15.75" customHeight="1">
      <c r="A19196" s="2" t="s">
        <v>19196</v>
      </c>
      <c r="B19196" s="2" t="str">
        <f>IFERROR(__xludf.DUMMYFUNCTION("GOOGLETRANSLATE(A19196, ""en"", ""mt"")"),"José María Figueres")</f>
        <v>José María Figueres</v>
      </c>
    </row>
    <row r="19197" ht="15.75" customHeight="1">
      <c r="A19197" s="2" t="s">
        <v>19197</v>
      </c>
      <c r="B19197" s="2" t="str">
        <f>IFERROR(__xludf.DUMMYFUNCTION("GOOGLETRANSLATE(A19197, ""en"", ""mt"")"),"Liema storiċi tad-dinastiji kienu dokumentati b'mod mhux uffiċjali matul ir-renju ta 'Toghun?")</f>
        <v>Liema storiċi tad-dinastiji kienu dokumentati b'mod mhux uffiċjali matul ir-renju ta 'Toghun?</v>
      </c>
    </row>
    <row r="19198" ht="15.75" customHeight="1">
      <c r="A19198" s="2" t="s">
        <v>19198</v>
      </c>
      <c r="B19198" s="2" t="str">
        <f>IFERROR(__xludf.DUMMYFUNCTION("GOOGLETRANSLATE(A19198, ""en"", ""mt"")"),"X'inhi kundizzjoni waħda li element P ta '$ għandu jissodisfa sabiex ikun ikkunsidrat invers multiplikattiv?")</f>
        <v>X'inhi kundizzjoni waħda li element P ta '$ għandu jissodisfa sabiex ikun ikkunsidrat invers multiplikattiv?</v>
      </c>
    </row>
    <row r="19199" ht="15.75" customHeight="1">
      <c r="A19199" s="2" t="s">
        <v>19199</v>
      </c>
      <c r="B19199" s="2" t="str">
        <f>IFERROR(__xludf.DUMMYFUNCTION("GOOGLETRANSLATE(A19199, ""en"", ""mt"")"),"F'liema battalja ġew megħluba l-Mongoli mit-Tran?")</f>
        <v>F'liema battalja ġew megħluba l-Mongoli mit-Tran?</v>
      </c>
    </row>
    <row r="19200" ht="15.75" customHeight="1">
      <c r="A19200" s="2" t="s">
        <v>19200</v>
      </c>
      <c r="B19200" s="2" t="str">
        <f>IFERROR(__xludf.DUMMYFUNCTION("GOOGLETRANSLATE(A19200, ""en"", ""mt"")"),"Pistun reċiproku")</f>
        <v>Pistun reċiproku</v>
      </c>
    </row>
    <row r="19201" ht="15.75" customHeight="1">
      <c r="A19201" s="2" t="s">
        <v>19201</v>
      </c>
      <c r="B19201" s="2" t="str">
        <f>IFERROR(__xludf.DUMMYFUNCTION("GOOGLETRANSLATE(A19201, ""en"", ""mt"")"),"skateboard")</f>
        <v>skateboard</v>
      </c>
    </row>
    <row r="19202" ht="15.75" customHeight="1">
      <c r="A19202" s="2" t="s">
        <v>19202</v>
      </c>
      <c r="B19202" s="2" t="str">
        <f>IFERROR(__xludf.DUMMYFUNCTION("GOOGLETRANSLATE(A19202, ""en"", ""mt"")"),"Philip Glass")</f>
        <v>Philip Glass</v>
      </c>
    </row>
    <row r="19203" ht="15.75" customHeight="1">
      <c r="A19203" s="2" t="s">
        <v>19203</v>
      </c>
      <c r="B19203" s="2" t="str">
        <f>IFERROR(__xludf.DUMMYFUNCTION("GOOGLETRANSLATE(A19203, ""en"", ""mt"")"),"it-tieni l-akbar")</f>
        <v>it-tieni l-akbar</v>
      </c>
    </row>
    <row r="19204" ht="15.75" customHeight="1">
      <c r="A19204" s="2" t="s">
        <v>19204</v>
      </c>
      <c r="B19204" s="2" t="str">
        <f>IFERROR(__xludf.DUMMYFUNCTION("GOOGLETRANSLATE(A19204, ""en"", ""mt"")"),"F'liema għaxar snin intużaw injetturi ħafna fil-magni tal-ġett?")</f>
        <v>F'liema għaxar snin intużaw injetturi ħafna fil-magni tal-ġett?</v>
      </c>
    </row>
    <row r="19205" ht="15.75" customHeight="1">
      <c r="A19205" s="2" t="s">
        <v>19205</v>
      </c>
      <c r="B19205" s="2" t="str">
        <f>IFERROR(__xludf.DUMMYFUNCTION("GOOGLETRANSLATE(A19205, ""en"", ""mt"")"),"X'inhu l-effett sekondarju tal-glukokortikojdi?")</f>
        <v>X'inhu l-effett sekondarju tal-glukokortikojdi?</v>
      </c>
    </row>
    <row r="19206" ht="15.75" customHeight="1">
      <c r="A19206" s="2" t="s">
        <v>19206</v>
      </c>
      <c r="B19206" s="2" t="str">
        <f>IFERROR(__xludf.DUMMYFUNCTION("GOOGLETRANSLATE(A19206, ""en"", ""mt"")"),"1421 sa 1904")</f>
        <v>1421 sa 1904</v>
      </c>
    </row>
    <row r="19207" ht="15.75" customHeight="1">
      <c r="A19207" s="2" t="s">
        <v>19207</v>
      </c>
      <c r="B19207" s="2" t="str">
        <f>IFERROR(__xludf.DUMMYFUNCTION("GOOGLETRANSLATE(A19207, ""en"", ""mt"")"),"Għaliex l-ilma tar-Renu jaqa 'fil-fond fir-Rheinbrech?")</f>
        <v>Għaliex l-ilma tar-Renu jaqa 'fil-fond fir-Rheinbrech?</v>
      </c>
    </row>
    <row r="19208" ht="15.75" customHeight="1">
      <c r="A19208" s="2" t="s">
        <v>19208</v>
      </c>
      <c r="B19208" s="2" t="str">
        <f>IFERROR(__xludf.DUMMYFUNCTION("GOOGLETRANSLATE(A19208, ""en"", ""mt"")"),"In-Netwerk tax-Xjenza tal-Kompjuter")</f>
        <v>In-Netwerk tax-Xjenza tal-Kompjuter</v>
      </c>
    </row>
    <row r="19209" ht="15.75" customHeight="1">
      <c r="A19209" s="2" t="s">
        <v>19209</v>
      </c>
      <c r="B19209" s="2" t="str">
        <f>IFERROR(__xludf.DUMMYFUNCTION("GOOGLETRANSLATE(A19209, ""en"", ""mt"")"),"Vaudreuil u Montcalm ġew fornuti mill-ġdid minimament fl-1758, hekk kif l-imblokk Ingliż tal-kosta Franċiża limitat it-tbaħħir Franċiż. Is-sitwazzjoni fi Franza l-Ġdida kienet aktar aggravata minn ħsad fqir fl-1757, xitwa diffiċli, u l-makkinarji allegata"&amp;"ment korrotti ta 'François Bigot, l-intendent tat-territorju. L-iskemi tiegħu biex ifornu l-prezzijiet minfuħa tal-kolonja u kienu maħsuba minn Montcalm biex jillinjaw il-bwiet tiegħu u dawk tal-assoċjati tiegħu. Tfaqqigħ massiv ta 'ġidri fost it-tribujie"&amp;"t tal-Punent wassal lil ħafna minnhom biex jibqgħu' l bogħod milli jinnegozjaw fl-1758. Filwaqt li ħafna partijiet għall-kunflitt waħħlu lil oħrajn (l-Indjani waħħlu lill-Franċiżi talli ġabu ""mediċina ħażina"" kif ukoll li ċaħduhom premjijiet fil-Fort Wi"&amp;"lliam Henry ), il-marda kienet probabbilment mifruxa permezz tal-kundizzjonijiet iffullati f'William Henry wara l-battalja. Montcalm iffoka r-riżorsi dgħajfa tiegħu fuq id-difiża ta 'San Lawrenz, bid-difiżi primarji f'Carillon, Quebec, u Louisbourg, filwa"&amp;"qt li Vaudreuil argumenta mingħajr suċċess għal kontinwazzjoni tat-tattiċi tar-rejd li kienu ħadmu b'mod effettiv fis-snin preċedenti.")</f>
        <v>Vaudreuil u Montcalm ġew fornuti mill-ġdid minimament fl-1758, hekk kif l-imblokk Ingliż tal-kosta Franċiża limitat it-tbaħħir Franċiż. Is-sitwazzjoni fi Franza l-Ġdida kienet aktar aggravata minn ħsad fqir fl-1757, xitwa diffiċli, u l-makkinarji allegatament korrotti ta 'François Bigot, l-intendent tat-territorju. L-iskemi tiegħu biex ifornu l-prezzijiet minfuħa tal-kolonja u kienu maħsuba minn Montcalm biex jillinjaw il-bwiet tiegħu u dawk tal-assoċjati tiegħu. Tfaqqigħ massiv ta 'ġidri fost it-tribujiet tal-Punent wassal lil ħafna minnhom biex jibqgħu' l bogħod milli jinnegozjaw fl-1758. Filwaqt li ħafna partijiet għall-kunflitt waħħlu lil oħrajn (l-Indjani waħħlu lill-Franċiżi talli ġabu "mediċina ħażina" kif ukoll li ċaħduhom premjijiet fil-Fort William Henry ), il-marda kienet probabbilment mifruxa permezz tal-kundizzjonijiet iffullati f'William Henry wara l-battalja. Montcalm iffoka r-riżorsi dgħajfa tiegħu fuq id-difiża ta 'San Lawrenz, bid-difiżi primarji f'Carillon, Quebec, u Louisbourg, filwaqt li Vaudreuil argumenta mingħajr suċċess għal kontinwazzjoni tat-tattiċi tar-rejd li kienu ħadmu b'mod effettiv fis-snin preċedenti.</v>
      </c>
    </row>
    <row r="19210" ht="15.75" customHeight="1">
      <c r="A19210" s="2" t="s">
        <v>19210</v>
      </c>
      <c r="B19210" s="2" t="str">
        <f>IFERROR(__xludf.DUMMYFUNCTION("GOOGLETRANSLATE(A19210, ""en"", ""mt"")"),"F’liema sena nbniet Triq D’Olier f’Dublin?")</f>
        <v>F’liema sena nbniet Triq D’Olier f’Dublin?</v>
      </c>
    </row>
    <row r="19211" ht="15.75" customHeight="1">
      <c r="A19211" s="2" t="s">
        <v>19211</v>
      </c>
      <c r="B19211" s="2" t="str">
        <f>IFERROR(__xludf.DUMMYFUNCTION("GOOGLETRANSLATE(A19211, ""en"", ""mt"")"),"Ma 'xiex jirreaġixxi bl-ossiġnu doppju bil-mod?")</f>
        <v>Ma 'xiex jirreaġixxi bl-ossiġnu doppju bil-mod?</v>
      </c>
    </row>
    <row r="19212" ht="15.75" customHeight="1">
      <c r="A19212" s="2" t="s">
        <v>19212</v>
      </c>
      <c r="B19212" s="2" t="str">
        <f>IFERROR(__xludf.DUMMYFUNCTION("GOOGLETRANSLATE(A19212, ""en"", ""mt"")"),"Ladner")</f>
        <v>Ladner</v>
      </c>
    </row>
    <row r="19213" ht="15.75" customHeight="1">
      <c r="A19213" s="2" t="s">
        <v>19213</v>
      </c>
      <c r="B19213" s="2" t="str">
        <f>IFERROR(__xludf.DUMMYFUNCTION("GOOGLETRANSLATE(A19213, ""en"", ""mt"")"),"F'liema Bedau għex biex ma jħallix li jinqata '?")</f>
        <v>F'liema Bedau għex biex ma jħallix li jinqata '?</v>
      </c>
    </row>
    <row r="19214" ht="15.75" customHeight="1">
      <c r="A19214" s="2" t="s">
        <v>19214</v>
      </c>
      <c r="B19214" s="2" t="str">
        <f>IFERROR(__xludf.DUMMYFUNCTION("GOOGLETRANSLATE(A19214, ""en"", ""mt"")"),"Ma 'xiex tmur l-inugwaljanza għolja?")</f>
        <v>Ma 'xiex tmur l-inugwaljanza għolja?</v>
      </c>
    </row>
    <row r="19215" ht="15.75" customHeight="1">
      <c r="A19215" s="2" t="s">
        <v>19215</v>
      </c>
      <c r="B19215" s="2" t="str">
        <f>IFERROR(__xludf.DUMMYFUNCTION("GOOGLETRANSLATE(A19215, ""en"", ""mt"")"),"Anglo-Saxons")</f>
        <v>Anglo-Saxons</v>
      </c>
    </row>
    <row r="19216" ht="15.75" customHeight="1">
      <c r="A19216" s="2" t="s">
        <v>19216</v>
      </c>
      <c r="B19216" s="2" t="str">
        <f>IFERROR(__xludf.DUMMYFUNCTION("GOOGLETRANSLATE(A19216, ""en"", ""mt"")"),"""Kumitat tal-Konċiljazzjoni""")</f>
        <v>"Kumitat tal-Konċiljazzjoni"</v>
      </c>
    </row>
    <row r="19217" ht="15.75" customHeight="1">
      <c r="A19217" s="2" t="s">
        <v>19217</v>
      </c>
      <c r="B19217" s="2" t="str">
        <f>IFERROR(__xludf.DUMMYFUNCTION("GOOGLETRANSLATE(A19217, ""en"", ""mt"")"),"Kostruzzjoni tal-bini")</f>
        <v>Kostruzzjoni tal-bini</v>
      </c>
    </row>
    <row r="19218" ht="15.75" customHeight="1">
      <c r="A19218" s="2" t="s">
        <v>19218</v>
      </c>
      <c r="B19218" s="2" t="str">
        <f>IFERROR(__xludf.DUMMYFUNCTION("GOOGLETRANSLATE(A19218, ""en"", ""mt"")"),"Meta ġew meqruda ħafna mill-postijiet ta ’qima reliġjuża fil-Polonja?")</f>
        <v>Meta ġew meqruda ħafna mill-postijiet ta ’qima reliġjuża fil-Polonja?</v>
      </c>
    </row>
    <row r="19219" ht="15.75" customHeight="1">
      <c r="A19219" s="2" t="s">
        <v>19219</v>
      </c>
      <c r="B19219" s="2" t="str">
        <f>IFERROR(__xludf.DUMMYFUNCTION("GOOGLETRANSLATE(A19219, ""en"", ""mt"")"),"interazzjoni elettroweak aktar fundamentali")</f>
        <v>interazzjoni elettroweak aktar fundamentali</v>
      </c>
    </row>
    <row r="19220" ht="15.75" customHeight="1">
      <c r="A19220" s="2" t="s">
        <v>19220</v>
      </c>
      <c r="B19220" s="2" t="str">
        <f>IFERROR(__xludf.DUMMYFUNCTION("GOOGLETRANSLATE(A19220, ""en"", ""mt"")"),"Dak li ma jinbidilx mill-mistrieħ għall-moviment b'veloċità kostanti?")</f>
        <v>Dak li ma jinbidilx mill-mistrieħ għall-moviment b'veloċità kostanti?</v>
      </c>
    </row>
    <row r="19221" ht="15.75" customHeight="1">
      <c r="A19221" s="2" t="s">
        <v>19221</v>
      </c>
      <c r="B19221" s="2" t="str">
        <f>IFERROR(__xludf.DUMMYFUNCTION("GOOGLETRANSLATE(A19221, ""en"", ""mt"")"),"Meta bdew jispiċċaw l-ispiżeriji tal-internet?")</f>
        <v>Meta bdew jispiċċaw l-ispiżeriji tal-internet?</v>
      </c>
    </row>
    <row r="19222" ht="15.75" customHeight="1">
      <c r="A19222" s="2" t="s">
        <v>19222</v>
      </c>
      <c r="B19222" s="2" t="str">
        <f>IFERROR(__xludf.DUMMYFUNCTION("GOOGLETRANSLATE(A19222, ""en"", ""mt"")"),"X'jiġri meta l-komponenti kollha tas-sistema immuni huma attivi?")</f>
        <v>X'jiġri meta l-komponenti kollha tas-sistema immuni huma attivi?</v>
      </c>
    </row>
    <row r="19223" ht="15.75" customHeight="1">
      <c r="A19223" s="2" t="s">
        <v>19223</v>
      </c>
      <c r="B19223" s="2" t="str">
        <f>IFERROR(__xludf.DUMMYFUNCTION("GOOGLETRANSLATE(A19223, ""en"", ""mt"")"),"Università ta ’California")</f>
        <v>Università ta ’California</v>
      </c>
    </row>
    <row r="19224" ht="15.75" customHeight="1">
      <c r="A19224" s="2" t="s">
        <v>19224</v>
      </c>
      <c r="B19224" s="2" t="str">
        <f>IFERROR(__xludf.DUMMYFUNCTION("GOOGLETRANSLATE(A19224, ""en"", ""mt"")"),"28.5 ° e")</f>
        <v>28.5 ° e</v>
      </c>
    </row>
    <row r="19225" ht="15.75" customHeight="1">
      <c r="A19225" s="2" t="s">
        <v>19225</v>
      </c>
      <c r="B19225" s="2" t="str">
        <f>IFERROR(__xludf.DUMMYFUNCTION("GOOGLETRANSLATE(A19225, ""en"", ""mt"")"),"Reġjun Ċentrali")</f>
        <v>Reġjun Ċentrali</v>
      </c>
    </row>
    <row r="19226" ht="15.75" customHeight="1">
      <c r="A19226" s="2" t="s">
        <v>19226</v>
      </c>
      <c r="B19226" s="2" t="str">
        <f>IFERROR(__xludf.DUMMYFUNCTION("GOOGLETRANSLATE(A19226, ""en"", ""mt"")"),"1929")</f>
        <v>1929</v>
      </c>
    </row>
    <row r="19227" ht="15.75" customHeight="1">
      <c r="A19227" s="2" t="s">
        <v>19227</v>
      </c>
      <c r="B19227" s="2" t="str">
        <f>IFERROR(__xludf.DUMMYFUNCTION("GOOGLETRANSLATE(A19227, ""en"", ""mt"")"),"X'jista 'jippromwovi produzzjoni radikali ħielsa waqt il-ħinijiet ta' l-irqad?")</f>
        <v>X'jista 'jippromwovi produzzjoni radikali ħielsa waqt il-ħinijiet ta' l-irqad?</v>
      </c>
    </row>
    <row r="19228" ht="15.75" customHeight="1">
      <c r="A19228" s="2" t="s">
        <v>19228</v>
      </c>
      <c r="B19228" s="2" t="str">
        <f>IFERROR(__xludf.DUMMYFUNCTION("GOOGLETRANSLATE(A19228, ""en"", ""mt"")"),"Liema sena Robert J. Shiller tilef Premju Nobel Ekonomija?")</f>
        <v>Liema sena Robert J. Shiller tilef Premju Nobel Ekonomija?</v>
      </c>
    </row>
    <row r="19229" ht="15.75" customHeight="1">
      <c r="A19229" s="2" t="s">
        <v>19229</v>
      </c>
      <c r="B19229" s="2" t="str">
        <f>IFERROR(__xludf.DUMMYFUNCTION("GOOGLETRANSLATE(A19229, ""en"", ""mt"")"),"Żona Amorfa tal-Ewropa Ċentrali")</f>
        <v>Żona Amorfa tal-Ewropa Ċentrali</v>
      </c>
    </row>
    <row r="19230" ht="15.75" customHeight="1">
      <c r="A19230" s="2" t="s">
        <v>19230</v>
      </c>
      <c r="B19230" s="2" t="str">
        <f>IFERROR(__xludf.DUMMYFUNCTION("GOOGLETRANSLATE(A19230, ""en"", ""mt"")"),"Meta l-Mongoli poġġew l-Uighurs tar-Renju ta 'Qocho fuq il-Koreani fil-Qorti, ir-re Korean oġġezzjona, allura l-Imperatur Mongoljan Kublai Khan ċaħa , li min-naħa tiegħu kien ikklassifikat ogħla mir-re Korean, li kien ikklassifikat l-aħħar, minħabba li l-"&amp;"Uighurs ċedew lill-Mongoli l-ewwel, il-Karluks ċedew wara l-Uighurs, u l-Koreani ċedew l-aħħar, u li l-Uighurs ċedew b'mod paċifiku mingħajr ma jirreżistu b'mod vjolenti.")</f>
        <v>Meta l-Mongoli poġġew l-Uighurs tar-Renju ta 'Qocho fuq il-Koreani fil-Qorti, ir-re Korean oġġezzjona, allura l-Imperatur Mongoljan Kublai Khan ċaħa , li min-naħa tiegħu kien ikklassifikat ogħla mir-re Korean, li kien ikklassifikat l-aħħar, minħabba li l-Uighurs ċedew lill-Mongoli l-ewwel, il-Karluks ċedew wara l-Uighurs, u l-Koreani ċedew l-aħħar, u li l-Uighurs ċedew b'mod paċifiku mingħajr ma jirreżistu b'mod vjolenti.</v>
      </c>
    </row>
    <row r="19231" ht="15.75" customHeight="1">
      <c r="A19231" s="2" t="s">
        <v>19231</v>
      </c>
      <c r="B19231" s="2" t="str">
        <f>IFERROR(__xludf.DUMMYFUNCTION("GOOGLETRANSLATE(A19231, ""en"", ""mt"")"),"Liema ġerarkija infinita timplika li l-problema tal-isomorfiżmu tal-graff S nq-komplut?")</f>
        <v>Liema ġerarkija infinita timplika li l-problema tal-isomorfiżmu tal-graff S nq-komplut?</v>
      </c>
    </row>
    <row r="19232" ht="15.75" customHeight="1">
      <c r="A19232" s="2" t="s">
        <v>19232</v>
      </c>
      <c r="B19232" s="2" t="str">
        <f>IFERROR(__xludf.DUMMYFUNCTION("GOOGLETRANSLATE(A19232, ""en"", ""mt"")"),"Aktar tard fl-2016")</f>
        <v>Aktar tard fl-2016</v>
      </c>
    </row>
    <row r="19233" ht="15.75" customHeight="1">
      <c r="A19233" s="2" t="s">
        <v>19233</v>
      </c>
      <c r="B19233" s="2" t="str">
        <f>IFERROR(__xludf.DUMMYFUNCTION("GOOGLETRANSLATE(A19233, ""en"", ""mt"")"),"Ir-riċetturi tar-rikonoxximent tal-mudelli huma proteini użati minn kważi l-organiżmi kollha biex jidentifikaw molekuli assoċjati ma 'patoġeni. Il-peptidi antimikrobiċi msejħa difensini huma komponent evoluzzjonalment ikkonservat tar-rispons immuni innat "&amp;"misjub fl-annimali u l-pjanti kollha, u jirrappreżentaw il-forma ewlenija ta 'immunità sistemika invertebrata. Is-sistema tal-komplement u ċ-ċelloli fagoċitiċi jintużaw ukoll mill-biċċa l-kbira tal-forom tal-ħajja invertebrati. Ir-ribonukleżiżi u l-mogħdi"&amp;"ja ta 'interferenza RNA huma kkonservati fl-ewkarioti kollha, u huma maħsuba li għandhom rwol fir-rispons immuni għall-viruses.")</f>
        <v>Ir-riċetturi tar-rikonoxximent tal-mudelli huma proteini użati minn kważi l-organiżmi kollha biex jidentifikaw molekuli assoċjati ma 'patoġeni. Il-peptidi antimikrobiċi msejħa difensini huma komponent evoluzzjonalment ikkonservat tar-rispons immuni innat misjub fl-annimali u l-pjanti kollha, u jirrappreżentaw il-forma ewlenija ta 'immunità sistemika invertebrata. Is-sistema tal-komplement u ċ-ċelloli fagoċitiċi jintużaw ukoll mill-biċċa l-kbira tal-forom tal-ħajja invertebrati. Ir-ribonukleżiżi u l-mogħdija ta 'interferenza RNA huma kkonservati fl-ewkarioti kollha, u huma maħsuba li għandhom rwol fir-rispons immuni għall-viruses.</v>
      </c>
    </row>
    <row r="19234" ht="15.75" customHeight="1">
      <c r="A19234" s="2" t="s">
        <v>19234</v>
      </c>
      <c r="B19234" s="2" t="str">
        <f>IFERROR(__xludf.DUMMYFUNCTION("GOOGLETRANSLATE(A19234, ""en"", ""mt"")"),"X'toffri Franza li kienet rari mill-istandards imperjali?")</f>
        <v>X'toffri Franza li kienet rari mill-istandards imperjali?</v>
      </c>
    </row>
    <row r="19235" ht="15.75" customHeight="1">
      <c r="A19235" s="2" t="s">
        <v>19235</v>
      </c>
      <c r="B19235" s="2" t="str">
        <f>IFERROR(__xludf.DUMMYFUNCTION("GOOGLETRANSLATE(A19235, ""en"", ""mt"")"),"X'inhu l-iktar aspett kontroversjali tal-imperjalizmu?")</f>
        <v>X'inhu l-iktar aspett kontroversjali tal-imperjalizmu?</v>
      </c>
    </row>
    <row r="19236" ht="15.75" customHeight="1">
      <c r="A19236" s="2" t="s">
        <v>19236</v>
      </c>
      <c r="B19236" s="2" t="str">
        <f>IFERROR(__xludf.DUMMYFUNCTION("GOOGLETRANSLATE(A19236, ""en"", ""mt"")"),"X'inhu d-daqs tal-librerija Lamont li tagħtiha distinzjoni unika?")</f>
        <v>X'inhu d-daqs tal-librerija Lamont li tagħtiha distinzjoni unika?</v>
      </c>
    </row>
    <row r="19237" ht="15.75" customHeight="1">
      <c r="A19237" s="2" t="s">
        <v>19237</v>
      </c>
      <c r="B19237" s="2" t="str">
        <f>IFERROR(__xludf.DUMMYFUNCTION("GOOGLETRANSLATE(A19237, ""en"", ""mt"")"),"Ċaħda tal-kapaċità")</f>
        <v>Ċaħda tal-kapaċità</v>
      </c>
    </row>
    <row r="19238" ht="15.75" customHeight="1">
      <c r="A19238" s="2" t="s">
        <v>19238</v>
      </c>
      <c r="B19238" s="2" t="str">
        <f>IFERROR(__xludf.DUMMYFUNCTION("GOOGLETRANSLATE(A19238, ""en"", ""mt"")"),"F’ħafna pajjiżi, x’tip ta ’vojt fil-pagi hemm?")</f>
        <v>F’ħafna pajjiżi, x’tip ta ’vojt fil-pagi hemm?</v>
      </c>
    </row>
    <row r="19239" ht="15.75" customHeight="1">
      <c r="A19239" s="2" t="s">
        <v>19239</v>
      </c>
      <c r="B19239" s="2" t="str">
        <f>IFERROR(__xludf.DUMMYFUNCTION("GOOGLETRANSLATE(A19239, ""en"", ""mt"")"),"Nobbli")</f>
        <v>Nobbli</v>
      </c>
    </row>
    <row r="19240" ht="15.75" customHeight="1">
      <c r="A19240" s="2" t="s">
        <v>19240</v>
      </c>
      <c r="B19240" s="2" t="str">
        <f>IFERROR(__xludf.DUMMYFUNCTION("GOOGLETRANSLATE(A19240, ""en"", ""mt"")"),"Ġlieda kontra l-apartheid")</f>
        <v>Ġlieda kontra l-apartheid</v>
      </c>
    </row>
    <row r="19241" ht="15.75" customHeight="1">
      <c r="A19241" s="2" t="s">
        <v>19241</v>
      </c>
      <c r="B19241" s="2" t="str">
        <f>IFERROR(__xludf.DUMMYFUNCTION("GOOGLETRANSLATE(A19241, ""en"", ""mt"")"),"strettament kontenut f'P jew daqs p")</f>
        <v>strettament kontenut f'P jew daqs p</v>
      </c>
    </row>
    <row r="19242" ht="15.75" customHeight="1">
      <c r="A19242" s="2" t="s">
        <v>19242</v>
      </c>
      <c r="B19242" s="2" t="str">
        <f>IFERROR(__xludf.DUMMYFUNCTION("GOOGLETRANSLATE(A19242, ""en"", ""mt"")"),"Kemm kellu Toghun Temur meta sar Imperatur?")</f>
        <v>Kemm kellu Toghun Temur meta sar Imperatur?</v>
      </c>
    </row>
    <row r="19243" ht="15.75" customHeight="1">
      <c r="A19243" s="2" t="s">
        <v>19243</v>
      </c>
      <c r="B19243" s="2" t="str">
        <f>IFERROR(__xludf.DUMMYFUNCTION("GOOGLETRANSLATE(A19243, ""en"", ""mt"")"),"X’għamlet l-industrija għar-Renu sas-snin 1980?")</f>
        <v>X’għamlet l-industrija għar-Renu sas-snin 1980?</v>
      </c>
    </row>
    <row r="19244" ht="15.75" customHeight="1">
      <c r="A19244" s="2" t="s">
        <v>19244</v>
      </c>
      <c r="B19244" s="2" t="str">
        <f>IFERROR(__xludf.DUMMYFUNCTION("GOOGLETRANSLATE(A19244, ""en"", ""mt"")"),"Liema metodu jistudja l-pożizzjonijiet tal-glaċieri u l-wiċċ tagħhom?")</f>
        <v>Liema metodu jistudja l-pożizzjonijiet tal-glaċieri u l-wiċċ tagħhom?</v>
      </c>
    </row>
    <row r="19245" ht="15.75" customHeight="1">
      <c r="A19245" s="2" t="s">
        <v>19245</v>
      </c>
      <c r="B19245" s="2" t="str">
        <f>IFERROR(__xludf.DUMMYFUNCTION("GOOGLETRANSLATE(A19245, ""en"", ""mt"")"),"Liema sena l-ewwel president tal-università ngħata l-pożizzjoni tiegħu?")</f>
        <v>Liema sena l-ewwel president tal-università ngħata l-pożizzjoni tiegħu?</v>
      </c>
    </row>
    <row r="19246" ht="15.75" customHeight="1">
      <c r="A19246" s="2" t="s">
        <v>19246</v>
      </c>
      <c r="B19246" s="2" t="str">
        <f>IFERROR(__xludf.DUMMYFUNCTION("GOOGLETRANSLATE(A19246, ""en"", ""mt"")"),"Ġestjoni fqira, diviżjonijiet interni, u scouts Kanadiżi effettivi, forzi regolari Franċiżi, u alleati tal-gwerriera Indjani")</f>
        <v>Ġestjoni fqira, diviżjonijiet interni, u scouts Kanadiżi effettivi, forzi regolari Franċiżi, u alleati tal-gwerriera Indjani</v>
      </c>
    </row>
    <row r="19247" ht="15.75" customHeight="1">
      <c r="A19247" s="2" t="s">
        <v>19247</v>
      </c>
      <c r="B19247" s="2" t="str">
        <f>IFERROR(__xludf.DUMMYFUNCTION("GOOGLETRANSLATE(A19247, ""en"", ""mt"")"),"kollass strutturali, overruns ta 'spejjeż, u / jew litigazzjoni")</f>
        <v>kollass strutturali, overruns ta 'spejjeż, u / jew litigazzjoni</v>
      </c>
    </row>
    <row r="19248" ht="15.75" customHeight="1">
      <c r="A19248" s="2" t="s">
        <v>19248</v>
      </c>
      <c r="B19248" s="2" t="str">
        <f>IFERROR(__xludf.DUMMYFUNCTION("GOOGLETRANSLATE(A19248, ""en"", ""mt"")"),"Dubbidjenza ċivili solitarja")</f>
        <v>Dubbidjenza ċivili solitarja</v>
      </c>
    </row>
    <row r="19249" ht="15.75" customHeight="1">
      <c r="A19249" s="2" t="s">
        <v>19249</v>
      </c>
      <c r="B19249" s="2" t="str">
        <f>IFERROR(__xludf.DUMMYFUNCTION("GOOGLETRANSLATE(A19249, ""en"", ""mt"")"),"Liema sport qed jikber fl-iskejjel kollha tal-Kalifornja?")</f>
        <v>Liema sport qed jikber fl-iskejjel kollha tal-Kalifornja?</v>
      </c>
    </row>
    <row r="19250" ht="15.75" customHeight="1">
      <c r="A19250" s="2" t="s">
        <v>19250</v>
      </c>
      <c r="B19250" s="2" t="str">
        <f>IFERROR(__xludf.DUMMYFUNCTION("GOOGLETRANSLATE(A19250, ""en"", ""mt"")"),"Karotenojdi")</f>
        <v>Karotenojdi</v>
      </c>
    </row>
    <row r="19251" ht="15.75" customHeight="1">
      <c r="A19251" s="2" t="s">
        <v>19251</v>
      </c>
      <c r="B19251" s="2" t="str">
        <f>IFERROR(__xludf.DUMMYFUNCTION("GOOGLETRANSLATE(A19251, ""en"", ""mt"")"),"Kif kienu l-familji tal-garnizon tal-Mongolja li jaqilgħu l-flus?")</f>
        <v>Kif kienu l-familji tal-garnizon tal-Mongolja li jaqilgħu l-flus?</v>
      </c>
    </row>
    <row r="19252" ht="15.75" customHeight="1">
      <c r="A19252" s="2" t="s">
        <v>19252</v>
      </c>
      <c r="B19252" s="2" t="str">
        <f>IFERROR(__xludf.DUMMYFUNCTION("GOOGLETRANSLATE(A19252, ""en"", ""mt"")"),"Rhin")</f>
        <v>Rhin</v>
      </c>
    </row>
    <row r="19253" ht="15.75" customHeight="1">
      <c r="A19253" s="2" t="s">
        <v>19253</v>
      </c>
      <c r="B19253" s="2" t="str">
        <f>IFERROR(__xludf.DUMMYFUNCTION("GOOGLETRANSLATE(A19253, ""en"", ""mt"")"),"X'tipi ta 'xogħol għamel il-Han fl-Asja Ċentrali?")</f>
        <v>X'tipi ta 'xogħol għamel il-Han fl-Asja Ċentrali?</v>
      </c>
    </row>
    <row r="19254" ht="15.75" customHeight="1">
      <c r="A19254" s="2" t="s">
        <v>19254</v>
      </c>
      <c r="B19254" s="2" t="str">
        <f>IFERROR(__xludf.DUMMYFUNCTION("GOOGLETRANSLATE(A19254, ""en"", ""mt"")"),"Ħafna drabi, il-liġijiet tal-istat individwali jiddeskrivu dak li jiddefinixxi relazzjoni valida tal-pazjent-toctor")</f>
        <v>Ħafna drabi, il-liġijiet tal-istat individwali jiddeskrivu dak li jiddefinixxi relazzjoni valida tal-pazjent-toctor</v>
      </c>
    </row>
    <row r="19255" ht="15.75" customHeight="1">
      <c r="A19255" s="2" t="s">
        <v>19255</v>
      </c>
      <c r="B19255" s="2" t="str">
        <f>IFERROR(__xludf.DUMMYFUNCTION("GOOGLETRANSLATE(A19255, ""en"", ""mt"")"),"Miċ-Ċensiment tal-Istati Uniti tal-2010, in-Nofsinhar tal-Kalifornja għandha popolazzjoni ta '22, 680,010. Minkejja reputazzjoni għal rati ta 'tkabbir għoljin, ir-rata tan-Nofsinhar ta' California kibret inqas mill-medja tal-istat ta '10.0% fis-snin 2000 "&amp;"hekk kif it-tkabbir ta' California sar ikkonċentrat fil-parti tat-tramuntana ta 'l-istat minħabba ekonomija aktar b'saħħitha u orjentata lejn it-teknoloġija fiż-żona tal-bajja u Reġjun ta 'Sacramento Greater Emerging.")</f>
        <v>Miċ-Ċensiment tal-Istati Uniti tal-2010, in-Nofsinhar tal-Kalifornja għandha popolazzjoni ta '22, 680,010. Minkejja reputazzjoni għal rati ta 'tkabbir għoljin, ir-rata tan-Nofsinhar ta' California kibret inqas mill-medja tal-istat ta '10.0% fis-snin 2000 hekk kif it-tkabbir ta' California sar ikkonċentrat fil-parti tat-tramuntana ta 'l-istat minħabba ekonomija aktar b'saħħitha u orjentata lejn it-teknoloġija fiż-żona tal-bajja u Reġjun ta 'Sacramento Greater Emerging.</v>
      </c>
    </row>
    <row r="19256" ht="15.75" customHeight="1">
      <c r="A19256" s="2" t="s">
        <v>19256</v>
      </c>
      <c r="B19256" s="2" t="str">
        <f>IFERROR(__xludf.DUMMYFUNCTION("GOOGLETRANSLATE(A19256, ""en"", ""mt"")"),"inċentiv għall-bidliet demokratiċi")</f>
        <v>inċentiv għall-bidliet demokratiċi</v>
      </c>
    </row>
    <row r="19257" ht="15.75" customHeight="1">
      <c r="A19257" s="2" t="s">
        <v>19257</v>
      </c>
      <c r="B19257" s="2" t="str">
        <f>IFERROR(__xludf.DUMMYFUNCTION("GOOGLETRANSLATE(A19257, ""en"", ""mt"")"),"Fejn baqgħu truppi Amerikani stazzjonati wara r-rebħa ta 'Saddam?")</f>
        <v>Fejn baqgħu truppi Amerikani stazzjonati wara r-rebħa ta 'Saddam?</v>
      </c>
    </row>
    <row r="19258" ht="15.75" customHeight="1">
      <c r="A19258" s="2" t="s">
        <v>19258</v>
      </c>
      <c r="B19258" s="2" t="str">
        <f>IFERROR(__xludf.DUMMYFUNCTION("GOOGLETRANSLATE(A19258, ""en"", ""mt"")"),"Kif huma peżati l-voti biex jiżguraw li l-istati iżgħar huma ddominati minn dawk ikbar?")</f>
        <v>Kif huma peżati l-voti biex jiżguraw li l-istati iżgħar huma ddominati minn dawk ikbar?</v>
      </c>
    </row>
    <row r="19259" ht="15.75" customHeight="1">
      <c r="A19259" s="2" t="s">
        <v>19259</v>
      </c>
      <c r="B19259" s="2" t="str">
        <f>IFERROR(__xludf.DUMMYFUNCTION("GOOGLETRANSLATE(A19259, ""en"", ""mt"")"),"Kif akkwistaw il-Mongoli Teknoloġija tal-Istampar Ċiniża?")</f>
        <v>Kif akkwistaw il-Mongoli Teknoloġija tal-Istampar Ċiniża?</v>
      </c>
    </row>
    <row r="19260" ht="15.75" customHeight="1">
      <c r="A19260" s="2" t="s">
        <v>19260</v>
      </c>
      <c r="B19260" s="2" t="str">
        <f>IFERROR(__xludf.DUMMYFUNCTION("GOOGLETRANSLATE(A19260, ""en"", ""mt"")"),"F'liema data Henry Kissinger innegozja irtirar ta 'truppi Iżraeljani mill-Peniżola tas-Sinaj?")</f>
        <v>F'liema data Henry Kissinger innegozja irtirar ta 'truppi Iżraeljani mill-Peniżola tas-Sinaj?</v>
      </c>
    </row>
    <row r="19261" ht="15.75" customHeight="1">
      <c r="A19261" s="2" t="s">
        <v>19261</v>
      </c>
      <c r="B19261" s="2" t="str">
        <f>IFERROR(__xludf.DUMMYFUNCTION("GOOGLETRANSLATE(A19261, ""en"", ""mt"")"),"Aktar minn 300 pulizija Eġizzjana kienu vittmi ta 'liema kampanja ta' terrur ta 'grupp?")</f>
        <v>Aktar minn 300 pulizija Eġizzjana kienu vittmi ta 'liema kampanja ta' terrur ta 'grupp?</v>
      </c>
    </row>
    <row r="19262" ht="15.75" customHeight="1">
      <c r="A19262" s="2" t="s">
        <v>19262</v>
      </c>
      <c r="B19262" s="2" t="str">
        <f>IFERROR(__xludf.DUMMYFUNCTION("GOOGLETRANSLATE(A19262, ""en"", ""mt"")"),"Kemm hemm residenti l-akbar żona metropolitana?")</f>
        <v>Kemm hemm residenti l-akbar żona metropolitana?</v>
      </c>
    </row>
    <row r="19263" ht="15.75" customHeight="1">
      <c r="A19263" s="2" t="s">
        <v>19263</v>
      </c>
      <c r="B19263" s="2" t="str">
        <f>IFERROR(__xludf.DUMMYFUNCTION("GOOGLETRANSLATE(A19263, ""en"", ""mt"")"),"Liema tribujiet appoġġjaw l-Ingliżi?")</f>
        <v>Liema tribujiet appoġġjaw l-Ingliżi?</v>
      </c>
    </row>
    <row r="19264" ht="15.75" customHeight="1">
      <c r="A19264" s="2" t="s">
        <v>19264</v>
      </c>
      <c r="B19264" s="2" t="str">
        <f>IFERROR(__xludf.DUMMYFUNCTION("GOOGLETRANSLATE(A19264, ""en"", ""mt"")"),"l-ebda ħsara")</f>
        <v>l-ebda ħsara</v>
      </c>
    </row>
    <row r="19265" ht="15.75" customHeight="1">
      <c r="A19265" s="2" t="s">
        <v>19265</v>
      </c>
      <c r="B19265" s="2" t="str">
        <f>IFERROR(__xludf.DUMMYFUNCTION("GOOGLETRANSLATE(A19265, ""en"", ""mt"")"),"Fort Duquesne")</f>
        <v>Fort Duquesne</v>
      </c>
    </row>
    <row r="19266" ht="15.75" customHeight="1">
      <c r="A19266" s="2" t="s">
        <v>19266</v>
      </c>
      <c r="B19266" s="2" t="str">
        <f>IFERROR(__xludf.DUMMYFUNCTION("GOOGLETRANSLATE(A19266, ""en"", ""mt"")"),"Sa liema sena l-karozzi Amerikani ta 'daqs sħiħ naqsu biex ikunu iżgħar?")</f>
        <v>Sa liema sena l-karozzi Amerikani ta 'daqs sħiħ naqsu biex ikunu iżgħar?</v>
      </c>
    </row>
    <row r="19267" ht="15.75" customHeight="1">
      <c r="A19267" s="2" t="s">
        <v>19267</v>
      </c>
      <c r="B19267" s="2" t="str">
        <f>IFERROR(__xludf.DUMMYFUNCTION("GOOGLETRANSLATE(A19267, ""en"", ""mt"")"),"rifjut li tħallas")</f>
        <v>rifjut li tħallas</v>
      </c>
    </row>
    <row r="19268" ht="15.75" customHeight="1">
      <c r="A19268" s="2" t="s">
        <v>19268</v>
      </c>
      <c r="B19268" s="2" t="str">
        <f>IFERROR(__xludf.DUMMYFUNCTION("GOOGLETRANSLATE(A19268, ""en"", ""mt"")"),"Fejn ġiet ippubblikata s-sejħa għall-bidla ta 'Frar 2010?")</f>
        <v>Fejn ġiet ippubblikata s-sejħa għall-bidla ta 'Frar 2010?</v>
      </c>
    </row>
    <row r="19269" ht="15.75" customHeight="1">
      <c r="A19269" s="2" t="s">
        <v>19269</v>
      </c>
      <c r="B19269" s="2" t="str">
        <f>IFERROR(__xludf.DUMMYFUNCTION("GOOGLETRANSLATE(A19269, ""en"", ""mt"")"),"Teorema ta 'Dirichlet")</f>
        <v>Teorema ta 'Dirichlet</v>
      </c>
    </row>
    <row r="19270" ht="15.75" customHeight="1">
      <c r="A19270" s="2" t="s">
        <v>19270</v>
      </c>
      <c r="B19270" s="2" t="str">
        <f>IFERROR(__xludf.DUMMYFUNCTION("GOOGLETRANSLATE(A19270, ""en"", ""mt"")"),"X'għandu jippermetti li r-reġjun ta 'Savanna jespandi fit-tropiċi?")</f>
        <v>X'għandu jippermetti li r-reġjun ta 'Savanna jespandi fit-tropiċi?</v>
      </c>
    </row>
    <row r="19271" ht="15.75" customHeight="1">
      <c r="A19271" s="2" t="s">
        <v>19271</v>
      </c>
      <c r="B19271" s="2" t="str">
        <f>IFERROR(__xludf.DUMMYFUNCTION("GOOGLETRANSLATE(A19271, ""en"", ""mt"")"),"Liema element għandu numru ta 'simbolu ta' 8?")</f>
        <v>Liema element għandu numru ta 'simbolu ta' 8?</v>
      </c>
    </row>
    <row r="19272" ht="15.75" customHeight="1">
      <c r="A19272" s="2" t="s">
        <v>19272</v>
      </c>
      <c r="B19272" s="2" t="str">
        <f>IFERROR(__xludf.DUMMYFUNCTION("GOOGLETRANSLATE(A19272, ""en"", ""mt"")"),"2018")</f>
        <v>2018</v>
      </c>
    </row>
    <row r="19273" ht="15.75" customHeight="1">
      <c r="A19273" s="2" t="s">
        <v>19273</v>
      </c>
      <c r="B19273" s="2" t="str">
        <f>IFERROR(__xludf.DUMMYFUNCTION("GOOGLETRANSLATE(A19273, ""en"", ""mt"")"),"Il-Mexxej Laburista Iain Gray ċeda l-Lvant Lothian minn kemm voti?")</f>
        <v>Il-Mexxej Laburista Iain Gray ċeda l-Lvant Lothian minn kemm voti?</v>
      </c>
    </row>
    <row r="19274" ht="15.75" customHeight="1">
      <c r="A19274" s="2" t="s">
        <v>19274</v>
      </c>
      <c r="B19274" s="2" t="str">
        <f>IFERROR(__xludf.DUMMYFUNCTION("GOOGLETRANSLATE(A19274, ""en"", ""mt"")"),"Ir-relay tal-qafas intuża biex jgħaqqad LANs madwar netwerks ta 'żona wiesgħa. Madankollu, x.25 u kif ukoll ir-relay tal-qafas ġew sostitwiti")</f>
        <v>Ir-relay tal-qafas intuża biex jgħaqqad LANs madwar netwerks ta 'żona wiesgħa. Madankollu, x.25 u kif ukoll ir-relay tal-qafas ġew sostitwiti</v>
      </c>
    </row>
    <row r="19275" ht="15.75" customHeight="1">
      <c r="A19275" s="2" t="s">
        <v>19275</v>
      </c>
      <c r="B19275" s="2" t="str">
        <f>IFERROR(__xludf.DUMMYFUNCTION("GOOGLETRANSLATE(A19275, ""en"", ""mt"")"),"Għal xiex jużaw il-pettnijiet tagħhom?")</f>
        <v>Għal xiex jużaw il-pettnijiet tagħhom?</v>
      </c>
    </row>
    <row r="19276" ht="15.75" customHeight="1">
      <c r="A19276" s="2" t="s">
        <v>19276</v>
      </c>
      <c r="B19276" s="2" t="str">
        <f>IFERROR(__xludf.DUMMYFUNCTION("GOOGLETRANSLATE(A19276, ""en"", ""mt"")"),"Kronikament sottovalutat")</f>
        <v>Kronikament sottovalutat</v>
      </c>
    </row>
    <row r="19277" ht="15.75" customHeight="1">
      <c r="A19277" s="2" t="s">
        <v>19277</v>
      </c>
      <c r="B19277" s="2" t="str">
        <f>IFERROR(__xludf.DUMMYFUNCTION("GOOGLETRANSLATE(A19277, ""en"", ""mt"")"),"X'inhu l-laqam għall-graff ""Millennial Northern Emisfera Reconstruction""?")</f>
        <v>X'inhu l-laqam għall-graff "Millennial Northern Emisfera Reconstruction"?</v>
      </c>
    </row>
    <row r="19278" ht="15.75" customHeight="1">
      <c r="A19278" s="2" t="s">
        <v>19278</v>
      </c>
      <c r="B19278" s="2" t="str">
        <f>IFERROR(__xludf.DUMMYFUNCTION("GOOGLETRANSLATE(A19278, ""en"", ""mt"")"),"Meta Setanta Sports qal li se tniedi bħala servizz ta 'abbonament?")</f>
        <v>Meta Setanta Sports qal li se tniedi bħala servizz ta 'abbonament?</v>
      </c>
    </row>
    <row r="19279" ht="15.75" customHeight="1">
      <c r="A19279" s="2" t="s">
        <v>19279</v>
      </c>
      <c r="B19279" s="2" t="str">
        <f>IFERROR(__xludf.DUMMYFUNCTION("GOOGLETRANSLATE(A19279, ""en"", ""mt"")"),"Liema riċerkaturi tal-Premju Nobel huma ex-membri tal-fakultà?")</f>
        <v>Liema riċerkaturi tal-Premju Nobel huma ex-membri tal-fakultà?</v>
      </c>
    </row>
    <row r="19280" ht="15.75" customHeight="1">
      <c r="A19280" s="2" t="s">
        <v>19280</v>
      </c>
      <c r="B19280" s="2" t="str">
        <f>IFERROR(__xludf.DUMMYFUNCTION("GOOGLETRANSLATE(A19280, ""en"", ""mt"")"),"Elettroliżi ta 'dak li jista' jintuża biex jipproduċi ossiġnu u idroġenu?")</f>
        <v>Elettroliżi ta 'dak li jista' jintuża biex jipproduċi ossiġnu u idroġenu?</v>
      </c>
    </row>
    <row r="19281" ht="15.75" customHeight="1">
      <c r="A19281" s="2" t="s">
        <v>19281</v>
      </c>
      <c r="B19281" s="2" t="str">
        <f>IFERROR(__xludf.DUMMYFUNCTION("GOOGLETRANSLATE(A19281, ""en"", ""mt"")"),"karozza")</f>
        <v>karozza</v>
      </c>
    </row>
    <row r="19282" ht="15.75" customHeight="1">
      <c r="A19282" s="2" t="s">
        <v>19282</v>
      </c>
      <c r="B19282" s="2" t="str">
        <f>IFERROR(__xludf.DUMMYFUNCTION("GOOGLETRANSLATE(A19282, ""en"", ""mt"")"),"X'jagħmlu livelli baxxi ta 'inugwaljanza għat-tkabbir ekonomiku f'pajjiżi aktar sinjuri?")</f>
        <v>X'jagħmlu livelli baxxi ta 'inugwaljanza għat-tkabbir ekonomiku f'pajjiżi aktar sinjuri?</v>
      </c>
    </row>
    <row r="19283" ht="15.75" customHeight="1">
      <c r="A19283" s="2" t="s">
        <v>19283</v>
      </c>
      <c r="B19283" s="2" t="str">
        <f>IFERROR(__xludf.DUMMYFUNCTION("GOOGLETRANSLATE(A19283, ""en"", ""mt"")"),"Min inkluda 1 bħala l-ewwel numru ewlieni f'nofs is-seklu 20?")</f>
        <v>Min inkluda 1 bħala l-ewwel numru ewlieni f'nofs is-seklu 20?</v>
      </c>
    </row>
    <row r="19284" ht="15.75" customHeight="1">
      <c r="A19284" s="2" t="s">
        <v>19284</v>
      </c>
      <c r="B19284" s="2" t="str">
        <f>IFERROR(__xludf.DUMMYFUNCTION("GOOGLETRANSLATE(A19284, ""en"", ""mt"")"),"Iżakk")</f>
        <v>Iżakk</v>
      </c>
    </row>
    <row r="19285" ht="15.75" customHeight="1">
      <c r="A19285" s="2" t="s">
        <v>19285</v>
      </c>
      <c r="B19285" s="2" t="str">
        <f>IFERROR(__xludf.DUMMYFUNCTION("GOOGLETRANSLATE(A19285, ""en"", ""mt"")"),"NFIL3")</f>
        <v>NFIL3</v>
      </c>
    </row>
    <row r="19286" ht="15.75" customHeight="1">
      <c r="A19286" s="2" t="s">
        <v>19286</v>
      </c>
      <c r="B19286" s="2" t="str">
        <f>IFERROR(__xludf.DUMMYFUNCTION("GOOGLETRANSLATE(A19286, ""en"", ""mt"")"),"L-ebda konkors")</f>
        <v>L-ebda konkors</v>
      </c>
    </row>
    <row r="19287" ht="15.75" customHeight="1">
      <c r="A19287" s="2" t="s">
        <v>19287</v>
      </c>
      <c r="B19287" s="2" t="str">
        <f>IFERROR(__xludf.DUMMYFUNCTION("GOOGLETRANSLATE(A19287, ""en"", ""mt"")"),"Il-foresta tropikali rnexxielha tiffjorixxi matul il-perjodi glaċjali?")</f>
        <v>Il-foresta tropikali rnexxielha tiffjorixxi matul il-perjodi glaċjali?</v>
      </c>
    </row>
    <row r="19288" ht="15.75" customHeight="1">
      <c r="A19288" s="2" t="s">
        <v>19288</v>
      </c>
      <c r="B19288" s="2" t="str">
        <f>IFERROR(__xludf.DUMMYFUNCTION("GOOGLETRANSLATE(A19288, ""en"", ""mt"")"),"Problemi iebsa mill-NP")</f>
        <v>Problemi iebsa mill-NP</v>
      </c>
    </row>
    <row r="19289" ht="15.75" customHeight="1">
      <c r="A19289" s="2" t="s">
        <v>19289</v>
      </c>
      <c r="B19289" s="2" t="str">
        <f>IFERROR(__xludf.DUMMYFUNCTION("GOOGLETRANSLATE(A19289, ""en"", ""mt"")"),"It-test tal-primalità tar-rabin Miller-Rabin")</f>
        <v>It-test tal-primalità tar-rabin Miller-Rabin</v>
      </c>
    </row>
    <row r="19290" ht="15.75" customHeight="1">
      <c r="A19290" s="2" t="s">
        <v>19290</v>
      </c>
      <c r="B19290" s="2" t="str">
        <f>IFERROR(__xludf.DUMMYFUNCTION("GOOGLETRANSLATE(A19290, ""en"", ""mt"")")," Ħadd ma ġeneralizza t-tifsira tal-kelma imperjalizmu għal skopijiet ġenerali xiex?")</f>
        <v> Ħadd ma ġeneralizza t-tifsira tal-kelma imperjalizmu għal skopijiet ġenerali xiex?</v>
      </c>
    </row>
    <row r="19291" ht="15.75" customHeight="1">
      <c r="A19291" s="2" t="s">
        <v>19291</v>
      </c>
      <c r="B19291" s="2" t="str">
        <f>IFERROR(__xludf.DUMMYFUNCTION("GOOGLETRANSLATE(A19291, ""en"", ""mt"")"),"X’jbidla l-kaxxa tas-sema + HD?")</f>
        <v>X’jbidla l-kaxxa tas-sema + HD?</v>
      </c>
    </row>
    <row r="19292" ht="15.75" customHeight="1">
      <c r="A19292" s="2" t="s">
        <v>19292</v>
      </c>
      <c r="B19292" s="2" t="str">
        <f>IFERROR(__xludf.DUMMYFUNCTION("GOOGLETRANSLATE(A19292, ""en"", ""mt"")"),"X'inhu l-isem ta 'cellist ta' fama dinjija huwa ex-student ta 'Harvard?")</f>
        <v>X'inhu l-isem ta 'cellist ta' fama dinjija huwa ex-student ta 'Harvard?</v>
      </c>
    </row>
    <row r="19293" ht="15.75" customHeight="1">
      <c r="A19293" s="2" t="s">
        <v>19293</v>
      </c>
      <c r="B19293" s="2" t="str">
        <f>IFERROR(__xludf.DUMMYFUNCTION("GOOGLETRANSLATE(A19293, ""en"", ""mt"")"),"Liema tip ieħor ta 'sport huwa popolari fin-Nofsinhar ta' California?")</f>
        <v>Liema tip ieħor ta 'sport huwa popolari fin-Nofsinhar ta' California?</v>
      </c>
    </row>
    <row r="19294" ht="15.75" customHeight="1">
      <c r="A19294" s="2" t="s">
        <v>19294</v>
      </c>
      <c r="B19294" s="2" t="str">
        <f>IFERROR(__xludf.DUMMYFUNCTION("GOOGLETRANSLATE(A19294, ""en"", ""mt"")"),"Hoek van Holland")</f>
        <v>Hoek van Holland</v>
      </c>
    </row>
    <row r="19295" ht="15.75" customHeight="1">
      <c r="A19295" s="2" t="s">
        <v>19295</v>
      </c>
      <c r="B19295" s="2" t="str">
        <f>IFERROR(__xludf.DUMMYFUNCTION("GOOGLETRANSLATE(A19295, ""en"", ""mt"")"),"Xi jfisser li għoqda tkun ikkunsidrata indekomponibbli?")</f>
        <v>Xi jfisser li għoqda tkun ikkunsidrata indekomponibbli?</v>
      </c>
    </row>
    <row r="19296" ht="15.75" customHeight="1">
      <c r="A19296" s="2" t="s">
        <v>19296</v>
      </c>
      <c r="B19296" s="2" t="str">
        <f>IFERROR(__xludf.DUMMYFUNCTION("GOOGLETRANSLATE(A19296, ""en"", ""mt"")"),"X'kien l-ewwel isem ta 'Schuenemann?")</f>
        <v>X'kien l-ewwel isem ta 'Schuenemann?</v>
      </c>
    </row>
    <row r="19297" ht="15.75" customHeight="1">
      <c r="A19297" s="2" t="s">
        <v>19297</v>
      </c>
      <c r="B19297" s="2" t="str">
        <f>IFERROR(__xludf.DUMMYFUNCTION("GOOGLETRANSLATE(A19297, ""en"", ""mt"")"),"Min jista 'jevadi t-taxxi billi jċaqlaq ir-resident tiegħu lejn l-Olanda?")</f>
        <v>Min jista 'jevadi t-taxxi billi jċaqlaq ir-resident tiegħu lejn l-Olanda?</v>
      </c>
    </row>
    <row r="19298" ht="15.75" customHeight="1">
      <c r="A19298" s="2" t="s">
        <v>19298</v>
      </c>
      <c r="B19298" s="2" t="str">
        <f>IFERROR(__xludf.DUMMYFUNCTION("GOOGLETRANSLATE(A19298, ""en"", ""mt"")"),"L-idea li l-Iżlam ma jistax ikun apolitiku ma jistax jiġi mħaddem minn min?")</f>
        <v>L-idea li l-Iżlam ma jistax ikun apolitiku ma jistax jiġi mħaddem minn min?</v>
      </c>
    </row>
    <row r="19299" ht="15.75" customHeight="1">
      <c r="A19299" s="2" t="s">
        <v>19299</v>
      </c>
      <c r="B19299" s="2" t="str">
        <f>IFERROR(__xludf.DUMMYFUNCTION("GOOGLETRANSLATE(A19299, ""en"", ""mt"")"),"Liema firmatarju tal-Artikoli tal-Konfederazzjoni kien imnissel minn Huguenots?")</f>
        <v>Liema firmatarju tal-Artikoli tal-Konfederazzjoni kien imnissel minn Huguenots?</v>
      </c>
    </row>
    <row r="19300" ht="15.75" customHeight="1">
      <c r="A19300" s="2" t="s">
        <v>19300</v>
      </c>
      <c r="B19300" s="2" t="str">
        <f>IFERROR(__xludf.DUMMYFUNCTION("GOOGLETRANSLATE(A19300, ""en"", ""mt"")"),"Jacksonville hija l-akbar belt skont il-popolazzjoni fl-Istat ta ’Florida tal-Istati Uniti, u l-akbar belt b’żona fl-Istati Uniti kontigwi. Hija s-sede tal-kontea tal-Kontea ta 'Duval, li magħha l-gvern tal-belt ikkonsolida fl-1968. Il-konsolidazzjoni tat"&amp;" lil Jacksonville id-daqs kbir tagħha u poġġiet il-biċċa l-kbira tal-popolazzjoni metropolitana tagħha fil-limiti tal-belt; B'popolazzjoni stmata ta '853,382 fl-2014, hija l-iktar belt popolata xierqa fi Florida u fix-Xlokk, u t-12-il l-iktar popolata fl-"&amp;"Istati Uniti. Jacksonville hija l-belt prinċipali fiż-żona metropolitana ta 'Jacksonville, b'popolazzjoni ta' 1,345,596 fl-2010.")</f>
        <v>Jacksonville hija l-akbar belt skont il-popolazzjoni fl-Istat ta ’Florida tal-Istati Uniti, u l-akbar belt b’żona fl-Istati Uniti kontigwi. Hija s-sede tal-kontea tal-Kontea ta 'Duval, li magħha l-gvern tal-belt ikkonsolida fl-1968. Il-konsolidazzjoni tat lil Jacksonville id-daqs kbir tagħha u poġġiet il-biċċa l-kbira tal-popolazzjoni metropolitana tagħha fil-limiti tal-belt; B'popolazzjoni stmata ta '853,382 fl-2014, hija l-iktar belt popolata xierqa fi Florida u fix-Xlokk, u t-12-il l-iktar popolata fl-Istati Uniti. Jacksonville hija l-belt prinċipali fiż-żona metropolitana ta 'Jacksonville, b'popolazzjoni ta' 1,345,596 fl-2010.</v>
      </c>
    </row>
    <row r="19301" ht="15.75" customHeight="1">
      <c r="A19301" s="2" t="s">
        <v>19301</v>
      </c>
      <c r="B19301" s="2" t="str">
        <f>IFERROR(__xludf.DUMMYFUNCTION("GOOGLETRANSLATE(A19301, ""en"", ""mt"")"),"Il-Partit Konservattiv")</f>
        <v>Il-Partit Konservattiv</v>
      </c>
    </row>
    <row r="19302" ht="15.75" customHeight="1">
      <c r="A19302" s="2" t="s">
        <v>19302</v>
      </c>
      <c r="B19302" s="2" t="str">
        <f>IFERROR(__xludf.DUMMYFUNCTION("GOOGLETRANSLATE(A19302, ""en"", ""mt"")"),"Ir-Renu")</f>
        <v>Ir-Renu</v>
      </c>
    </row>
    <row r="19303" ht="15.75" customHeight="1">
      <c r="A19303" s="2" t="s">
        <v>19303</v>
      </c>
      <c r="B19303" s="2" t="str">
        <f>IFERROR(__xludf.DUMMYFUNCTION("GOOGLETRANSLATE(A19303, ""en"", ""mt"")"),"Kull naħa hija kapaċi twettaq l-obbligi stabbiliti")</f>
        <v>Kull naħa hija kapaċi twettaq l-obbligi stabbiliti</v>
      </c>
    </row>
    <row r="19304" ht="15.75" customHeight="1">
      <c r="A19304" s="2" t="s">
        <v>19304</v>
      </c>
      <c r="B19304" s="2" t="str">
        <f>IFERROR(__xludf.DUMMYFUNCTION("GOOGLETRANSLATE(A19304, ""en"", ""mt"")"),"1,600 mm (5 ft 3 in) Broad Gauge")</f>
        <v>1,600 mm (5 ft 3 in) Broad Gauge</v>
      </c>
    </row>
    <row r="19305" ht="15.75" customHeight="1">
      <c r="A19305" s="2" t="s">
        <v>19305</v>
      </c>
      <c r="B19305" s="2" t="str">
        <f>IFERROR(__xludf.DUMMYFUNCTION("GOOGLETRANSLATE(A19305, ""en"", ""mt"")"),"X'importat negattiv fuq is-swieq tax-xogħol fl-Istati Uniti?")</f>
        <v>X'importat negattiv fuq is-swieq tax-xogħol fl-Istati Uniti?</v>
      </c>
    </row>
    <row r="19306" ht="15.75" customHeight="1">
      <c r="A19306" s="2" t="s">
        <v>19306</v>
      </c>
      <c r="B19306" s="2" t="str">
        <f>IFERROR(__xludf.DUMMYFUNCTION("GOOGLETRANSLATE(A19306, ""en"", ""mt"")"),"Liema belt hija mdawra minn Jacksonville?")</f>
        <v>Liema belt hija mdawra minn Jacksonville?</v>
      </c>
    </row>
    <row r="19307" ht="15.75" customHeight="1">
      <c r="A19307" s="2" t="s">
        <v>19307</v>
      </c>
      <c r="B19307" s="2" t="str">
        <f>IFERROR(__xludf.DUMMYFUNCTION("GOOGLETRANSLATE(A19307, ""en"", ""mt"")"),"Matul liema Eon beda l-ossiġnu ħieles beda jidher fil-kwantità?")</f>
        <v>Matul liema Eon beda l-ossiġnu ħieles beda jidher fil-kwantità?</v>
      </c>
    </row>
    <row r="19308" ht="15.75" customHeight="1">
      <c r="A19308" s="2" t="s">
        <v>19308</v>
      </c>
      <c r="B19308" s="2" t="str">
        <f>IFERROR(__xludf.DUMMYFUNCTION("GOOGLETRANSLATE(A19308, ""en"", ""mt"")"),"200")</f>
        <v>200</v>
      </c>
    </row>
    <row r="19309" ht="15.75" customHeight="1">
      <c r="A19309" s="2" t="s">
        <v>19309</v>
      </c>
      <c r="B19309" s="2" t="str">
        <f>IFERROR(__xludf.DUMMYFUNCTION("GOOGLETRANSLATE(A19309, ""en"", ""mt"")"),"fluss tal-ilma mill-kavità tal-ġisem")</f>
        <v>fluss tal-ilma mill-kavità tal-ġisem</v>
      </c>
    </row>
    <row r="19310" ht="15.75" customHeight="1">
      <c r="A19310" s="2" t="s">
        <v>19310</v>
      </c>
      <c r="B19310" s="2" t="str">
        <f>IFERROR(__xludf.DUMMYFUNCTION("GOOGLETRANSLATE(A19310, ""en"", ""mt"")"),"It-teżi ta 'min tiddikjara li s-soluzzjoni għal problema tista' tissolva b'riżorsi raġonevoli jekk wieħed jassumi li jippermetti algoritmu ta 'ħin polinomjali?")</f>
        <v>It-teżi ta 'min tiddikjara li s-soluzzjoni għal problema tista' tissolva b'riżorsi raġonevoli jekk wieħed jassumi li jippermetti algoritmu ta 'ħin polinomjali?</v>
      </c>
    </row>
    <row r="19311" ht="15.75" customHeight="1">
      <c r="A19311" s="2" t="s">
        <v>19311</v>
      </c>
      <c r="B19311" s="2" t="str">
        <f>IFERROR(__xludf.DUMMYFUNCTION("GOOGLETRANSLATE(A19311, ""en"", ""mt"")"),"X'tip ta 'monarkija Musulmana Sunni qed tmexxi l-Iran?")</f>
        <v>X'tip ta 'monarkija Musulmana Sunni qed tmexxi l-Iran?</v>
      </c>
    </row>
    <row r="19312" ht="15.75" customHeight="1">
      <c r="A19312" s="2" t="s">
        <v>19312</v>
      </c>
      <c r="B19312" s="2" t="str">
        <f>IFERROR(__xludf.DUMMYFUNCTION("GOOGLETRANSLATE(A19312, ""en"", ""mt"")"),"Arpanet")</f>
        <v>Arpanet</v>
      </c>
    </row>
    <row r="19313" ht="15.75" customHeight="1">
      <c r="A19313" s="2" t="s">
        <v>19313</v>
      </c>
      <c r="B19313" s="2" t="str">
        <f>IFERROR(__xludf.DUMMYFUNCTION("GOOGLETRANSLATE(A19313, ""en"", ""mt"")"),"Wieħed mir-refuġjati l-aktar prominenti Huguenot fl-Olanda kien Pierre Bayle. Huwa beda jgħallem f'Rotterdam, fejn spiċċa jikteb u jippubblika l-kapolavur multi-volum tiegħu, dizzjunarju storiku u kritiku. Dan sar wieħed mill-100 test fundamentali tal-Lib"&amp;"rerija tal-Kungress tal-Istati Uniti. Xi dixxendenti Huguenot fl-Olanda jistgħu jiġu nnotati mill-ismijiet tal-familja Franċiżi, għalkemm tipikament jużaw ismijiet Olandiżi. Minħabba r-rabtiet bikrija ta 'Huguenots mat-tmexxija tar-rewwixta Olandiża u l-p"&amp;"arteċipazzjoni tagħhom stess, uħud mill-patriġġjati Olandiżi huma ta' dixxendenza parti minn Huguenot. Xi familji Huguenot żammew diversi tradizzjonijiet, bħaċ-ċelebrazzjoni u l-festa tal-patrun tagħhom San Nicolas, simili għall-festa Olandiża Sint Nicola"&amp;"as (Sinterklaas).")</f>
        <v>Wieħed mir-refuġjati l-aktar prominenti Huguenot fl-Olanda kien Pierre Bayle. Huwa beda jgħallem f'Rotterdam, fejn spiċċa jikteb u jippubblika l-kapolavur multi-volum tiegħu, dizzjunarju storiku u kritiku. Dan sar wieħed mill-100 test fundamentali tal-Librerija tal-Kungress tal-Istati Uniti. Xi dixxendenti Huguenot fl-Olanda jistgħu jiġu nnotati mill-ismijiet tal-familja Franċiżi, għalkemm tipikament jużaw ismijiet Olandiżi. Minħabba r-rabtiet bikrija ta 'Huguenots mat-tmexxija tar-rewwixta Olandiża u l-parteċipazzjoni tagħhom stess, uħud mill-patriġġjati Olandiżi huma ta' dixxendenza parti minn Huguenot. Xi familji Huguenot żammew diversi tradizzjonijiet, bħaċ-ċelebrazzjoni u l-festa tal-patrun tagħhom San Nicolas, simili għall-festa Olandiża Sint Nicolaas (Sinterklaas).</v>
      </c>
    </row>
    <row r="19314" ht="15.75" customHeight="1">
      <c r="A19314" s="2" t="s">
        <v>19314</v>
      </c>
      <c r="B19314" s="2" t="str">
        <f>IFERROR(__xludf.DUMMYFUNCTION("GOOGLETRANSLATE(A19314, ""en"", ""mt"")"),"Liema żoni huma fit-tramuntana tal-Greater Santa Barbara?")</f>
        <v>Liema żoni huma fit-tramuntana tal-Greater Santa Barbara?</v>
      </c>
    </row>
    <row r="19315" ht="15.75" customHeight="1">
      <c r="A19315" s="2" t="s">
        <v>19315</v>
      </c>
      <c r="B19315" s="2" t="str">
        <f>IFERROR(__xludf.DUMMYFUNCTION("GOOGLETRANSLATE(A19315, ""en"", ""mt"")"),"Min ma kienx figura importanti fil-qawmien mill-ġdid tas-seklu għoxrin fl-Indja?")</f>
        <v>Min ma kienx figura importanti fil-qawmien mill-ġdid tas-seklu għoxrin fl-Indja?</v>
      </c>
    </row>
    <row r="19316" ht="15.75" customHeight="1">
      <c r="A19316" s="2" t="s">
        <v>19316</v>
      </c>
      <c r="B19316" s="2" t="str">
        <f>IFERROR(__xludf.DUMMYFUNCTION("GOOGLETRANSLATE(A19316, ""en"", ""mt"")"),"Il-produzzjoni ta 'liema molekuli ta' sinjalazzjoni hija rregolata mis-sistema immunitarja?")</f>
        <v>Il-produzzjoni ta 'liema molekuli ta' sinjalazzjoni hija rregolata mis-sistema immunitarja?</v>
      </c>
    </row>
    <row r="19317" ht="15.75" customHeight="1">
      <c r="A19317" s="2" t="s">
        <v>19317</v>
      </c>
      <c r="B19317" s="2" t="str">
        <f>IFERROR(__xludf.DUMMYFUNCTION("GOOGLETRANSLATE(A19317, ""en"", ""mt"")"),"Min kienu s-Semuren?")</f>
        <v>Min kienu s-Semuren?</v>
      </c>
    </row>
    <row r="19318" ht="15.75" customHeight="1">
      <c r="A19318" s="2" t="s">
        <v>19318</v>
      </c>
      <c r="B19318" s="2" t="str">
        <f>IFERROR(__xludf.DUMMYFUNCTION("GOOGLETRANSLATE(A19318, ""en"", ""mt"")"),"ideoloġiku")</f>
        <v>ideoloġiku</v>
      </c>
    </row>
    <row r="19319" ht="15.75" customHeight="1">
      <c r="A19319" s="2" t="s">
        <v>19319</v>
      </c>
      <c r="B19319" s="2" t="str">
        <f>IFERROR(__xludf.DUMMYFUNCTION("GOOGLETRANSLATE(A19319, ""en"", ""mt"")"),"Liema grupp jippromwovi bl-użu ta 'kunflitt biex jiddeċiedi każijiet?")</f>
        <v>Liema grupp jippromwovi bl-użu ta 'kunflitt biex jiddeċiedi każijiet?</v>
      </c>
    </row>
    <row r="19320" ht="15.75" customHeight="1">
      <c r="A19320" s="2" t="s">
        <v>19320</v>
      </c>
      <c r="B19320" s="2" t="str">
        <f>IFERROR(__xludf.DUMMYFUNCTION("GOOGLETRANSLATE(A19320, ""en"", ""mt"")"),"Baiju")</f>
        <v>Baiju</v>
      </c>
    </row>
    <row r="19321" ht="15.75" customHeight="1">
      <c r="A19321" s="2" t="s">
        <v>19321</v>
      </c>
      <c r="B19321" s="2" t="str">
        <f>IFERROR(__xludf.DUMMYFUNCTION("GOOGLETRANSLATE(A19321, ""en"", ""mt"")"),"Matul is-sekli 16 u 17")</f>
        <v>Matul is-sekli 16 u 17</v>
      </c>
    </row>
    <row r="19322" ht="15.75" customHeight="1">
      <c r="A19322" s="2" t="s">
        <v>19322</v>
      </c>
      <c r="B19322" s="2" t="str">
        <f>IFERROR(__xludf.DUMMYFUNCTION("GOOGLETRANSLATE(A19322, ""en"", ""mt"")"),"2015")</f>
        <v>2015</v>
      </c>
    </row>
    <row r="19323" ht="15.75" customHeight="1">
      <c r="A19323" s="2" t="s">
        <v>19323</v>
      </c>
      <c r="B19323" s="2" t="str">
        <f>IFERROR(__xludf.DUMMYFUNCTION("GOOGLETRANSLATE(A19323, ""en"", ""mt"")"),"Kumitati obbligatorji jeżistu fil-ħames sessjoni ta 'xiex?")</f>
        <v>Kumitati obbligatorji jeżistu fil-ħames sessjoni ta 'xiex?</v>
      </c>
    </row>
    <row r="19324" ht="15.75" customHeight="1">
      <c r="A19324" s="2" t="s">
        <v>19324</v>
      </c>
      <c r="B19324" s="2" t="str">
        <f>IFERROR(__xludf.DUMMYFUNCTION("GOOGLETRANSLATE(A19324, ""en"", ""mt"")"),"X’sar id-Dipartiment tal-Enerġija fl-1974?")</f>
        <v>X’sar id-Dipartiment tal-Enerġija fl-1974?</v>
      </c>
    </row>
    <row r="19325" ht="15.75" customHeight="1">
      <c r="A19325" s="2" t="s">
        <v>19325</v>
      </c>
      <c r="B19325" s="2" t="str">
        <f>IFERROR(__xludf.DUMMYFUNCTION("GOOGLETRANSLATE(A19325, ""en"", ""mt"")"),"X'inhi l-pressjoni parzjali tal-ossiġnu tal-ilbiesi spazjali?")</f>
        <v>X'inhi l-pressjoni parzjali tal-ossiġnu tal-ilbiesi spazjali?</v>
      </c>
    </row>
    <row r="19326" ht="15.75" customHeight="1">
      <c r="A19326" s="2" t="s">
        <v>19326</v>
      </c>
      <c r="B19326" s="2" t="str">
        <f>IFERROR(__xludf.DUMMYFUNCTION("GOOGLETRANSLATE(A19326, ""en"", ""mt"")"),"X’għamel il-liġi tat-trasport?")</f>
        <v>X’għamel il-liġi tat-trasport?</v>
      </c>
    </row>
    <row r="19327" ht="15.75" customHeight="1">
      <c r="A19327" s="2" t="s">
        <v>19327</v>
      </c>
      <c r="B19327" s="2" t="str">
        <f>IFERROR(__xludf.DUMMYFUNCTION("GOOGLETRANSLATE(A19327, ""en"", ""mt"")"),"Prattiki u eżamijiet governattivi Confucian")</f>
        <v>Prattiki u eżamijiet governattivi Confucian</v>
      </c>
    </row>
    <row r="19328" ht="15.75" customHeight="1">
      <c r="A19328" s="2" t="s">
        <v>19328</v>
      </c>
      <c r="B19328" s="2" t="str">
        <f>IFERROR(__xludf.DUMMYFUNCTION("GOOGLETRANSLATE(A19328, ""en"", ""mt"")"),"Kemm huma 'l bogħod minn xulxin uħud mill-karatteristiċi tal-viċinat?")</f>
        <v>Kemm huma 'l bogħod minn xulxin uħud mill-karatteristiċi tal-viċinat?</v>
      </c>
    </row>
    <row r="19329" ht="15.75" customHeight="1">
      <c r="A19329" s="2" t="s">
        <v>19329</v>
      </c>
      <c r="B19329" s="2" t="str">
        <f>IFERROR(__xludf.DUMMYFUNCTION("GOOGLETRANSLATE(A19329, ""en"", ""mt"")"),"Id-Danubju")</f>
        <v>Id-Danubju</v>
      </c>
    </row>
    <row r="19330" ht="15.75" customHeight="1">
      <c r="A19330" s="2" t="s">
        <v>19330</v>
      </c>
      <c r="B19330" s="2" t="str">
        <f>IFERROR(__xludf.DUMMYFUNCTION("GOOGLETRANSLATE(A19330, ""en"", ""mt"")"),"Madankollu, din id-definizzjoni hija kkontestata mill-filosofija politika ta 'Thoreau li pitching il-kuxjenza kontra l-kollettiv. L-individwu huwa l-imħallef finali ta 'dritt u ħażin. Aktar minn hekk, peress li l-individwi biss jaġixxu, individwi biss jis"&amp;"tgħu jaġixxu inġustament. Meta l-gvern iħabbat fuq il-bieb, huwa individwu fil-forma ta 'pustier jew kollettur tat-taxxa li l-idejn tiegħu jolqot l-injam. Qabel il-ħabs ta 'Thoreau, meta taxman konfuż kien staqsiet b'leħen għoli dwar kif jimmaniġġa r-rifj"&amp;"ut tiegħu li jħallas, Thoreau kien ta parir, ""jirriżenja."" Jekk raġel għażel li jkun aġent ta 'inġustizzja, allura Thoreau insista li jiffaċċjah bil-fatt li kien qed jagħmel għażla. Imma jekk il-gvern huwa ""l-vuċi tan-nies,"" kif spiss jissejjaħ, m'għa"&amp;"ndux ikun hemm il-vuċi? Thoreau jammetti li l-gvern jista 'jesprimi r-rieda tal-maġġoranza iżda jista' wkoll jesprimi xejn ħlief ir-rieda tal-politiċi elite. Anke forma tajba ta 'gvern hija ""suxxettibbli li tkun abbużata u pervertita qabel ma n-nies ikun"&amp;"u jistgħu jaġixxu minnha."" Barra minn hekk, anke jekk gvern esprima l-vuċi tan-nies, dan il-fatt ma jġiegħelx l-ubbidjenza ta 'individwi li ma jaqblux ma' dak li qed jingħad. Il-maġġoranza tista 'tkun b'saħħitha iżda mhux neċessarjament. X'inhi r-relazzj"&amp;"oni xierqa bejn l-individwu u l-gvern?")</f>
        <v>Madankollu, din id-definizzjoni hija kkontestata mill-filosofija politika ta 'Thoreau li pitching il-kuxjenza kontra l-kollettiv. L-individwu huwa l-imħallef finali ta 'dritt u ħażin. Aktar minn hekk, peress li l-individwi biss jaġixxu, individwi biss jistgħu jaġixxu inġustament. Meta l-gvern iħabbat fuq il-bieb, huwa individwu fil-forma ta 'pustier jew kollettur tat-taxxa li l-idejn tiegħu jolqot l-injam. Qabel il-ħabs ta 'Thoreau, meta taxman konfuż kien staqsiet b'leħen għoli dwar kif jimmaniġġa r-rifjut tiegħu li jħallas, Thoreau kien ta parir, "jirriżenja." Jekk raġel għażel li jkun aġent ta 'inġustizzja, allura Thoreau insista li jiffaċċjah bil-fatt li kien qed jagħmel għażla. Imma jekk il-gvern huwa "l-vuċi tan-nies," kif spiss jissejjaħ, m'għandux ikun hemm il-vuċi? Thoreau jammetti li l-gvern jista 'jesprimi r-rieda tal-maġġoranza iżda jista' wkoll jesprimi xejn ħlief ir-rieda tal-politiċi elite. Anke forma tajba ta 'gvern hija "suxxettibbli li tkun abbużata u pervertita qabel ma n-nies ikunu jistgħu jaġixxu minnha." Barra minn hekk, anke jekk gvern esprima l-vuċi tan-nies, dan il-fatt ma jġiegħelx l-ubbidjenza ta 'individwi li ma jaqblux ma' dak li qed jingħad. Il-maġġoranza tista 'tkun b'saħħitha iżda mhux neċessarjament. X'inhi r-relazzjoni xierqa bejn l-individwu u l-gvern?</v>
      </c>
    </row>
    <row r="19331" ht="15.75" customHeight="1">
      <c r="A19331" s="2" t="s">
        <v>19331</v>
      </c>
      <c r="B19331" s="2" t="str">
        <f>IFERROR(__xludf.DUMMYFUNCTION("GOOGLETRANSLATE(A19331, ""en"", ""mt"")"),"F'liema snin infirxet l-infezzjoni għan-nies ta 'l-Asja Minuri?")</f>
        <v>F'liema snin infirxet l-infezzjoni għan-nies ta 'l-Asja Minuri?</v>
      </c>
    </row>
    <row r="19332" ht="15.75" customHeight="1">
      <c r="A19332" s="2" t="s">
        <v>19332</v>
      </c>
      <c r="B19332" s="2" t="str">
        <f>IFERROR(__xludf.DUMMYFUNCTION("GOOGLETRANSLATE(A19332, ""en"", ""mt"")"),"Matul is-snin 1980 u disgħinijiet, id-domanda għal Parlament Skoċċiż kibret, parzjalment minħabba li l-gvern tar-Renju Unit kien ikkontrollat ​​mill-Partit Konservattiv, filwaqt li l-Iskozja nnifisha eletta relattivament ftit membri parlamentari Konservat"&amp;"tivi. Wara t-telfa tar-referendum tal-1979, il-kampanja għal assemblea Skoċċiża nbdiet bħala grupp ta 'pressjoni, li wassal għall-Konvenzjoni Kostituzzjonali Skoċċiża tal-1989 ma' diversi organizzazzjonijiet bħal knejjes Skoċċiżi, partiti politiċi u rappr"&amp;"eżentanti tal-industrija li qed jieħdu sehem. Pubblikazzjoni tal-blueprint tagħha għad-devoluzzjoni fl-1995, il-konvenzjoni pprovdiet ħafna mill-bażi għall-istruttura tal-Parlament.")</f>
        <v>Matul is-snin 1980 u disgħinijiet, id-domanda għal Parlament Skoċċiż kibret, parzjalment minħabba li l-gvern tar-Renju Unit kien ikkontrollat ​​mill-Partit Konservattiv, filwaqt li l-Iskozja nnifisha eletta relattivament ftit membri parlamentari Konservattivi. Wara t-telfa tar-referendum tal-1979, il-kampanja għal assemblea Skoċċiża nbdiet bħala grupp ta 'pressjoni, li wassal għall-Konvenzjoni Kostituzzjonali Skoċċiża tal-1989 ma' diversi organizzazzjonijiet bħal knejjes Skoċċiżi, partiti politiċi u rappreżentanti tal-industrija li qed jieħdu sehem. Pubblikazzjoni tal-blueprint tagħha għad-devoluzzjoni fl-1995, il-konvenzjoni pprovdiet ħafna mill-bażi għall-istruttura tal-Parlament.</v>
      </c>
    </row>
    <row r="19333" ht="15.75" customHeight="1">
      <c r="A19333" s="2" t="s">
        <v>19333</v>
      </c>
      <c r="B19333" s="2" t="str">
        <f>IFERROR(__xludf.DUMMYFUNCTION("GOOGLETRANSLATE(A19333, ""en"", ""mt"")"),"Ma 'riċevitur għandu jkun mgħammar biex jara l-kontenut kriptat?")</f>
        <v>Ma 'riċevitur għandu jkun mgħammar biex jara l-kontenut kriptat?</v>
      </c>
    </row>
    <row r="19334" ht="15.75" customHeight="1">
      <c r="A19334" s="2" t="s">
        <v>19334</v>
      </c>
      <c r="B19334" s="2" t="str">
        <f>IFERROR(__xludf.DUMMYFUNCTION("GOOGLETRANSLATE(A19334, ""en"", ""mt"")"),"Kif ġie ppremjat Sadat mill-Iżlamisti għat-tentattivi tiegħu biex iġib l-Eġittu fi żminijiet moderni u ċiviltà?")</f>
        <v>Kif ġie ppremjat Sadat mill-Iżlamisti għat-tentattivi tiegħu biex iġib l-Eġittu fi żminijiet moderni u ċiviltà?</v>
      </c>
    </row>
    <row r="19335" ht="15.75" customHeight="1">
      <c r="A19335" s="2" t="s">
        <v>19335</v>
      </c>
      <c r="B19335" s="2" t="str">
        <f>IFERROR(__xludf.DUMMYFUNCTION("GOOGLETRANSLATE(A19335, ""en"", ""mt"")")," Liema huwa inqas għalja, formali, jew imperjalizmu informali?")</f>
        <v> Liema huwa inqas għalja, formali, jew imperjalizmu informali?</v>
      </c>
    </row>
    <row r="19336" ht="15.75" customHeight="1">
      <c r="A19336" s="2" t="s">
        <v>19336</v>
      </c>
      <c r="B19336" s="2" t="str">
        <f>IFERROR(__xludf.DUMMYFUNCTION("GOOGLETRANSLATE(A19336, ""en"", ""mt"")"),"Torri li jkessaħ l-ilma huwa wkoll imsejjaħ bħala x'tip ta 'torri tat-tkessiħ?")</f>
        <v>Torri li jkessaħ l-ilma huwa wkoll imsejjaħ bħala x'tip ta 'torri tat-tkessiħ?</v>
      </c>
    </row>
    <row r="19337" ht="15.75" customHeight="1">
      <c r="A19337" s="2" t="s">
        <v>19337</v>
      </c>
      <c r="B19337" s="2" t="str">
        <f>IFERROR(__xludf.DUMMYFUNCTION("GOOGLETRANSLATE(A19337, ""en"", ""mt"")"),"il-fatt (it-teorema żgħira ta 'Fermat) li np≡N (mod p) għal kwalunkwe n jekk p huwa numru ewlieni")</f>
        <v>il-fatt (it-teorema żgħira ta 'Fermat) li np≡N (mod p) għal kwalunkwe n jekk p huwa numru ewlieni</v>
      </c>
    </row>
    <row r="19338" ht="15.75" customHeight="1">
      <c r="A19338" s="2" t="s">
        <v>19338</v>
      </c>
      <c r="B19338" s="2" t="str">
        <f>IFERROR(__xludf.DUMMYFUNCTION("GOOGLETRANSLATE(A19338, ""en"", ""mt"")"),"Evalwazzjoni tal-adegwatezza tat-terapija tal-mediċina")</f>
        <v>Evalwazzjoni tal-adegwatezza tat-terapija tal-mediċina</v>
      </c>
    </row>
    <row r="19339" ht="15.75" customHeight="1">
      <c r="A19339" s="2" t="s">
        <v>19339</v>
      </c>
      <c r="B19339" s="2" t="str">
        <f>IFERROR(__xludf.DUMMYFUNCTION("GOOGLETRANSLATE(A19339, ""en"", ""mt"")"),"Għal xiex huma akkużati l-poteri kolonjali?")</f>
        <v>Għal xiex huma akkużati l-poteri kolonjali?</v>
      </c>
    </row>
    <row r="19340" ht="15.75" customHeight="1">
      <c r="A19340" s="2" t="s">
        <v>19340</v>
      </c>
      <c r="B19340" s="2" t="str">
        <f>IFERROR(__xludf.DUMMYFUNCTION("GOOGLETRANSLATE(A19340, ""en"", ""mt"")"),"Latitudni baxxa")</f>
        <v>Latitudni baxxa</v>
      </c>
    </row>
    <row r="19341" ht="15.75" customHeight="1">
      <c r="A19341" s="2" t="s">
        <v>19341</v>
      </c>
      <c r="B19341" s="2" t="str">
        <f>IFERROR(__xludf.DUMMYFUNCTION("GOOGLETRANSLATE(A19341, ""en"", ""mt"")"),"Brookhaven")</f>
        <v>Brookhaven</v>
      </c>
    </row>
    <row r="19342" ht="15.75" customHeight="1">
      <c r="A19342" s="2" t="s">
        <v>19342</v>
      </c>
      <c r="B19342" s="2" t="str">
        <f>IFERROR(__xludf.DUMMYFUNCTION("GOOGLETRANSLATE(A19342, ""en"", ""mt"")"),"Duka Richard II")</f>
        <v>Duka Richard II</v>
      </c>
    </row>
    <row r="19343" ht="15.75" customHeight="1">
      <c r="A19343" s="2" t="s">
        <v>19343</v>
      </c>
      <c r="B19343" s="2" t="str">
        <f>IFERROR(__xludf.DUMMYFUNCTION("GOOGLETRANSLATE(A19343, ""en"", ""mt"")"),"""Ipotesi ta 'Huges""")</f>
        <v>"Ipotesi ta 'Huges"</v>
      </c>
    </row>
    <row r="19344" ht="15.75" customHeight="1">
      <c r="A19344" s="2" t="s">
        <v>19344</v>
      </c>
      <c r="B19344" s="2" t="str">
        <f>IFERROR(__xludf.DUMMYFUNCTION("GOOGLETRANSLATE(A19344, ""en"", ""mt"")"),"It-tieni korp leġiżlattiv ewlieni huwa l-kunsill, li huwa magħmul minn ministri differenti tal-istati membri. Il-kapijiet tal-Gvern tal-Istati Membri jlaqqgħu wkoll ""Kunsill Ewropew"" (korp distint) li l-Artikolu 15 tat-TEU jiddefinixxi bħala li jipprovd"&amp;"i l- ""impetu meħtieġ għall-iżvilupp tiegħu u għandu jiddefinixxi d-direzzjonijiet u l-prijoritajiet politiċi ġenerali"". Jiltaqa 'ma' kull sitt xhur u l-president tiegħu (bħalissa l-eks Prim Ministru tal-Polonja Donald Tusk) huwa maħsub biex ""isuq ix-xo"&amp;"għol tiegħu"", iżda huwa nnifsu ""funzjonijiet leġiżlattivi"". Il-Kunsill jagħmel dan: Fil-fatt dan huwa l-gvernijiet tal-Istati Membri, iżda se jkun hemm ministru differenti f'kull laqgħa, skont is-suġġett diskuss (per eżempju għal kwistjonijiet ambjenta"&amp;"li, il-ministri tal-ambjent tal-istati membri jattendu u jivvutaw; għal barranin; Affarijiet, il-Ministri Barranin, eċċ.). Il-Ministru għandu jkollu l-awtorità li jirrappreżenta u jġib l-Istati Membri f'deċiżjonijiet. Meta sseħħ il-votazzjoni huwa peżat b"&amp;"'mod invers għad-daqs tal-istat membru, u għalhekk stati membri iżgħar mhumiex iddominati minn stati membri akbar. B’kollox hemm 352 vot, iżda għal ħafna atti jridu jkun hemm vot ta ’maġġoranza kwalifikata, jekk mhux kunsens. L-Artikolu 16 (4) u l-Artikol"&amp;"u TFEU 238 (3) jiddefinixxu dan biex ifissru mill-inqas 55 fil-mija tal-membri tal-kunsill (mhux voti) li jirrappreżentaw 65 fil-mija tal-popolazzjoni ta 'l-UE: bħalissa dan ifisser madwar 74 fil-mija, jew 260 mill-352 vot. Dan huwa kritiku matul il-proċe"&amp;"ss leġiżlattiv.")</f>
        <v>It-tieni korp leġiżlattiv ewlieni huwa l-kunsill, li huwa magħmul minn ministri differenti tal-istati membri. Il-kapijiet tal-Gvern tal-Istati Membri jlaqqgħu wkoll "Kunsill Ewropew" (korp distint) li l-Artikolu 15 tat-TEU jiddefinixxi bħala li jipprovdi l- "impetu meħtieġ għall-iżvilupp tiegħu u għandu jiddefinixxi d-direzzjonijiet u l-prijoritajiet politiċi ġenerali". Jiltaqa 'ma' kull sitt xhur u l-president tiegħu (bħalissa l-eks Prim Ministru tal-Polonja Donald Tusk) huwa maħsub biex "isuq ix-xogħol tiegħu", iżda huwa nnifsu "funzjonijiet leġiżlattivi". Il-Kunsill jagħmel dan: Fil-fatt dan huwa l-gvernijiet tal-Istati Membri, iżda se jkun hemm ministru differenti f'kull laqgħa, skont is-suġġett diskuss (per eżempju għal kwistjonijiet ambjentali, il-ministri tal-ambjent tal-istati membri jattendu u jivvutaw; għal barranin; Affarijiet, il-Ministri Barranin, eċċ.). Il-Ministru għandu jkollu l-awtorità li jirrappreżenta u jġib l-Istati Membri f'deċiżjonijiet. Meta sseħħ il-votazzjoni huwa peżat b'mod invers għad-daqs tal-istat membru, u għalhekk stati membri iżgħar mhumiex iddominati minn stati membri akbar. B’kollox hemm 352 vot, iżda għal ħafna atti jridu jkun hemm vot ta ’maġġoranza kwalifikata, jekk mhux kunsens. L-Artikolu 16 (4) u l-Artikolu TFEU 238 (3) jiddefinixxu dan biex ifissru mill-inqas 55 fil-mija tal-membri tal-kunsill (mhux voti) li jirrappreżentaw 65 fil-mija tal-popolazzjoni ta 'l-UE: bħalissa dan ifisser madwar 74 fil-mija, jew 260 mill-352 vot. Dan huwa kritiku matul il-proċess leġiżlattiv.</v>
      </c>
    </row>
    <row r="19345" ht="15.75" customHeight="1">
      <c r="A19345" s="2" t="s">
        <v>19345</v>
      </c>
      <c r="B19345" s="2" t="str">
        <f>IFERROR(__xludf.DUMMYFUNCTION("GOOGLETRANSLATE(A19345, ""en"", ""mt"")"),"Nisa li ma jieħdu xogħol minħabba żwieġ jew tqala")</f>
        <v>Nisa li ma jieħdu xogħol minħabba żwieġ jew tqala</v>
      </c>
    </row>
    <row r="19346" ht="15.75" customHeight="1">
      <c r="A19346" s="2" t="s">
        <v>19346</v>
      </c>
      <c r="B19346" s="2" t="str">
        <f>IFERROR(__xludf.DUMMYFUNCTION("GOOGLETRANSLATE(A19346, ""en"", ""mt"")"),"Imċaħħad milli jaqla 'daqshekk dħul")</f>
        <v>Imċaħħad milli jaqla 'daqshekk dħul</v>
      </c>
    </row>
    <row r="19347" ht="15.75" customHeight="1">
      <c r="A19347" s="2" t="s">
        <v>19347</v>
      </c>
      <c r="B19347" s="2" t="str">
        <f>IFERROR(__xludf.DUMMYFUNCTION("GOOGLETRANSLATE(A19347, ""en"", ""mt"")"),"Liema element jintuża bħala likwidu li jkessaħ fil-proċess li jagħmel ossiġnu likwidu?")</f>
        <v>Liema element jintuża bħala likwidu li jkessaħ fil-proċess li jagħmel ossiġnu likwidu?</v>
      </c>
    </row>
    <row r="19348" ht="15.75" customHeight="1">
      <c r="A19348" s="2" t="s">
        <v>19348</v>
      </c>
      <c r="B19348" s="2" t="str">
        <f>IFERROR(__xludf.DUMMYFUNCTION("GOOGLETRANSLATE(A19348, ""en"", ""mt"")"),"Għaliex il-ministri taż-żejt qablu ma 'qatgħa fil-produzzjoni taż-żejt?")</f>
        <v>Għaliex il-ministri taż-żejt qablu ma 'qatgħa fil-produzzjoni taż-żejt?</v>
      </c>
    </row>
    <row r="19349" ht="15.75" customHeight="1">
      <c r="A19349" s="2" t="s">
        <v>19349</v>
      </c>
      <c r="B19349" s="2" t="str">
        <f>IFERROR(__xludf.DUMMYFUNCTION("GOOGLETRANSLATE(A19349, ""en"", ""mt"")"),"X'inhi n-natura tar-relazzjoni bejn iċ-ċelloli T u l-vitamina D?")</f>
        <v>X'inhi n-natura tar-relazzjoni bejn iċ-ċelloli T u l-vitamina D?</v>
      </c>
    </row>
    <row r="19350" ht="15.75" customHeight="1">
      <c r="A19350" s="2" t="s">
        <v>19350</v>
      </c>
      <c r="B19350" s="2" t="str">
        <f>IFERROR(__xludf.DUMMYFUNCTION("GOOGLETRANSLATE(A19350, ""en"", ""mt"")"),"F'magna kompost b'erba 'ċilindri, f'liema grad kienu l-pistuni individwali bilanċjati?")</f>
        <v>F'magna kompost b'erba 'ċilindri, f'liema grad kienu l-pistuni individwali bilanċjati?</v>
      </c>
    </row>
    <row r="19351" ht="15.75" customHeight="1">
      <c r="A19351" s="2" t="s">
        <v>19351</v>
      </c>
      <c r="B19351" s="2" t="str">
        <f>IFERROR(__xludf.DUMMYFUNCTION("GOOGLETRANSLATE(A19351, ""en"", ""mt"")"),"Liema esperjenzi ta 'aċċellerazzjoni meta forza esterna hija applikata għal sistema?")</f>
        <v>Liema esperjenzi ta 'aċċellerazzjoni meta forza esterna hija applikata għal sistema?</v>
      </c>
    </row>
    <row r="19352" ht="15.75" customHeight="1">
      <c r="A19352" s="2" t="s">
        <v>19352</v>
      </c>
      <c r="B19352" s="2" t="str">
        <f>IFERROR(__xludf.DUMMYFUNCTION("GOOGLETRANSLATE(A19352, ""en"", ""mt"")"),"Ftehim kummerċjali sfurzat bejn żewġ pajjiżi mhuwiex eżempju ta 'xiex?")</f>
        <v>Ftehim kummerċjali sfurzat bejn żewġ pajjiżi mhuwiex eżempju ta 'xiex?</v>
      </c>
    </row>
    <row r="19353" ht="15.75" customHeight="1">
      <c r="A19353" s="2" t="s">
        <v>19353</v>
      </c>
      <c r="B19353" s="2" t="str">
        <f>IFERROR(__xludf.DUMMYFUNCTION("GOOGLETRANSLATE(A19353, ""en"", ""mt"")"),"mhux deterministiku")</f>
        <v>mhux deterministiku</v>
      </c>
    </row>
    <row r="19354" ht="15.75" customHeight="1">
      <c r="A19354" s="2" t="s">
        <v>19354</v>
      </c>
      <c r="B19354" s="2" t="str">
        <f>IFERROR(__xludf.DUMMYFUNCTION("GOOGLETRANSLATE(A19354, ""en"", ""mt"")"),"bini, infrastruttura u industrijali")</f>
        <v>bini, infrastruttura u industrijali</v>
      </c>
    </row>
    <row r="19355" ht="15.75" customHeight="1">
      <c r="A19355" s="2" t="s">
        <v>19355</v>
      </c>
      <c r="B19355" s="2" t="str">
        <f>IFERROR(__xludf.DUMMYFUNCTION("GOOGLETRANSLATE(A19355, ""en"", ""mt"")"),"X’għamel Iżrael għaż-żejt importat tal-Ġappun biex iġġiegħel l-involviment tagħhom fil-kriżi?")</f>
        <v>X’għamel Iżrael għaż-żejt importat tal-Ġappun biex iġġiegħel l-involviment tagħhom fil-kriżi?</v>
      </c>
    </row>
    <row r="19356" ht="15.75" customHeight="1">
      <c r="A19356" s="2" t="s">
        <v>19356</v>
      </c>
      <c r="B19356" s="2" t="str">
        <f>IFERROR(__xludf.DUMMYFUNCTION("GOOGLETRANSLATE(A19356, ""en"", ""mt"")"),"Sett ta 'problema li dak huwa diffiċli għall-espressjoni NP jista' jkun iddikjarat ukoll kif?")</f>
        <v>Sett ta 'problema li dak huwa diffiċli għall-espressjoni NP jista' jkun iddikjarat ukoll kif?</v>
      </c>
    </row>
    <row r="19357" ht="15.75" customHeight="1">
      <c r="A19357" s="2" t="s">
        <v>19357</v>
      </c>
      <c r="B19357" s="2" t="str">
        <f>IFERROR(__xludf.DUMMYFUNCTION("GOOGLETRANSLATE(A19357, ""en"", ""mt"")"),"Ticonderoga")</f>
        <v>Ticonderoga</v>
      </c>
    </row>
    <row r="19358" ht="15.75" customHeight="1">
      <c r="A19358" s="2" t="s">
        <v>19358</v>
      </c>
      <c r="B19358" s="2" t="str">
        <f>IFERROR(__xludf.DUMMYFUNCTION("GOOGLETRANSLATE(A19358, ""en"", ""mt"")"),"Il-ġeoloġi strutturali jużaw analiżi mikroskopika ta 'sezzjonijiet irqaq orjentati ta' kampjuni ġeoloġiċi biex josservaw id-drapp fil-blat li jagħti informazzjoni dwar ir-razza fl-istruttura kristallina tal-blat. Huma wkoll jippjanaw u jikkombinaw kejl ta"&amp;" 'strutturi ġeoloġiċi sabiex jifhmu aħjar l-orjentazzjonijiet ta' ħsarat u jingħalaq sabiex terġa 'tinbena l-istorja tad-deformazzjoni tal-blat fiż-żona. Barra minn hekk, huma jwettqu esperimenti analogi u numeriċi ta 'deformazzjoni tal-blat f'ambjenti kb"&amp;"ar u żgħar.")</f>
        <v>Il-ġeoloġi strutturali jużaw analiżi mikroskopika ta 'sezzjonijiet irqaq orjentati ta' kampjuni ġeoloġiċi biex josservaw id-drapp fil-blat li jagħti informazzjoni dwar ir-razza fl-istruttura kristallina tal-blat. Huma wkoll jippjanaw u jikkombinaw kejl ta 'strutturi ġeoloġiċi sabiex jifhmu aħjar l-orjentazzjonijiet ta' ħsarat u jingħalaq sabiex terġa 'tinbena l-istorja tad-deformazzjoni tal-blat fiż-żona. Barra minn hekk, huma jwettqu esperimenti analogi u numeriċi ta 'deformazzjoni tal-blat f'ambjenti kbar u żgħar.</v>
      </c>
    </row>
    <row r="19359" ht="15.75" customHeight="1">
      <c r="A19359" s="2" t="s">
        <v>19359</v>
      </c>
      <c r="B19359" s="2" t="str">
        <f>IFERROR(__xludf.DUMMYFUNCTION("GOOGLETRANSLATE(A19359, ""en"", ""mt"")"),"Fejn tinsab l-Iskola Hyde Park Day?")</f>
        <v>Fejn tinsab l-Iskola Hyde Park Day?</v>
      </c>
    </row>
    <row r="19360" ht="15.75" customHeight="1">
      <c r="A19360" s="2" t="s">
        <v>19360</v>
      </c>
      <c r="B19360" s="2" t="str">
        <f>IFERROR(__xludf.DUMMYFUNCTION("GOOGLETRANSLATE(A19360, ""en"", ""mt"")"),"Bażi tal-metodoloġija użata")</f>
        <v>Bażi tal-metodoloġija użata</v>
      </c>
    </row>
    <row r="19361" ht="15.75" customHeight="1">
      <c r="A19361" s="2" t="s">
        <v>19361</v>
      </c>
      <c r="B19361" s="2" t="str">
        <f>IFERROR(__xludf.DUMMYFUNCTION("GOOGLETRANSLATE(A19361, ""en"", ""mt"")"),"Ikkastiga lin-nies ta 'Miami ta' Pickawillany talli ma segwewx l-ordnijiet ta 'Céloron biex jieqfu jinnegozjaw mal-Ingliżi")</f>
        <v>Ikkastiga lin-nies ta 'Miami ta' Pickawillany talli ma segwewx l-ordnijiet ta 'Céloron biex jieqfu jinnegozjaw mal-Ingliżi</v>
      </c>
    </row>
    <row r="19362" ht="15.75" customHeight="1">
      <c r="A19362" s="2" t="s">
        <v>19362</v>
      </c>
      <c r="B19362" s="2" t="str">
        <f>IFERROR(__xludf.DUMMYFUNCTION("GOOGLETRANSLATE(A19362, ""en"", ""mt"")"),"Il-kliem li jkun hemm se jkun hemm parlament Skoċċiż miktub madwar is-sieq ta ’xiex?")</f>
        <v>Il-kliem li jkun hemm se jkun hemm parlament Skoċċiż miktub madwar is-sieq ta ’xiex?</v>
      </c>
    </row>
    <row r="19363" ht="15.75" customHeight="1">
      <c r="A19363" s="2" t="s">
        <v>19363</v>
      </c>
      <c r="B19363" s="2" t="str">
        <f>IFERROR(__xludf.DUMMYFUNCTION("GOOGLETRANSLATE(A19363, ""en"", ""mt"")"),"Meta twaqqfet il-Kostituzzjoni għall-Ewropa?")</f>
        <v>Meta twaqqfet il-Kostituzzjoni għall-Ewropa?</v>
      </c>
    </row>
    <row r="19364" ht="15.75" customHeight="1">
      <c r="A19364" s="2" t="s">
        <v>19364</v>
      </c>
      <c r="B19364" s="2" t="str">
        <f>IFERROR(__xludf.DUMMYFUNCTION("GOOGLETRANSLATE(A19364, ""en"", ""mt"")"),"Ir-rispons ewlieni tas-sistema immuni għat-tumuri huwa li jeqred iċ-ċelloli anormali bl-użu ta 'ċelloli T qattiel, xi kultant bl-għajnuna ta' ċelloli T helper. L-antiġeni tat-tumur huma ppreżentati fuq molekuli tal-klassi I MHC b'mod simili għal antiġeni "&amp;"virali. Dan jippermetti liċ-ċelloli T qattiel jirrikonoxxu ċ-ċellula tat-tumur bħala anormali. Iċ-ċelloli NK joqtlu wkoll ċelloli tat-tumur b'mod simili, speċjalment jekk iċ-ċelloli tat-tumur għandhom inqas molekuli tal-klassi I MHC fuq il-wiċċ tagħhom mi"&amp;"n-normal; Dan huwa fenomenu komuni bit-tumuri. Kultant l-antikorpi huma ġġenerati kontra ċelloli tat-tumur li jippermettu l-qerda tagħhom mis-sistema ta 'komplement.")</f>
        <v>Ir-rispons ewlieni tas-sistema immuni għat-tumuri huwa li jeqred iċ-ċelloli anormali bl-użu ta 'ċelloli T qattiel, xi kultant bl-għajnuna ta' ċelloli T helper. L-antiġeni tat-tumur huma ppreżentati fuq molekuli tal-klassi I MHC b'mod simili għal antiġeni virali. Dan jippermetti liċ-ċelloli T qattiel jirrikonoxxu ċ-ċellula tat-tumur bħala anormali. Iċ-ċelloli NK joqtlu wkoll ċelloli tat-tumur b'mod simili, speċjalment jekk iċ-ċelloli tat-tumur għandhom inqas molekuli tal-klassi I MHC fuq il-wiċċ tagħhom min-normal; Dan huwa fenomenu komuni bit-tumuri. Kultant l-antikorpi huma ġġenerati kontra ċelloli tat-tumur li jippermettu l-qerda tagħhom mis-sistema ta 'komplement.</v>
      </c>
    </row>
    <row r="19365" ht="15.75" customHeight="1">
      <c r="A19365" s="2" t="s">
        <v>19365</v>
      </c>
      <c r="B19365" s="2" t="str">
        <f>IFERROR(__xludf.DUMMYFUNCTION("GOOGLETRANSLATE(A19365, ""en"", ""mt"")"),"X'inhu użat biex tingħalaq id-difiżi tal-patoġeni?")</f>
        <v>X'inhu użat biex tingħalaq id-difiżi tal-patoġeni?</v>
      </c>
    </row>
    <row r="19366" ht="15.75" customHeight="1">
      <c r="A19366" s="2" t="s">
        <v>19366</v>
      </c>
      <c r="B19366" s="2" t="str">
        <f>IFERROR(__xludf.DUMMYFUNCTION("GOOGLETRANSLATE(A19366, ""en"", ""mt"")"),"Liema pajjiż irrifjuta li jikkuntenta għal bidliet fit-Trattat ta 'Lisbona 2007?")</f>
        <v>Liema pajjiż irrifjuta li jikkuntenta għal bidliet fit-Trattat ta 'Lisbona 2007?</v>
      </c>
    </row>
    <row r="19367" ht="15.75" customHeight="1">
      <c r="A19367" s="2" t="s">
        <v>19367</v>
      </c>
      <c r="B19367" s="2" t="str">
        <f>IFERROR(__xludf.DUMMYFUNCTION("GOOGLETRANSLATE(A19367, ""en"", ""mt"")"),"Il-Muntanji Tehachapi")</f>
        <v>Il-Muntanji Tehachapi</v>
      </c>
    </row>
    <row r="19368" ht="15.75" customHeight="1">
      <c r="A19368" s="2" t="s">
        <v>19368</v>
      </c>
      <c r="B19368" s="2" t="str">
        <f>IFERROR(__xludf.DUMMYFUNCTION("GOOGLETRANSLATE(A19368, ""en"", ""mt"")"),"75%")</f>
        <v>75%</v>
      </c>
    </row>
    <row r="19369" ht="15.75" customHeight="1">
      <c r="A19369" s="2" t="s">
        <v>19369</v>
      </c>
      <c r="B19369" s="2" t="str">
        <f>IFERROR(__xludf.DUMMYFUNCTION("GOOGLETRANSLATE(A19369, ""en"", ""mt"")"),"darbtejn")</f>
        <v>darbtejn</v>
      </c>
    </row>
    <row r="19370" ht="15.75" customHeight="1">
      <c r="A19370" s="2" t="s">
        <v>19370</v>
      </c>
      <c r="B19370" s="2" t="str">
        <f>IFERROR(__xludf.DUMMYFUNCTION("GOOGLETRANSLATE(A19370, ""en"", ""mt"")"),"Skond it-teorema ta 'Giuga, liema fatt għandu jkun diviżibbli minn P jekk xi numru sħiħ p&gt; 1 għandu jitqies bħala ewlieni?")</f>
        <v>Skond it-teorema ta 'Giuga, liema fatt għandu jkun diviżibbli minn P jekk xi numru sħiħ p&gt; 1 għandu jitqies bħala ewlieni?</v>
      </c>
    </row>
    <row r="19371" ht="15.75" customHeight="1">
      <c r="A19371" s="2" t="s">
        <v>19371</v>
      </c>
      <c r="B19371" s="2" t="str">
        <f>IFERROR(__xludf.DUMMYFUNCTION("GOOGLETRANSLATE(A19371, ""en"", ""mt"")"),"Fejn tinsab l-eqdem blat magħruf fid-dinja?")</f>
        <v>Fejn tinsab l-eqdem blat magħruf fid-dinja?</v>
      </c>
    </row>
    <row r="19372" ht="15.75" customHeight="1">
      <c r="A19372" s="2" t="s">
        <v>19372</v>
      </c>
      <c r="B19372" s="2" t="str">
        <f>IFERROR(__xludf.DUMMYFUNCTION("GOOGLETRANSLATE(A19372, ""en"", ""mt"")"),"sistema plug-n-play")</f>
        <v>sistema plug-n-play</v>
      </c>
    </row>
    <row r="19373" ht="15.75" customHeight="1">
      <c r="A19373" s="2" t="s">
        <v>19373</v>
      </c>
      <c r="B19373" s="2" t="str">
        <f>IFERROR(__xludf.DUMMYFUNCTION("GOOGLETRANSLATE(A19373, ""en"", ""mt"")"),"Minn xiex jospita ħafna minn Varsavja?")</f>
        <v>Minn xiex jospita ħafna minn Varsavja?</v>
      </c>
    </row>
    <row r="19374" ht="15.75" customHeight="1">
      <c r="A19374" s="2" t="s">
        <v>19374</v>
      </c>
      <c r="B19374" s="2" t="str">
        <f>IFERROR(__xludf.DUMMYFUNCTION("GOOGLETRANSLATE(A19374, ""en"", ""mt"")"),"Kif irriżulta l-kampanja tal-grupp Iżlamiku biex twaqqa 'l-gvern?")</f>
        <v>Kif irriżulta l-kampanja tal-grupp Iżlamiku biex twaqqa 'l-gvern?</v>
      </c>
    </row>
    <row r="19375" ht="15.75" customHeight="1">
      <c r="A19375" s="2" t="s">
        <v>19375</v>
      </c>
      <c r="B19375" s="2" t="str">
        <f>IFERROR(__xludf.DUMMYFUNCTION("GOOGLETRANSLATE(A19375, ""en"", ""mt"")"),"Iċ-ċelloli dendritiċi (DC) huma fagoċiti fit-tessuti li huma f'kuntatt mal-ambjent estern; Għalhekk, huma jinsabu prinċipalment fil-ġilda, l-imnieħer, il-pulmuni, l-istonku, u l-imsaren. Huma msejħa għax-xebh tagħhom ma 'dendriti newronali, peress li t-tn"&amp;"ejn għandhom ħafna projezzjonijiet simili għas-sinsla, iżda ċ-ċelloli dendritiċi bl-ebda mod ma huma konnessi mas-sistema nervuża. Iċ-ċelloli dendritiċi jservu ta ’rabta bejn it-tessuti tal-ġisem u s-sistemi immuni innati u adattivi, peress li jippreżenta"&amp;"w antiġeni għaċ-ċelloli T, wieħed mit-tipi ewlenin taċ-ċelloli tas-sistema immunitarja adattiva.")</f>
        <v>Iċ-ċelloli dendritiċi (DC) huma fagoċiti fit-tessuti li huma f'kuntatt mal-ambjent estern; Għalhekk, huma jinsabu prinċipalment fil-ġilda, l-imnieħer, il-pulmuni, l-istonku, u l-imsaren. Huma msejħa għax-xebh tagħhom ma 'dendriti newronali, peress li t-tnejn għandhom ħafna projezzjonijiet simili għas-sinsla, iżda ċ-ċelloli dendritiċi bl-ebda mod ma huma konnessi mas-sistema nervuża. Iċ-ċelloli dendritiċi jservu ta ’rabta bejn it-tessuti tal-ġisem u s-sistemi immuni innati u adattivi, peress li jippreżentaw antiġeni għaċ-ċelloli T, wieħed mit-tipi ewlenin taċ-ċelloli tas-sistema immunitarja adattiva.</v>
      </c>
    </row>
    <row r="19376" ht="15.75" customHeight="1">
      <c r="A19376" s="2" t="s">
        <v>19376</v>
      </c>
      <c r="B19376" s="2" t="str">
        <f>IFERROR(__xludf.DUMMYFUNCTION("GOOGLETRANSLATE(A19376, ""en"", ""mt"")"),"Kemm hi wiesgħa l-wied alpin glaċjali magħruf bħala l-wied tar-rhine?")</f>
        <v>Kemm hi wiesgħa l-wied alpin glaċjali magħruf bħala l-wied tar-rhine?</v>
      </c>
    </row>
    <row r="19377" ht="15.75" customHeight="1">
      <c r="A19377" s="2" t="s">
        <v>19377</v>
      </c>
      <c r="B19377" s="2" t="str">
        <f>IFERROR(__xludf.DUMMYFUNCTION("GOOGLETRANSLATE(A19377, ""en"", ""mt"")"),"Larva vera")</f>
        <v>Larva vera</v>
      </c>
    </row>
    <row r="19378" ht="15.75" customHeight="1">
      <c r="A19378" s="2" t="s">
        <v>19378</v>
      </c>
      <c r="B19378" s="2" t="str">
        <f>IFERROR(__xludf.DUMMYFUNCTION("GOOGLETRANSLATE(A19378, ""en"", ""mt"")"),"X'kienet it-tmiem tal-gwerra tas-suċċessjoni Awstrijaka?")</f>
        <v>X'kienet it-tmiem tal-gwerra tas-suċċessjoni Awstrijaka?</v>
      </c>
    </row>
    <row r="19379" ht="15.75" customHeight="1">
      <c r="A19379" s="2" t="s">
        <v>19379</v>
      </c>
      <c r="B19379" s="2" t="str">
        <f>IFERROR(__xludf.DUMMYFUNCTION("GOOGLETRANSLATE(A19379, ""en"", ""mt"")"),"1,388")</f>
        <v>1,388</v>
      </c>
    </row>
    <row r="19380" ht="15.75" customHeight="1">
      <c r="A19380" s="2" t="s">
        <v>19380</v>
      </c>
      <c r="B19380" s="2" t="str">
        <f>IFERROR(__xludf.DUMMYFUNCTION("GOOGLETRANSLATE(A19380, ""en"", ""mt"")"),"Xi tinħeba notazzjoni kbira?")</f>
        <v>Xi tinħeba notazzjoni kbira?</v>
      </c>
    </row>
    <row r="19381" ht="15.75" customHeight="1">
      <c r="A19381" s="2" t="s">
        <v>19381</v>
      </c>
      <c r="B19381" s="2" t="str">
        <f>IFERROR(__xludf.DUMMYFUNCTION("GOOGLETRANSLATE(A19381, ""en"", ""mt"")"),"il-problema")</f>
        <v>il-problema</v>
      </c>
    </row>
    <row r="19382" ht="15.75" customHeight="1">
      <c r="A19382" s="2" t="s">
        <v>19382</v>
      </c>
      <c r="B19382" s="2" t="str">
        <f>IFERROR(__xludf.DUMMYFUNCTION("GOOGLETRANSLATE(A19382, ""en"", ""mt"")"),"Importaturi paralleli bħas-Sur Dassonville")</f>
        <v>Importaturi paralleli bħas-Sur Dassonville</v>
      </c>
    </row>
    <row r="19383" ht="15.75" customHeight="1">
      <c r="A19383" s="2" t="s">
        <v>19383</v>
      </c>
      <c r="B19383" s="2" t="str">
        <f>IFERROR(__xludf.DUMMYFUNCTION("GOOGLETRANSLATE(A19383, ""en"", ""mt"")"),"Liema mużew jispeċjalizza fl-istorja kulturali u ċ-ċiviltajiet ta 'l-Emisferu tal-Punent?")</f>
        <v>Liema mużew jispeċjalizza fl-istorja kulturali u ċ-ċiviltajiet ta 'l-Emisferu tal-Punent?</v>
      </c>
    </row>
    <row r="19384" ht="15.75" customHeight="1">
      <c r="A19384" s="2" t="s">
        <v>19384</v>
      </c>
      <c r="B19384" s="2" t="str">
        <f>IFERROR(__xludf.DUMMYFUNCTION("GOOGLETRANSLATE(A19384, ""en"", ""mt"")"),"Céloron hedded ""Brittaniku qadim"" b'konsegwenzi severi")</f>
        <v>Céloron hedded "Brittaniku qadim" b'konsegwenzi severi</v>
      </c>
    </row>
    <row r="19385" ht="15.75" customHeight="1">
      <c r="A19385" s="2" t="s">
        <v>19385</v>
      </c>
      <c r="B19385" s="2" t="str">
        <f>IFERROR(__xludf.DUMMYFUNCTION("GOOGLETRANSLATE(A19385, ""en"", ""mt"")"),"BBC")</f>
        <v>BBC</v>
      </c>
    </row>
    <row r="19386" ht="15.75" customHeight="1">
      <c r="A19386" s="2" t="s">
        <v>19386</v>
      </c>
      <c r="B19386" s="2" t="str">
        <f>IFERROR(__xludf.DUMMYFUNCTION("GOOGLETRANSLATE(A19386, ""en"", ""mt"")"),"F’liema sena John Calvin sar Protestant?")</f>
        <v>F’liema sena John Calvin sar Protestant?</v>
      </c>
    </row>
    <row r="19387" ht="15.75" customHeight="1">
      <c r="A19387" s="2" t="s">
        <v>19387</v>
      </c>
      <c r="B19387" s="2" t="str">
        <f>IFERROR(__xludf.DUMMYFUNCTION("GOOGLETRANSLATE(A19387, ""en"", ""mt"")"),"X'inhuma għaxra mill-membri tas-sororitajiet?")</f>
        <v>X'inhuma għaxra mill-membri tas-sororitajiet?</v>
      </c>
    </row>
    <row r="19388" ht="15.75" customHeight="1">
      <c r="A19388" s="2" t="s">
        <v>19388</v>
      </c>
      <c r="B19388" s="2" t="str">
        <f>IFERROR(__xludf.DUMMYFUNCTION("GOOGLETRANSLATE(A19388, ""en"", ""mt"")"),"Min jargumenta li l-gvern jerġa 'jqassam il-ġid bil-forza?")</f>
        <v>Min jargumenta li l-gvern jerġa 'jqassam il-ġid bil-forza?</v>
      </c>
    </row>
    <row r="19389" ht="15.75" customHeight="1">
      <c r="A19389" s="2" t="s">
        <v>19389</v>
      </c>
      <c r="B19389" s="2" t="str">
        <f>IFERROR(__xludf.DUMMYFUNCTION("GOOGLETRANSLATE(A19389, ""en"", ""mt"")"),"Era Rumana")</f>
        <v>Era Rumana</v>
      </c>
    </row>
    <row r="19390" ht="15.75" customHeight="1">
      <c r="A19390" s="2" t="s">
        <v>19390</v>
      </c>
      <c r="B19390" s="2" t="str">
        <f>IFERROR(__xludf.DUMMYFUNCTION("GOOGLETRANSLATE(A19390, ""en"", ""mt"")"),"Liema sena Spanja u l-Portugall irrifjutaw li jingħaqdu mal-UE?")</f>
        <v>Liema sena Spanja u l-Portugall irrifjutaw li jingħaqdu mal-UE?</v>
      </c>
    </row>
    <row r="19391" ht="15.75" customHeight="1">
      <c r="A19391" s="2" t="s">
        <v>19391</v>
      </c>
      <c r="B19391" s="2" t="str">
        <f>IFERROR(__xludf.DUMMYFUNCTION("GOOGLETRANSLATE(A19391, ""en"", ""mt"")"),"X'inhu strettament jinsab fi PSPACE?")</f>
        <v>X'inhu strettament jinsab fi PSPACE?</v>
      </c>
    </row>
    <row r="19392" ht="15.75" customHeight="1">
      <c r="A19392" s="2" t="s">
        <v>19392</v>
      </c>
      <c r="B19392" s="2" t="str">
        <f>IFERROR(__xludf.DUMMYFUNCTION("GOOGLETRANSLATE(A19392, ""en"", ""mt"")"),"differenzi fl-ammont ta 'inugwaljanza")</f>
        <v>differenzi fl-ammont ta 'inugwaljanza</v>
      </c>
    </row>
    <row r="19393" ht="15.75" customHeight="1">
      <c r="A19393" s="2" t="s">
        <v>19393</v>
      </c>
      <c r="B19393" s="2" t="str">
        <f>IFERROR(__xludf.DUMMYFUNCTION("GOOGLETRANSLATE(A19393, ""en"", ""mt"")"),"Fejn ma ġietx miġġielda l-gwerra?")</f>
        <v>Fejn ma ġietx miġġielda l-gwerra?</v>
      </c>
    </row>
    <row r="19394" ht="15.75" customHeight="1">
      <c r="A19394" s="2" t="s">
        <v>19394</v>
      </c>
      <c r="B19394" s="2" t="str">
        <f>IFERROR(__xludf.DUMMYFUNCTION("GOOGLETRANSLATE(A19394, ""en"", ""mt"")"),"X'inhu l-istatus tal-Arkivji tal-Università ta 'Harvard ma' dawk li għadhom ma ggradwawx?")</f>
        <v>X'inhu l-istatus tal-Arkivji tal-Università ta 'Harvard ma' dawk li għadhom ma ggradwawx?</v>
      </c>
    </row>
    <row r="19395" ht="15.75" customHeight="1">
      <c r="A19395" s="2" t="s">
        <v>19395</v>
      </c>
      <c r="B19395" s="2" t="str">
        <f>IFERROR(__xludf.DUMMYFUNCTION("GOOGLETRANSLATE(A19395, ""en"", ""mt"")"),"X'inhu l-isem tar-Re attwali ta 'Thebes fid-dramm?")</f>
        <v>X'inhu l-isem tar-Re attwali ta 'Thebes fid-dramm?</v>
      </c>
    </row>
    <row r="19396" ht="15.75" customHeight="1">
      <c r="A19396" s="2" t="s">
        <v>19396</v>
      </c>
      <c r="B19396" s="2" t="str">
        <f>IFERROR(__xludf.DUMMYFUNCTION("GOOGLETRANSLATE(A19396, ""en"", ""mt"")"),"Dwar ħafna studenti jattendu l-iskejjel Kunskapskolan?")</f>
        <v>Dwar ħafna studenti jattendu l-iskejjel Kunskapskolan?</v>
      </c>
    </row>
    <row r="19397" ht="15.75" customHeight="1">
      <c r="A19397" s="2" t="s">
        <v>19397</v>
      </c>
      <c r="B19397" s="2" t="str">
        <f>IFERROR(__xludf.DUMMYFUNCTION("GOOGLETRANSLATE(A19397, ""en"", ""mt"")"),"Fejn kienet id-dar temporanja tal-Parlament waqt li kien qed jinbena l-bini permanenti?")</f>
        <v>Fejn kienet id-dar temporanja tal-Parlament waqt li kien qed jinbena l-bini permanenti?</v>
      </c>
    </row>
    <row r="19398" ht="15.75" customHeight="1">
      <c r="A19398" s="2" t="s">
        <v>19398</v>
      </c>
      <c r="B19398" s="2" t="str">
        <f>IFERROR(__xludf.DUMMYFUNCTION("GOOGLETRANSLATE(A19398, ""en"", ""mt"")"),"Liema parti tal-Ġappun kellha nies ikklassifikati aktar baxxi fis-sistema tal-klassi?")</f>
        <v>Liema parti tal-Ġappun kellha nies ikklassifikati aktar baxxi fis-sistema tal-klassi?</v>
      </c>
    </row>
    <row r="19399" ht="15.75" customHeight="1">
      <c r="A19399" s="2" t="s">
        <v>19399</v>
      </c>
      <c r="B19399" s="2" t="str">
        <f>IFERROR(__xludf.DUMMYFUNCTION("GOOGLETRANSLATE(A19399, ""en"", ""mt"")"),"""Żgura li fl-interpretazzjoni u l-applikazzjoni tat-trattati tkun osservata l-liġi""")</f>
        <v>"Żgura li fl-interpretazzjoni u l-applikazzjoni tat-trattati tkun osservata l-liġi"</v>
      </c>
    </row>
    <row r="19400" ht="15.75" customHeight="1">
      <c r="A19400" s="2" t="s">
        <v>19400</v>
      </c>
      <c r="B19400" s="2" t="str">
        <f>IFERROR(__xludf.DUMMYFUNCTION("GOOGLETRANSLATE(A19400, ""en"", ""mt"")"),"2p + 1")</f>
        <v>2p + 1</v>
      </c>
    </row>
    <row r="19401" ht="15.75" customHeight="1">
      <c r="A19401" s="2" t="s">
        <v>19401</v>
      </c>
      <c r="B19401" s="2" t="str">
        <f>IFERROR(__xludf.DUMMYFUNCTION("GOOGLETRANSLATE(A19401, ""en"", ""mt"")"),"Meta l-produzzjoni tal-antikorpi hija ogħla min-normal?")</f>
        <v>Meta l-produzzjoni tal-antikorpi hija ogħla min-normal?</v>
      </c>
    </row>
    <row r="19402" ht="15.75" customHeight="1">
      <c r="A19402" s="2" t="s">
        <v>19402</v>
      </c>
      <c r="B19402" s="2" t="str">
        <f>IFERROR(__xludf.DUMMYFUNCTION("GOOGLETRANSLATE(A19402, ""en"", ""mt"")"),"Megaregion tan-Nofsinhar ta 'California")</f>
        <v>Megaregion tan-Nofsinhar ta 'California</v>
      </c>
    </row>
    <row r="19403" ht="15.75" customHeight="1">
      <c r="A19403" s="2" t="s">
        <v>19403</v>
      </c>
      <c r="B19403" s="2" t="str">
        <f>IFERROR(__xludf.DUMMYFUNCTION("GOOGLETRANSLATE(A19403, ""en"", ""mt"")"),"l-akbar ġid")</f>
        <v>l-akbar ġid</v>
      </c>
    </row>
    <row r="19404" ht="15.75" customHeight="1">
      <c r="A19404" s="2" t="s">
        <v>19404</v>
      </c>
      <c r="B19404" s="2" t="str">
        <f>IFERROR(__xludf.DUMMYFUNCTION("GOOGLETRANSLATE(A19404, ""en"", ""mt"")"),"Fejn ma kontrollx il-konfederazzjoni Iroquois?")</f>
        <v>Fejn ma kontrollx il-konfederazzjoni Iroquois?</v>
      </c>
    </row>
    <row r="19405" ht="15.75" customHeight="1">
      <c r="A19405" s="2" t="s">
        <v>19405</v>
      </c>
      <c r="B19405" s="2" t="str">
        <f>IFERROR(__xludf.DUMMYFUNCTION("GOOGLETRANSLATE(A19405, ""en"", ""mt"")")," Liema reġjuni għandhom klimi mhux temprati?")</f>
        <v> Liema reġjuni għandhom klimi mhux temprati?</v>
      </c>
    </row>
    <row r="19406" ht="15.75" customHeight="1">
      <c r="A19406" s="2" t="s">
        <v>19406</v>
      </c>
      <c r="B19406" s="2" t="str">
        <f>IFERROR(__xludf.DUMMYFUNCTION("GOOGLETRANSLATE(A19406, ""en"", ""mt"")"),"Prattiki ta 'kostruzzjoni residenzjali, teknoloġiji, u riżorsi għandhom jikkonformaw ma' xiex?")</f>
        <v>Prattiki ta 'kostruzzjoni residenzjali, teknoloġiji, u riżorsi għandhom jikkonformaw ma' xiex?</v>
      </c>
    </row>
    <row r="19407" ht="15.75" customHeight="1">
      <c r="A19407" s="2" t="s">
        <v>19407</v>
      </c>
      <c r="B19407" s="2" t="str">
        <f>IFERROR(__xludf.DUMMYFUNCTION("GOOGLETRANSLATE(A19407, ""en"", ""mt"")"),"Dak li ma kienx iffurmat mis-sedimentazzjoni tax-xmajjar u l-kurrenti tal-marea?")</f>
        <v>Dak li ma kienx iffurmat mis-sedimentazzjoni tax-xmajjar u l-kurrenti tal-marea?</v>
      </c>
    </row>
    <row r="19408" ht="15.75" customHeight="1">
      <c r="A19408" s="2" t="s">
        <v>19408</v>
      </c>
      <c r="B19408" s="2" t="str">
        <f>IFERROR(__xludf.DUMMYFUNCTION("GOOGLETRANSLATE(A19408, ""en"", ""mt"")"),"Il-mexxej taħt l-art Piłsudski")</f>
        <v>Il-mexxej taħt l-art Piłsudski</v>
      </c>
    </row>
    <row r="19409" ht="15.75" customHeight="1">
      <c r="A19409" s="2" t="s">
        <v>19409</v>
      </c>
      <c r="B19409" s="2" t="str">
        <f>IFERROR(__xludf.DUMMYFUNCTION("GOOGLETRANSLATE(A19409, ""en"", ""mt"")"),"Il-kolonisti Ingliżi ma jkunux siguri sakemm il-Franċiżi kienu preżenti")</f>
        <v>Il-kolonisti Ingliżi ma jkunux siguri sakemm il-Franċiżi kienu preżenti</v>
      </c>
    </row>
    <row r="19410" ht="15.75" customHeight="1">
      <c r="A19410" s="2" t="s">
        <v>19410</v>
      </c>
      <c r="B19410" s="2" t="str">
        <f>IFERROR(__xludf.DUMMYFUNCTION("GOOGLETRANSLATE(A19410, ""en"", ""mt"")"),"Għaliex iż-żejt skopert ġdid jinbiegħ bi prezz ogħla?")</f>
        <v>Għaliex iż-żejt skopert ġdid jinbiegħ bi prezz ogħla?</v>
      </c>
    </row>
    <row r="19411" ht="15.75" customHeight="1">
      <c r="A19411" s="2" t="s">
        <v>19411</v>
      </c>
      <c r="B19411" s="2" t="str">
        <f>IFERROR(__xludf.DUMMYFUNCTION("GOOGLETRANSLATE(A19411, ""en"", ""mt"")"),"F'liema sena nbniet il-librerija Joe u Rika Mansueto?")</f>
        <v>F'liema sena nbniet il-librerija Joe u Rika Mansueto?</v>
      </c>
    </row>
    <row r="19412" ht="15.75" customHeight="1">
      <c r="A19412" s="2" t="s">
        <v>19412</v>
      </c>
      <c r="B19412" s="2" t="str">
        <f>IFERROR(__xludf.DUMMYFUNCTION("GOOGLETRANSLATE(A19412, ""en"", ""mt"")"),"19")</f>
        <v>19</v>
      </c>
    </row>
    <row r="19413" ht="15.75" customHeight="1">
      <c r="A19413" s="2" t="s">
        <v>19413</v>
      </c>
      <c r="B19413" s="2" t="str">
        <f>IFERROR(__xludf.DUMMYFUNCTION("GOOGLETRANSLATE(A19413, ""en"", ""mt"")"),"ossidi u oxoacids")</f>
        <v>ossidi u oxoacids</v>
      </c>
    </row>
    <row r="19414" ht="15.75" customHeight="1">
      <c r="A19414" s="2" t="s">
        <v>19414</v>
      </c>
      <c r="B19414" s="2" t="str">
        <f>IFERROR(__xludf.DUMMYFUNCTION("GOOGLETRANSLATE(A19414, ""en"", ""mt"")"),"X'ġara lill-Kumpanija tal-Kummerċ tal-Indja tal-Lvant fl-1767?")</f>
        <v>X'ġara lill-Kumpanija tal-Kummerċ tal-Indja tal-Lvant fl-1767?</v>
      </c>
    </row>
    <row r="19415" ht="15.75" customHeight="1">
      <c r="A19415" s="2" t="s">
        <v>19415</v>
      </c>
      <c r="B19415" s="2" t="str">
        <f>IFERROR(__xludf.DUMMYFUNCTION("GOOGLETRANSLATE(A19415, ""en"", ""mt"")"),"infurmaw lil Céloron li huma kellhom il-pajjiż ta 'Ohio u li kienu se jinnegozjaw mal-Ingliżi")</f>
        <v>infurmaw lil Céloron li huma kellhom il-pajjiż ta 'Ohio u li kienu se jinnegozjaw mal-Ingliżi</v>
      </c>
    </row>
    <row r="19416" ht="15.75" customHeight="1">
      <c r="A19416" s="2" t="s">
        <v>19416</v>
      </c>
      <c r="B19416" s="2" t="str">
        <f>IFERROR(__xludf.DUMMYFUNCTION("GOOGLETRANSLATE(A19416, ""en"", ""mt"")"),"X'inhu l-isem tal-papyrus Eġizzjan li jissuġġerixxi li setgħu kellhom għarfien ta 'numri infiniti?")</f>
        <v>X'inhu l-isem tal-papyrus Eġizzjan li jissuġġerixxi li setgħu kellhom għarfien ta 'numri infiniti?</v>
      </c>
    </row>
    <row r="19417" ht="15.75" customHeight="1">
      <c r="A19417" s="2" t="s">
        <v>19417</v>
      </c>
      <c r="B19417" s="2" t="str">
        <f>IFERROR(__xludf.DUMMYFUNCTION("GOOGLETRANSLATE(A19417, ""en"", ""mt"")"),"Liema parti mill-istruttura ġeoloġika tad-Dinja hija akbar mill-qoxra?")</f>
        <v>Liema parti mill-istruttura ġeoloġika tad-Dinja hija akbar mill-qoxra?</v>
      </c>
    </row>
    <row r="19418" ht="15.75" customHeight="1">
      <c r="A19418" s="2" t="s">
        <v>19418</v>
      </c>
      <c r="B19418" s="2" t="str">
        <f>IFERROR(__xludf.DUMMYFUNCTION("GOOGLETRANSLATE(A19418, ""en"", ""mt"")"),"Liema elementi jiffurmaw edizzjoni tal-kamra?")</f>
        <v>Liema elementi jiffurmaw edizzjoni tal-kamra?</v>
      </c>
    </row>
    <row r="19419" ht="15.75" customHeight="1">
      <c r="A19419" s="2" t="s">
        <v>19419</v>
      </c>
      <c r="B19419" s="2" t="str">
        <f>IFERROR(__xludf.DUMMYFUNCTION("GOOGLETRANSLATE(A19419, ""en"", ""mt"")"),"X'inhi l-loġika wara t-tifqigħa ta 'Cicadas?")</f>
        <v>X'inhi l-loġika wara t-tifqigħa ta 'Cicadas?</v>
      </c>
    </row>
    <row r="19420" ht="15.75" customHeight="1">
      <c r="A19420" s="2" t="s">
        <v>19420</v>
      </c>
      <c r="B19420" s="2" t="str">
        <f>IFERROR(__xludf.DUMMYFUNCTION("GOOGLETRANSLATE(A19420, ""en"", ""mt"")"),"X'inhi l-problema tal-iżolament tal-graff?")</f>
        <v>X'inhi l-problema tal-iżolament tal-graff?</v>
      </c>
    </row>
    <row r="19421" ht="15.75" customHeight="1">
      <c r="A19421" s="2" t="s">
        <v>19421</v>
      </c>
      <c r="B19421" s="2" t="str">
        <f>IFERROR(__xludf.DUMMYFUNCTION("GOOGLETRANSLATE(A19421, ""en"", ""mt"")"),"Liema fatturi kellhom impatt negattiv fuq Jacksonville wara l-gwerra?")</f>
        <v>Liema fatturi kellhom impatt negattiv fuq Jacksonville wara l-gwerra?</v>
      </c>
    </row>
    <row r="19422" ht="15.75" customHeight="1">
      <c r="A19422" s="2" t="s">
        <v>19422</v>
      </c>
      <c r="B19422" s="2" t="str">
        <f>IFERROR(__xludf.DUMMYFUNCTION("GOOGLETRANSLATE(A19422, ""en"", ""mt"")"),"Min kien l-ewwel Ewropew li jivvjaġġa t-tul kollu tax-xmara Amazon?")</f>
        <v>Min kien l-ewwel Ewropew li jivvjaġġa t-tul kollu tax-xmara Amazon?</v>
      </c>
    </row>
    <row r="19423" ht="15.75" customHeight="1">
      <c r="A19423" s="2" t="s">
        <v>19423</v>
      </c>
      <c r="B19423" s="2" t="str">
        <f>IFERROR(__xludf.DUMMYFUNCTION("GOOGLETRANSLATE(A19423, ""en"", ""mt"")"),"Kif tiġi ddikjarata sett ta 'problema li huwa diffiċli għall-espressjoni QP?")</f>
        <v>Kif tiġi ddikjarata sett ta 'problema li huwa diffiċli għall-espressjoni QP?</v>
      </c>
    </row>
    <row r="19424" ht="15.75" customHeight="1">
      <c r="A19424" s="2" t="s">
        <v>19424</v>
      </c>
      <c r="B19424" s="2" t="str">
        <f>IFERROR(__xludf.DUMMYFUNCTION("GOOGLETRANSLATE(A19424, ""en"", ""mt"")"),"raġġ () tad-dinja")</f>
        <v>raġġ () tad-dinja</v>
      </c>
    </row>
    <row r="19425" ht="15.75" customHeight="1">
      <c r="A19425" s="2" t="s">
        <v>19425</v>
      </c>
      <c r="B19425" s="2" t="str">
        <f>IFERROR(__xludf.DUMMYFUNCTION("GOOGLETRANSLATE(A19425, ""en"", ""mt"")"),"Oħrajn: Mexxej tad-Drittijiet Ċivili W. E. B. Du Bois; Filosofu Henry David Thoreau; Awturi Ralph Waldo Emerson u William S. Burroughs; Edukaturi Werner Baer, ​​Harlan Hanson; Poeti Wallace Stevens, T. S. Eliot u E. E. Cummings; Konduttur Leonard Bernstei"&amp;"n; cellist yo yo ma; pjanista u kompożitur Charlie Albright; Kompożitur John Alden Carpenter; kummidjant, spettaklu tat-televiżjoni u kittieb Conan O'Brien; L-atturi Tatyana Ali, Nestor Carbonell, Matt Damon, Fred Gwynne, Hill Harper, Rashida Jones, Tommy"&amp;" Lee Jones, Ashley Judd, Jack Lemmon, Natalie Portman, Mira Sorvino, Elisabeth Shue, u Scottie Thompson; id-diretturi tal-films Darren Aronofsky, Terrence Malick, Mira Nair, u Whit Stillman; Il-Perit Philip Johnson; Mużiċisti Xmajjar Cuomo, Tom Morello, u"&amp;" Gram Parsons; mużiċist, produttur u kompożitur Ryan Leslie; qattiel tas-serje Ted Kaczynski; Programmatur u attivist Richard Stallman; Il-quarterback tal-NFL Ryan Fitzpatrick; Ċentru NFL Matt Birk; Il-plejer tal-NBA Jeremy Lin; Skier tat-tim tal-iskijjar"&amp;" Amerikan Ryan Max Riley; Tabib Sachin H. Jain; Fiżista J. Robert Oppenheimer; Pijunier tal-kompjuter u inventur ta 'Wang; Tibetologu George de Roerich; u l-Ammirall Marshall Isoroku Yamamoto.")</f>
        <v>Oħrajn: Mexxej tad-Drittijiet Ċivili W. E. B. Du Bois; Filosofu Henry David Thoreau; Awturi Ralph Waldo Emerson u William S. Burroughs; Edukaturi Werner Baer, ​​Harlan Hanson; Poeti Wallace Stevens, T. S. Eliot u E. E. Cummings; Konduttur Leonard Bernstein; cellist yo yo ma; pjanista u kompożitur Charlie Albright; Kompożitur John Alden Carpenter; kummidjant, spettaklu tat-televiżjoni u kittieb Conan O'Brien; L-atturi Tatyana Ali, Nestor Carbonell, Matt Damon, Fred Gwynne, Hill Harper, Rashida Jones, Tommy Lee Jones, Ashley Judd, Jack Lemmon, Natalie Portman, Mira Sorvino, Elisabeth Shue, u Scottie Thompson; id-diretturi tal-films Darren Aronofsky, Terrence Malick, Mira Nair, u Whit Stillman; Il-Perit Philip Johnson; Mużiċisti Xmajjar Cuomo, Tom Morello, u Gram Parsons; mużiċist, produttur u kompożitur Ryan Leslie; qattiel tas-serje Ted Kaczynski; Programmatur u attivist Richard Stallman; Il-quarterback tal-NFL Ryan Fitzpatrick; Ċentru NFL Matt Birk; Il-plejer tal-NBA Jeremy Lin; Skier tat-tim tal-iskijjar Amerikan Ryan Max Riley; Tabib Sachin H. Jain; Fiżista J. Robert Oppenheimer; Pijunier tal-kompjuter u inventur ta 'Wang; Tibetologu George de Roerich; u l-Ammirall Marshall Isoroku Yamamoto.</v>
      </c>
    </row>
    <row r="19426" ht="15.75" customHeight="1">
      <c r="A19426" s="2" t="s">
        <v>19426</v>
      </c>
      <c r="B19426" s="2" t="str">
        <f>IFERROR(__xludf.DUMMYFUNCTION("GOOGLETRANSLATE(A19426, ""en"", ""mt"")"),"Il-proċess ta 'l-imperjalizmu qatt ma ffoka fuq il-kontroll ta' liema grupp ta 'nies?")</f>
        <v>Il-proċess ta 'l-imperjalizmu qatt ma ffoka fuq il-kontroll ta' liema grupp ta 'nies?</v>
      </c>
    </row>
    <row r="19427" ht="15.75" customHeight="1">
      <c r="A19427" s="2" t="s">
        <v>19427</v>
      </c>
      <c r="B19427" s="2" t="str">
        <f>IFERROR(__xludf.DUMMYFUNCTION("GOOGLETRANSLATE(A19427, ""en"", ""mt"")"),"Fin-Nofsinhar")</f>
        <v>Fin-Nofsinhar</v>
      </c>
    </row>
    <row r="19428" ht="15.75" customHeight="1">
      <c r="A19428" s="2" t="s">
        <v>19428</v>
      </c>
      <c r="B19428" s="2" t="str">
        <f>IFERROR(__xludf.DUMMYFUNCTION("GOOGLETRANSLATE(A19428, ""en"", ""mt"")"),"Le Grand jiddikjara li l-istudenti li jistudjaw id-diżubbidjenza ċivili ħafna drabi jidħlu f'niċetti grammatikali u liema problema oħra?")</f>
        <v>Le Grand jiddikjara li l-istudenti li jistudjaw id-diżubbidjenza ċivili ħafna drabi jidħlu f'niċetti grammatikali u liema problema oħra?</v>
      </c>
    </row>
    <row r="19429" ht="15.75" customHeight="1">
      <c r="A19429" s="2" t="s">
        <v>19429</v>
      </c>
      <c r="B19429" s="2" t="str">
        <f>IFERROR(__xludf.DUMMYFUNCTION("GOOGLETRANSLATE(A19429, ""en"", ""mt"")")," X'intuża mit-Tramuntana biex tiġġustifika l-kontroll fuq it-territorji tal-Punent?")</f>
        <v> X'intuża mit-Tramuntana biex tiġġustifika l-kontroll fuq it-territorji tal-Punent?</v>
      </c>
    </row>
    <row r="19430" ht="15.75" customHeight="1">
      <c r="A19430" s="2" t="s">
        <v>19430</v>
      </c>
      <c r="B19430" s="2" t="str">
        <f>IFERROR(__xludf.DUMMYFUNCTION("GOOGLETRANSLATE(A19430, ""en"", ""mt"")"),"Żewġ aġenziji pubbliċi, speċjalment żewġ fergħat ugwalment sovrani tal-gvern, kunflitti")</f>
        <v>Żewġ aġenziji pubbliċi, speċjalment żewġ fergħat ugwalment sovrani tal-gvern, kunflitti</v>
      </c>
    </row>
    <row r="19431" ht="15.75" customHeight="1">
      <c r="A19431" s="2" t="s">
        <v>19431</v>
      </c>
      <c r="B19431" s="2" t="str">
        <f>IFERROR(__xludf.DUMMYFUNCTION("GOOGLETRANSLATE(A19431, ""en"", ""mt"")"),"Meta Maududi sab il-partit Jamaat-e-Islami?")</f>
        <v>Meta Maududi sab il-partit Jamaat-e-Islami?</v>
      </c>
    </row>
    <row r="19432" ht="15.75" customHeight="1">
      <c r="A19432" s="2" t="s">
        <v>19432</v>
      </c>
      <c r="B19432" s="2" t="str">
        <f>IFERROR(__xludf.DUMMYFUNCTION("GOOGLETRANSLATE(A19432, ""en"", ""mt"")"),"kien aktar attiv u għex itwal")</f>
        <v>kien aktar attiv u għex itwal</v>
      </c>
    </row>
    <row r="19433" ht="15.75" customHeight="1">
      <c r="A19433" s="2" t="s">
        <v>19433</v>
      </c>
      <c r="B19433" s="2" t="str">
        <f>IFERROR(__xludf.DUMMYFUNCTION("GOOGLETRANSLATE(A19433, ""en"", ""mt"")"),"X'inhuma jintużaw f'investigazzjonijiet mhux tipiċi?")</f>
        <v>X'inhuma jintużaw f'investigazzjonijiet mhux tipiċi?</v>
      </c>
    </row>
    <row r="19434" ht="15.75" customHeight="1">
      <c r="A19434" s="2" t="s">
        <v>19434</v>
      </c>
      <c r="B19434" s="2" t="str">
        <f>IFERROR(__xludf.DUMMYFUNCTION("GOOGLETRANSLATE(A19434, ""en"", ""mt"")"),"rivoluzzjoni jew invażjoni")</f>
        <v>rivoluzzjoni jew invażjoni</v>
      </c>
    </row>
    <row r="19435" ht="15.75" customHeight="1">
      <c r="A19435" s="2" t="s">
        <v>19435</v>
      </c>
      <c r="B19435" s="2" t="str">
        <f>IFERROR(__xludf.DUMMYFUNCTION("GOOGLETRANSLATE(A19435, ""en"", ""mt"")"),"Isaac Komnenos")</f>
        <v>Isaac Komnenos</v>
      </c>
    </row>
    <row r="19436" ht="15.75" customHeight="1">
      <c r="A19436" s="2" t="s">
        <v>19436</v>
      </c>
      <c r="B19436" s="2" t="str">
        <f>IFERROR(__xludf.DUMMYFUNCTION("GOOGLETRANSLATE(A19436, ""en"", ""mt"")"),"Metropolitana Internazzjonali")</f>
        <v>Metropolitana Internazzjonali</v>
      </c>
    </row>
    <row r="19437" ht="15.75" customHeight="1">
      <c r="A19437" s="2" t="s">
        <v>19437</v>
      </c>
      <c r="B19437" s="2" t="str">
        <f>IFERROR(__xludf.DUMMYFUNCTION("GOOGLETRANSLATE(A19437, ""en"", ""mt"")"),"huma mfixkla,")</f>
        <v>huma mfixkla,</v>
      </c>
    </row>
    <row r="19438" ht="15.75" customHeight="1">
      <c r="A19438" s="2" t="s">
        <v>19438</v>
      </c>
      <c r="B19438" s="2" t="str">
        <f>IFERROR(__xludf.DUMMYFUNCTION("GOOGLETRANSLATE(A19438, ""en"", ""mt"")"),"L-estinzjoni ta 'dak li wassal għat-tnaqqis tal-foresti tropikali?")</f>
        <v>L-estinzjoni ta 'dak li wassal għat-tnaqqis tal-foresti tropikali?</v>
      </c>
    </row>
    <row r="19439" ht="15.75" customHeight="1">
      <c r="A19439" s="2" t="s">
        <v>19439</v>
      </c>
      <c r="B19439" s="2" t="str">
        <f>IFERROR(__xludf.DUMMYFUNCTION("GOOGLETRANSLATE(A19439, ""en"", ""mt"")"),"Referendum fi Franza u r-referendum fl-Olanda")</f>
        <v>Referendum fi Franza u r-referendum fl-Olanda</v>
      </c>
    </row>
    <row r="19440" ht="15.75" customHeight="1">
      <c r="A19440" s="2" t="s">
        <v>19440</v>
      </c>
      <c r="B19440" s="2" t="str">
        <f>IFERROR(__xludf.DUMMYFUNCTION("GOOGLETRANSLATE(A19440, ""en"", ""mt"")"),"Alpha Phi Omega")</f>
        <v>Alpha Phi Omega</v>
      </c>
    </row>
    <row r="19441" ht="15.75" customHeight="1">
      <c r="A19441" s="2" t="s">
        <v>19441</v>
      </c>
      <c r="B19441" s="2" t="str">
        <f>IFERROR(__xludf.DUMMYFUNCTION("GOOGLETRANSLATE(A19441, ""en"", ""mt"")"),"1795")</f>
        <v>1795</v>
      </c>
    </row>
    <row r="19442" ht="15.75" customHeight="1">
      <c r="A19442" s="2" t="s">
        <v>19442</v>
      </c>
      <c r="B19442" s="2" t="str">
        <f>IFERROR(__xludf.DUMMYFUNCTION("GOOGLETRANSLATE(A19442, ""en"", ""mt"")"),"Liema ġene huwa responsabbli għall-konverżjoni ta 'calcidiol f'kalcitriol?")</f>
        <v>Liema ġene huwa responsabbli għall-konverżjoni ta 'calcidiol f'kalcitriol?</v>
      </c>
    </row>
    <row r="19443" ht="15.75" customHeight="1">
      <c r="A19443" s="2" t="s">
        <v>19443</v>
      </c>
      <c r="B19443" s="2" t="str">
        <f>IFERROR(__xludf.DUMMYFUNCTION("GOOGLETRANSLATE(A19443, ""en"", ""mt"")"),"Għaliex wieħed m'għandux imur il-ħabs?")</f>
        <v>Għaliex wieħed m'għandux imur il-ħabs?</v>
      </c>
    </row>
    <row r="19444" ht="15.75" customHeight="1">
      <c r="A19444" s="2" t="s">
        <v>19444</v>
      </c>
      <c r="B19444" s="2" t="str">
        <f>IFERROR(__xludf.DUMMYFUNCTION("GOOGLETRANSLATE(A19444, ""en"", ""mt"")"),"Biex tikklassifika l-ħin tal-komputazzjoni (jew riżorsi simili, bħall-konsum spazjali), wieħed huwa interessat li jipprova limiti ta 'fuq u t'isfel fuq l-ammont minimu ta' ħin meħtieġ mill-algoritmu l-iktar effiċjenti biex issolvi problema partikolari. Il"&amp;"-kumplessità ta 'algoritmu ġeneralment tittieħed bħala l-agħar kumplessità tiegħu, sakemm ma tkunx speċifikata mod ieħor. L-analiżi ta 'algoritmu partikolari jaqa' taħt il-qasam ta 'analiżi ta' algoritmi. Biex turi t (n) fuq il-kumplessità tal-ħin ta 'pro"&amp;"blema, wieħed irid juri biss li hemm algoritmu partikolari bil-ħin ta' tħaddim fil-biċċa l-kbira t (n). Madankollu, li tipprova limiti aktar baxxi hija ħafna iktar diffiċli, peress li limiti aktar baxxi jagħmlu dikjarazzjoni dwar l-algoritmi kollha possib"&amp;"bli li jsolvu problema partikolari. Il-frażi ""l-algoritmi kollha possibbli"" tinkludi mhux biss l-algoritmi magħrufa llum, iżda kwalunkwe algoritmu li jista 'jiġi skopert fil-futur. Biex turi limitu aktar baxx ta 't (n) għal problema teħtieġ li turi li l"&amp;"-ebda algoritmu ma jista' jkollu kumplessità tal-ħin inqas minn t (n).")</f>
        <v>Biex tikklassifika l-ħin tal-komputazzjoni (jew riżorsi simili, bħall-konsum spazjali), wieħed huwa interessat li jipprova limiti ta 'fuq u t'isfel fuq l-ammont minimu ta' ħin meħtieġ mill-algoritmu l-iktar effiċjenti biex issolvi problema partikolari. Il-kumplessità ta 'algoritmu ġeneralment tittieħed bħala l-agħar kumplessità tiegħu, sakemm ma tkunx speċifikata mod ieħor. L-analiżi ta 'algoritmu partikolari jaqa' taħt il-qasam ta 'analiżi ta' algoritmi. Biex turi t (n) fuq il-kumplessità tal-ħin ta 'problema, wieħed irid juri biss li hemm algoritmu partikolari bil-ħin ta' tħaddim fil-biċċa l-kbira t (n). Madankollu, li tipprova limiti aktar baxxi hija ħafna iktar diffiċli, peress li limiti aktar baxxi jagħmlu dikjarazzjoni dwar l-algoritmi kollha possibbli li jsolvu problema partikolari. Il-frażi "l-algoritmi kollha possibbli" tinkludi mhux biss l-algoritmi magħrufa llum, iżda kwalunkwe algoritmu li jista 'jiġi skopert fil-futur. Biex turi limitu aktar baxx ta 't (n) għal problema teħtieġ li turi li l-ebda algoritmu ma jista' jkollu kumplessità tal-ħin inqas minn t (n).</v>
      </c>
    </row>
    <row r="19445" ht="15.75" customHeight="1">
      <c r="A19445" s="2" t="s">
        <v>19445</v>
      </c>
      <c r="B19445" s="2" t="str">
        <f>IFERROR(__xludf.DUMMYFUNCTION("GOOGLETRANSLATE(A19445, ""en"", ""mt"")"),"Liema tipi ta 'gruppi Ewropej setgħu jevitaw il-pesta?")</f>
        <v>Liema tipi ta 'gruppi Ewropej setgħu jevitaw il-pesta?</v>
      </c>
    </row>
    <row r="19446" ht="15.75" customHeight="1">
      <c r="A19446" s="2" t="s">
        <v>19446</v>
      </c>
      <c r="B19446" s="2" t="str">
        <f>IFERROR(__xludf.DUMMYFUNCTION("GOOGLETRANSLATE(A19446, ""en"", ""mt"")"),"Għal xiex iwasslu l-mekkaniżmi ta 'tqassim mill-ġdid?")</f>
        <v>Għal xiex iwasslu l-mekkaniżmi ta 'tqassim mill-ġdid?</v>
      </c>
    </row>
    <row r="19447" ht="15.75" customHeight="1">
      <c r="A19447" s="2" t="s">
        <v>19447</v>
      </c>
      <c r="B19447" s="2" t="str">
        <f>IFERROR(__xludf.DUMMYFUNCTION("GOOGLETRANSLATE(A19447, ""en"", ""mt"")"),"Kif isiru l-konnessjonijiet Austpac")</f>
        <v>Kif isiru l-konnessjonijiet Austpac</v>
      </c>
    </row>
    <row r="19448" ht="15.75" customHeight="1">
      <c r="A19448" s="2" t="s">
        <v>19448</v>
      </c>
      <c r="B19448" s="2" t="str">
        <f>IFERROR(__xludf.DUMMYFUNCTION("GOOGLETRANSLATE(A19448, ""en"", ""mt"")"),"X'inhi l-espressjoni użata biex tirrappreżenta klassi ta 'kumplessità ta' problemi ta 'għadd?")</f>
        <v>X'inhi l-espressjoni użata biex tirrappreżenta klassi ta 'kumplessità ta' problemi ta 'għadd?</v>
      </c>
    </row>
    <row r="19449" ht="15.75" customHeight="1">
      <c r="A19449" s="2" t="s">
        <v>19449</v>
      </c>
      <c r="B19449" s="2" t="str">
        <f>IFERROR(__xludf.DUMMYFUNCTION("GOOGLETRANSLATE(A19449, ""en"", ""mt"")"),"fond tal-oċeani u l-ibħra")</f>
        <v>fond tal-oċeani u l-ibħra</v>
      </c>
    </row>
    <row r="19450" ht="15.75" customHeight="1">
      <c r="A19450" s="2" t="s">
        <v>19450</v>
      </c>
      <c r="B19450" s="2" t="str">
        <f>IFERROR(__xludf.DUMMYFUNCTION("GOOGLETRANSLATE(A19450, ""en"", ""mt"")"),"standards miftuħa")</f>
        <v>standards miftuħa</v>
      </c>
    </row>
    <row r="19451" ht="15.75" customHeight="1">
      <c r="A19451" s="2" t="s">
        <v>19451</v>
      </c>
      <c r="B19451" s="2" t="str">
        <f>IFERROR(__xludf.DUMMYFUNCTION("GOOGLETRANSLATE(A19451, ""en"", ""mt"")"),"1919–20")</f>
        <v>1919–20</v>
      </c>
    </row>
    <row r="19452" ht="15.75" customHeight="1">
      <c r="A19452" s="2" t="s">
        <v>19452</v>
      </c>
      <c r="B19452" s="2" t="str">
        <f>IFERROR(__xludf.DUMMYFUNCTION("GOOGLETRANSLATE(A19452, ""en"", ""mt"")"),"Kif ingħataw il-bliet lill-Huguenots fl-1598 imsejħa kollettivament?")</f>
        <v>Kif ingħataw il-bliet lill-Huguenots fl-1598 imsejħa kollettivament?</v>
      </c>
    </row>
    <row r="19453" ht="15.75" customHeight="1">
      <c r="A19453" s="2" t="s">
        <v>19453</v>
      </c>
      <c r="B19453" s="2" t="str">
        <f>IFERROR(__xludf.DUMMYFUNCTION("GOOGLETRANSLATE(A19453, ""en"", ""mt"")"),"Liema ammont ta 'Harvard qata' mir-riżerva ta 'għajnuna finanzjarja tagħhom fl-2012?")</f>
        <v>Liema ammont ta 'Harvard qata' mir-riżerva ta 'għajnuna finanzjarja tagħhom fl-2012?</v>
      </c>
    </row>
    <row r="19454" ht="15.75" customHeight="1">
      <c r="A19454" s="2" t="s">
        <v>19454</v>
      </c>
      <c r="B19454" s="2" t="str">
        <f>IFERROR(__xludf.DUMMYFUNCTION("GOOGLETRANSLATE(A19454, ""en"", ""mt"")"),"Kif ġie ppruvat dan id-dibattitu?")</f>
        <v>Kif ġie ppruvat dan id-dibattitu?</v>
      </c>
    </row>
    <row r="19455" ht="15.75" customHeight="1">
      <c r="A19455" s="2" t="s">
        <v>19455</v>
      </c>
      <c r="B19455" s="2" t="str">
        <f>IFERROR(__xludf.DUMMYFUNCTION("GOOGLETRANSLATE(A19455, ""en"", ""mt"")"),"Grand Canal D'Alsace")</f>
        <v>Grand Canal D'Alsace</v>
      </c>
    </row>
    <row r="19456" ht="15.75" customHeight="1">
      <c r="A19456" s="2" t="s">
        <v>19456</v>
      </c>
      <c r="B19456" s="2" t="str">
        <f>IFERROR(__xludf.DUMMYFUNCTION("GOOGLETRANSLATE(A19456, ""en"", ""mt"")"),"Juris Hartmanis u Richard Stearns")</f>
        <v>Juris Hartmanis u Richard Stearns</v>
      </c>
    </row>
    <row r="19457" ht="15.75" customHeight="1">
      <c r="A19457" s="2" t="s">
        <v>19457</v>
      </c>
      <c r="B19457" s="2" t="str">
        <f>IFERROR(__xludf.DUMMYFUNCTION("GOOGLETRANSLATE(A19457, ""en"", ""mt"")"),"Vulcan")</f>
        <v>Vulcan</v>
      </c>
    </row>
    <row r="19458" ht="15.75" customHeight="1">
      <c r="A19458" s="2" t="s">
        <v>19458</v>
      </c>
      <c r="B19458" s="2" t="str">
        <f>IFERROR(__xludf.DUMMYFUNCTION("GOOGLETRANSLATE(A19458, ""en"", ""mt"")"),"termodinamiku")</f>
        <v>termodinamiku</v>
      </c>
    </row>
    <row r="19459" ht="15.75" customHeight="1">
      <c r="A19459" s="2" t="s">
        <v>19459</v>
      </c>
      <c r="B19459" s="2" t="str">
        <f>IFERROR(__xludf.DUMMYFUNCTION("GOOGLETRANSLATE(A19459, ""en"", ""mt"")"),"Kif l-avvanz tal-użu tal-fossili jgħin ix-xjenza ġeoloġika fil-bidu tas-seklu 20?")</f>
        <v>Kif l-avvanz tal-użu tal-fossili jgħin ix-xjenza ġeoloġika fil-bidu tas-seklu 20?</v>
      </c>
    </row>
    <row r="19460" ht="15.75" customHeight="1">
      <c r="A19460" s="2" t="s">
        <v>19460</v>
      </c>
      <c r="B19460" s="2" t="str">
        <f>IFERROR(__xludf.DUMMYFUNCTION("GOOGLETRANSLATE(A19460, ""en"", ""mt"")"),"1864")</f>
        <v>1864</v>
      </c>
    </row>
    <row r="19461" ht="15.75" customHeight="1">
      <c r="A19461" s="2" t="s">
        <v>19461</v>
      </c>
      <c r="B19461" s="2" t="str">
        <f>IFERROR(__xludf.DUMMYFUNCTION("GOOGLETRANSLATE(A19461, ""en"", ""mt"")"),"X'intuża biex tinħoloq teorija elettromanjetika ġdida biex tirrikonċilja l-problemi mat-teorija elettromanjetika kif kienet toqgħod?")</f>
        <v>X'intuża biex tinħoloq teorija elettromanjetika ġdida biex tirrikonċilja l-problemi mat-teorija elettromanjetika kif kienet toqgħod?</v>
      </c>
    </row>
    <row r="19462" ht="15.75" customHeight="1">
      <c r="A19462" s="2" t="s">
        <v>19462</v>
      </c>
      <c r="B19462" s="2" t="str">
        <f>IFERROR(__xludf.DUMMYFUNCTION("GOOGLETRANSLATE(A19462, ""en"", ""mt"")"),"Kif tissejjaħ il-qalba ta 'barra?")</f>
        <v>Kif tissejjaħ il-qalba ta 'barra?</v>
      </c>
    </row>
    <row r="19463" ht="15.75" customHeight="1">
      <c r="A19463" s="2" t="s">
        <v>19463</v>
      </c>
      <c r="B19463" s="2" t="str">
        <f>IFERROR(__xludf.DUMMYFUNCTION("GOOGLETRANSLATE(A19463, ""en"", ""mt"")"),"Min sar gvernatur ta 'Samarqand?")</f>
        <v>Min sar gvernatur ta 'Samarqand?</v>
      </c>
    </row>
    <row r="19464" ht="15.75" customHeight="1">
      <c r="A19464" s="2" t="s">
        <v>19464</v>
      </c>
      <c r="B19464" s="2" t="str">
        <f>IFERROR(__xludf.DUMMYFUNCTION("GOOGLETRANSLATE(A19464, ""en"", ""mt"")"),"Meta Varsavja saret il-kapitali tar-Renju tal-Prussja?")</f>
        <v>Meta Varsavja saret il-kapitali tar-Renju tal-Prussja?</v>
      </c>
    </row>
    <row r="19465" ht="15.75" customHeight="1">
      <c r="A19465" s="2" t="s">
        <v>19465</v>
      </c>
      <c r="B19465" s="2" t="str">
        <f>IFERROR(__xludf.DUMMYFUNCTION("GOOGLETRANSLATE(A19465, ""en"", ""mt"")"),"Kemm nies għexu fin-Norveġja fl-1348?")</f>
        <v>Kemm nies għexu fin-Norveġja fl-1348?</v>
      </c>
    </row>
    <row r="19466" ht="15.75" customHeight="1">
      <c r="A19466" s="2" t="s">
        <v>19466</v>
      </c>
      <c r="B19466" s="2" t="str">
        <f>IFERROR(__xludf.DUMMYFUNCTION("GOOGLETRANSLATE(A19466, ""en"", ""mt"")"),"Ix-Xmara Deabolis")</f>
        <v>Ix-Xmara Deabolis</v>
      </c>
    </row>
    <row r="19467" ht="15.75" customHeight="1">
      <c r="A19467" s="2" t="s">
        <v>19467</v>
      </c>
      <c r="B19467" s="2" t="str">
        <f>IFERROR(__xludf.DUMMYFUNCTION("GOOGLETRANSLATE(A19467, ""en"", ""mt"")"),"X'tipprovdi LAPB ta 'Frame Relay?")</f>
        <v>X'tipprovdi LAPB ta 'Frame Relay?</v>
      </c>
    </row>
    <row r="19468" ht="15.75" customHeight="1">
      <c r="A19468" s="2" t="s">
        <v>19468</v>
      </c>
      <c r="B19468" s="2" t="str">
        <f>IFERROR(__xludf.DUMMYFUNCTION("GOOGLETRANSLATE(A19468, ""en"", ""mt"")"),"Sal-1987, liema pożizzjoni ħadet il-Fratellanza Musulmana fil-Palestina lejn l-Iżrael?")</f>
        <v>Sal-1987, liema pożizzjoni ħadet il-Fratellanza Musulmana fil-Palestina lejn l-Iżrael?</v>
      </c>
    </row>
    <row r="19469" ht="15.75" customHeight="1">
      <c r="A19469" s="2" t="s">
        <v>19469</v>
      </c>
      <c r="B19469" s="2" t="str">
        <f>IFERROR(__xludf.DUMMYFUNCTION("GOOGLETRANSLATE(A19469, ""en"", ""mt"")"),"Sal-ħidma ta 'Galileo, dak li ma ġiex identifikat bħala forza universali?")</f>
        <v>Sal-ħidma ta 'Galileo, dak li ma ġiex identifikat bħala forza universali?</v>
      </c>
    </row>
    <row r="19470" ht="15.75" customHeight="1">
      <c r="A19470" s="2" t="s">
        <v>19470</v>
      </c>
      <c r="B19470" s="2" t="str">
        <f>IFERROR(__xludf.DUMMYFUNCTION("GOOGLETRANSLATE(A19470, ""en"", ""mt"")"),"X'inhu l-isem tal-iżgħar stampa universitarja fl-Istati Uniti?")</f>
        <v>X'inhu l-isem tal-iżgħar stampa universitarja fl-Istati Uniti?</v>
      </c>
    </row>
    <row r="19471" ht="15.75" customHeight="1">
      <c r="A19471" s="2" t="s">
        <v>19471</v>
      </c>
      <c r="B19471" s="2" t="str">
        <f>IFERROR(__xludf.DUMMYFUNCTION("GOOGLETRANSLATE(A19471, ""en"", ""mt"")"),"X'inhuma eżempji irrilevanti oħra ta 'problema ta' funzjoni&gt;")</f>
        <v>X'inhuma eżempji irrilevanti oħra ta 'problema ta' funzjoni&gt;</v>
      </c>
    </row>
    <row r="19472" ht="15.75" customHeight="1">
      <c r="A19472" s="2" t="s">
        <v>19472</v>
      </c>
      <c r="B19472" s="2" t="str">
        <f>IFERROR(__xludf.DUMMYFUNCTION("GOOGLETRANSLATE(A19472, ""en"", ""mt"")"),"Il-fluss tan-Nofsinhar iżomm l-isem IJSSEL sakemm jidħol f'liema?")</f>
        <v>Il-fluss tan-Nofsinhar iżomm l-isem IJSSEL sakemm jidħol f'liema?</v>
      </c>
    </row>
    <row r="19473" ht="15.75" customHeight="1">
      <c r="A19473" s="2" t="s">
        <v>19473</v>
      </c>
      <c r="B19473" s="2" t="str">
        <f>IFERROR(__xludf.DUMMYFUNCTION("GOOGLETRANSLATE(A19473, ""en"", ""mt"")"),"F'liema unità huwa d-daqs tal-input imkejjel?")</f>
        <v>F'liema unità huwa d-daqs tal-input imkejjel?</v>
      </c>
    </row>
    <row r="19474" ht="15.75" customHeight="1">
      <c r="A19474" s="2" t="s">
        <v>19474</v>
      </c>
      <c r="B19474" s="2" t="str">
        <f>IFERROR(__xludf.DUMMYFUNCTION("GOOGLETRANSLATE(A19474, ""en"", ""mt"")"),"Fl-2009")</f>
        <v>Fl-2009</v>
      </c>
    </row>
    <row r="19475" ht="15.75" customHeight="1">
      <c r="A19475" s="2" t="s">
        <v>19475</v>
      </c>
      <c r="B19475" s="2" t="str">
        <f>IFERROR(__xludf.DUMMYFUNCTION("GOOGLETRANSLATE(A19475, ""en"", ""mt"")"),"pagi għoljin")</f>
        <v>pagi għoljin</v>
      </c>
    </row>
    <row r="19476" ht="15.75" customHeight="1">
      <c r="A19476" s="2" t="s">
        <v>19476</v>
      </c>
      <c r="B19476" s="2" t="str">
        <f>IFERROR(__xludf.DUMMYFUNCTION("GOOGLETRANSLATE(A19476, ""en"", ""mt"")"),"F'liema tip ta 'ċirku jistgħu jintużaw l-ideali ewlenin għall-validazzjoni ta' reċiproċità kwadratika?")</f>
        <v>F'liema tip ta 'ċirku jistgħu jintużaw l-ideali ewlenin għall-validazzjoni ta' reċiproċità kwadratika?</v>
      </c>
    </row>
    <row r="19477" ht="15.75" customHeight="1">
      <c r="A19477" s="2" t="s">
        <v>19477</v>
      </c>
      <c r="B19477" s="2" t="str">
        <f>IFERROR(__xludf.DUMMYFUNCTION("GOOGLETRANSLATE(A19477, ""en"", ""mt"")"),"X'tagħmel drawwa jew aspettattiva biex taffettwa bini qabel ma nbena?")</f>
        <v>X'tagħmel drawwa jew aspettattiva biex taffettwa bini qabel ma nbena?</v>
      </c>
    </row>
    <row r="19478" ht="15.75" customHeight="1">
      <c r="A19478" s="2" t="s">
        <v>19478</v>
      </c>
      <c r="B19478" s="2" t="str">
        <f>IFERROR(__xludf.DUMMYFUNCTION("GOOGLETRANSLATE(A19478, ""en"", ""mt"")"),"Partit Liberali tal-Awstralja")</f>
        <v>Partit Liberali tal-Awstralja</v>
      </c>
    </row>
    <row r="19479" ht="15.75" customHeight="1">
      <c r="A19479" s="2" t="s">
        <v>19479</v>
      </c>
      <c r="B19479" s="2" t="str">
        <f>IFERROR(__xludf.DUMMYFUNCTION("GOOGLETRANSLATE(A19479, ""en"", ""mt"")"),"Ismail El Gizouli")</f>
        <v>Ismail El Gizouli</v>
      </c>
    </row>
    <row r="19480" ht="15.75" customHeight="1">
      <c r="A19480" s="2" t="s">
        <v>19480</v>
      </c>
      <c r="B19480" s="2" t="str">
        <f>IFERROR(__xludf.DUMMYFUNCTION("GOOGLETRANSLATE(A19480, ""en"", ""mt"")"),"Liema kwistjonijiet ġew indirizzati fit-Trattat ta 'Aix-La-Chapelle?")</f>
        <v>Liema kwistjonijiet ġew indirizzati fit-Trattat ta 'Aix-La-Chapelle?</v>
      </c>
    </row>
    <row r="19481" ht="15.75" customHeight="1">
      <c r="A19481" s="2" t="s">
        <v>19481</v>
      </c>
      <c r="B19481" s="2" t="str">
        <f>IFERROR(__xludf.DUMMYFUNCTION("GOOGLETRANSLATE(A19481, ""en"", ""mt"")"),"Liema pajjiż kien inkwetat li l-Istati Uniti se jinvadu l-Lvant Nofsani?")</f>
        <v>Liema pajjiż kien inkwetat li l-Istati Uniti se jinvadu l-Lvant Nofsani?</v>
      </c>
    </row>
    <row r="19482" ht="15.75" customHeight="1">
      <c r="A19482" s="2" t="s">
        <v>19482</v>
      </c>
      <c r="B19482" s="2" t="str">
        <f>IFERROR(__xludf.DUMMYFUNCTION("GOOGLETRANSLATE(A19482, ""en"", ""mt"")"),"Il-kolonji kienu sinjal ta 'dak fost il-pajjiżi Ewropej?")</f>
        <v>Il-kolonji kienu sinjal ta 'dak fost il-pajjiżi Ewropej?</v>
      </c>
    </row>
    <row r="19483" ht="15.75" customHeight="1">
      <c r="A19483" s="2" t="s">
        <v>19483</v>
      </c>
      <c r="B19483" s="2" t="str">
        <f>IFERROR(__xludf.DUMMYFUNCTION("GOOGLETRANSLATE(A19483, ""en"", ""mt"")"),"Field Marshall")</f>
        <v>Field Marshall</v>
      </c>
    </row>
    <row r="19484" ht="15.75" customHeight="1">
      <c r="A19484" s="2" t="s">
        <v>19484</v>
      </c>
      <c r="B19484" s="2" t="str">
        <f>IFERROR(__xludf.DUMMYFUNCTION("GOOGLETRANSLATE(A19484, ""en"", ""mt"")"),"Mill-mewt ta ’Augustus fl-14 ta’ wara sa wara s-70 ta ’wara, Ruma aċċettat bħala l-fruntiera Ġermanika tagħha l-fruntiera tal-ilma tar-Renu u tad-Danubju ta’ Fuq. Lil hinn minn dawn ix-xmajjar hija kellha biss il-pjanura fertili ta 'Frankfurt, faċċata tal"&amp;"-Fortizza tal-Fruntiera Rumana ta' Moguntiacum (Mainz), l-għoljiet tan-nofsinhar tal-foresta s-sewda u ftit irjus tal-pont imxerrdin. It-taqsima tat-tramuntana ta 'din il-fruntiera, fejn ir-Renu hija fonda u wiesgħa, baqgħet il-konfini Rumana sakemm waqa'"&amp;" l-imperu. Il-parti tan-Nofsinhar kienet differenti. Ir-Renu ta ’Fuq u d-Danubju ta’ Fuq jinqasmu faċilment. Il-fruntiera li huma jiffurmaw hija twila inkonvenjent, li tagħlaq feles akut ta 'territorju barrani bejn il-Baden modern u l-Württemberg. Il-popo"&amp;"lazzjonijiet Ġermaniċi ta 'dawn l-artijiet jidhru fi żminijiet Rumani li kienu skarsi, u s-suġġetti Rumani mill-Alsace-Lorraine moderna kienu injorati madwar ix-xmara lejn il-lvant.")</f>
        <v>Mill-mewt ta ’Augustus fl-14 ta’ wara sa wara s-70 ta ’wara, Ruma aċċettat bħala l-fruntiera Ġermanika tagħha l-fruntiera tal-ilma tar-Renu u tad-Danubju ta’ Fuq. Lil hinn minn dawn ix-xmajjar hija kellha biss il-pjanura fertili ta 'Frankfurt, faċċata tal-Fortizza tal-Fruntiera Rumana ta' Moguntiacum (Mainz), l-għoljiet tan-nofsinhar tal-foresta s-sewda u ftit irjus tal-pont imxerrdin. It-taqsima tat-tramuntana ta 'din il-fruntiera, fejn ir-Renu hija fonda u wiesgħa, baqgħet il-konfini Rumana sakemm waqa' l-imperu. Il-parti tan-Nofsinhar kienet differenti. Ir-Renu ta ’Fuq u d-Danubju ta’ Fuq jinqasmu faċilment. Il-fruntiera li huma jiffurmaw hija twila inkonvenjent, li tagħlaq feles akut ta 'territorju barrani bejn il-Baden modern u l-Württemberg. Il-popolazzjonijiet Ġermaniċi ta 'dawn l-artijiet jidhru fi żminijiet Rumani li kienu skarsi, u s-suġġetti Rumani mill-Alsace-Lorraine moderna kienu injorati madwar ix-xmara lejn il-lvant.</v>
      </c>
    </row>
    <row r="19485" ht="15.75" customHeight="1">
      <c r="A19485" s="2" t="s">
        <v>19485</v>
      </c>
      <c r="B19485" s="2" t="str">
        <f>IFERROR(__xludf.DUMMYFUNCTION("GOOGLETRANSLATE(A19485, ""en"", ""mt"")"),"X'inhuma jinstabu fil-fossili?")</f>
        <v>X'inhuma jinstabu fil-fossili?</v>
      </c>
    </row>
    <row r="19486" ht="15.75" customHeight="1">
      <c r="A19486" s="2" t="s">
        <v>19486</v>
      </c>
      <c r="B19486" s="2" t="str">
        <f>IFERROR(__xludf.DUMMYFUNCTION("GOOGLETRANSLATE(A19486, ""en"", ""mt"")"),"Melatonin")</f>
        <v>Melatonin</v>
      </c>
    </row>
    <row r="19487" ht="15.75" customHeight="1">
      <c r="A19487" s="2" t="s">
        <v>19487</v>
      </c>
      <c r="B19487" s="2" t="str">
        <f>IFERROR(__xludf.DUMMYFUNCTION("GOOGLETRANSLATE(A19487, ""en"", ""mt"")"),"Liema artiklu tal-Grundgesetz jagħti d-dritt li jagħmel skejjel privati?")</f>
        <v>Liema artiklu tal-Grundgesetz jagħti d-dritt li jagħmel skejjel privati?</v>
      </c>
    </row>
    <row r="19488" ht="15.75" customHeight="1">
      <c r="A19488" s="2" t="s">
        <v>19488</v>
      </c>
      <c r="B19488" s="2" t="str">
        <f>IFERROR(__xludf.DUMMYFUNCTION("GOOGLETRANSLATE(A19488, ""en"", ""mt"")"),"X'żieda żdied it-tkabbir tas-sedimenti u d-delta wkoll fir-Renu?")</f>
        <v>X'żieda żdied it-tkabbir tas-sedimenti u d-delta wkoll fir-Renu?</v>
      </c>
    </row>
    <row r="19489" ht="15.75" customHeight="1">
      <c r="A19489" s="2" t="s">
        <v>19489</v>
      </c>
      <c r="B19489" s="2" t="str">
        <f>IFERROR(__xludf.DUMMYFUNCTION("GOOGLETRANSLATE(A19489, ""en"", ""mt"")"),"Liema żewġ importaturi ddikjaraw li taħt liġi tal-kompetizzjoni Franċiża, ma tħallewx ibigħu birra picon taħt prezz bl-ingrossa?")</f>
        <v>Liema żewġ importaturi ddikjaraw li taħt liġi tal-kompetizzjoni Franċiża, ma tħallewx ibigħu birra picon taħt prezz bl-ingrossa?</v>
      </c>
    </row>
    <row r="19490" ht="15.75" customHeight="1">
      <c r="A19490" s="2" t="s">
        <v>19490</v>
      </c>
      <c r="B19490" s="2" t="str">
        <f>IFERROR(__xludf.DUMMYFUNCTION("GOOGLETRANSLATE(A19490, ""en"", ""mt"")"),"X'kien l-iskop ta 'Cambridge meta twaqqfet fl-1643?")</f>
        <v>X'kien l-iskop ta 'Cambridge meta twaqqfet fl-1643?</v>
      </c>
    </row>
    <row r="19491" ht="15.75" customHeight="1">
      <c r="A19491" s="2" t="s">
        <v>19491</v>
      </c>
      <c r="B19491" s="2" t="str">
        <f>IFERROR(__xludf.DUMMYFUNCTION("GOOGLETRANSLATE(A19491, ""en"", ""mt"")"),"is-sid")</f>
        <v>is-sid</v>
      </c>
    </row>
    <row r="19492" ht="15.75" customHeight="1">
      <c r="A19492" s="2" t="s">
        <v>19492</v>
      </c>
      <c r="B19492" s="2" t="str">
        <f>IFERROR(__xludf.DUMMYFUNCTION("GOOGLETRANSLATE(A19492, ""en"", ""mt"")"),"Skond it-teorija tal-konċentrazzjoni tal-ġid, liema żvantaġġ għandhom l-għonja fl-akkumulazzjoni ta 'ġid ġdid?")</f>
        <v>Skond it-teorija tal-konċentrazzjoni tal-ġid, liema żvantaġġ għandhom l-għonja fl-akkumulazzjoni ta 'ġid ġdid?</v>
      </c>
    </row>
    <row r="19493" ht="15.75" customHeight="1">
      <c r="A19493" s="2" t="s">
        <v>19493</v>
      </c>
      <c r="B19493" s="2" t="str">
        <f>IFERROR(__xludf.DUMMYFUNCTION("GOOGLETRANSLATE(A19493, ""en"", ""mt"")"),"Biex ""float"" (titla 'u taqa' skont id-domanda tas-suq)")</f>
        <v>Biex "float" (titla 'u taqa' skont id-domanda tas-suq)</v>
      </c>
    </row>
    <row r="19494" ht="15.75" customHeight="1">
      <c r="A19494" s="2" t="s">
        <v>19494</v>
      </c>
      <c r="B19494" s="2" t="str">
        <f>IFERROR(__xludf.DUMMYFUNCTION("GOOGLETRANSLATE(A19494, ""en"", ""mt"")"),"X’kritika Lindzen dwar is-sommarju għal dawk li jfasslu l-politika?")</f>
        <v>X’kritika Lindzen dwar is-sommarju għal dawk li jfasslu l-politika?</v>
      </c>
    </row>
    <row r="19495" ht="15.75" customHeight="1">
      <c r="A19495" s="2" t="s">
        <v>19495</v>
      </c>
      <c r="B19495" s="2" t="str">
        <f>IFERROR(__xludf.DUMMYFUNCTION("GOOGLETRANSLATE(A19495, ""en"", ""mt"")"),"Dipartiment tal-Fiżika ta 'Chicago")</f>
        <v>Dipartiment tal-Fiżika ta 'Chicago</v>
      </c>
    </row>
    <row r="19496" ht="15.75" customHeight="1">
      <c r="A19496" s="2" t="s">
        <v>19496</v>
      </c>
      <c r="B19496" s="2" t="str">
        <f>IFERROR(__xludf.DUMMYFUNCTION("GOOGLETRANSLATE(A19496, ""en"", ""mt"")"),"Iċ-ċentru tal-passaġġ mgħawweġ")</f>
        <v>Iċ-ċentru tal-passaġġ mgħawweġ</v>
      </c>
    </row>
    <row r="19497" ht="15.75" customHeight="1">
      <c r="A19497" s="2" t="s">
        <v>19497</v>
      </c>
      <c r="B19497" s="2" t="str">
        <f>IFERROR(__xludf.DUMMYFUNCTION("GOOGLETRANSLATE(A19497, ""en"", ""mt"")"),"Liema grupp jista 'jemenda l-Parlament tar-Renju Unit?")</f>
        <v>Liema grupp jista 'jemenda l-Parlament tar-Renju Unit?</v>
      </c>
    </row>
    <row r="19498" ht="15.75" customHeight="1">
      <c r="A19498" s="2" t="s">
        <v>19498</v>
      </c>
      <c r="B19498" s="2" t="str">
        <f>IFERROR(__xludf.DUMMYFUNCTION("GOOGLETRANSLATE(A19498, ""en"", ""mt"")"),"In-nisa jirtiraw fl-età ta '60 sena u rġiel f'65")</f>
        <v>In-nisa jirtiraw fl-età ta '60 sena u rġiel f'65</v>
      </c>
    </row>
    <row r="19499" ht="15.75" customHeight="1">
      <c r="A19499" s="2" t="s">
        <v>19499</v>
      </c>
      <c r="B19499" s="2" t="str">
        <f>IFERROR(__xludf.DUMMYFUNCTION("GOOGLETRANSLATE(A19499, ""en"", ""mt"")"),"Kemm-il darba l-pesta żżur Bagdad?")</f>
        <v>Kemm-il darba l-pesta żżur Bagdad?</v>
      </c>
    </row>
    <row r="19500" ht="15.75" customHeight="1">
      <c r="A19500" s="2" t="s">
        <v>19500</v>
      </c>
      <c r="B19500" s="2" t="str">
        <f>IFERROR(__xludf.DUMMYFUNCTION("GOOGLETRANSLATE(A19500, ""en"", ""mt"")"),"indaqs il-ġisem")</f>
        <v>indaqs il-ġisem</v>
      </c>
    </row>
    <row r="19501" ht="15.75" customHeight="1">
      <c r="A19501" s="2" t="s">
        <v>19501</v>
      </c>
      <c r="B19501" s="2" t="str">
        <f>IFERROR(__xludf.DUMMYFUNCTION("GOOGLETRANSLATE(A19501, ""en"", ""mt"")"),"Kif huma kklassifikati gruppi ta 'Cillia minħabba żieda fl-għarfien tad-differenzi?")</f>
        <v>Kif huma kklassifikati gruppi ta 'Cillia minħabba żieda fl-għarfien tad-differenzi?</v>
      </c>
    </row>
    <row r="19502" ht="15.75" customHeight="1">
      <c r="A19502" s="2" t="s">
        <v>19502</v>
      </c>
      <c r="B19502" s="2" t="str">
        <f>IFERROR(__xludf.DUMMYFUNCTION("GOOGLETRANSLATE(A19502, ""en"", ""mt"")"),"Xi tfisser it-tieni skeda ta 'żmien?")</f>
        <v>Xi tfisser it-tieni skeda ta 'żmien?</v>
      </c>
    </row>
    <row r="19503" ht="15.75" customHeight="1">
      <c r="A19503" s="2" t="s">
        <v>19503</v>
      </c>
      <c r="B19503" s="2" t="str">
        <f>IFERROR(__xludf.DUMMYFUNCTION("GOOGLETRANSLATE(A19503, ""en"", ""mt"")"),"X'referenza hemm għal Huguenot Lacemakers fis-seklu 19?")</f>
        <v>X'referenza hemm għal Huguenot Lacemakers fis-seklu 19?</v>
      </c>
    </row>
    <row r="19504" ht="15.75" customHeight="1">
      <c r="A19504" s="2" t="s">
        <v>19504</v>
      </c>
      <c r="B19504" s="2" t="str">
        <f>IFERROR(__xludf.DUMMYFUNCTION("GOOGLETRANSLATE(A19504, ""en"", ""mt"")"),"Pressjoni 'l isfel fuq il-pagi")</f>
        <v>Pressjoni 'l isfel fuq il-pagi</v>
      </c>
    </row>
    <row r="19505" ht="15.75" customHeight="1">
      <c r="A19505" s="2" t="s">
        <v>19505</v>
      </c>
      <c r="B19505" s="2" t="str">
        <f>IFERROR(__xludf.DUMMYFUNCTION("GOOGLETRANSLATE(A19505, ""en"", ""mt"")"),"Paul Marin de la Malgue")</f>
        <v>Paul Marin de la Malgue</v>
      </c>
    </row>
    <row r="19506" ht="15.75" customHeight="1">
      <c r="A19506" s="2" t="s">
        <v>19506</v>
      </c>
      <c r="B19506" s="2" t="str">
        <f>IFERROR(__xludf.DUMMYFUNCTION("GOOGLETRANSLATE(A19506, ""en"", ""mt"")"),"Dak li tipikament jinvolvi produzzjoni tal-massa ta 'oġġetti simili mingħajr xerrej magħżul?")</f>
        <v>Dak li tipikament jinvolvi produzzjoni tal-massa ta 'oġġetti simili mingħajr xerrej magħżul?</v>
      </c>
    </row>
    <row r="19507" ht="15.75" customHeight="1">
      <c r="A19507" s="2" t="s">
        <v>19507</v>
      </c>
      <c r="B19507" s="2" t="str">
        <f>IFERROR(__xludf.DUMMYFUNCTION("GOOGLETRANSLATE(A19507, ""en"", ""mt"")"),"Liema sena rriżultat fis-sospensjoni ta 'wieħed miż-żewġ timijiet tal-futbol?")</f>
        <v>Liema sena rriżultat fis-sospensjoni ta 'wieħed miż-żewġ timijiet tal-futbol?</v>
      </c>
    </row>
    <row r="19508" ht="15.75" customHeight="1">
      <c r="A19508" s="2" t="s">
        <v>19508</v>
      </c>
      <c r="B19508" s="2" t="str">
        <f>IFERROR(__xludf.DUMMYFUNCTION("GOOGLETRANSLATE(A19508, ""en"", ""mt"")"),"Eliot Ness")</f>
        <v>Eliot Ness</v>
      </c>
    </row>
    <row r="19509" ht="15.75" customHeight="1">
      <c r="A19509" s="2" t="s">
        <v>19509</v>
      </c>
      <c r="B19509" s="2" t="str">
        <f>IFERROR(__xludf.DUMMYFUNCTION("GOOGLETRANSLATE(A19509, ""en"", ""mt"")"),"Liema esperimenti jintużaw biex jifhmu kif il-magma flussi?")</f>
        <v>Liema esperimenti jintużaw biex jifhmu kif il-magma flussi?</v>
      </c>
    </row>
    <row r="19510" ht="15.75" customHeight="1">
      <c r="A19510" s="2" t="s">
        <v>19510</v>
      </c>
      <c r="B19510" s="2" t="str">
        <f>IFERROR(__xludf.DUMMYFUNCTION("GOOGLETRANSLATE(A19510, ""en"", ""mt"")"),"X'inhu l-eżempju ta 'problema oħra kkaratterizzata minn każijiet kbar li tissolva rutina minn maniġers SAT li jużaw algoritmi effiċjenti?")</f>
        <v>X'inhu l-eżempju ta 'problema oħra kkaratterizzata minn każijiet kbar li tissolva rutina minn maniġers SAT li jużaw algoritmi effiċjenti?</v>
      </c>
    </row>
    <row r="19511" ht="15.75" customHeight="1">
      <c r="A19511" s="2" t="s">
        <v>19511</v>
      </c>
      <c r="B19511" s="2" t="str">
        <f>IFERROR(__xludf.DUMMYFUNCTION("GOOGLETRANSLATE(A19511, ""en"", ""mt"")"),"Liema servizz addizzjonali offra BSKYB minbarra kanali HD li huma ddikjaraw ma offrew l-ebda valur?")</f>
        <v>Liema servizz addizzjonali offra BSKYB minbarra kanali HD li huma ddikjaraw ma offrew l-ebda valur?</v>
      </c>
    </row>
    <row r="19512" ht="15.75" customHeight="1">
      <c r="A19512" s="2" t="s">
        <v>19512</v>
      </c>
      <c r="B19512" s="2" t="str">
        <f>IFERROR(__xludf.DUMMYFUNCTION("GOOGLETRANSLATE(A19512, ""en"", ""mt"")"),"F'liema żewġ kodiċi ġew ikkodifikati r-rwoli tal-ispiżjara?")</f>
        <v>F'liema żewġ kodiċi ġew ikkodifikati r-rwoli tal-ispiżjara?</v>
      </c>
    </row>
    <row r="19513" ht="15.75" customHeight="1">
      <c r="A19513" s="2" t="s">
        <v>19513</v>
      </c>
      <c r="B19513" s="2" t="str">
        <f>IFERROR(__xludf.DUMMYFUNCTION("GOOGLETRANSLATE(A19513, ""en"", ""mt"")"),"Liema kundizzjoni akkwistata tirriżulta f'immunodefiċjenza fil-bnedmin?")</f>
        <v>Liema kundizzjoni akkwistata tirriżulta f'immunodefiċjenza fil-bnedmin?</v>
      </c>
    </row>
    <row r="19514" ht="15.75" customHeight="1">
      <c r="A19514" s="2" t="s">
        <v>19514</v>
      </c>
      <c r="B19514" s="2" t="str">
        <f>IFERROR(__xludf.DUMMYFUNCTION("GOOGLETRANSLATE(A19514, ""en"", ""mt"")"),"X'inhu sottomess għal parti biss tal-Parlament għal dibattitu sħiħ?")</f>
        <v>X'inhu sottomess għal parti biss tal-Parlament għal dibattitu sħiħ?</v>
      </c>
    </row>
    <row r="19515" ht="15.75" customHeight="1">
      <c r="A19515" s="2" t="s">
        <v>19515</v>
      </c>
      <c r="B19515" s="2" t="str">
        <f>IFERROR(__xludf.DUMMYFUNCTION("GOOGLETRANSLATE(A19515, ""en"", ""mt"")"),"Creon, ir-re attwali ta 'Tebes")</f>
        <v>Creon, ir-re attwali ta 'Tebes</v>
      </c>
    </row>
    <row r="19516" ht="15.75" customHeight="1">
      <c r="A19516" s="2" t="s">
        <v>19516</v>
      </c>
      <c r="B19516" s="2" t="str">
        <f>IFERROR(__xludf.DUMMYFUNCTION("GOOGLETRANSLATE(A19516, ""en"", ""mt"")"),"Supretendent Brittaniku għall-Affarijiet Indjani")</f>
        <v>Supretendent Brittaniku għall-Affarijiet Indjani</v>
      </c>
    </row>
    <row r="19517" ht="15.75" customHeight="1">
      <c r="A19517" s="2" t="s">
        <v>19517</v>
      </c>
      <c r="B19517" s="2" t="str">
        <f>IFERROR(__xludf.DUMMYFUNCTION("GOOGLETRANSLATE(A19517, ""en"", ""mt"")"),"X'għandu l-ittestjar reċenti tat-teorija tal-Kuznets b'data superjuri?")</f>
        <v>X'għandu l-ittestjar reċenti tat-teorija tal-Kuznets b'data superjuri?</v>
      </c>
    </row>
    <row r="19518" ht="15.75" customHeight="1">
      <c r="A19518" s="2" t="s">
        <v>19518</v>
      </c>
      <c r="B19518" s="2" t="str">
        <f>IFERROR(__xludf.DUMMYFUNCTION("GOOGLETRANSLATE(A19518, ""en"", ""mt"")"),"birefringenza, pleokroiżmu, ġemellaġġ, u interferenza")</f>
        <v>birefringenza, pleokroiżmu, ġemellaġġ, u interferenza</v>
      </c>
    </row>
    <row r="19519" ht="15.75" customHeight="1">
      <c r="A19519" s="2" t="s">
        <v>19519</v>
      </c>
      <c r="B19519" s="2" t="str">
        <f>IFERROR(__xludf.DUMMYFUNCTION("GOOGLETRANSLATE(A19519, ""en"", ""mt"")"),"Għaliex il-vjolenza rampanti ma tipprevjenix lin-nies milli jaħdmu?")</f>
        <v>Għaliex il-vjolenza rampanti ma tipprevjenix lin-nies milli jaħdmu?</v>
      </c>
    </row>
    <row r="19520" ht="15.75" customHeight="1">
      <c r="A19520" s="2" t="s">
        <v>19520</v>
      </c>
      <c r="B19520" s="2" t="str">
        <f>IFERROR(__xludf.DUMMYFUNCTION("GOOGLETRANSLATE(A19520, ""en"", ""mt"")"),"Il-klassifikazzjoni tal-aspetti tal-foresta tal-Amażonja hija importanti għall-immappjar liema tip ta 'emissjoni?")</f>
        <v>Il-klassifikazzjoni tal-aspetti tal-foresta tal-Amażonja hija importanti għall-immappjar liema tip ta 'emissjoni?</v>
      </c>
    </row>
    <row r="19521" ht="15.75" customHeight="1">
      <c r="A19521" s="2" t="s">
        <v>19521</v>
      </c>
      <c r="B19521" s="2" t="str">
        <f>IFERROR(__xludf.DUMMYFUNCTION("GOOGLETRANSLATE(A19521, ""en"", ""mt"")"),"F'liema sena r-refuġjati Huguenot l-ewwel stabbilixxew f'Norwich?")</f>
        <v>F'liema sena r-refuġjati Huguenot l-ewwel stabbilixxew f'Norwich?</v>
      </c>
    </row>
    <row r="19522" ht="15.75" customHeight="1">
      <c r="A19522" s="2" t="s">
        <v>19522</v>
      </c>
      <c r="B19522" s="2" t="str">
        <f>IFERROR(__xludf.DUMMYFUNCTION("GOOGLETRANSLATE(A19522, ""en"", ""mt"")"),"40,000")</f>
        <v>40,000</v>
      </c>
    </row>
    <row r="19523" ht="15.75" customHeight="1">
      <c r="A19523" s="2" t="s">
        <v>19523</v>
      </c>
      <c r="B19523" s="2" t="str">
        <f>IFERROR(__xludf.DUMMYFUNCTION("GOOGLETRANSLATE(A19523, ""en"", ""mt"")"),"b'inqas minn tnejn fil-mija fis-sena")</f>
        <v>b'inqas minn tnejn fil-mija fis-sena</v>
      </c>
    </row>
    <row r="19524" ht="15.75" customHeight="1">
      <c r="A19524" s="2" t="s">
        <v>19524</v>
      </c>
      <c r="B19524" s="2" t="str">
        <f>IFERROR(__xludf.DUMMYFUNCTION("GOOGLETRANSLATE(A19524, ""en"", ""mt"")"),"X'kien id-daqs medju tal-familja?")</f>
        <v>X'kien id-daqs medju tal-familja?</v>
      </c>
    </row>
    <row r="19525" ht="15.75" customHeight="1">
      <c r="A19525" s="2" t="s">
        <v>19525</v>
      </c>
      <c r="B19525" s="2" t="str">
        <f>IFERROR(__xludf.DUMMYFUNCTION("GOOGLETRANSLATE(A19525, ""en"", ""mt"")"),"Kif il-pjan ta 'Jacksonville aħjar kif ġġenera flus?")</f>
        <v>Kif il-pjan ta 'Jacksonville aħjar kif ġġenera flus?</v>
      </c>
    </row>
    <row r="19526" ht="15.75" customHeight="1">
      <c r="A19526" s="2" t="s">
        <v>19526</v>
      </c>
      <c r="B19526" s="2" t="str">
        <f>IFERROR(__xludf.DUMMYFUNCTION("GOOGLETRANSLATE(A19526, ""en"", ""mt"")"),"Liema arkeologu ppropona l-idea li l-Amazon Rainforest ma setgħetx issostni popolazzjonijiet kbar?")</f>
        <v>Liema arkeologu ppropona l-idea li l-Amazon Rainforest ma setgħetx issostni popolazzjonijiet kbar?</v>
      </c>
    </row>
    <row r="19527" ht="15.75" customHeight="1">
      <c r="A19527" s="2" t="s">
        <v>19527</v>
      </c>
      <c r="B19527" s="2" t="str">
        <f>IFERROR(__xludf.DUMMYFUNCTION("GOOGLETRANSLATE(A19527, ""en"", ""mt"")"),"X'inhu importanti ħafna għat-tkabbir tal-ekonomija?")</f>
        <v>X'inhu importanti ħafna għat-tkabbir tal-ekonomija?</v>
      </c>
    </row>
    <row r="19528" ht="15.75" customHeight="1">
      <c r="A19528" s="2" t="s">
        <v>19528</v>
      </c>
      <c r="B19528" s="2" t="str">
        <f>IFERROR(__xludf.DUMMYFUNCTION("GOOGLETRANSLATE(A19528, ""en"", ""mt"")"),"kwantitajiet skalari indikati")</f>
        <v>kwantitajiet skalari indikati</v>
      </c>
    </row>
    <row r="19529" ht="15.75" customHeight="1">
      <c r="A19529" s="2" t="s">
        <v>19529</v>
      </c>
      <c r="B19529" s="2" t="str">
        <f>IFERROR(__xludf.DUMMYFUNCTION("GOOGLETRANSLATE(A19529, ""en"", ""mt"")"),"X’kienu kkontrollati r-raġuni tal-Qorti tal-Ġustizzja fl-Istati Membri kollha f’Josemans v Burgemeester van Maastricht?")</f>
        <v>X’kienu kkontrollati r-raġuni tal-Qorti tal-Ġustizzja fl-Istati Membri kollha f’Josemans v Burgemeester van Maastricht?</v>
      </c>
    </row>
    <row r="19530" ht="15.75" customHeight="1">
      <c r="A19530" s="2" t="s">
        <v>19530</v>
      </c>
      <c r="B19530" s="2" t="str">
        <f>IFERROR(__xludf.DUMMYFUNCTION("GOOGLETRANSLATE(A19530, ""en"", ""mt"")"),"Il-prinċipju ta 'relazzjonijiet transkonfinali")</f>
        <v>Il-prinċipju ta 'relazzjonijiet transkonfinali</v>
      </c>
    </row>
    <row r="19531" ht="15.75" customHeight="1">
      <c r="A19531" s="2" t="s">
        <v>19531</v>
      </c>
      <c r="B19531" s="2" t="str">
        <f>IFERROR(__xludf.DUMMYFUNCTION("GOOGLETRANSLATE(A19531, ""en"", ""mt"")"),"Miocene Nofsani")</f>
        <v>Miocene Nofsani</v>
      </c>
    </row>
    <row r="19532" ht="15.75" customHeight="1">
      <c r="A19532" s="2" t="s">
        <v>19532</v>
      </c>
      <c r="B19532" s="2" t="str">
        <f>IFERROR(__xludf.DUMMYFUNCTION("GOOGLETRANSLATE(A19532, ""en"", ""mt"")"),"Kemm mis-sitt pakketti totali disponibbli għax-xandara ngħataw Setanta?")</f>
        <v>Kemm mis-sitt pakketti totali disponibbli għax-xandara ngħataw Setanta?</v>
      </c>
    </row>
    <row r="19533" ht="15.75" customHeight="1">
      <c r="A19533" s="2" t="s">
        <v>19533</v>
      </c>
      <c r="B19533" s="2" t="str">
        <f>IFERROR(__xludf.DUMMYFUNCTION("GOOGLETRANSLATE(A19533, ""en"", ""mt"")"),"Gruppi Alleati mill-Asja Ċentrali u t-Tmiem tal-Punent tal-Imperu")</f>
        <v>Gruppi Alleati mill-Asja Ċentrali u t-Tmiem tal-Punent tal-Imperu</v>
      </c>
    </row>
    <row r="19534" ht="15.75" customHeight="1">
      <c r="A19534" s="2" t="s">
        <v>19534</v>
      </c>
      <c r="B19534" s="2" t="str">
        <f>IFERROR(__xludf.DUMMYFUNCTION("GOOGLETRANSLATE(A19534, ""en"", ""mt"")"),"teorema fundamentali tal-aritmetika")</f>
        <v>teorema fundamentali tal-aritmetika</v>
      </c>
    </row>
    <row r="19535" ht="15.75" customHeight="1">
      <c r="A19535" s="2" t="s">
        <v>19535</v>
      </c>
      <c r="B19535" s="2" t="str">
        <f>IFERROR(__xludf.DUMMYFUNCTION("GOOGLETRANSLATE(A19535, ""en"", ""mt"")"),"X'inhu l-isem tal-proċess li jikkonferma l-primalità ta 'ċifri deċimali?")</f>
        <v>X'inhu l-isem tal-proċess li jikkonferma l-primalità ta 'ċifri deċimali?</v>
      </c>
    </row>
    <row r="19536" ht="15.75" customHeight="1">
      <c r="A19536" s="2" t="s">
        <v>19536</v>
      </c>
      <c r="B19536" s="2" t="str">
        <f>IFERROR(__xludf.DUMMYFUNCTION("GOOGLETRANSLATE(A19536, ""en"", ""mt"")"),"Kif jiġu ttrattati l-forzi mill-għelieqi trattati bl-istess mod?")</f>
        <v>Kif jiġu ttrattati l-forzi mill-għelieqi trattati bl-istess mod?</v>
      </c>
    </row>
    <row r="19537" ht="15.75" customHeight="1">
      <c r="A19537" s="2" t="s">
        <v>19537</v>
      </c>
      <c r="B19537" s="2" t="str">
        <f>IFERROR(__xludf.DUMMYFUNCTION("GOOGLETRANSLATE(A19537, ""en"", ""mt"")"),"Flimkien ma 'Stephenson u Walschaerts, x'inhu eżempju ta' mozzjoni sempliċi?")</f>
        <v>Flimkien ma 'Stephenson u Walschaerts, x'inhu eżempju ta' mozzjoni sempliċi?</v>
      </c>
    </row>
    <row r="19538" ht="15.75" customHeight="1">
      <c r="A19538" s="2" t="s">
        <v>19538</v>
      </c>
      <c r="B19538" s="2" t="str">
        <f>IFERROR(__xludf.DUMMYFUNCTION("GOOGLETRANSLATE(A19538, ""en"", ""mt"")"),"X'konsegwenza ta 'l-istabbiliment tal-Parlament Skoċċiż japplika għall-membri parlamentari Skoċċiżi li joqogħdu fil-House of Commons tar-Renju Unit?")</f>
        <v>X'konsegwenza ta 'l-istabbiliment tal-Parlament Skoċċiż japplika għall-membri parlamentari Skoċċiżi li joqogħdu fil-House of Commons tar-Renju Unit?</v>
      </c>
    </row>
    <row r="19539" ht="15.75" customHeight="1">
      <c r="A19539" s="2" t="s">
        <v>19539</v>
      </c>
      <c r="B19539" s="2" t="str">
        <f>IFERROR(__xludf.DUMMYFUNCTION("GOOGLETRANSLATE(A19539, ""en"", ""mt"")"),"1290")</f>
        <v>1290</v>
      </c>
    </row>
    <row r="19540" ht="15.75" customHeight="1">
      <c r="A19540" s="2" t="s">
        <v>19540</v>
      </c>
      <c r="B19540" s="2" t="str">
        <f>IFERROR(__xludf.DUMMYFUNCTION("GOOGLETRANSLATE(A19540, ""en"", ""mt"")"),"Fil-bidu tal-Olokene (~ 11,700 sena ilu), ir-Renu okkupa l-wied tal-glaċjali tard tiegħu. Bħala xmara meandering, hija maħduma mill-ġdid tagħha Braidplain tal-età tas-silġ. Hekk kif il-livell tal-baħar kompla jiżdied fl-Olanda, bdiet il-formazzjoni tad-de"&amp;"lta tal-Meuse Rhine-Meuse Holocene (~ 8,000 sena ilu). Żieda assoluta fil-livell tal-baħar assolut u sussidju tettoniku influwenzaw sew l-evoluzzjoni tad-delta. Fatturi oħra ta 'importanza għall-forma tad-delta huma l-attivitajiet tettoniċi lokali tat-tor"&amp;"t tal-konfini tal-qoxra, is-sottostrat u l-ġeomorfoloġija, kif jintirtu mill-aħħar dinamika glaċjali u kostali-marini, bħalma huma l-formazzjonijiet ta' barriera u tal-marea tad-dħul.")</f>
        <v>Fil-bidu tal-Olokene (~ 11,700 sena ilu), ir-Renu okkupa l-wied tal-glaċjali tard tiegħu. Bħala xmara meandering, hija maħduma mill-ġdid tagħha Braidplain tal-età tas-silġ. Hekk kif il-livell tal-baħar kompla jiżdied fl-Olanda, bdiet il-formazzjoni tad-delta tal-Meuse Rhine-Meuse Holocene (~ 8,000 sena ilu). Żieda assoluta fil-livell tal-baħar assolut u sussidju tettoniku influwenzaw sew l-evoluzzjoni tad-delta. Fatturi oħra ta 'importanza għall-forma tad-delta huma l-attivitajiet tettoniċi lokali tat-tort tal-konfini tal-qoxra, is-sottostrat u l-ġeomorfoloġija, kif jintirtu mill-aħħar dinamika glaċjali u kostali-marini, bħalma huma l-formazzjonijiet ta' barriera u tal-marea tad-dħul.</v>
      </c>
    </row>
    <row r="19541" ht="15.75" customHeight="1">
      <c r="A19541" s="2" t="s">
        <v>19541</v>
      </c>
      <c r="B19541" s="2" t="str">
        <f>IFERROR(__xludf.DUMMYFUNCTION("GOOGLETRANSLATE(A19541, ""en"", ""mt"")"),"Liema pajjiżi ma qablux dwar il-Ftehim Ewropew tal-Komunità tal-Faħam u l-Azzar?")</f>
        <v>Liema pajjiżi ma qablux dwar il-Ftehim Ewropew tal-Komunità tal-Faħam u l-Azzar?</v>
      </c>
    </row>
    <row r="19542" ht="15.75" customHeight="1">
      <c r="A19542" s="2" t="s">
        <v>19542</v>
      </c>
      <c r="B19542" s="2" t="str">
        <f>IFERROR(__xludf.DUMMYFUNCTION("GOOGLETRANSLATE(A19542, ""en"", ""mt"")"),"Meta ddum il-paċi ta 'Westphalia sa?")</f>
        <v>Meta ddum il-paċi ta 'Westphalia sa?</v>
      </c>
    </row>
    <row r="19543" ht="15.75" customHeight="1">
      <c r="A19543" s="2" t="s">
        <v>19543</v>
      </c>
      <c r="B19543" s="2" t="str">
        <f>IFERROR(__xludf.DUMMYFUNCTION("GOOGLETRANSLATE(A19543, ""en"", ""mt"")"),"Robert Maynard Hutchins")</f>
        <v>Robert Maynard Hutchins</v>
      </c>
    </row>
    <row r="19544" ht="15.75" customHeight="1">
      <c r="A19544" s="2" t="s">
        <v>19544</v>
      </c>
      <c r="B19544" s="2" t="str">
        <f>IFERROR(__xludf.DUMMYFUNCTION("GOOGLETRANSLATE(A19544, ""en"", ""mt"")"),"Liema esibizzjoni tal-fjuri tal-ħġieġ hija inkluża fil-Mużew Busch-Reisinger?")</f>
        <v>Liema esibizzjoni tal-fjuri tal-ħġieġ hija inkluża fil-Mużew Busch-Reisinger?</v>
      </c>
    </row>
    <row r="19545" ht="15.75" customHeight="1">
      <c r="A19545" s="2" t="s">
        <v>19545</v>
      </c>
      <c r="B19545" s="2" t="str">
        <f>IFERROR(__xludf.DUMMYFUNCTION("GOOGLETRANSLATE(A19545, ""en"", ""mt"")"),"L-Isvizzera u l-Olanda.")</f>
        <v>L-Isvizzera u l-Olanda.</v>
      </c>
    </row>
    <row r="19546" ht="15.75" customHeight="1">
      <c r="A19546" s="2" t="s">
        <v>19546</v>
      </c>
      <c r="B19546" s="2" t="str">
        <f>IFERROR(__xludf.DUMMYFUNCTION("GOOGLETRANSLATE(A19546, ""en"", ""mt"")"),"Ftehim kummerċjali sfurzat bejn żewġ pajjiżi jkun eżempju ta 'xiex?")</f>
        <v>Ftehim kummerċjali sfurzat bejn żewġ pajjiżi jkun eżempju ta 'xiex?</v>
      </c>
    </row>
    <row r="19547" ht="15.75" customHeight="1">
      <c r="A19547" s="2" t="s">
        <v>19547</v>
      </c>
      <c r="B19547" s="2" t="str">
        <f>IFERROR(__xludf.DUMMYFUNCTION("GOOGLETRANSLATE(A19547, ""en"", ""mt"")"),"Liema karozza turi r-reviżjoni tal-kategoriji tad-DOT?")</f>
        <v>Liema karozza turi r-reviżjoni tal-kategoriji tad-DOT?</v>
      </c>
    </row>
    <row r="19548" ht="15.75" customHeight="1">
      <c r="A19548" s="2" t="s">
        <v>19548</v>
      </c>
      <c r="B19548" s="2" t="str">
        <f>IFERROR(__xludf.DUMMYFUNCTION("GOOGLETRANSLATE(A19548, ""en"", ""mt"")"),"Xi jwassal kisba akkademika fqira skont il-kritiċi?")</f>
        <v>Xi jwassal kisba akkademika fqira skont il-kritiċi?</v>
      </c>
    </row>
    <row r="19549" ht="15.75" customHeight="1">
      <c r="A19549" s="2" t="s">
        <v>19549</v>
      </c>
      <c r="B19549" s="2" t="str">
        <f>IFERROR(__xludf.DUMMYFUNCTION("GOOGLETRANSLATE(A19549, ""en"", ""mt"")"),"Waal")</f>
        <v>Waal</v>
      </c>
    </row>
    <row r="19550" ht="15.75" customHeight="1">
      <c r="A19550" s="2" t="s">
        <v>19550</v>
      </c>
      <c r="B19550" s="2" t="str">
        <f>IFERROR(__xludf.DUMMYFUNCTION("GOOGLETRANSLATE(A19550, ""en"", ""mt"")"),"Liema ċiklu għandu kwistjoni li għal liema gradjent ta 'espansjoni jipprova jirranġa?")</f>
        <v>Liema ċiklu għandu kwistjoni li għal liema gradjent ta 'espansjoni jipprova jirranġa?</v>
      </c>
    </row>
    <row r="19551" ht="15.75" customHeight="1">
      <c r="A19551" s="2" t="s">
        <v>19551</v>
      </c>
      <c r="B19551" s="2" t="str">
        <f>IFERROR(__xludf.DUMMYFUNCTION("GOOGLETRANSLATE(A19551, ""en"", ""mt"")"),"port")</f>
        <v>port</v>
      </c>
    </row>
    <row r="19552" ht="15.75" customHeight="1">
      <c r="A19552" s="2" t="s">
        <v>19552</v>
      </c>
      <c r="B19552" s="2" t="str">
        <f>IFERROR(__xludf.DUMMYFUNCTION("GOOGLETRANSLATE(A19552, ""en"", ""mt"")"),"mhux kombustibbli")</f>
        <v>mhux kombustibbli</v>
      </c>
    </row>
    <row r="19553" ht="15.75" customHeight="1">
      <c r="A19553" s="2" t="s">
        <v>19553</v>
      </c>
      <c r="B19553" s="2" t="str">
        <f>IFERROR(__xludf.DUMMYFUNCTION("GOOGLETRANSLATE(A19553, ""en"", ""mt"")"),"Permezz tal-Port ta ’Marsilja għall-ħabta ta’ Novembru 1347")</f>
        <v>Permezz tal-Port ta ’Marsilja għall-ħabta ta’ Novembru 1347</v>
      </c>
    </row>
    <row r="19554" ht="15.75" customHeight="1">
      <c r="A19554" s="2" t="s">
        <v>19554</v>
      </c>
      <c r="B19554" s="2" t="str">
        <f>IFERROR(__xludf.DUMMYFUNCTION("GOOGLETRANSLATE(A19554, ""en"", ""mt"")"),"Meta ġiet stabbilita l-paċi ta 'Westphalia?")</f>
        <v>Meta ġiet stabbilita l-paċi ta 'Westphalia?</v>
      </c>
    </row>
    <row r="19555" ht="15.75" customHeight="1">
      <c r="A19555" s="2" t="s">
        <v>19555</v>
      </c>
      <c r="B19555" s="2" t="str">
        <f>IFERROR(__xludf.DUMMYFUNCTION("GOOGLETRANSLATE(A19555, ""en"", ""mt"")"),"Liema organizzazzjoni waqfet tkun forza ta 'tfixkil maġġuri fil-Palestina?")</f>
        <v>Liema organizzazzjoni waqfet tkun forza ta 'tfixkil maġġuri fil-Palestina?</v>
      </c>
    </row>
    <row r="19556" ht="15.75" customHeight="1">
      <c r="A19556" s="2" t="s">
        <v>19556</v>
      </c>
      <c r="B19556" s="2" t="str">
        <f>IFERROR(__xludf.DUMMYFUNCTION("GOOGLETRANSLATE(A19556, ""en"", ""mt"")"),"Ġlieda ideoloġika")</f>
        <v>Ġlieda ideoloġika</v>
      </c>
    </row>
    <row r="19557" ht="15.75" customHeight="1">
      <c r="A19557" s="2" t="s">
        <v>19557</v>
      </c>
      <c r="B19557" s="2" t="str">
        <f>IFERROR(__xludf.DUMMYFUNCTION("GOOGLETRANSLATE(A19557, ""en"", ""mt"")"),"Oliver Evans")</f>
        <v>Oliver Evans</v>
      </c>
    </row>
    <row r="19558" ht="15.75" customHeight="1">
      <c r="A19558" s="2" t="s">
        <v>19558</v>
      </c>
      <c r="B19558" s="2" t="str">
        <f>IFERROR(__xludf.DUMMYFUNCTION("GOOGLETRANSLATE(A19558, ""en"", ""mt"")"),"X'tip ta 'gwerra ċivili ma ġietx miġġielda bejn kmandanti tal-gwerra politiċi u tribali?")</f>
        <v>X'tip ta 'gwerra ċivili ma ġietx miġġielda bejn kmandanti tal-gwerra politiċi u tribali?</v>
      </c>
    </row>
    <row r="19559" ht="15.75" customHeight="1">
      <c r="A19559" s="2" t="s">
        <v>19559</v>
      </c>
      <c r="B19559" s="2" t="str">
        <f>IFERROR(__xludf.DUMMYFUNCTION("GOOGLETRANSLATE(A19559, ""en"", ""mt"")"),"Liema ħsarat minbarra s-San Andreas jistgħu jipproduċu avveniment ta 'kobor 8.0?")</f>
        <v>Liema ħsarat minbarra s-San Andreas jistgħu jipproduċu avveniment ta 'kobor 8.0?</v>
      </c>
    </row>
    <row r="19560" ht="15.75" customHeight="1">
      <c r="A19560" s="2" t="s">
        <v>19560</v>
      </c>
      <c r="B19560" s="2" t="str">
        <f>IFERROR(__xludf.DUMMYFUNCTION("GOOGLETRANSLATE(A19560, ""en"", ""mt"")"),"Kanzunetta Imperatur")</f>
        <v>Kanzunetta Imperatur</v>
      </c>
    </row>
    <row r="19561" ht="15.75" customHeight="1">
      <c r="A19561" s="2" t="s">
        <v>19561</v>
      </c>
      <c r="B19561" s="2" t="str">
        <f>IFERROR(__xludf.DUMMYFUNCTION("GOOGLETRANSLATE(A19561, ""en"", ""mt"")"),"X'inhu l-prinċipju tal-kumplessità tal-komputazzjoni?")</f>
        <v>X'inhu l-prinċipju tal-kumplessità tal-komputazzjoni?</v>
      </c>
    </row>
    <row r="19562" ht="15.75" customHeight="1">
      <c r="A19562" s="2" t="s">
        <v>19562</v>
      </c>
      <c r="B19562" s="2" t="str">
        <f>IFERROR(__xludf.DUMMYFUNCTION("GOOGLETRANSLATE(A19562, ""en"", ""mt"")"),"kwistjonijiet")</f>
        <v>kwistjonijiet</v>
      </c>
    </row>
    <row r="19563" ht="15.75" customHeight="1">
      <c r="A19563" s="2" t="s">
        <v>19563</v>
      </c>
      <c r="B19563" s="2" t="str">
        <f>IFERROR(__xludf.DUMMYFUNCTION("GOOGLETRANSLATE(A19563, ""en"", ""mt"")"),"Kif bdew it-trattati tal-prinċipju li jiffurmaw l-Unjoni Ewropea?")</f>
        <v>Kif bdew it-trattati tal-prinċipju li jiffurmaw l-Unjoni Ewropea?</v>
      </c>
    </row>
    <row r="19564" ht="15.75" customHeight="1">
      <c r="A19564" s="2" t="s">
        <v>19564</v>
      </c>
      <c r="B19564" s="2" t="str">
        <f>IFERROR(__xludf.DUMMYFUNCTION("GOOGLETRANSLATE(A19564, ""en"", ""mt"")"),"muturi jew mopeds li jiġbdu karrijiet")</f>
        <v>muturi jew mopeds li jiġbdu karrijiet</v>
      </c>
    </row>
    <row r="19565" ht="15.75" customHeight="1">
      <c r="A19565" s="2" t="s">
        <v>19565</v>
      </c>
      <c r="B19565" s="2" t="str">
        <f>IFERROR(__xludf.DUMMYFUNCTION("GOOGLETRANSLATE(A19565, ""en"", ""mt"")"),"X'tip ta 'edukazzjoni xi kultant huwa preżenti fl-iskejjel reliġjużi minbarra l-kurrikulu sekulari?")</f>
        <v>X'tip ta 'edukazzjoni xi kultant huwa preżenti fl-iskejjel reliġjużi minbarra l-kurrikulu sekulari?</v>
      </c>
    </row>
    <row r="19566" ht="15.75" customHeight="1">
      <c r="A19566" s="2" t="s">
        <v>19566</v>
      </c>
      <c r="B19566" s="2" t="str">
        <f>IFERROR(__xludf.DUMMYFUNCTION("GOOGLETRANSLATE(A19566, ""en"", ""mt"")"),"Liema sistema tal-librerija tal-università tikkonsisti fi 12-il librerija?")</f>
        <v>Liema sistema tal-librerija tal-università tikkonsisti fi 12-il librerija?</v>
      </c>
    </row>
    <row r="19567" ht="15.75" customHeight="1">
      <c r="A19567" s="2" t="s">
        <v>19567</v>
      </c>
      <c r="B19567" s="2" t="str">
        <f>IFERROR(__xludf.DUMMYFUNCTION("GOOGLETRANSLATE(A19567, ""en"", ""mt"")"),"Ticonderoga Point,")</f>
        <v>Ticonderoga Point,</v>
      </c>
    </row>
    <row r="19568" ht="15.75" customHeight="1">
      <c r="A19568" s="2" t="s">
        <v>19568</v>
      </c>
      <c r="B19568" s="2" t="str">
        <f>IFERROR(__xludf.DUMMYFUNCTION("GOOGLETRANSLATE(A19568, ""en"", ""mt"")"),"$ 37.6 biljun")</f>
        <v>$ 37.6 biljun</v>
      </c>
    </row>
    <row r="19569" ht="15.75" customHeight="1">
      <c r="A19569" s="2" t="s">
        <v>19569</v>
      </c>
      <c r="B19569" s="2" t="str">
        <f>IFERROR(__xludf.DUMMYFUNCTION("GOOGLETRANSLATE(A19569, ""en"", ""mt"")"),"Cnidarians")</f>
        <v>Cnidarians</v>
      </c>
    </row>
    <row r="19570" ht="15.75" customHeight="1">
      <c r="A19570" s="2" t="s">
        <v>19570</v>
      </c>
      <c r="B19570" s="2" t="str">
        <f>IFERROR(__xludf.DUMMYFUNCTION("GOOGLETRANSLATE(A19570, ""en"", ""mt"")"),"X'inhu s-seklu 16 magħruf bħala l-bidu?")</f>
        <v>X'inhu s-seklu 16 magħruf bħala l-bidu?</v>
      </c>
    </row>
    <row r="19571" ht="15.75" customHeight="1">
      <c r="A19571" s="2" t="s">
        <v>19571</v>
      </c>
      <c r="B19571" s="2" t="str">
        <f>IFERROR(__xludf.DUMMYFUNCTION("GOOGLETRANSLATE(A19571, ""en"", ""mt"")"),"Kemm kilometri kwadri tal-foresta tal-Amażonja ntilfet sal-1991?")</f>
        <v>Kemm kilometri kwadri tal-foresta tal-Amażonja ntilfet sal-1991?</v>
      </c>
    </row>
    <row r="19572" ht="15.75" customHeight="1">
      <c r="A19572" s="2" t="s">
        <v>19572</v>
      </c>
      <c r="B19572" s="2" t="str">
        <f>IFERROR(__xludf.DUMMYFUNCTION("GOOGLETRANSLATE(A19572, ""en"", ""mt"")"),"Fost l-aktar esperimenti magħrufa fil-ġeoloġija strutturali hemm dawk li jinvolvu kunjardi orogeniċi, li huma żoni li fihom huma mibnija l-muntanji tul il-konfini konverġenti tal-pjanċa tettonika. Fil-verżjonijiet analoġiċi ta 'dawn l-esperimenti, saffi o"&amp;"rizzontali ta' ramel jinġibdu tul wiċċ aktar baxx f'waqfa ta 'wara, li tirriżulta f'disinji ta' ħsarat li jħarsu realistiċi u t-tkabbir ta 'lewn kritiku għax-xejn (l-angoli kollha jibqgħu l-istess) feles orogenic. Mudelli numeriċi jaħdmu bl-istess mod bħa"&amp;"l dawn il-mudelli analogi, għalkemm ħafna drabi huma aktar sofistikati u jistgħu jinkludu xejriet ta 'erożjoni u uplift fiċ-ċinturin tal-muntanji. Dan jgħin biex juri r-relazzjoni bejn l-erożjoni u l-forma tal-firxa tal-muntanji. Dawn l-istudji jistgħu wk"&amp;"oll jagħtu informazzjoni utli dwar il-mogħdijiet għall-metamorfiżmu permezz ta 'pressjoni, temperatura, spazju, u ħin.")</f>
        <v>Fost l-aktar esperimenti magħrufa fil-ġeoloġija strutturali hemm dawk li jinvolvu kunjardi orogeniċi, li huma żoni li fihom huma mibnija l-muntanji tul il-konfini konverġenti tal-pjanċa tettonika. Fil-verżjonijiet analoġiċi ta 'dawn l-esperimenti, saffi orizzontali ta' ramel jinġibdu tul wiċċ aktar baxx f'waqfa ta 'wara, li tirriżulta f'disinji ta' ħsarat li jħarsu realistiċi u t-tkabbir ta 'lewn kritiku għax-xejn (l-angoli kollha jibqgħu l-istess) feles orogenic. Mudelli numeriċi jaħdmu bl-istess mod bħal dawn il-mudelli analogi, għalkemm ħafna drabi huma aktar sofistikati u jistgħu jinkludu xejriet ta 'erożjoni u uplift fiċ-ċinturin tal-muntanji. Dan jgħin biex juri r-relazzjoni bejn l-erożjoni u l-forma tal-firxa tal-muntanji. Dawn l-istudji jistgħu wkoll jagħtu informazzjoni utli dwar il-mogħdijiet għall-metamorfiżmu permezz ta 'pressjoni, temperatura, spazju, u ħin.</v>
      </c>
    </row>
    <row r="19573" ht="15.75" customHeight="1">
      <c r="A19573" s="2" t="s">
        <v>19573</v>
      </c>
      <c r="B19573" s="2" t="str">
        <f>IFERROR(__xludf.DUMMYFUNCTION("GOOGLETRANSLATE(A19573, ""en"", ""mt"")"),"X'inhu l-isem tal-faċilità ta 'rikreazzjoni primarja ta' Harvard?")</f>
        <v>X'inhu l-isem tal-faċilità ta 'rikreazzjoni primarja ta' Harvard?</v>
      </c>
    </row>
    <row r="19574" ht="15.75" customHeight="1">
      <c r="A19574" s="2" t="s">
        <v>19574</v>
      </c>
      <c r="B19574" s="2" t="str">
        <f>IFERROR(__xludf.DUMMYFUNCTION("GOOGLETRANSLATE(A19574, ""en"", ""mt"")"),"Kull sentejn")</f>
        <v>Kull sentejn</v>
      </c>
    </row>
    <row r="19575" ht="15.75" customHeight="1">
      <c r="A19575" s="2" t="s">
        <v>19575</v>
      </c>
      <c r="B19575" s="2" t="str">
        <f>IFERROR(__xludf.DUMMYFUNCTION("GOOGLETRANSLATE(A19575, ""en"", ""mt"")"),"Min iddikjara li dik l-injoranza xjentifika kienet dak li kkawża inċertezzi ta 'tisħin globali?")</f>
        <v>Min iddikjara li dik l-injoranza xjentifika kienet dak li kkawża inċertezzi ta 'tisħin globali?</v>
      </c>
    </row>
    <row r="19576" ht="15.75" customHeight="1">
      <c r="A19576" s="2" t="s">
        <v>19576</v>
      </c>
      <c r="B19576" s="2" t="str">
        <f>IFERROR(__xludf.DUMMYFUNCTION("GOOGLETRANSLATE(A19576, ""en"", ""mt"")"),"Cobb, Shepley, Rutan u Coolidge, Holabird &amp; Roche,")</f>
        <v>Cobb, Shepley, Rutan u Coolidge, Holabird &amp; Roche,</v>
      </c>
    </row>
    <row r="19577" ht="15.75" customHeight="1">
      <c r="A19577" s="2" t="s">
        <v>19577</v>
      </c>
      <c r="B19577" s="2" t="str">
        <f>IFERROR(__xludf.DUMMYFUNCTION("GOOGLETRANSLATE(A19577, ""en"", ""mt"")"),"61.1%")</f>
        <v>61.1%</v>
      </c>
    </row>
    <row r="19578" ht="15.75" customHeight="1">
      <c r="A19578" s="2" t="s">
        <v>19578</v>
      </c>
      <c r="B19578" s="2" t="str">
        <f>IFERROR(__xludf.DUMMYFUNCTION("GOOGLETRANSLATE(A19578, ""en"", ""mt"")"),"X'inhu l-Kanal f'Wesel?")</f>
        <v>X'inhu l-Kanal f'Wesel?</v>
      </c>
    </row>
    <row r="19579" ht="15.75" customHeight="1">
      <c r="A19579" s="2" t="s">
        <v>19579</v>
      </c>
      <c r="B19579" s="2" t="str">
        <f>IFERROR(__xludf.DUMMYFUNCTION("GOOGLETRANSLATE(A19579, ""en"", ""mt"")"),"reġjun metropolitana internazzjonali")</f>
        <v>reġjun metropolitana internazzjonali</v>
      </c>
    </row>
    <row r="19580" ht="15.75" customHeight="1">
      <c r="A19580" s="2" t="s">
        <v>19580</v>
      </c>
      <c r="B19580" s="2" t="str">
        <f>IFERROR(__xludf.DUMMYFUNCTION("GOOGLETRANSLATE(A19580, ""en"", ""mt"")"),"X'inhi l-ewwel belt ewlenija fin-nixxiegħa tar-Renu?")</f>
        <v>X'inhi l-ewwel belt ewlenija fin-nixxiegħa tar-Renu?</v>
      </c>
    </row>
    <row r="19581" ht="15.75" customHeight="1">
      <c r="A19581" s="2" t="s">
        <v>19581</v>
      </c>
      <c r="B19581" s="2" t="str">
        <f>IFERROR(__xludf.DUMMYFUNCTION("GOOGLETRANSLATE(A19581, ""en"", ""mt"")"),"X'inhu l-Wied Alpin li jgħaddi r-Rhine?")</f>
        <v>X'inhu l-Wied Alpin li jgħaddi r-Rhine?</v>
      </c>
    </row>
    <row r="19582" ht="15.75" customHeight="1">
      <c r="A19582" s="2" t="s">
        <v>19582</v>
      </c>
      <c r="B19582" s="2" t="str">
        <f>IFERROR(__xludf.DUMMYFUNCTION("GOOGLETRANSLATE(A19582, ""en"", ""mt"")"),"X'tip ta 'premju rebaħ Roger Rocka?")</f>
        <v>X'tip ta 'premju rebaħ Roger Rocka?</v>
      </c>
    </row>
    <row r="19583" ht="15.75" customHeight="1">
      <c r="A19583" s="2" t="s">
        <v>19583</v>
      </c>
      <c r="B19583" s="2" t="str">
        <f>IFERROR(__xludf.DUMMYFUNCTION("GOOGLETRANSLATE(A19583, ""en"", ""mt"")"),"X'kienu Huguenots li baqgħu fi Franza eventwalment magħrufa bħala?")</f>
        <v>X'kienu Huguenots li baqgħu fi Franza eventwalment magħrufa bħala?</v>
      </c>
    </row>
    <row r="19584" ht="15.75" customHeight="1">
      <c r="A19584" s="2" t="s">
        <v>19584</v>
      </c>
      <c r="B19584" s="2" t="str">
        <f>IFERROR(__xludf.DUMMYFUNCTION("GOOGLETRANSLATE(A19584, ""en"", ""mt"")"),"jogħla fil-livelli tal-baħar")</f>
        <v>jogħla fil-livelli tal-baħar</v>
      </c>
    </row>
    <row r="19585" ht="15.75" customHeight="1">
      <c r="A19585" s="2" t="s">
        <v>19585</v>
      </c>
      <c r="B19585" s="2" t="str">
        <f>IFERROR(__xludf.DUMMYFUNCTION("GOOGLETRANSLATE(A19585, ""en"", ""mt"")"),"Il-pesta laqat diversi pajjiżi fil-Lvant Nofsani matul il-pandemija, u dan wassal għal depopolazzjoni serja u bidla permanenti kemm fl-istrutturi ekonomiċi u soċjali. Hekk kif infirex fl-Ewropa tal-Punent, il-marda daħlet fir-reġjun mir-Russja tan-Nofsinh"&amp;"ar ukoll. Sal-ħarifa 1347, il-pesta laħqet Lixandra fl-Eġittu, probabbilment permezz tal-kummerċ tal-port ma 'Kostantinopli, u portijiet fuq il-Baħar l-Iswed. Matul l-1347, il-marda vvjaġġat lejn il-lvant lejn Gaza, u fit-tramuntana tul il-kosta tal-Lvant"&amp;" lejn bliet fil-Libanu, is-Sirja u l-Palestina, inklużi Ashkelon, Acre, Ġerusalemm, Sidon, Sidon, Damasku, Homs, u Aleppo. Fl-1348–49, il-marda laħqet Antijokja. Ir-residenti tal-belt ħarbu lejn it-tramuntana, ħafna minnhom imutu matul il-vjaġġ, iżda l-in"&amp;"fezzjoni kienet mifruxa għan-nies tal-Asja Minuri. [Ċitazzjoni meħtieġa]")</f>
        <v>Il-pesta laqat diversi pajjiżi fil-Lvant Nofsani matul il-pandemija, u dan wassal għal depopolazzjoni serja u bidla permanenti kemm fl-istrutturi ekonomiċi u soċjali. Hekk kif infirex fl-Ewropa tal-Punent, il-marda daħlet fir-reġjun mir-Russja tan-Nofsinhar ukoll. Sal-ħarifa 1347, il-pesta laħqet Lixandra fl-Eġittu, probabbilment permezz tal-kummerċ tal-port ma 'Kostantinopli, u portijiet fuq il-Baħar l-Iswed. Matul l-1347, il-marda vvjaġġat lejn il-lvant lejn Gaza, u fit-tramuntana tul il-kosta tal-Lvant lejn bliet fil-Libanu, is-Sirja u l-Palestina, inklużi Ashkelon, Acre, Ġerusalemm, Sidon, Sidon, Damasku, Homs, u Aleppo. Fl-1348–49, il-marda laħqet Antijokja. Ir-residenti tal-belt ħarbu lejn it-tramuntana, ħafna minnhom imutu matul il-vjaġġ, iżda l-infezzjoni kienet mifruxa għan-nies tal-Asja Minuri. [Ċitazzjoni meħtieġa]</v>
      </c>
    </row>
    <row r="19586" ht="15.75" customHeight="1">
      <c r="A19586" s="2" t="s">
        <v>19586</v>
      </c>
      <c r="B19586" s="2" t="str">
        <f>IFERROR(__xludf.DUMMYFUNCTION("GOOGLETRANSLATE(A19586, ""en"", ""mt"")"),"Xi teoriji ta 'diżubbidjenza ċivili jqisu li d-diżubbidjenza ċivili hija ġġustifikata biss kontra entitajiet governattivi. Brownlee jargumenta li d-diżubbidjenza fl-oppożizzjoni għad-deċiżjonijiet ta 'aġenziji mhux governattivi bħalma huma t-trejdjunjins,"&amp;" il-banek, u l-universitajiet privati ​​tista' tkun iġġustifikata jekk tirrifletti ""sfida akbar għas-sistema legali li tippermetti li dawn id-deċiżjonijiet jittieħdu"". L-istess prinċipju, hija targumenta, tapplika għal ksur tal-liġi bi protesta kontra o"&amp;"rganizzazzjonijiet internazzjonali u gvernijiet barranin.")</f>
        <v>Xi teoriji ta 'diżubbidjenza ċivili jqisu li d-diżubbidjenza ċivili hija ġġustifikata biss kontra entitajiet governattivi. Brownlee jargumenta li d-diżubbidjenza fl-oppożizzjoni għad-deċiżjonijiet ta 'aġenziji mhux governattivi bħalma huma t-trejdjunjins, il-banek, u l-universitajiet privati ​​tista' tkun iġġustifikata jekk tirrifletti "sfida akbar għas-sistema legali li tippermetti li dawn id-deċiżjonijiet jittieħdu". L-istess prinċipju, hija targumenta, tapplika għal ksur tal-liġi bi protesta kontra organizzazzjonijiet internazzjonali u gvernijiet barranin.</v>
      </c>
    </row>
    <row r="19587" ht="15.75" customHeight="1">
      <c r="A19587" s="2" t="s">
        <v>19587</v>
      </c>
      <c r="B19587" s="2" t="str">
        <f>IFERROR(__xludf.DUMMYFUNCTION("GOOGLETRANSLATE(A19587, ""en"", ""mt"")"),"L-ewwel reazzjoni nukleari magħmula minnha nnifisha tad-dinja,")</f>
        <v>L-ewwel reazzjoni nukleari magħmula minnha nnifisha tad-dinja,</v>
      </c>
    </row>
    <row r="19588" ht="15.75" customHeight="1">
      <c r="A19588" s="2" t="s">
        <v>19588</v>
      </c>
      <c r="B19588" s="2" t="str">
        <f>IFERROR(__xludf.DUMMYFUNCTION("GOOGLETRANSLATE(A19588, ""en"", ""mt"")"),"DECNET hija suite ta 'protokolli tan-netwerk maħluqa minn Digital Equipment Corporation, oriġinarjament rilaxxata fl-1975 sabiex tikkonnettja żewġ minikompjuters PDP-11. Huwa evolva f'waħda mill-ewwel arkitetturi tan-netwerk peer-to-peer, u b'hekk ittrasf"&amp;"orma DEC f'powerhouse ta 'netwerking fis-snin 80. Inizjalment mibnija bi tliet saffi, aktar tard (1982) evolviet fi protokoll ta 'netwerking konformi ma' seba 'saffi OSI. Il-protokolli DECNET ġew iddisinjati kompletament minn Digital Equipment Corporation"&amp;". Madankollu, il-fażi II DECNET (u aktar tard) kienu standards miftuħa bi speċifikazzjonijiet ippubblikati, u diversi implimentazzjonijiet ġew żviluppati barra minn DEC, inkluż waħda għal Linux.")</f>
        <v>DECNET hija suite ta 'protokolli tan-netwerk maħluqa minn Digital Equipment Corporation, oriġinarjament rilaxxata fl-1975 sabiex tikkonnettja żewġ minikompjuters PDP-11. Huwa evolva f'waħda mill-ewwel arkitetturi tan-netwerk peer-to-peer, u b'hekk ittrasforma DEC f'powerhouse ta 'netwerking fis-snin 80. Inizjalment mibnija bi tliet saffi, aktar tard (1982) evolviet fi protokoll ta 'netwerking konformi ma' seba 'saffi OSI. Il-protokolli DECNET ġew iddisinjati kompletament minn Digital Equipment Corporation. Madankollu, il-fażi II DECNET (u aktar tard) kienu standards miftuħa bi speċifikazzjonijiet ippubblikati, u diversi implimentazzjonijiet ġew żviluppati barra minn DEC, inkluż waħda għal Linux.</v>
      </c>
    </row>
    <row r="19589" ht="15.75" customHeight="1">
      <c r="A19589" s="2" t="s">
        <v>19589</v>
      </c>
      <c r="B19589" s="2" t="str">
        <f>IFERROR(__xludf.DUMMYFUNCTION("GOOGLETRANSLATE(A19589, ""en"", ""mt"")"),"Verżjoni illustrata u paraphrased ta 'dan dehret meta?")</f>
        <v>Verżjoni illustrata u paraphrased ta 'dan dehret meta?</v>
      </c>
    </row>
    <row r="19590" ht="15.75" customHeight="1">
      <c r="A19590" s="2" t="s">
        <v>19590</v>
      </c>
      <c r="B19590" s="2" t="str">
        <f>IFERROR(__xludf.DUMMYFUNCTION("GOOGLETRANSLATE(A19590, ""en"", ""mt"")"),"disinji fir-realtà")</f>
        <v>disinji fir-realtà</v>
      </c>
    </row>
    <row r="19591" ht="15.75" customHeight="1">
      <c r="A19591" s="2" t="s">
        <v>19591</v>
      </c>
      <c r="B19591" s="2" t="str">
        <f>IFERROR(__xludf.DUMMYFUNCTION("GOOGLETRANSLATE(A19591, ""en"", ""mt"")"),"Emissjonijiet ta 'gass serra")</f>
        <v>Emissjonijiet ta 'gass serra</v>
      </c>
    </row>
    <row r="19592" ht="15.75" customHeight="1">
      <c r="A19592" s="2" t="s">
        <v>19592</v>
      </c>
      <c r="B19592" s="2" t="str">
        <f>IFERROR(__xludf.DUMMYFUNCTION("GOOGLETRANSLATE(A19592, ""en"", ""mt"")"),"Confucian")</f>
        <v>Confucian</v>
      </c>
    </row>
    <row r="19593" ht="15.75" customHeight="1">
      <c r="A19593" s="2" t="s">
        <v>19593</v>
      </c>
      <c r="B19593" s="2" t="str">
        <f>IFERROR(__xludf.DUMMYFUNCTION("GOOGLETRANSLATE(A19593, ""en"", ""mt"")"),"kalamita")</f>
        <v>kalamita</v>
      </c>
    </row>
    <row r="19594" ht="15.75" customHeight="1">
      <c r="A19594" s="2" t="s">
        <v>19594</v>
      </c>
      <c r="B19594" s="2" t="str">
        <f>IFERROR(__xludf.DUMMYFUNCTION("GOOGLETRANSLATE(A19594, ""en"", ""mt"")"),"Liema kundizzjonijiet ma jistgħux jiġu sodisfatti biex tippreskrivi sustanza kkontrollata?")</f>
        <v>Liema kundizzjonijiet ma jistgħux jiġu sodisfatti biex tippreskrivi sustanza kkontrollata?</v>
      </c>
    </row>
    <row r="19595" ht="15.75" customHeight="1">
      <c r="A19595" s="2" t="s">
        <v>19595</v>
      </c>
      <c r="B19595" s="2" t="str">
        <f>IFERROR(__xludf.DUMMYFUNCTION("GOOGLETRANSLATE(A19595, ""en"", ""mt"")"),"Fejn kien jinsab it-Teatru Leon?")</f>
        <v>Fejn kien jinsab it-Teatru Leon?</v>
      </c>
    </row>
    <row r="19596" ht="15.75" customHeight="1">
      <c r="A19596" s="2" t="s">
        <v>19596</v>
      </c>
      <c r="B19596" s="2" t="str">
        <f>IFERROR(__xludf.DUMMYFUNCTION("GOOGLETRANSLATE(A19596, ""en"", ""mt"")"),"bagħat dieskau fil-Fort St Frédéric")</f>
        <v>bagħat dieskau fil-Fort St Frédéric</v>
      </c>
    </row>
    <row r="19597" ht="15.75" customHeight="1">
      <c r="A19597" s="2" t="s">
        <v>19597</v>
      </c>
      <c r="B19597" s="2" t="str">
        <f>IFERROR(__xludf.DUMMYFUNCTION("GOOGLETRANSLATE(A19597, ""en"", ""mt"")"),"Il-partit, jew il-partijiet, li jżommu l-maġġoranza tas-siġġijiet fil-Parlament")</f>
        <v>Il-partit, jew il-partijiet, li jżommu l-maġġoranza tas-siġġijiet fil-Parlament</v>
      </c>
    </row>
    <row r="19598" ht="15.75" customHeight="1">
      <c r="A19598" s="2" t="s">
        <v>19598</v>
      </c>
      <c r="B19598" s="2" t="str">
        <f>IFERROR(__xludf.DUMMYFUNCTION("GOOGLETRANSLATE(A19598, ""en"", ""mt"")"),"$ 759,900")</f>
        <v>$ 759,900</v>
      </c>
    </row>
    <row r="19599" ht="15.75" customHeight="1">
      <c r="A19599" s="2" t="s">
        <v>19599</v>
      </c>
      <c r="B19599" s="2" t="str">
        <f>IFERROR(__xludf.DUMMYFUNCTION("GOOGLETRANSLATE(A19599, ""en"", ""mt"")"),"17.5 miljun")</f>
        <v>17.5 miljun</v>
      </c>
    </row>
    <row r="19600" ht="15.75" customHeight="1">
      <c r="A19600" s="2" t="s">
        <v>19600</v>
      </c>
      <c r="B19600" s="2" t="str">
        <f>IFERROR(__xludf.DUMMYFUNCTION("GOOGLETRANSLATE(A19600, ""en"", ""mt"")"),"Il-Amazon Rainforest (Portugiż: Floresta Amazônica jew Amazônia; Spanjol: Selva Amazónica, Amazonía jew ġeneralment Amazonia; Franċiża: Forêt Amazonienne; Olandiż: Amazoneregenwoud), magħrufa wkoll bl-Ingliż bħala Amazonia jew l-Amazon Jungle, hija forest"&amp;"a ta 'Broadjani umda li tiskopri l-iktar tal-Baċin tal-Amażonja tal-Amerika t'Isfel. Dan il-baċin jinkludi 7,000,000 kilometru kwadru (2,700,000 sq mi), li minnhom 5,500,000 kilometru kwadru (2,100,000 sq mi) huma koperti mill-foresta tropikali. Dan ir-re"&amp;"ġjun jinkludi territorju li jappartjeni għal disa 'nazzjonijiet. Il-biċċa l-kbira tal-foresta tinsab fil-Brażil, b'60% tal-foresta tropikali, segwita mill-Perù bi 13%, il-Kolombja b'10%, u b'ammonti minuri fil-Venezwela, l-Ekwador, il-Bolivja, il-Bolivja,"&amp;" il-Guyana, is-Surinam u l-Guiana Franċiża. Stati jew dipartimenti f'erba 'nazzjonijiet fihom ""Amazonas"" f'isimhom. L-Amażonja tirrappreżenta aktar minn nofs il-foresti tropikali li fadal tal-pjaneta, u tinkludi l-akbar u l-aktar bijodiversji tal-forest"&amp;"a tropikali fid-dinja, bi stima ta '390 biljun siġra individwali maqsuma f'16,000 speċi.")</f>
        <v>Il-Amazon Rainforest (Portugiż: Floresta Amazônica jew Amazônia; Spanjol: Selva Amazónica, Amazonía jew ġeneralment Amazonia; Franċiża: Forêt Amazonienne; Olandiż: Amazoneregenwoud), magħrufa wkoll bl-Ingliż bħala Amazonia jew l-Amazon Jungle, hija foresta ta 'Broadjani umda li tiskopri l-iktar tal-Baċin tal-Amażonja tal-Amerika t'Isfel. Dan il-baċin jinkludi 7,000,000 kilometru kwadru (2,700,000 sq mi), li minnhom 5,500,000 kilometru kwadru (2,100,000 sq mi) huma koperti mill-foresta tropikali. Dan ir-reġjun jinkludi territorju li jappartjeni għal disa 'nazzjonijiet. Il-biċċa l-kbira tal-foresta tinsab fil-Brażil, b'60% tal-foresta tropikali, segwita mill-Perù bi 13%, il-Kolombja b'10%, u b'ammonti minuri fil-Venezwela, l-Ekwador, il-Bolivja, il-Bolivja, il-Guyana, is-Surinam u l-Guiana Franċiża. Stati jew dipartimenti f'erba 'nazzjonijiet fihom "Amazonas" f'isimhom. L-Amażonja tirrappreżenta aktar minn nofs il-foresti tropikali li fadal tal-pjaneta, u tinkludi l-akbar u l-aktar bijodiversji tal-foresta tropikali fid-dinja, bi stima ta '390 biljun siġra individwali maqsuma f'16,000 speċi.</v>
      </c>
    </row>
    <row r="19601" ht="15.75" customHeight="1">
      <c r="A19601" s="2" t="s">
        <v>19601</v>
      </c>
      <c r="B19601" s="2" t="str">
        <f>IFERROR(__xludf.DUMMYFUNCTION("GOOGLETRANSLATE(A19601, ""en"", ""mt"")"),"Il-bram anemoni tal-baħar jagħmlu parti minn liema phylum?")</f>
        <v>Il-bram anemoni tal-baħar jagħmlu parti minn liema phylum?</v>
      </c>
    </row>
    <row r="19602" ht="15.75" customHeight="1">
      <c r="A19602" s="2" t="s">
        <v>19602</v>
      </c>
      <c r="B19602" s="2" t="str">
        <f>IFERROR(__xludf.DUMMYFUNCTION("GOOGLETRANSLATE(A19602, ""en"", ""mt"")"),"Vidjow fuq talba")</f>
        <v>Vidjow fuq talba</v>
      </c>
    </row>
    <row r="19603" ht="15.75" customHeight="1">
      <c r="A19603" s="2" t="s">
        <v>19603</v>
      </c>
      <c r="B19603" s="2" t="str">
        <f>IFERROR(__xludf.DUMMYFUNCTION("GOOGLETRANSLATE(A19603, ""en"", ""mt"")"),"X'tip ta 'servizz huwa s-servizz SkyDrive?")</f>
        <v>X'tip ta 'servizz huwa s-servizz SkyDrive?</v>
      </c>
    </row>
    <row r="19604" ht="15.75" customHeight="1">
      <c r="A19604" s="2" t="s">
        <v>19604</v>
      </c>
      <c r="B19604" s="2" t="str">
        <f>IFERROR(__xludf.DUMMYFUNCTION("GOOGLETRANSLATE(A19604, ""en"", ""mt"")"),"Għal xiex hemm spinta fl-Istati Uniti biex tnaqqas l-ispejjeż tad-droga tal-konsumatur?")</f>
        <v>Għal xiex hemm spinta fl-Istati Uniti biex tnaqqas l-ispejjeż tad-droga tal-konsumatur?</v>
      </c>
    </row>
    <row r="19605" ht="15.75" customHeight="1">
      <c r="A19605" s="2" t="s">
        <v>19605</v>
      </c>
      <c r="B19605" s="2" t="str">
        <f>IFERROR(__xludf.DUMMYFUNCTION("GOOGLETRANSLATE(A19605, ""en"", ""mt"")"),"Meta Regola Temur?")</f>
        <v>Meta Regola Temur?</v>
      </c>
    </row>
    <row r="19606" ht="15.75" customHeight="1">
      <c r="A19606" s="2" t="s">
        <v>19606</v>
      </c>
      <c r="B19606" s="2" t="str">
        <f>IFERROR(__xludf.DUMMYFUNCTION("GOOGLETRANSLATE(A19606, ""en"", ""mt"")"),"Kien hemm bidliet kbar fil-veġetazzjoni tal-foresta tropikali tal-Amazon matul l-aħħar kemm snin?")</f>
        <v>Kien hemm bidliet kbar fil-veġetazzjoni tal-foresta tropikali tal-Amazon matul l-aħħar kemm snin?</v>
      </c>
    </row>
    <row r="19607" ht="15.75" customHeight="1">
      <c r="A19607" s="2" t="s">
        <v>19607</v>
      </c>
      <c r="B19607" s="2" t="str">
        <f>IFERROR(__xludf.DUMMYFUNCTION("GOOGLETRANSLATE(A19607, ""en"", ""mt"")"),"sensur tal-bilanċ")</f>
        <v>sensur tal-bilanċ</v>
      </c>
    </row>
    <row r="19608" ht="15.75" customHeight="1">
      <c r="A19608" s="2" t="s">
        <v>19608</v>
      </c>
      <c r="B19608" s="2" t="str">
        <f>IFERROR(__xludf.DUMMYFUNCTION("GOOGLETRANSLATE(A19608, ""en"", ""mt"")"),"Wara l-1971")</f>
        <v>Wara l-1971</v>
      </c>
    </row>
    <row r="19609" ht="15.75" customHeight="1">
      <c r="A19609" s="2" t="s">
        <v>19609</v>
      </c>
      <c r="B19609" s="2" t="str">
        <f>IFERROR(__xludf.DUMMYFUNCTION("GOOGLETRANSLATE(A19609, ""en"", ""mt"")"),"bena t-triq tar-re")</f>
        <v>bena t-triq tar-re</v>
      </c>
    </row>
    <row r="19610" ht="15.75" customHeight="1">
      <c r="A19610" s="2" t="s">
        <v>19610</v>
      </c>
      <c r="B19610" s="2" t="str">
        <f>IFERROR(__xludf.DUMMYFUNCTION("GOOGLETRANSLATE(A19610, ""en"", ""mt"")"),"Ġeofiżika")</f>
        <v>Ġeofiżika</v>
      </c>
    </row>
    <row r="19611" ht="15.75" customHeight="1">
      <c r="A19611" s="2" t="s">
        <v>19611</v>
      </c>
      <c r="B19611" s="2" t="str">
        <f>IFERROR(__xludf.DUMMYFUNCTION("GOOGLETRANSLATE(A19611, ""en"", ""mt"")"),"Kemm Huguenots ħarbu lejn l-Ingilterra?")</f>
        <v>Kemm Huguenots ħarbu lejn l-Ingilterra?</v>
      </c>
    </row>
    <row r="19612" ht="15.75" customHeight="1">
      <c r="A19612" s="2" t="s">
        <v>19612</v>
      </c>
      <c r="B19612" s="2" t="str">
        <f>IFERROR(__xludf.DUMMYFUNCTION("GOOGLETRANSLATE(A19612, ""en"", ""mt"")"),"In-Nofsinhar tal-Italja")</f>
        <v>In-Nofsinhar tal-Italja</v>
      </c>
    </row>
    <row r="19613" ht="15.75" customHeight="1">
      <c r="A19613" s="2" t="s">
        <v>19613</v>
      </c>
      <c r="B19613" s="2" t="str">
        <f>IFERROR(__xludf.DUMMYFUNCTION("GOOGLETRANSLATE(A19613, ""en"", ""mt"")"),"Verżjoni idealizzata u sistematizzata tad-dwana tal-villaġġ tribali konservattiv")</f>
        <v>Verżjoni idealizzata u sistematizzata tad-dwana tal-villaġġ tribali konservattiv</v>
      </c>
    </row>
    <row r="19614" ht="15.75" customHeight="1">
      <c r="A19614" s="2" t="s">
        <v>19614</v>
      </c>
      <c r="B19614" s="2" t="str">
        <f>IFERROR(__xludf.DUMMYFUNCTION("GOOGLETRANSLATE(A19614, ""en"", ""mt"")"),"X'inhu l-isem tal-Aġenzija tal-Unjoni Ewropea għas-sigurtà tal-fruntiera esterna?")</f>
        <v>X'inhu l-isem tal-Aġenzija tal-Unjoni Ewropea għas-sigurtà tal-fruntiera esterna?</v>
      </c>
    </row>
    <row r="19615" ht="15.75" customHeight="1">
      <c r="A19615" s="2" t="s">
        <v>19615</v>
      </c>
      <c r="B19615" s="2" t="str">
        <f>IFERROR(__xludf.DUMMYFUNCTION("GOOGLETRANSLATE(A19615, ""en"", ""mt"")"),"il-bitħa")</f>
        <v>il-bitħa</v>
      </c>
    </row>
    <row r="19616" ht="15.75" customHeight="1">
      <c r="A19616" s="2" t="s">
        <v>19616</v>
      </c>
      <c r="B19616" s="2" t="str">
        <f>IFERROR(__xludf.DUMMYFUNCTION("GOOGLETRANSLATE(A19616, ""en"", ""mt"")"),"F'liema stil kien l-edifiċju tal-Filarmonija ta 'Pariġi mibni?")</f>
        <v>F'liema stil kien l-edifiċju tal-Filarmonija ta 'Pariġi mibni?</v>
      </c>
    </row>
    <row r="19617" ht="15.75" customHeight="1">
      <c r="A19617" s="2" t="s">
        <v>19617</v>
      </c>
      <c r="B19617" s="2" t="str">
        <f>IFERROR(__xludf.DUMMYFUNCTION("GOOGLETRANSLATE(A19617, ""en"", ""mt"")"),"Liema armata Varsavja ddefendiet b'suċċess lilha nnifisha?")</f>
        <v>Liema armata Varsavja ddefendiet b'suċċess lilha nnifisha?</v>
      </c>
    </row>
    <row r="19618" ht="15.75" customHeight="1">
      <c r="A19618" s="2" t="s">
        <v>19618</v>
      </c>
      <c r="B19618" s="2" t="str">
        <f>IFERROR(__xludf.DUMMYFUNCTION("GOOGLETRANSLATE(A19618, ""en"", ""mt"")"),"Kemm presidenti Amerikani huma ex-studenti tal-iskola?")</f>
        <v>Kemm presidenti Amerikani huma ex-studenti tal-iskola?</v>
      </c>
    </row>
    <row r="19619" ht="15.75" customHeight="1">
      <c r="A19619" s="2" t="s">
        <v>19619</v>
      </c>
      <c r="B19619" s="2" t="str">
        <f>IFERROR(__xludf.DUMMYFUNCTION("GOOGLETRANSLATE(A19619, ""en"", ""mt"")")," Għal ħafna sekli, x'kienet deskritta l-fratellanza?")</f>
        <v> Għal ħafna sekli, x'kienet deskritta l-fratellanza?</v>
      </c>
    </row>
    <row r="19620" ht="15.75" customHeight="1">
      <c r="A19620" s="2" t="s">
        <v>19620</v>
      </c>
      <c r="B19620" s="2" t="str">
        <f>IFERROR(__xludf.DUMMYFUNCTION("GOOGLETRANSLATE(A19620, ""en"", ""mt"")"),"Minn fejn kien Ralph Earl?")</f>
        <v>Minn fejn kien Ralph Earl?</v>
      </c>
    </row>
    <row r="19621" ht="15.75" customHeight="1">
      <c r="A19621" s="2" t="s">
        <v>19621</v>
      </c>
      <c r="B19621" s="2" t="str">
        <f>IFERROR(__xludf.DUMMYFUNCTION("GOOGLETRANSLATE(A19621, ""en"", ""mt"")"),"Il-laqgħa ta ’dak li seħħ fit-12 ta’ Marzu 1999?")</f>
        <v>Il-laqgħa ta ’dak li seħħ fit-12 ta’ Marzu 1999?</v>
      </c>
    </row>
    <row r="19622" ht="15.75" customHeight="1">
      <c r="A19622" s="2" t="s">
        <v>19622</v>
      </c>
      <c r="B19622" s="2" t="str">
        <f>IFERROR(__xludf.DUMMYFUNCTION("GOOGLETRANSLATE(A19622, ""en"", ""mt"")"),"Konservazzjoni bbażata fil-Komunità")</f>
        <v>Konservazzjoni bbażata fil-Komunità</v>
      </c>
    </row>
    <row r="19623" ht="15.75" customHeight="1">
      <c r="A19623" s="2" t="s">
        <v>19623</v>
      </c>
      <c r="B19623" s="2" t="str">
        <f>IFERROR(__xludf.DUMMYFUNCTION("GOOGLETRANSLATE(A19623, ""en"", ""mt"")"),"Ir-raġuni għar-regola tal-maġġoranza hija r-riskju għoli ta 'kunflitt ta' interess u / jew l-evitar ta 'poteri assoluti. Inkella, it-tabib ikollu interess finanzjarju fl-awto fid- ""dijanjosi"" kemm jista 'jkun kundizzjonijiet, u biex jesaġera s-serjetà t"&amp;"agħhom, għax hu jew hi jistgħu mbagħad ibigħu aktar mediċini lill-pazjent. Tali interess innifsu f'kunflitti direttament ma 'l-interess tal-pazjent biex jikseb medikazzjoni kosteffikaċi u jevita l-użu bla bżonn ta' medikazzjoni li jista 'jkollha effetti s"&amp;"ekondarji. Din is-sistema tirrifletti ħafna xebh mas-sistema tal-kontrolli u l-bilanċi tal-Istati Uniti u ta 'ħafna gvernijiet oħra. [Ċitazzjoni meħtieġa]")</f>
        <v>Ir-raġuni għar-regola tal-maġġoranza hija r-riskju għoli ta 'kunflitt ta' interess u / jew l-evitar ta 'poteri assoluti. Inkella, it-tabib ikollu interess finanzjarju fl-awto fid- "dijanjosi" kemm jista 'jkun kundizzjonijiet, u biex jesaġera s-serjetà tagħhom, għax hu jew hi jistgħu mbagħad ibigħu aktar mediċini lill-pazjent. Tali interess innifsu f'kunflitti direttament ma 'l-interess tal-pazjent biex jikseb medikazzjoni kosteffikaċi u jevita l-użu bla bżonn ta' medikazzjoni li jista 'jkollha effetti sekondarji. Din is-sistema tirrifletti ħafna xebh mas-sistema tal-kontrolli u l-bilanċi tal-Istati Uniti u ta 'ħafna gvernijiet oħra. [Ċitazzjoni meħtieġa]</v>
      </c>
    </row>
    <row r="19624" ht="15.75" customHeight="1">
      <c r="A19624" s="2" t="s">
        <v>19624</v>
      </c>
      <c r="B19624" s="2" t="str">
        <f>IFERROR(__xludf.DUMMYFUNCTION("GOOGLETRANSLATE(A19624, ""en"", ""mt"")"),"1890s")</f>
        <v>1890s</v>
      </c>
    </row>
    <row r="19625" ht="15.75" customHeight="1">
      <c r="A19625" s="2" t="s">
        <v>19625</v>
      </c>
      <c r="B19625" s="2" t="str">
        <f>IFERROR(__xludf.DUMMYFUNCTION("GOOGLETRANSLATE(A19625, ""en"", ""mt"")"),"Il-Paleoproterozoic eon")</f>
        <v>Il-Paleoproterozoic eon</v>
      </c>
    </row>
    <row r="19626" ht="15.75" customHeight="1">
      <c r="A19626" s="2" t="s">
        <v>19626</v>
      </c>
      <c r="B19626" s="2" t="str">
        <f>IFERROR(__xludf.DUMMYFUNCTION("GOOGLETRANSLATE(A19626, ""en"", ""mt"")"),"Oġġett sospiż fuq skala tar-rebbiegħa orizzontali jesperjenza l-forza ta 'xiex?")</f>
        <v>Oġġett sospiż fuq skala tar-rebbiegħa orizzontali jesperjenza l-forza ta 'xiex?</v>
      </c>
    </row>
    <row r="19627" ht="15.75" customHeight="1">
      <c r="A19627" s="2" t="s">
        <v>19627</v>
      </c>
      <c r="B19627" s="2" t="str">
        <f>IFERROR(__xludf.DUMMYFUNCTION("GOOGLETRANSLATE(A19627, ""en"", ""mt"")"),"pistun")</f>
        <v>pistun</v>
      </c>
    </row>
    <row r="19628" ht="15.75" customHeight="1">
      <c r="A19628" s="2" t="s">
        <v>19628</v>
      </c>
      <c r="B19628" s="2" t="str">
        <f>IFERROR(__xludf.DUMMYFUNCTION("GOOGLETRANSLATE(A19628, ""en"", ""mt"")"),"Li esperjenzaw l-età tad-deheb AA fl-1100 u l-1200s")</f>
        <v>Li esperjenzaw l-età tad-deheb AA fl-1100 u l-1200s</v>
      </c>
    </row>
    <row r="19629" ht="15.75" customHeight="1">
      <c r="A19629" s="2" t="s">
        <v>19629</v>
      </c>
      <c r="B19629" s="2" t="str">
        <f>IFERROR(__xludf.DUMMYFUNCTION("GOOGLETRANSLATE(A19629, ""en"", ""mt"")"),"Benazir Bhutto")</f>
        <v>Benazir Bhutto</v>
      </c>
    </row>
    <row r="19630" ht="15.75" customHeight="1">
      <c r="A19630" s="2" t="s">
        <v>19630</v>
      </c>
      <c r="B19630" s="2" t="str">
        <f>IFERROR(__xludf.DUMMYFUNCTION("GOOGLETRANSLATE(A19630, ""en"", ""mt"")"),"Liema titlu kienet il-Karta Soċjali stabbilita biex tiġi inkluża fit-Trattat ta 'Maastricht?")</f>
        <v>Liema titlu kienet il-Karta Soċjali stabbilita biex tiġi inkluża fit-Trattat ta 'Maastricht?</v>
      </c>
    </row>
    <row r="19631" ht="15.75" customHeight="1">
      <c r="A19631" s="2" t="s">
        <v>19631</v>
      </c>
      <c r="B19631" s="2" t="str">
        <f>IFERROR(__xludf.DUMMYFUNCTION("GOOGLETRANSLATE(A19631, ""en"", ""mt"")"),"Tabelli Hash u Ġeneraturi tan-Numru tal-Pseudorandom")</f>
        <v>Tabelli Hash u Ġeneraturi tan-Numru tal-Pseudorandom</v>
      </c>
    </row>
    <row r="19632" ht="15.75" customHeight="1">
      <c r="A19632" s="2" t="s">
        <v>19632</v>
      </c>
      <c r="B19632" s="2" t="str">
        <f>IFERROR(__xludf.DUMMYFUNCTION("GOOGLETRANSLATE(A19632, ""en"", ""mt"")"),"prodott sekondarju matematiku")</f>
        <v>prodott sekondarju matematiku</v>
      </c>
    </row>
    <row r="19633" ht="15.75" customHeight="1">
      <c r="A19633" s="2" t="s">
        <v>19633</v>
      </c>
      <c r="B19633" s="2" t="str">
        <f>IFERROR(__xludf.DUMMYFUNCTION("GOOGLETRANSLATE(A19633, ""en"", ""mt"")"),"Min għażel il-President ta 'Varsavja mill-1990?")</f>
        <v>Min għażel il-President ta 'Varsavja mill-1990?</v>
      </c>
    </row>
    <row r="19634" ht="15.75" customHeight="1">
      <c r="A19634" s="2" t="s">
        <v>19634</v>
      </c>
      <c r="B19634" s="2" t="str">
        <f>IFERROR(__xludf.DUMMYFUNCTION("GOOGLETRANSLATE(A19634, ""en"", ""mt"")"),"F'liema sena saru 10 miljun proġett?")</f>
        <v>F'liema sena saru 10 miljun proġett?</v>
      </c>
    </row>
    <row r="19635" ht="15.75" customHeight="1">
      <c r="A19635" s="2" t="s">
        <v>19635</v>
      </c>
      <c r="B19635" s="2" t="str">
        <f>IFERROR(__xludf.DUMMYFUNCTION("GOOGLETRANSLATE(A19635, ""en"", ""mt"")"),"30–60%")</f>
        <v>30–60%</v>
      </c>
    </row>
    <row r="19636" ht="15.75" customHeight="1">
      <c r="A19636" s="2" t="s">
        <v>19636</v>
      </c>
      <c r="B19636" s="2" t="str">
        <f>IFERROR(__xludf.DUMMYFUNCTION("GOOGLETRANSLATE(A19636, ""en"", ""mt"")"),"Min kien ikun il-klassi l-iktar baxxa?")</f>
        <v>Min kien ikun il-klassi l-iktar baxxa?</v>
      </c>
    </row>
    <row r="19637" ht="15.75" customHeight="1">
      <c r="A19637" s="2" t="s">
        <v>19637</v>
      </c>
      <c r="B19637" s="2" t="str">
        <f>IFERROR(__xludf.DUMMYFUNCTION("GOOGLETRANSLATE(A19637, ""en"", ""mt"")"),"Meta l-ekonomisti waslu għal konklużjoni mal-aġenzija tal-klassifikazzjoni tal-S &amp; P?")</f>
        <v>Meta l-ekonomisti waslu għal konklużjoni mal-aġenzija tal-klassifikazzjoni tal-S &amp; P?</v>
      </c>
    </row>
    <row r="19638" ht="15.75" customHeight="1">
      <c r="A19638" s="2" t="s">
        <v>19638</v>
      </c>
      <c r="B19638" s="2" t="str">
        <f>IFERROR(__xludf.DUMMYFUNCTION("GOOGLETRANSLATE(A19638, ""en"", ""mt"")"),"X'tip ta 'ekwilibriju ġie deskritt l-ewwel minn Aristotile?")</f>
        <v>X'tip ta 'ekwilibriju ġie deskritt l-ewwel minn Aristotile?</v>
      </c>
    </row>
    <row r="19639" ht="15.75" customHeight="1">
      <c r="A19639" s="2" t="s">
        <v>19639</v>
      </c>
      <c r="B19639" s="2" t="str">
        <f>IFERROR(__xludf.DUMMYFUNCTION("GOOGLETRANSLATE(A19639, ""en"", ""mt"")"),"Li identifikaw lilhom infushom bħala Franċiżi matul il-Gwerra tal-Mitt Sena?")</f>
        <v>Li identifikaw lilhom infushom bħala Franċiżi matul il-Gwerra tal-Mitt Sena?</v>
      </c>
    </row>
    <row r="19640" ht="15.75" customHeight="1">
      <c r="A19640" s="2" t="s">
        <v>19640</v>
      </c>
      <c r="B19640" s="2" t="str">
        <f>IFERROR(__xludf.DUMMYFUNCTION("GOOGLETRANSLATE(A19640, ""en"", ""mt"")"),"Il-gass tal-ossiġnu ħieles kien kważi ma jeżistix fl-atmosfera tad-Dinja qabel ma evolvew archaea fotosintetika u batterji, probabbilment madwar 3.5 biljun sena ilu. L-ossiġnu ħieles deher l-ewwel fi kwantitajiet sinifikanti matul l-EON Paleoproterozoic ("&amp;"bejn 3.0 u 2.3 biljun sena ilu). Għall-ewwel biljun sena, kwalunkwe ossiġnu ħieles prodott minn dawn l-organiżmi flimkien ma 'ħadid maħlul fl-oċeani biex jiffurmaw formazzjonijiet ta' ħadid banded. Meta dawn il-bjar ta 'ossiġnu sar saturat, l-ossiġnu ħiel"&amp;"es beda joħroġ mill-oċeani 3-2,7 biljun sena ilu, u laħaq 10% tal-livell preżenti tiegħu madwar 1.7 biljun sena ilu.")</f>
        <v>Il-gass tal-ossiġnu ħieles kien kważi ma jeżistix fl-atmosfera tad-Dinja qabel ma evolvew archaea fotosintetika u batterji, probabbilment madwar 3.5 biljun sena ilu. L-ossiġnu ħieles deher l-ewwel fi kwantitajiet sinifikanti matul l-EON Paleoproterozoic (bejn 3.0 u 2.3 biljun sena ilu). Għall-ewwel biljun sena, kwalunkwe ossiġnu ħieles prodott minn dawn l-organiżmi flimkien ma 'ħadid maħlul fl-oċeani biex jiffurmaw formazzjonijiet ta' ħadid banded. Meta dawn il-bjar ta 'ossiġnu sar saturat, l-ossiġnu ħieles beda joħroġ mill-oċeani 3-2,7 biljun sena ilu, u laħaq 10% tal-livell preżenti tiegħu madwar 1.7 biljun sena ilu.</v>
      </c>
    </row>
    <row r="19641" ht="15.75" customHeight="1">
      <c r="A19641" s="2" t="s">
        <v>19641</v>
      </c>
      <c r="B19641" s="2" t="str">
        <f>IFERROR(__xludf.DUMMYFUNCTION("GOOGLETRANSLATE(A19641, ""en"", ""mt"")"),"Matul liema età Jacksonville ma kienx għadu destinazzjoni popolari għal The Rich?")</f>
        <v>Matul liema età Jacksonville ma kienx għadu destinazzjoni popolari għal The Rich?</v>
      </c>
    </row>
    <row r="19642" ht="15.75" customHeight="1">
      <c r="A19642" s="2" t="s">
        <v>19642</v>
      </c>
      <c r="B19642" s="2" t="str">
        <f>IFERROR(__xludf.DUMMYFUNCTION("GOOGLETRANSLATE(A19642, ""en"", ""mt"")"),"Il-kostruzzjoni hija l-proċess tal-kostruzzjoni ta 'bini jew infrastruttura. Il-kostruzzjoni hija differenti mill-manifattura minħabba li l-manifattura tipikament tinvolvi produzzjoni tal-massa ta 'oġġetti simili mingħajr xerrej magħżul, filwaqt li l-kost"&amp;"ruzzjoni tipikament isseħħ fuq il-post għal klijent magħruf. Il-kostruzzjoni bħala industrija tinkludi sitta sa disa 'fil-mija tal-prodott domestiku gross ta' pajjiżi żviluppati. Il-kostruzzjoni tibda bl-ippjanar, [ċitazzjoni meħtieġa] disinn, u tiffinanz"&amp;"ja u tkompli sakemm il-proġett ikun mibni u lest għall-użu.")</f>
        <v>Il-kostruzzjoni hija l-proċess tal-kostruzzjoni ta 'bini jew infrastruttura. Il-kostruzzjoni hija differenti mill-manifattura minħabba li l-manifattura tipikament tinvolvi produzzjoni tal-massa ta 'oġġetti simili mingħajr xerrej magħżul, filwaqt li l-kostruzzjoni tipikament isseħħ fuq il-post għal klijent magħruf. Il-kostruzzjoni bħala industrija tinkludi sitta sa disa 'fil-mija tal-prodott domestiku gross ta' pajjiżi żviluppati. Il-kostruzzjoni tibda bl-ippjanar, [ċitazzjoni meħtieġa] disinn, u tiffinanzja u tkompli sakemm il-proġett ikun mibni u lest għall-użu.</v>
      </c>
    </row>
    <row r="19643" ht="15.75" customHeight="1">
      <c r="A19643" s="2" t="s">
        <v>19643</v>
      </c>
      <c r="B19643" s="2" t="str">
        <f>IFERROR(__xludf.DUMMYFUNCTION("GOOGLETRANSLATE(A19643, ""en"", ""mt"")"),"X’ma kinitx il-fehma tal-Qorti Kostituzzjonali Ġermaniża minn Solange I u Solange II?")</f>
        <v>X’ma kinitx il-fehma tal-Qorti Kostituzzjonali Ġermaniża minn Solange I u Solange II?</v>
      </c>
    </row>
    <row r="19644" ht="15.75" customHeight="1">
      <c r="A19644" s="2" t="s">
        <v>19644</v>
      </c>
      <c r="B19644" s="2" t="str">
        <f>IFERROR(__xludf.DUMMYFUNCTION("GOOGLETRANSLATE(A19644, ""en"", ""mt"")"),"Kurva Kuznets")</f>
        <v>Kurva Kuznets</v>
      </c>
    </row>
    <row r="19645" ht="15.75" customHeight="1">
      <c r="A19645" s="2" t="s">
        <v>19645</v>
      </c>
      <c r="B19645" s="2" t="str">
        <f>IFERROR(__xludf.DUMMYFUNCTION("GOOGLETRANSLATE(A19645, ""en"", ""mt"")"),"X’se jikkawża li l-lag ħdejn ir-Renu jitlaq?")</f>
        <v>X’se jikkawża li l-lag ħdejn ir-Renu jitlaq?</v>
      </c>
    </row>
    <row r="19646" ht="15.75" customHeight="1">
      <c r="A19646" s="2" t="s">
        <v>19646</v>
      </c>
      <c r="B19646" s="2" t="str">
        <f>IFERROR(__xludf.DUMMYFUNCTION("GOOGLETRANSLATE(A19646, ""en"", ""mt"")"),"X'inhu t-tendenza li jwassal għal inqas flus?")</f>
        <v>X'inhu t-tendenza li jwassal għal inqas flus?</v>
      </c>
    </row>
    <row r="19647" ht="15.75" customHeight="1">
      <c r="A19647" s="2" t="s">
        <v>19647</v>
      </c>
      <c r="B19647" s="2" t="str">
        <f>IFERROR(__xludf.DUMMYFUNCTION("GOOGLETRANSLATE(A19647, ""en"", ""mt"")"),"Downtown San Diego huwa d-Distrett tan-Negozju Ċentrali ta 'San Diego, għalkemm il-belt hija mimlija distretti tan-negozju. Dawn jinkludu Carmel Valley, Del Mar Heights, Mission Valley, Rancho Bernardo, Sorrento Mesa, u University City. Ħafna minn dawn id"&amp;"-distretti jinsabu fit-Tramuntana ta 'San Diego u xi wħud fir-reġjuni tal-Kontea tat-Tramuntana.")</f>
        <v>Downtown San Diego huwa d-Distrett tan-Negozju Ċentrali ta 'San Diego, għalkemm il-belt hija mimlija distretti tan-negozju. Dawn jinkludu Carmel Valley, Del Mar Heights, Mission Valley, Rancho Bernardo, Sorrento Mesa, u University City. Ħafna minn dawn id-distretti jinsabu fit-Tramuntana ta 'San Diego u xi wħud fir-reġjuni tal-Kontea tat-Tramuntana.</v>
      </c>
    </row>
    <row r="19648" ht="15.75" customHeight="1">
      <c r="A19648" s="2" t="s">
        <v>19648</v>
      </c>
      <c r="B19648" s="2" t="str">
        <f>IFERROR(__xludf.DUMMYFUNCTION("GOOGLETRANSLATE(A19648, ""en"", ""mt"")"),"1978 Każ tal-Qorti Suprema tal-Fondazzjoni FCC v. Pacifica")</f>
        <v>1978 Każ tal-Qorti Suprema tal-Fondazzjoni FCC v. Pacifica</v>
      </c>
    </row>
    <row r="19649" ht="15.75" customHeight="1">
      <c r="A19649" s="2" t="s">
        <v>19649</v>
      </c>
      <c r="B19649" s="2" t="str">
        <f>IFERROR(__xludf.DUMMYFUNCTION("GOOGLETRANSLATE(A19649, ""en"", ""mt"")"),"Fl-1967, Manuel Blum żviluppa teorija ta 'kumplessità axiomatic ibbażata fuq l-assijomi tiegħu u wera riżultat importanti, l-hekk imsejħa, teorema ta' veloċità. Il-qasam verament beda jiffjorixxi fl-1971 meta r-riċerkatur tal-Istati Uniti Stephen Cook u, "&amp;"jaħdem b'mod indipendenti, Leonid Levin fl-USSR, wera li jeżistu problemi prattikament rilevanti li huma kompluti NP. Fl-1972, Richard Karp ħa din l-idea qabża 'l quddiem bil-karta tal-monument tiegħu, ""Reducibility fost problemi kombinatorji"", li fiha "&amp;"wera li 21 problemi teoretiċi kombinatorji u graff differenti, kull wieħed infami għall-intrattabilità komputazzjonali tiegħu, huma NP-kompluta.")</f>
        <v>Fl-1967, Manuel Blum żviluppa teorija ta 'kumplessità axiomatic ibbażata fuq l-assijomi tiegħu u wera riżultat importanti, l-hekk imsejħa, teorema ta' veloċità. Il-qasam verament beda jiffjorixxi fl-1971 meta r-riċerkatur tal-Istati Uniti Stephen Cook u, jaħdem b'mod indipendenti, Leonid Levin fl-USSR, wera li jeżistu problemi prattikament rilevanti li huma kompluti NP. Fl-1972, Richard Karp ħa din l-idea qabża 'l quddiem bil-karta tal-monument tiegħu, "Reducibility fost problemi kombinatorji", li fiha wera li 21 problemi teoretiċi kombinatorji u graff differenti, kull wieħed infami għall-intrattabilità komputazzjonali tiegħu, huma NP-kompluta.</v>
      </c>
    </row>
    <row r="19650" ht="15.75" customHeight="1">
      <c r="A19650" s="2" t="s">
        <v>19650</v>
      </c>
      <c r="B19650" s="2" t="str">
        <f>IFERROR(__xludf.DUMMYFUNCTION("GOOGLETRANSLATE(A19650, ""en"", ""mt"")"),"is-seklu 17")</f>
        <v>is-seklu 17</v>
      </c>
    </row>
    <row r="19651" ht="15.75" customHeight="1">
      <c r="A19651" s="2" t="s">
        <v>19651</v>
      </c>
      <c r="B19651" s="2" t="str">
        <f>IFERROR(__xludf.DUMMYFUNCTION("GOOGLETRANSLATE(A19651, ""en"", ""mt"")"),"X'inhuma l-istatocysts imdaħħlin meta jkunu spazjati indaqs?")</f>
        <v>X'inhuma l-istatocysts imdaħħlin meta jkunu spazjati indaqs?</v>
      </c>
    </row>
    <row r="19652" ht="15.75" customHeight="1">
      <c r="A19652" s="2" t="s">
        <v>19652</v>
      </c>
      <c r="B19652" s="2" t="str">
        <f>IFERROR(__xludf.DUMMYFUNCTION("GOOGLETRANSLATE(A19652, ""en"", ""mt"")"),"X'INHU FUQ IT-TUNDRA?")</f>
        <v>X'INHU FUQ IT-TUNDRA?</v>
      </c>
    </row>
    <row r="19653" ht="15.75" customHeight="1">
      <c r="A19653" s="2" t="s">
        <v>19653</v>
      </c>
      <c r="B19653" s="2" t="str">
        <f>IFERROR(__xludf.DUMMYFUNCTION("GOOGLETRANSLATE(A19653, ""en"", ""mt"")"),"F'liema sena Hutchins ipproponi pjan biex tgħaqqad l-U ta 'C ma' qalba komuni?")</f>
        <v>F'liema sena Hutchins ipproponi pjan biex tgħaqqad l-U ta 'C ma' qalba komuni?</v>
      </c>
    </row>
    <row r="19654" ht="15.75" customHeight="1">
      <c r="A19654" s="2" t="s">
        <v>19654</v>
      </c>
      <c r="B19654" s="2" t="str">
        <f>IFERROR(__xludf.DUMMYFUNCTION("GOOGLETRANSLATE(A19654, ""en"", ""mt"")"),"Xi tfisser kuxjenza individwali?")</f>
        <v>Xi tfisser kuxjenza individwali?</v>
      </c>
    </row>
    <row r="19655" ht="15.75" customHeight="1">
      <c r="A19655" s="2" t="s">
        <v>19655</v>
      </c>
      <c r="B19655" s="2" t="str">
        <f>IFERROR(__xludf.DUMMYFUNCTION("GOOGLETRANSLATE(A19655, ""en"", ""mt"")"),"""Imperjalizmu formali""")</f>
        <v>"Imperjalizmu formali"</v>
      </c>
    </row>
    <row r="19656" ht="15.75" customHeight="1">
      <c r="A19656" s="2" t="s">
        <v>19656</v>
      </c>
      <c r="B19656" s="2" t="str">
        <f>IFERROR(__xludf.DUMMYFUNCTION("GOOGLETRANSLATE(A19656, ""en"", ""mt"")"),"Xi jfisser il-ġeneru Beroe ġeneralment jgħix bħala minorenni?")</f>
        <v>Xi jfisser il-ġeneru Beroe ġeneralment jgħix bħala minorenni?</v>
      </c>
    </row>
    <row r="19657" ht="15.75" customHeight="1">
      <c r="A19657" s="2" t="s">
        <v>19657</v>
      </c>
      <c r="B19657" s="2" t="str">
        <f>IFERROR(__xludf.DUMMYFUNCTION("GOOGLETRANSLATE(A19657, ""en"", ""mt"")"),"Faċilitajiet elettriċi, ilma, drenaġġ, telefon u kejbil")</f>
        <v>Faċilitajiet elettriċi, ilma, drenaġġ, telefon u kejbil</v>
      </c>
    </row>
    <row r="19658" ht="15.75" customHeight="1">
      <c r="A19658" s="2" t="s">
        <v>19658</v>
      </c>
      <c r="B19658" s="2" t="str">
        <f>IFERROR(__xludf.DUMMYFUNCTION("GOOGLETRANSLATE(A19658, ""en"", ""mt"")"),"Ma 'xiex jikkorrelataw il-moviment tax-xogħol qawwi?")</f>
        <v>Ma 'xiex jikkorrelataw il-moviment tax-xogħol qawwi?</v>
      </c>
    </row>
    <row r="19659" ht="15.75" customHeight="1">
      <c r="A19659" s="2" t="s">
        <v>19659</v>
      </c>
      <c r="B19659" s="2" t="str">
        <f>IFERROR(__xludf.DUMMYFUNCTION("GOOGLETRANSLATE(A19659, ""en"", ""mt"")"),"X'inhu t-terminu li jiddeskrivi l-indifferenza bejn dak li jaqilgħu l-ogħla professjonisti mħallsa u aktar baxxi?")</f>
        <v>X'inhu t-terminu li jiddeskrivi l-indifferenza bejn dak li jaqilgħu l-ogħla professjonisti mħallsa u aktar baxxi?</v>
      </c>
    </row>
    <row r="19660" ht="15.75" customHeight="1">
      <c r="A19660" s="2" t="s">
        <v>19660</v>
      </c>
      <c r="B19660" s="2" t="str">
        <f>IFERROR(__xludf.DUMMYFUNCTION("GOOGLETRANSLATE(A19660, ""en"", ""mt"")"),"1530")</f>
        <v>1530</v>
      </c>
    </row>
    <row r="19661" ht="15.75" customHeight="1">
      <c r="A19661" s="2" t="s">
        <v>19661</v>
      </c>
      <c r="B19661" s="2" t="str">
        <f>IFERROR(__xludf.DUMMYFUNCTION("GOOGLETRANSLATE(A19661, ""en"", ""mt"")"),"inqas minn 10 impjegati")</f>
        <v>inqas minn 10 impjegati</v>
      </c>
    </row>
    <row r="19662" ht="15.75" customHeight="1">
      <c r="A19662" s="2" t="s">
        <v>19662</v>
      </c>
      <c r="B19662" s="2" t="str">
        <f>IFERROR(__xludf.DUMMYFUNCTION("GOOGLETRANSLATE(A19662, ""en"", ""mt"")"),"funzjoni tal-prezz tas-suq tal-ħila")</f>
        <v>funzjoni tal-prezz tas-suq tal-ħila</v>
      </c>
    </row>
    <row r="19663" ht="15.75" customHeight="1">
      <c r="A19663" s="2" t="s">
        <v>19663</v>
      </c>
      <c r="B19663" s="2" t="str">
        <f>IFERROR(__xludf.DUMMYFUNCTION("GOOGLETRANSLATE(A19663, ""en"", ""mt"")"),"biex jipproteġu l-artijiet tribali tagħhom minn interessi kummerċjali")</f>
        <v>biex jipproteġu l-artijiet tribali tagħhom minn interessi kummerċjali</v>
      </c>
    </row>
    <row r="19664" ht="15.75" customHeight="1">
      <c r="A19664" s="2" t="s">
        <v>19664</v>
      </c>
      <c r="B19664" s="2" t="str">
        <f>IFERROR(__xludf.DUMMYFUNCTION("GOOGLETRANSLATE(A19664, ""en"", ""mt"")"),"Iktar ma tkun żgħira l-inugwaljanza ekonomika, iktar ikun maħluq l-iskart u t-tniġġis, li jirriżulta f'ħafna każijiet, f'aktar degradazzjoni ambjentali. Dan jista 'jiġi spjegat mill-fatt li hekk kif in-nies foqra fis-soċjetà jsiru aktar sinjuri, din iżżid"&amp;" l-emissjonijiet ta' karbonju annwali tagħhom. Din ir-relazzjoni hija espressa mill-kurva tal-Kuznets ambjentali (EKC). [Mhux fiċ-ċitazzjoni mogħtija] għandu jkun innotat hawnhekk li f'ċerti każijiet, b'inugwaljanza ekonomika kbira, madankollu m'hemmx akt"&amp;"ar skart u tniġġis maħluqa bħala l-iskart / tniġġis Imnaddaf aħjar wara (trattament tal-ilma, filtrazzjoni, ...) .... Innota wkoll li ż-żieda kollha fid-degradazzjoni ambjentali hija r-riżultat taż-żieda ta 'emissjonijiet għal kull persuna li tiġi mmultip"&amp;"likata b'ħafna multiplikatur. Jekk kien hemm inqas nies madankollu, dan il-multiplikatur ikun aktar baxx, u għalhekk l-ammont ta 'degradazzjoni ambjentali jkun inqas ukoll. Bħala tali, il-livell għoli attwali ta 'popolazzjoni għandu impatt kbir ukoll fuq "&amp;"dan. Jekk (kif argumentat il-WWF), il-livelli tal-popolazzjoni jibdew jonqsu għal livell sostenibbli (1/3 tal-livelli attwali, għalhekk madwar 2 biljun persuna), l-inugwaljanza umana tista 'tiġi indirizzata / ikkoreġuta, filwaqt li xorta ma tirriżulta f'ż"&amp;"ieda ta' ħsara ambjentali -")</f>
        <v>Iktar ma tkun żgħira l-inugwaljanza ekonomika, iktar ikun maħluq l-iskart u t-tniġġis, li jirriżulta f'ħafna każijiet, f'aktar degradazzjoni ambjentali. Dan jista 'jiġi spjegat mill-fatt li hekk kif in-nies foqra fis-soċjetà jsiru aktar sinjuri, din iżżid l-emissjonijiet ta' karbonju annwali tagħhom. Din ir-relazzjoni hija espressa mill-kurva tal-Kuznets ambjentali (EKC). [Mhux fiċ-ċitazzjoni mogħtija] għandu jkun innotat hawnhekk li f'ċerti każijiet, b'inugwaljanza ekonomika kbira, madankollu m'hemmx aktar skart u tniġġis maħluqa bħala l-iskart / tniġġis Imnaddaf aħjar wara (trattament tal-ilma, filtrazzjoni, ...) .... Innota wkoll li ż-żieda kollha fid-degradazzjoni ambjentali hija r-riżultat taż-żieda ta 'emissjonijiet għal kull persuna li tiġi mmultiplikata b'ħafna multiplikatur. Jekk kien hemm inqas nies madankollu, dan il-multiplikatur ikun aktar baxx, u għalhekk l-ammont ta 'degradazzjoni ambjentali jkun inqas ukoll. Bħala tali, il-livell għoli attwali ta 'popolazzjoni għandu impatt kbir ukoll fuq dan. Jekk (kif argumentat il-WWF), il-livelli tal-popolazzjoni jibdew jonqsu għal livell sostenibbli (1/3 tal-livelli attwali, għalhekk madwar 2 biljun persuna), l-inugwaljanza umana tista 'tiġi indirizzata / ikkoreġuta, filwaqt li xorta ma tirriżulta f'żieda ta' ħsara ambjentali -</v>
      </c>
    </row>
    <row r="19665" ht="15.75" customHeight="1">
      <c r="A19665" s="2" t="s">
        <v>19665</v>
      </c>
      <c r="B19665" s="2" t="str">
        <f>IFERROR(__xludf.DUMMYFUNCTION("GOOGLETRANSLATE(A19665, ""en"", ""mt"")"),"X'inhu rikonoxxut bħala wieħed mill-prinċipji ġenerali tal-liġi tal-Unjoni Ewropea?")</f>
        <v>X'inhu rikonoxxut bħala wieħed mill-prinċipji ġenerali tal-liġi tal-Unjoni Ewropea?</v>
      </c>
    </row>
    <row r="19666" ht="15.75" customHeight="1">
      <c r="A19666" s="2" t="s">
        <v>19666</v>
      </c>
      <c r="B19666" s="2" t="str">
        <f>IFERROR(__xludf.DUMMYFUNCTION("GOOGLETRANSLATE(A19666, ""en"", ""mt"")"),"Lhudi")</f>
        <v>Lhudi</v>
      </c>
    </row>
    <row r="19667" ht="15.75" customHeight="1">
      <c r="A19667" s="2" t="s">
        <v>19667</v>
      </c>
      <c r="B19667" s="2" t="str">
        <f>IFERROR(__xludf.DUMMYFUNCTION("GOOGLETRANSLATE(A19667, ""en"", ""mt"")"),"Min kien l-ewwel magħruf Ewropew li jżur iċ-Ċina u jirritorna?")</f>
        <v>Min kien l-ewwel magħruf Ewropew li jżur iċ-Ċina u jirritorna?</v>
      </c>
    </row>
    <row r="19668" ht="15.75" customHeight="1">
      <c r="A19668" s="2" t="s">
        <v>19668</v>
      </c>
      <c r="B19668" s="2" t="str">
        <f>IFERROR(__xludf.DUMMYFUNCTION("GOOGLETRANSLATE(A19668, ""en"", ""mt"")"),"Liema dinastija waslet quddiem il-wan?")</f>
        <v>Liema dinastija waslet quddiem il-wan?</v>
      </c>
    </row>
    <row r="19669" ht="15.75" customHeight="1">
      <c r="A19669" s="2" t="s">
        <v>19669</v>
      </c>
      <c r="B19669" s="2" t="str">
        <f>IFERROR(__xludf.DUMMYFUNCTION("GOOGLETRANSLATE(A19669, ""en"", ""mt"")"),"Liema koalizzjoni żdiedet biex topponi Franza ta 'Louis XIV?")</f>
        <v>Liema koalizzjoni żdiedet biex topponi Franza ta 'Louis XIV?</v>
      </c>
    </row>
    <row r="19670" ht="15.75" customHeight="1">
      <c r="A19670" s="2" t="s">
        <v>19670</v>
      </c>
      <c r="B19670" s="2" t="str">
        <f>IFERROR(__xludf.DUMMYFUNCTION("GOOGLETRANSLATE(A19670, ""en"", ""mt"")"),"X'impatt il-ħaddiema li jaħdmu inqas għandhom fuq il-produttività ta 'negozju?")</f>
        <v>X'impatt il-ħaddiema li jaħdmu inqas għandhom fuq il-produttività ta 'negozju?</v>
      </c>
    </row>
    <row r="19671" ht="15.75" customHeight="1">
      <c r="A19671" s="2" t="s">
        <v>19671</v>
      </c>
      <c r="B19671" s="2" t="str">
        <f>IFERROR(__xludf.DUMMYFUNCTION("GOOGLETRANSLATE(A19671, ""en"", ""mt"")"),"X'tip ta 'ekonomija bdiet tikber fis-snin 2000 ta' California fit-Tramuntana?")</f>
        <v>X'tip ta 'ekonomija bdiet tikber fis-snin 2000 ta' California fit-Tramuntana?</v>
      </c>
    </row>
    <row r="19672" ht="15.75" customHeight="1">
      <c r="A19672" s="2" t="s">
        <v>19672</v>
      </c>
      <c r="B19672" s="2" t="str">
        <f>IFERROR(__xludf.DUMMYFUNCTION("GOOGLETRANSLATE(A19672, ""en"", ""mt"")"),"Quatre Études de Rythme")</f>
        <v>Quatre Études de Rythme</v>
      </c>
    </row>
    <row r="19673" ht="15.75" customHeight="1">
      <c r="A19673" s="2" t="s">
        <v>19673</v>
      </c>
      <c r="B19673" s="2" t="str">
        <f>IFERROR(__xludf.DUMMYFUNCTION("GOOGLETRANSLATE(A19673, ""en"", ""mt"")"),"Musulmani fil-klassi Semu")</f>
        <v>Musulmani fil-klassi Semu</v>
      </c>
    </row>
    <row r="19674" ht="15.75" customHeight="1">
      <c r="A19674" s="2" t="s">
        <v>19674</v>
      </c>
      <c r="B19674" s="2" t="str">
        <f>IFERROR(__xludf.DUMMYFUNCTION("GOOGLETRANSLATE(A19674, ""en"", ""mt"")"),"Qabel il-formazzjoni ta 'liema pjaneta, Sol tilef l-ossiġnu 16?")</f>
        <v>Qabel il-formazzjoni ta 'liema pjaneta, Sol tilef l-ossiġnu 16?</v>
      </c>
    </row>
    <row r="19675" ht="15.75" customHeight="1">
      <c r="A19675" s="2" t="s">
        <v>19675</v>
      </c>
      <c r="B19675" s="2" t="str">
        <f>IFERROR(__xludf.DUMMYFUNCTION("GOOGLETRANSLATE(A19675, ""en"", ""mt"")"),"X'jagħmlu dieti b'kawża ta 'proteina wisq?")</f>
        <v>X'jagħmlu dieti b'kawża ta 'proteina wisq?</v>
      </c>
    </row>
    <row r="19676" ht="15.75" customHeight="1">
      <c r="A19676" s="2" t="s">
        <v>19676</v>
      </c>
      <c r="B19676" s="2" t="str">
        <f>IFERROR(__xludf.DUMMYFUNCTION("GOOGLETRANSLATE(A19676, ""en"", ""mt"")"),"30 kPa")</f>
        <v>30 kPa</v>
      </c>
    </row>
    <row r="19677" ht="15.75" customHeight="1">
      <c r="A19677" s="2" t="s">
        <v>19677</v>
      </c>
      <c r="B19677" s="2" t="str">
        <f>IFERROR(__xludf.DUMMYFUNCTION("GOOGLETRANSLATE(A19677, ""en"", ""mt"")"),"Għal liema kumpanija ħadmet is-Sinjura Foster?")</f>
        <v>Għal liema kumpanija ħadmet is-Sinjura Foster?</v>
      </c>
    </row>
    <row r="19678" ht="15.75" customHeight="1">
      <c r="A19678" s="2" t="s">
        <v>19678</v>
      </c>
      <c r="B19678" s="2" t="str">
        <f>IFERROR(__xludf.DUMMYFUNCTION("GOOGLETRANSLATE(A19678, ""en"", ""mt"")"),"Meta t-terminu skola privata qatt ma tintuża fl-Istati Uniti?")</f>
        <v>Meta t-terminu skola privata qatt ma tintuża fl-Istati Uniti?</v>
      </c>
    </row>
    <row r="19679" ht="15.75" customHeight="1">
      <c r="A19679" s="2" t="s">
        <v>19679</v>
      </c>
      <c r="B19679" s="2" t="str">
        <f>IFERROR(__xludf.DUMMYFUNCTION("GOOGLETRANSLATE(A19679, ""en"", ""mt"")"),"Beryl")</f>
        <v>Beryl</v>
      </c>
    </row>
    <row r="19680" ht="15.75" customHeight="1">
      <c r="A19680" s="2" t="s">
        <v>19680</v>
      </c>
      <c r="B19680" s="2" t="str">
        <f>IFERROR(__xludf.DUMMYFUNCTION("GOOGLETRANSLATE(A19680, ""en"", ""mt"")"),"Ċelloli qattiela naturali")</f>
        <v>Ċelloli qattiela naturali</v>
      </c>
    </row>
    <row r="19681" ht="15.75" customHeight="1">
      <c r="A19681" s="2" t="s">
        <v>19681</v>
      </c>
      <c r="B19681" s="2" t="str">
        <f>IFERROR(__xludf.DUMMYFUNCTION("GOOGLETRANSLATE(A19681, ""en"", ""mt"")"),"Meta nefqet 100 biljun l-Arabja Sawdita fuq il-prezzijiet taż-żejt?")</f>
        <v>Meta nefqet 100 biljun l-Arabja Sawdita fuq il-prezzijiet taż-żejt?</v>
      </c>
    </row>
    <row r="19682" ht="15.75" customHeight="1">
      <c r="A19682" s="2" t="s">
        <v>19682</v>
      </c>
      <c r="B19682" s="2" t="str">
        <f>IFERROR(__xludf.DUMMYFUNCTION("GOOGLETRANSLATE(A19682, ""en"", ""mt"")"),"Juri mingħajr ambigwità li Y. pestis kien l-aġent kawżattiv tal-pesta epidemika")</f>
        <v>Juri mingħajr ambigwità li Y. pestis kien l-aġent kawżattiv tal-pesta epidemika</v>
      </c>
    </row>
    <row r="19683" ht="15.75" customHeight="1">
      <c r="A19683" s="2" t="s">
        <v>19683</v>
      </c>
      <c r="B19683" s="2" t="str">
        <f>IFERROR(__xludf.DUMMYFUNCTION("GOOGLETRANSLATE(A19683, ""en"", ""mt"")"),"X'inhi d-distanza massima bejn id-dar tal-pazjent u l-eqreb spiżerija li tippermetti lit-tabib fl-Awstrija jagħti l-mediċina?")</f>
        <v>X'inhi d-distanza massima bejn id-dar tal-pazjent u l-eqreb spiżerija li tippermetti lit-tabib fl-Awstrija jagħti l-mediċina?</v>
      </c>
    </row>
    <row r="19684" ht="15.75" customHeight="1">
      <c r="A19684" s="2" t="s">
        <v>19684</v>
      </c>
      <c r="B19684" s="2" t="str">
        <f>IFERROR(__xludf.DUMMYFUNCTION("GOOGLETRANSLATE(A19684, ""en"", ""mt"")"),"X'inhu, aktar milli l-Iżlamiżmu, teħtieġ spjegazzjoni?")</f>
        <v>X'inhu, aktar milli l-Iżlamiżmu, teħtieġ spjegazzjoni?</v>
      </c>
    </row>
    <row r="19685" ht="15.75" customHeight="1">
      <c r="A19685" s="2" t="s">
        <v>19685</v>
      </c>
      <c r="B19685" s="2" t="str">
        <f>IFERROR(__xludf.DUMMYFUNCTION("GOOGLETRANSLATE(A19685, ""en"", ""mt"")"),"Liema enzima mhix antibatterika?")</f>
        <v>Liema enzima mhix antibatterika?</v>
      </c>
    </row>
    <row r="19686" ht="15.75" customHeight="1">
      <c r="A19686" s="2" t="s">
        <v>19686</v>
      </c>
      <c r="B19686" s="2" t="str">
        <f>IFERROR(__xludf.DUMMYFUNCTION("GOOGLETRANSLATE(A19686, ""en"", ""mt"")"),"X’argumentaw Kuznets irriżultaw minn stadji ta ’żvilupp?")</f>
        <v>X’argumentaw Kuznets irriżultaw minn stadji ta ’żvilupp?</v>
      </c>
    </row>
    <row r="19687" ht="15.75" customHeight="1">
      <c r="A19687" s="2" t="s">
        <v>19687</v>
      </c>
      <c r="B19687" s="2" t="str">
        <f>IFERROR(__xludf.DUMMYFUNCTION("GOOGLETRANSLATE(A19687, ""en"", ""mt"")"),"Ma kien kopert fl-ebda gazzetti fil-jiem, ġimgħat u xhur wara li ġara.")</f>
        <v>Ma kien kopert fl-ebda gazzetti fil-jiem, ġimgħat u xhur wara li ġara.</v>
      </c>
    </row>
    <row r="19688" ht="15.75" customHeight="1">
      <c r="A19688" s="2" t="s">
        <v>19688</v>
      </c>
      <c r="B19688" s="2" t="str">
        <f>IFERROR(__xludf.DUMMYFUNCTION("GOOGLETRANSLATE(A19688, ""en"", ""mt"")"),"X'jiġri meta l-kapaċitajiet ta 'persuna qajmu Aer, kif għandu x'jaqsam mad-dħul tagħha?")</f>
        <v>X'jiġri meta l-kapaċitajiet ta 'persuna qajmu Aer, kif għandu x'jaqsam mad-dħul tagħha?</v>
      </c>
    </row>
    <row r="19689" ht="15.75" customHeight="1">
      <c r="A19689" s="2" t="s">
        <v>19689</v>
      </c>
      <c r="B19689" s="2" t="str">
        <f>IFERROR(__xludf.DUMMYFUNCTION("GOOGLETRANSLATE(A19689, ""en"", ""mt"")"),"mitħna tad-dqiq")</f>
        <v>mitħna tad-dqiq</v>
      </c>
    </row>
    <row r="19690" ht="15.75" customHeight="1">
      <c r="A19690" s="2" t="s">
        <v>19690</v>
      </c>
      <c r="B19690" s="2" t="str">
        <f>IFERROR(__xludf.DUMMYFUNCTION("GOOGLETRANSLATE(A19690, ""en"", ""mt"")"),"it-test tal-primalità Fermat,")</f>
        <v>it-test tal-primalità Fermat,</v>
      </c>
    </row>
    <row r="19691" ht="15.75" customHeight="1">
      <c r="A19691" s="2" t="s">
        <v>19691</v>
      </c>
      <c r="B19691" s="2" t="str">
        <f>IFERROR(__xludf.DUMMYFUNCTION("GOOGLETRANSLATE(A19691, ""en"", ""mt"")"),"Min kien il-President tas-Sottokumitat dwar is-Superviżjoni u l-Investigazzjonijiet?")</f>
        <v>Min kien il-President tas-Sottokumitat dwar is-Superviżjoni u l-Investigazzjonijiet?</v>
      </c>
    </row>
    <row r="19692" ht="15.75" customHeight="1">
      <c r="A19692" s="2" t="s">
        <v>19692</v>
      </c>
      <c r="B19692" s="2" t="str">
        <f>IFERROR(__xludf.DUMMYFUNCTION("GOOGLETRANSLATE(A19692, ""en"", ""mt"")"),"X'jifhem il-kombustjoni kkonċentrata tagħmel?")</f>
        <v>X'jifhem il-kombustjoni kkonċentrata tagħmel?</v>
      </c>
    </row>
    <row r="19693" ht="15.75" customHeight="1">
      <c r="A19693" s="2" t="s">
        <v>19693</v>
      </c>
      <c r="B19693" s="2" t="str">
        <f>IFERROR(__xludf.DUMMYFUNCTION("GOOGLETRANSLATE(A19693, ""en"", ""mt"")")," Liema organizzazzjoni ingħaqad ma 'Iqbal fi Franza?")</f>
        <v> Liema organizzazzjoni ingħaqad ma 'Iqbal fi Franza?</v>
      </c>
    </row>
    <row r="19694" ht="15.75" customHeight="1">
      <c r="A19694" s="2" t="s">
        <v>19694</v>
      </c>
      <c r="B19694" s="2" t="str">
        <f>IFERROR(__xludf.DUMMYFUNCTION("GOOGLETRANSLATE(A19694, ""en"", ""mt"")"),"miżata għal kull unità ta 'informazzjoni trażmessa")</f>
        <v>miżata għal kull unità ta 'informazzjoni trażmessa</v>
      </c>
    </row>
    <row r="19695" ht="15.75" customHeight="1">
      <c r="A19695" s="2" t="s">
        <v>19695</v>
      </c>
      <c r="B19695" s="2" t="str">
        <f>IFERROR(__xludf.DUMMYFUNCTION("GOOGLETRANSLATE(A19695, ""en"", ""mt"")"),"X'inhu moviment ta 'qawmien mill-ġdid mhux Iżlamiku?")</f>
        <v>X'inhu moviment ta 'qawmien mill-ġdid mhux Iżlamiku?</v>
      </c>
    </row>
    <row r="19696" ht="15.75" customHeight="1">
      <c r="A19696" s="2" t="s">
        <v>19696</v>
      </c>
      <c r="B19696" s="2" t="str">
        <f>IFERROR(__xludf.DUMMYFUNCTION("GOOGLETRANSLATE(A19696, ""en"", ""mt"")"),"Liema pajjiż kien taħt il-kontroll tal-baruni Norman?")</f>
        <v>Liema pajjiż kien taħt il-kontroll tal-baruni Norman?</v>
      </c>
    </row>
    <row r="19697" ht="15.75" customHeight="1">
      <c r="A19697" s="2" t="s">
        <v>19697</v>
      </c>
      <c r="B19697" s="2" t="str">
        <f>IFERROR(__xludf.DUMMYFUNCTION("GOOGLETRANSLATE(A19697, ""en"", ""mt"")"),"Vjetnam")</f>
        <v>Vjetnam</v>
      </c>
    </row>
    <row r="19698" ht="15.75" customHeight="1">
      <c r="A19698" s="2" t="s">
        <v>19698</v>
      </c>
      <c r="B19698" s="2" t="str">
        <f>IFERROR(__xludf.DUMMYFUNCTION("GOOGLETRANSLATE(A19698, ""en"", ""mt"")"),"It-tul tar-Rhine huwa mkejjel b'mod konvenzjonali f '""Rhine-Kilometri"" (Rheinkilometer), skala introdotta fl-1939 li tmur mill-Old Rhine Bridge f'Constance (0 km) għal Hoek van Holland (1036.20 km). It-tul tax-xmara huwa mqassar b'mod sinifikanti mill-k"&amp;"ors naturali tax-xmara minħabba numru ta 'proġetti ta' kanalizzazzjoni kompluti fis-seklu 19 u 20 diffiċli biex titkejjel b'mod oġġettiv; Ġie kkwotat bħala 1,232 kilometru (766 mil) mir-Rijkswaterstaat Olandiż fl-2010. [Nota 1]")</f>
        <v>It-tul tar-Rhine huwa mkejjel b'mod konvenzjonali f '"Rhine-Kilometri" (Rheinkilometer), skala introdotta fl-1939 li tmur mill-Old Rhine Bridge f'Constance (0 km) għal Hoek van Holland (1036.20 km). It-tul tax-xmara huwa mqassar b'mod sinifikanti mill-kors naturali tax-xmara minħabba numru ta 'proġetti ta' kanalizzazzjoni kompluti fis-seklu 19 u 20 diffiċli biex titkejjel b'mod oġġettiv; Ġie kkwotat bħala 1,232 kilometru (766 mil) mir-Rijkswaterstaat Olandiż fl-2010. [Nota 1]</v>
      </c>
    </row>
    <row r="19699" ht="15.75" customHeight="1">
      <c r="A19699" s="2" t="s">
        <v>19699</v>
      </c>
      <c r="B19699" s="2" t="str">
        <f>IFERROR(__xludf.DUMMYFUNCTION("GOOGLETRANSLATE(A19699, ""en"", ""mt"")"),"Skond ċerti teoriji ġeografiċi x'tip ta 'bniedem jipproduċi klima tropikali?")</f>
        <v>Skond ċerti teoriji ġeografiċi x'tip ta 'bniedem jipproduċi klima tropikali?</v>
      </c>
    </row>
    <row r="19700" ht="15.75" customHeight="1">
      <c r="A19700" s="2" t="s">
        <v>19700</v>
      </c>
      <c r="B19700" s="2" t="str">
        <f>IFERROR(__xludf.DUMMYFUNCTION("GOOGLETRANSLATE(A19700, ""en"", ""mt"")"),"Il-Gran Brittanja kisbet il-kontroll tal-Kanada Franċiża u l-Acadia, kolonji li fihom madwar 80,000 residenti Kattoliċi Rumani li jitkellmu bil-Franċiż. Id-deportazzjoni tal-Akkadjani li bdiet fl-1755 irriżultat f’art magħmula disponibbli għall-migranti m"&amp;"ill-Ewropa u l-kolonji aktar fin-nofsinhar. Il-Brittaniċi reġgħu ssettjati mill-ġdid ħafna Akkadjani matul il-provinċji tal-Amerika ta ’Fuq, iżda ħafna marru Franza, u xi wħud marru fi New Orleans, li huma kienu jistennew li jibqgħu Franċiżi. Uħud intbagħ"&amp;"tu biex jikkolonizzaw postijiet differenti bħall-Guyana Franċiża u l-Gżejjer Falkland; Dawn l-aħħar sforzi ma rnexxewx. Oħrajn emigra lejn postijiet bħal Saint-Domingue, u ħarbu lejn New Orleans wara r-Rivoluzzjoni ta ’Ħaiti. Il-popolazzjoni ta 'Louisiana"&amp;" kkontribwiet għall-fondazzjoni tal-popolazzjoni moderna ta' Cajun. (Il-kelma Franċiża ""Acadien"" evolviet għal ""Cadien"", imbagħad għal ""Cajun"".)")</f>
        <v>Il-Gran Brittanja kisbet il-kontroll tal-Kanada Franċiża u l-Acadia, kolonji li fihom madwar 80,000 residenti Kattoliċi Rumani li jitkellmu bil-Franċiż. Id-deportazzjoni tal-Akkadjani li bdiet fl-1755 irriżultat f’art magħmula disponibbli għall-migranti mill-Ewropa u l-kolonji aktar fin-nofsinhar. Il-Brittaniċi reġgħu ssettjati mill-ġdid ħafna Akkadjani matul il-provinċji tal-Amerika ta ’Fuq, iżda ħafna marru Franza, u xi wħud marru fi New Orleans, li huma kienu jistennew li jibqgħu Franċiżi. Uħud intbagħtu biex jikkolonizzaw postijiet differenti bħall-Guyana Franċiża u l-Gżejjer Falkland; Dawn l-aħħar sforzi ma rnexxewx. Oħrajn emigra lejn postijiet bħal Saint-Domingue, u ħarbu lejn New Orleans wara r-Rivoluzzjoni ta ’Ħaiti. Il-popolazzjoni ta 'Louisiana kkontribwiet għall-fondazzjoni tal-popolazzjoni moderna ta' Cajun. (Il-kelma Franċiża "Acadien" evolviet għal "Cadien", imbagħad għal "Cajun".)</v>
      </c>
    </row>
    <row r="19701" ht="15.75" customHeight="1">
      <c r="A19701" s="2" t="s">
        <v>19701</v>
      </c>
      <c r="B19701" s="2" t="str">
        <f>IFERROR(__xludf.DUMMYFUNCTION("GOOGLETRANSLATE(A19701, ""en"", ""mt"")"),"Amazonia")</f>
        <v>Amazonia</v>
      </c>
    </row>
    <row r="19702" ht="15.75" customHeight="1">
      <c r="A19702" s="2" t="s">
        <v>19702</v>
      </c>
      <c r="B19702" s="2" t="str">
        <f>IFERROR(__xludf.DUMMYFUNCTION("GOOGLETRANSLATE(A19702, ""en"", ""mt"")"),"Sessjoni")</f>
        <v>Sessjoni</v>
      </c>
    </row>
    <row r="19703" ht="15.75" customHeight="1">
      <c r="A19703" s="2" t="s">
        <v>19703</v>
      </c>
      <c r="B19703" s="2" t="str">
        <f>IFERROR(__xludf.DUMMYFUNCTION("GOOGLETRANSLATE(A19703, ""en"", ""mt"")"),"18 ta 'Mejju, 1756")</f>
        <v>18 ta 'Mejju, 1756</v>
      </c>
    </row>
    <row r="19704" ht="15.75" customHeight="1">
      <c r="A19704" s="2" t="s">
        <v>19704</v>
      </c>
      <c r="B19704" s="2" t="str">
        <f>IFERROR(__xludf.DUMMYFUNCTION("GOOGLETRANSLATE(A19704, ""en"", ""mt"")"),"L-industrija tal-inbid")</f>
        <v>L-industrija tal-inbid</v>
      </c>
    </row>
    <row r="19705" ht="15.75" customHeight="1">
      <c r="A19705" s="2" t="s">
        <v>19705</v>
      </c>
      <c r="B19705" s="2" t="str">
        <f>IFERROR(__xludf.DUMMYFUNCTION("GOOGLETRANSLATE(A19705, ""en"", ""mt"")"),"imċaħħad milli jaqla 'daqshekk")</f>
        <v>imċaħħad milli jaqla 'daqshekk</v>
      </c>
    </row>
    <row r="19706" ht="15.75" customHeight="1">
      <c r="A19706" s="2" t="s">
        <v>19706</v>
      </c>
      <c r="B19706" s="2" t="str">
        <f>IFERROR(__xludf.DUMMYFUNCTION("GOOGLETRANSLATE(A19706, ""en"", ""mt"")"),"Norman Mercenary")</f>
        <v>Norman Mercenary</v>
      </c>
    </row>
    <row r="19707" ht="15.75" customHeight="1">
      <c r="A19707" s="2" t="s">
        <v>19707</v>
      </c>
      <c r="B19707" s="2" t="str">
        <f>IFERROR(__xludf.DUMMYFUNCTION("GOOGLETRANSLATE(A19707, ""en"", ""mt"")"),"Kumitati")</f>
        <v>Kumitati</v>
      </c>
    </row>
    <row r="19708" ht="15.75" customHeight="1">
      <c r="A19708" s="2" t="s">
        <v>19708</v>
      </c>
      <c r="B19708" s="2" t="str">
        <f>IFERROR(__xludf.DUMMYFUNCTION("GOOGLETRANSLATE(A19708, ""en"", ""mt"")"),"Prinċipju ta 'protesta mhux vjolenti")</f>
        <v>Prinċipju ta 'protesta mhux vjolenti</v>
      </c>
    </row>
    <row r="19709" ht="15.75" customHeight="1">
      <c r="A19709" s="2" t="s">
        <v>19709</v>
      </c>
      <c r="B19709" s="2" t="str">
        <f>IFERROR(__xludf.DUMMYFUNCTION("GOOGLETRANSLATE(A19709, ""en"", ""mt"")"),"Netwerk tal-kompjuter iffinanzjat mill-Fondazzjoni Nazzjonali tax-Xjenza tal-Istati Uniti (NSF)")</f>
        <v>Netwerk tal-kompjuter iffinanzjat mill-Fondazzjoni Nazzjonali tax-Xjenza tal-Istati Uniti (NSF)</v>
      </c>
    </row>
    <row r="19710" ht="15.75" customHeight="1">
      <c r="A19710" s="2" t="s">
        <v>19710</v>
      </c>
      <c r="B19710" s="2" t="str">
        <f>IFERROR(__xludf.DUMMYFUNCTION("GOOGLETRANSLATE(A19710, ""en"", ""mt"")"),"Użu tal-forza u l-vjolenza u r-rifjut li jissottomettu għall-arrest")</f>
        <v>Użu tal-forza u l-vjolenza u r-rifjut li jissottomettu għall-arrest</v>
      </c>
    </row>
    <row r="19711" ht="15.75" customHeight="1">
      <c r="A19711" s="2" t="s">
        <v>19711</v>
      </c>
      <c r="B19711" s="2" t="str">
        <f>IFERROR(__xludf.DUMMYFUNCTION("GOOGLETRANSLATE(A19711, ""en"", ""mt"")"),"Għaliex id-dollari tal-OPEC jiddepużaw?")</f>
        <v>Għaliex id-dollari tal-OPEC jiddepużaw?</v>
      </c>
    </row>
    <row r="19712" ht="15.75" customHeight="1">
      <c r="A19712" s="2" t="s">
        <v>19712</v>
      </c>
      <c r="B19712" s="2" t="str">
        <f>IFERROR(__xludf.DUMMYFUNCTION("GOOGLETRANSLATE(A19712, ""en"", ""mt"")"),"X'jistgħu jintużaw esperimenti biex jispjegaw ħdejn il-kristallizzazzjoni tal-magma?")</f>
        <v>X'jistgħu jintużaw esperimenti biex jispjegaw ħdejn il-kristallizzazzjoni tal-magma?</v>
      </c>
    </row>
    <row r="19713" ht="15.75" customHeight="1">
      <c r="A19713" s="2" t="s">
        <v>19713</v>
      </c>
      <c r="B19713" s="2" t="str">
        <f>IFERROR(__xludf.DUMMYFUNCTION("GOOGLETRANSLATE(A19713, ""en"", ""mt"")"),"Wara l-1935, min ikun projbit li jidħol Rhineland?")</f>
        <v>Wara l-1935, min ikun projbit li jidħol Rhineland?</v>
      </c>
    </row>
    <row r="19714" ht="15.75" customHeight="1">
      <c r="A19714" s="2" t="s">
        <v>19714</v>
      </c>
      <c r="B19714" s="2" t="str">
        <f>IFERROR(__xludf.DUMMYFUNCTION("GOOGLETRANSLATE(A19714, ""en"", ""mt"")"),"X'inhi kelma oħra għall-mantell ta 'fuq tad-dinja?")</f>
        <v>X'inhi kelma oħra għall-mantell ta 'fuq tad-dinja?</v>
      </c>
    </row>
    <row r="19715" ht="15.75" customHeight="1">
      <c r="A19715" s="2" t="s">
        <v>19715</v>
      </c>
      <c r="B19715" s="2" t="str">
        <f>IFERROR(__xludf.DUMMYFUNCTION("GOOGLETRANSLATE(A19715, ""en"", ""mt"")"),"Xi tirrifletti t-taħlita ta 'stili arkitettoniċi tal-Palazz ta' Varsavja?")</f>
        <v>Xi tirrifletti t-taħlita ta 'stili arkitettoniċi tal-Palazz ta' Varsavja?</v>
      </c>
    </row>
    <row r="19716" ht="15.75" customHeight="1">
      <c r="A19716" s="2" t="s">
        <v>19716</v>
      </c>
      <c r="B19716" s="2" t="str">
        <f>IFERROR(__xludf.DUMMYFUNCTION("GOOGLETRANSLATE(A19716, ""en"", ""mt"")"),"X'inhu l-ewwel isem ta 'Bira?")</f>
        <v>X'inhu l-ewwel isem ta 'Bira?</v>
      </c>
    </row>
    <row r="19717" ht="15.75" customHeight="1">
      <c r="A19717" s="2" t="s">
        <v>19717</v>
      </c>
      <c r="B19717" s="2" t="str">
        <f>IFERROR(__xludf.DUMMYFUNCTION("GOOGLETRANSLATE(A19717, ""en"", ""mt"")"),"Numru ta 'riċerkaturi (David Rodda, Jacob Vigdor, u Janna Matlack), jargumentaw li nuqqas ta' akkomodazzjoni bi prezz raġonevoli - għall-inqas fl-Istati Uniti - huwa kkawżat parzjalment mill-inugwaljanza tad-dħul. David Rodda nnota li mill-1984 u l-1991, "&amp;"in-numru ta 'unitajiet ta' kiri ta 'kwalità naqas hekk kif id-domanda għal akkomodazzjoni ta' kwalità ogħla żdiedet (Rhoda 1994: 148). Permezz ta 'gentrifikazzjoni ta' kwartieri anzjani, pereżempju, fil-Lvant ta 'New York, il-prezzijiet tal-kiri żdiedu ma"&amp;"lajr hekk kif sidien sabu residenti ġodda lesti li jħallsu rata ogħla tas-suq għall-akkomodazzjoni u ħallew familji bi dħul aktar baxx mingħajr unitajiet ta' kiri. Il-politika tat-taxxa fuq il-proprjetà ad valorem flimkien ma 'prezzijiet dejjem jiżdiedu g"&amp;"ħamlitha diffiċli jew impossibbli għal residenti bi dħul baxx biex iżommu l-pass.")</f>
        <v>Numru ta 'riċerkaturi (David Rodda, Jacob Vigdor, u Janna Matlack), jargumentaw li nuqqas ta' akkomodazzjoni bi prezz raġonevoli - għall-inqas fl-Istati Uniti - huwa kkawżat parzjalment mill-inugwaljanza tad-dħul. David Rodda nnota li mill-1984 u l-1991, in-numru ta 'unitajiet ta' kiri ta 'kwalità naqas hekk kif id-domanda għal akkomodazzjoni ta' kwalità ogħla żdiedet (Rhoda 1994: 148). Permezz ta 'gentrifikazzjoni ta' kwartieri anzjani, pereżempju, fil-Lvant ta 'New York, il-prezzijiet tal-kiri żdiedu malajr hekk kif sidien sabu residenti ġodda lesti li jħallsu rata ogħla tas-suq għall-akkomodazzjoni u ħallew familji bi dħul aktar baxx mingħajr unitajiet ta' kiri. Il-politika tat-taxxa fuq il-proprjetà ad valorem flimkien ma 'prezzijiet dejjem jiżdiedu għamlitha diffiċli jew impossibbli għal residenti bi dħul baxx biex iżommu l-pass.</v>
      </c>
    </row>
    <row r="19718" ht="15.75" customHeight="1">
      <c r="A19718" s="2" t="s">
        <v>19718</v>
      </c>
      <c r="B19718" s="2" t="str">
        <f>IFERROR(__xludf.DUMMYFUNCTION("GOOGLETRANSLATE(A19718, ""en"", ""mt"")"),"Awtorità ta 'preskrizzjoni indipendenti sħiħa")</f>
        <v>Awtorità ta 'preskrizzjoni indipendenti sħiħa</v>
      </c>
    </row>
    <row r="19719" ht="15.75" customHeight="1">
      <c r="A19719" s="2" t="s">
        <v>19719</v>
      </c>
      <c r="B19719" s="2" t="str">
        <f>IFERROR(__xludf.DUMMYFUNCTION("GOOGLETRANSLATE(A19719, ""en"", ""mt"")"),"Minbarra l-istudju tan-numri ewlenin, liema teorija ġenerali kienet ikkunsidrata bħala l-eżempju uffiċjali tal-militar?")</f>
        <v>Minbarra l-istudju tan-numri ewlenin, liema teorija ġenerali kienet ikkunsidrata bħala l-eżempju uffiċjali tal-militar?</v>
      </c>
    </row>
    <row r="19720" ht="15.75" customHeight="1">
      <c r="A19720" s="2" t="s">
        <v>19720</v>
      </c>
      <c r="B19720" s="2" t="str">
        <f>IFERROR(__xludf.DUMMYFUNCTION("GOOGLETRANSLATE(A19720, ""en"", ""mt"")"),"""West Side""")</f>
        <v>"West Side"</v>
      </c>
    </row>
    <row r="19721" ht="15.75" customHeight="1">
      <c r="A19721" s="2" t="s">
        <v>19721</v>
      </c>
      <c r="B19721" s="2" t="str">
        <f>IFERROR(__xludf.DUMMYFUNCTION("GOOGLETRANSLATE(A19721, ""en"", ""mt"")"),"Liema rewwixta bdiet fl-1351?")</f>
        <v>Liema rewwixta bdiet fl-1351?</v>
      </c>
    </row>
    <row r="19722" ht="15.75" customHeight="1">
      <c r="A19722" s="2" t="s">
        <v>19722</v>
      </c>
      <c r="B19722" s="2" t="str">
        <f>IFERROR(__xludf.DUMMYFUNCTION("GOOGLETRANSLATE(A19722, ""en"", ""mt"")"),"Liema Teorema tiddikjara li kull numru sħiħ fard kbir jista 'jinkiteb bħala prim fil-qosor ma' semiprime?")</f>
        <v>Liema Teorema tiddikjara li kull numru sħiħ fard kbir jista 'jinkiteb bħala prim fil-qosor ma' semiprime?</v>
      </c>
    </row>
    <row r="19723" ht="15.75" customHeight="1">
      <c r="A19723" s="2" t="s">
        <v>19723</v>
      </c>
      <c r="B19723" s="2" t="str">
        <f>IFERROR(__xludf.DUMMYFUNCTION("GOOGLETRANSLATE(A19723, ""en"", ""mt"")"),"Ġeneral Maġġur James Abercrombie")</f>
        <v>Ġeneral Maġġur James Abercrombie</v>
      </c>
    </row>
    <row r="19724" ht="15.75" customHeight="1">
      <c r="A19724" s="2" t="s">
        <v>19724</v>
      </c>
      <c r="B19724" s="2" t="str">
        <f>IFERROR(__xludf.DUMMYFUNCTION("GOOGLETRANSLATE(A19724, ""en"", ""mt"")"),"X'inhi rispons immuni li jfejjaq it-tessuti tal-ġisem stess?")</f>
        <v>X'inhi rispons immuni li jfejjaq it-tessuti tal-ġisem stess?</v>
      </c>
    </row>
    <row r="19725" ht="15.75" customHeight="1">
      <c r="A19725" s="2" t="s">
        <v>19725</v>
      </c>
      <c r="B19725" s="2" t="str">
        <f>IFERROR(__xludf.DUMMYFUNCTION("GOOGLETRANSLATE(A19725, ""en"", ""mt"")"),"Il-pjan li d-delegati qablu li qatt ma ġie rratifikat mil-leġiżlaturi kolonjali u lanqas approvat mill-Kuruna")</f>
        <v>Il-pjan li d-delegati qablu li qatt ma ġie rratifikat mil-leġiżlaturi kolonjali u lanqas approvat mill-Kuruna</v>
      </c>
    </row>
    <row r="19726" ht="15.75" customHeight="1">
      <c r="A19726" s="2" t="s">
        <v>19726</v>
      </c>
      <c r="B19726" s="2" t="str">
        <f>IFERROR(__xludf.DUMMYFUNCTION("GOOGLETRANSLATE(A19726, ""en"", ""mt"")")," Min għandu l-Partit tal-Liberazzjoni Iżlamika qatt ma pprova joqtol?")</f>
        <v> Min għandu l-Partit tal-Liberazzjoni Iżlamika qatt ma pprova joqtol?</v>
      </c>
    </row>
    <row r="19727" ht="15.75" customHeight="1">
      <c r="A19727" s="2" t="s">
        <v>19727</v>
      </c>
      <c r="B19727" s="2" t="str">
        <f>IFERROR(__xludf.DUMMYFUNCTION("GOOGLETRANSLATE(A19727, ""en"", ""mt"")"),"Persja")</f>
        <v>Persja</v>
      </c>
    </row>
    <row r="19728" ht="15.75" customHeight="1">
      <c r="A19728" s="2" t="s">
        <v>19728</v>
      </c>
      <c r="B19728" s="2" t="str">
        <f>IFERROR(__xludf.DUMMYFUNCTION("GOOGLETRANSLATE(A19728, ""en"", ""mt"")"),"X’ma teħtieġx konsultazzjoni tal-forza tax-xogħol fin-negozju?")</f>
        <v>X’ma teħtieġx konsultazzjoni tal-forza tax-xogħol fin-negozju?</v>
      </c>
    </row>
    <row r="19729" ht="15.75" customHeight="1">
      <c r="A19729" s="2" t="s">
        <v>19729</v>
      </c>
      <c r="B19729" s="2" t="str">
        <f>IFERROR(__xludf.DUMMYFUNCTION("GOOGLETRANSLATE(A19729, ""en"", ""mt"")"),"Ir-raġuni għall-ordni tal-klassijiet u r-raġuni għala n-nies tqiegħdu f'ċerta klassi kienet id-data li ċedew lill-Mongoli, u ma kellhom xejn x'jaqsmu mal-etniċità tagħhom. Iktar kmieni huma ċedew lill-Mongoli, iktar ma tqiegħdu, iktar ma jinżammu barra, i"&amp;"ktar ikunu baxxi. Iċ-Ċiniżi tat-Tramuntana kienu kklassifikati ogħla u ċ-Ċiniżi tan-Nofsinhar kienu kklassifikati aktar baxxi minħabba li ċ-Ċina tan-Nofsinhar nisslet u ġġieldet għall-aħħar qabel ma ttawwal. Il-kummerċ maġġuri matul din l-era wassal għal "&amp;"kundizzjonijiet favorevoli għall-manifatturi u n-negozjanti privati ​​tan-Nofsinhar Ċiniżi.")</f>
        <v>Ir-raġuni għall-ordni tal-klassijiet u r-raġuni għala n-nies tqiegħdu f'ċerta klassi kienet id-data li ċedew lill-Mongoli, u ma kellhom xejn x'jaqsmu mal-etniċità tagħhom. Iktar kmieni huma ċedew lill-Mongoli, iktar ma tqiegħdu, iktar ma jinżammu barra, iktar ikunu baxxi. Iċ-Ċiniżi tat-Tramuntana kienu kklassifikati ogħla u ċ-Ċiniżi tan-Nofsinhar kienu kklassifikati aktar baxxi minħabba li ċ-Ċina tan-Nofsinhar nisslet u ġġieldet għall-aħħar qabel ma ttawwal. Il-kummerċ maġġuri matul din l-era wassal għal kundizzjonijiet favorevoli għall-manifatturi u n-negozjanti privati ​​tan-Nofsinhar Ċiniżi.</v>
      </c>
    </row>
    <row r="19730" ht="15.75" customHeight="1">
      <c r="A19730" s="2" t="s">
        <v>19730</v>
      </c>
      <c r="B19730" s="2" t="str">
        <f>IFERROR(__xludf.DUMMYFUNCTION("GOOGLETRANSLATE(A19730, ""en"", ""mt"")"),"X'Jiru Qlub Drill Dwar il-Post tal-Ilma?")</f>
        <v>X'Jiru Qlub Drill Dwar il-Post tal-Ilma?</v>
      </c>
    </row>
    <row r="19731" ht="15.75" customHeight="1">
      <c r="A19731" s="2" t="s">
        <v>19731</v>
      </c>
      <c r="B19731" s="2" t="str">
        <f>IFERROR(__xludf.DUMMYFUNCTION("GOOGLETRANSLATE(A19731, ""en"", ""mt"")"),"Kemm ġew irreġistrati kumpaniji f'Berlin fl-2006?")</f>
        <v>Kemm ġew irreġistrati kumpaniji f'Berlin fl-2006?</v>
      </c>
    </row>
    <row r="19732" ht="15.75" customHeight="1">
      <c r="A19732" s="2" t="s">
        <v>19732</v>
      </c>
      <c r="B19732" s="2" t="str">
        <f>IFERROR(__xludf.DUMMYFUNCTION("GOOGLETRANSLATE(A19732, ""en"", ""mt"")"),"X'tipi ta 'organizzazzjonijiet qegħdin jonqsu fl-Istati Uniti li jaffettwa ħażin il-mobilità ekonomika?")</f>
        <v>X'tipi ta 'organizzazzjonijiet qegħdin jonqsu fl-Istati Uniti li jaffettwa ħażin il-mobilità ekonomika?</v>
      </c>
    </row>
    <row r="19733" ht="15.75" customHeight="1">
      <c r="A19733" s="2" t="s">
        <v>19733</v>
      </c>
      <c r="B19733" s="2" t="str">
        <f>IFERROR(__xludf.DUMMYFUNCTION("GOOGLETRANSLATE(A19733, ""en"", ""mt"")"),"Liġi tal-Iswed")</f>
        <v>Liġi tal-Iswed</v>
      </c>
    </row>
    <row r="19734" ht="15.75" customHeight="1">
      <c r="A19734" s="2" t="s">
        <v>19734</v>
      </c>
      <c r="B19734" s="2" t="str">
        <f>IFERROR(__xludf.DUMMYFUNCTION("GOOGLETRANSLATE(A19734, ""en"", ""mt"")"),"Fejn ir-Renu jagħmel dawra distintiva lejn in-nofsinhar?")</f>
        <v>Fejn ir-Renu jagħmel dawra distintiva lejn in-nofsinhar?</v>
      </c>
    </row>
    <row r="19735" ht="15.75" customHeight="1">
      <c r="A19735" s="2" t="s">
        <v>19735</v>
      </c>
      <c r="B19735" s="2" t="str">
        <f>IFERROR(__xludf.DUMMYFUNCTION("GOOGLETRANSLATE(A19735, ""en"", ""mt"")"),"ottimali")</f>
        <v>ottimali</v>
      </c>
    </row>
    <row r="19736" ht="15.75" customHeight="1">
      <c r="A19736" s="2" t="s">
        <v>19736</v>
      </c>
      <c r="B19736" s="2" t="str">
        <f>IFERROR(__xludf.DUMMYFUNCTION("GOOGLETRANSLATE(A19736, ""en"", ""mt"")"),"Liema teorema tiddikjara li l-probabbiltà li numru n huwa prim inversament proporzjonali mal-logaritmu tiegħu?")</f>
        <v>Liema teorema tiddikjara li l-probabbiltà li numru n huwa prim inversament proporzjonali mal-logaritmu tiegħu?</v>
      </c>
    </row>
    <row r="19737" ht="15.75" customHeight="1">
      <c r="A19737" s="2" t="s">
        <v>19737</v>
      </c>
      <c r="B19737" s="2" t="str">
        <f>IFERROR(__xludf.DUMMYFUNCTION("GOOGLETRANSLATE(A19737, ""en"", ""mt"")"),"Dwar kemm mill-popolazzjoni Asjatika kienet Hmong?")</f>
        <v>Dwar kemm mill-popolazzjoni Asjatika kienet Hmong?</v>
      </c>
    </row>
    <row r="19738" ht="15.75" customHeight="1">
      <c r="A19738" s="2" t="s">
        <v>19738</v>
      </c>
      <c r="B19738" s="2" t="str">
        <f>IFERROR(__xludf.DUMMYFUNCTION("GOOGLETRANSLATE(A19738, ""en"", ""mt"")"),"Massakru Peterloo")</f>
        <v>Massakru Peterloo</v>
      </c>
    </row>
    <row r="19739" ht="15.75" customHeight="1">
      <c r="A19739" s="2" t="s">
        <v>19739</v>
      </c>
      <c r="B19739" s="2" t="str">
        <f>IFERROR(__xludf.DUMMYFUNCTION("GOOGLETRANSLATE(A19739, ""en"", ""mt"")"),"kurrent elettriku")</f>
        <v>kurrent elettriku</v>
      </c>
    </row>
    <row r="19740" ht="15.75" customHeight="1">
      <c r="A19740" s="2" t="s">
        <v>19740</v>
      </c>
      <c r="B19740" s="2" t="str">
        <f>IFERROR(__xludf.DUMMYFUNCTION("GOOGLETRANSLATE(A19740, ""en"", ""mt"")"),"Qorti tal-Ġustizzja")</f>
        <v>Qorti tal-Ġustizzja</v>
      </c>
    </row>
    <row r="19741" ht="15.75" customHeight="1">
      <c r="A19741" s="2" t="s">
        <v>19741</v>
      </c>
      <c r="B19741" s="2" t="str">
        <f>IFERROR(__xludf.DUMMYFUNCTION("GOOGLETRANSLATE(A19741, ""en"", ""mt"")"),"4 ġimgħat")</f>
        <v>4 ġimgħat</v>
      </c>
    </row>
    <row r="19742" ht="15.75" customHeight="1">
      <c r="A19742" s="2" t="s">
        <v>19742</v>
      </c>
      <c r="B19742" s="2" t="str">
        <f>IFERROR(__xludf.DUMMYFUNCTION("GOOGLETRANSLATE(A19742, ""en"", ""mt"")"),"Kien hemm bidliet insinifikanti fil-veġetazzjoni tal-foresta tropikali tal-Amażonja sa l-aħħar x'inhu")</f>
        <v>Kien hemm bidliet insinifikanti fil-veġetazzjoni tal-foresta tropikali tal-Amażonja sa l-aħħar x'inhu</v>
      </c>
    </row>
    <row r="19743" ht="15.75" customHeight="1">
      <c r="A19743" s="2" t="s">
        <v>19743</v>
      </c>
      <c r="B19743" s="2" t="str">
        <f>IFERROR(__xludf.DUMMYFUNCTION("GOOGLETRANSLATE(A19743, ""en"", ""mt"")"),"X'kien l-isem Sioux ta 'William Johnson?")</f>
        <v>X'kien l-isem Sioux ta 'William Johnson?</v>
      </c>
    </row>
    <row r="19744" ht="15.75" customHeight="1">
      <c r="A19744" s="2" t="s">
        <v>19744</v>
      </c>
      <c r="B19744" s="2" t="str">
        <f>IFERROR(__xludf.DUMMYFUNCTION("GOOGLETRANSLATE(A19744, ""en"", ""mt"")"),"1816")</f>
        <v>1816</v>
      </c>
    </row>
    <row r="19745" ht="15.75" customHeight="1">
      <c r="A19745" s="2" t="s">
        <v>19745</v>
      </c>
      <c r="B19745" s="2" t="str">
        <f>IFERROR(__xludf.DUMMYFUNCTION("GOOGLETRANSLATE(A19745, ""en"", ""mt"")"),"Liema partit jirregola fir-reġjuni ta 'ġewwa ta' Melbourne?")</f>
        <v>Liema partit jirregola fir-reġjuni ta 'ġewwa ta' Melbourne?</v>
      </c>
    </row>
    <row r="19746" ht="15.75" customHeight="1">
      <c r="A19746" s="2" t="s">
        <v>19746</v>
      </c>
      <c r="B19746" s="2" t="str">
        <f>IFERROR(__xludf.DUMMYFUNCTION("GOOGLETRANSLATE(A19746, ""en"", ""mt"")"),"Estensjonijiet ta 'dak li Drew Taurus għal Jacksonville?")</f>
        <v>Estensjonijiet ta 'dak li Drew Taurus għal Jacksonville?</v>
      </c>
    </row>
    <row r="19747" ht="15.75" customHeight="1">
      <c r="A19747" s="2" t="s">
        <v>19747</v>
      </c>
      <c r="B19747" s="2" t="str">
        <f>IFERROR(__xludf.DUMMYFUNCTION("GOOGLETRANSLATE(A19747, ""en"", ""mt"")"),"Forzi mhux konservattivi")</f>
        <v>Forzi mhux konservattivi</v>
      </c>
    </row>
    <row r="19748" ht="15.75" customHeight="1">
      <c r="A19748" s="2" t="s">
        <v>19748</v>
      </c>
      <c r="B19748" s="2" t="str">
        <f>IFERROR(__xludf.DUMMYFUNCTION("GOOGLETRANSLATE(A19748, ""en"", ""mt"")"),"X'inhu meqjus bħala ewforiku rikreattiv?")</f>
        <v>X'inhu meqjus bħala ewforiku rikreattiv?</v>
      </c>
    </row>
    <row r="19749" ht="15.75" customHeight="1">
      <c r="A19749" s="2" t="s">
        <v>19749</v>
      </c>
      <c r="B19749" s="2" t="str">
        <f>IFERROR(__xludf.DUMMYFUNCTION("GOOGLETRANSLATE(A19749, ""en"", ""mt"")"),"Il-klassifikazzjoni industrijali standard u s-sistema l-aktar ġdida ta 'klassifikazzjoni tal-industrija tal-Amerika ta' Fuq")</f>
        <v>Il-klassifikazzjoni industrijali standard u s-sistema l-aktar ġdida ta 'klassifikazzjoni tal-industrija tal-Amerika ta' Fuq</v>
      </c>
    </row>
    <row r="19750" ht="15.75" customHeight="1">
      <c r="A19750" s="2" t="s">
        <v>19750</v>
      </c>
      <c r="B19750" s="2" t="str">
        <f>IFERROR(__xludf.DUMMYFUNCTION("GOOGLETRANSLATE(A19750, ""en"", ""mt"")"),"Lulju 1982 sa Ġunju 1983")</f>
        <v>Lulju 1982 sa Ġunju 1983</v>
      </c>
    </row>
    <row r="19751" ht="15.75" customHeight="1">
      <c r="A19751" s="2" t="s">
        <v>19751</v>
      </c>
      <c r="B19751" s="2" t="str">
        <f>IFERROR(__xludf.DUMMYFUNCTION("GOOGLETRANSLATE(A19751, ""en"", ""mt"")"),"Min hu missier Antigone fid-dramm?")</f>
        <v>Min hu missier Antigone fid-dramm?</v>
      </c>
    </row>
    <row r="19752" ht="15.75" customHeight="1">
      <c r="A19752" s="2" t="s">
        <v>19752</v>
      </c>
      <c r="B19752" s="2" t="str">
        <f>IFERROR(__xludf.DUMMYFUNCTION("GOOGLETRANSLATE(A19752, ""en"", ""mt"")"),"Orjent kontemporanju, """)</f>
        <v>Orjent kontemporanju, "</v>
      </c>
    </row>
    <row r="19753" ht="15.75" customHeight="1">
      <c r="A19753" s="2" t="s">
        <v>19753</v>
      </c>
      <c r="B19753" s="2" t="str">
        <f>IFERROR(__xludf.DUMMYFUNCTION("GOOGLETRANSLATE(A19753, ""en"", ""mt"")"),"Elettroni mhux imqabbla fil-molekula")</f>
        <v>Elettroni mhux imqabbla fil-molekula</v>
      </c>
    </row>
    <row r="19754" ht="15.75" customHeight="1">
      <c r="A19754" s="2" t="s">
        <v>19754</v>
      </c>
      <c r="B19754" s="2" t="str">
        <f>IFERROR(__xludf.DUMMYFUNCTION("GOOGLETRANSLATE(A19754, ""en"", ""mt"")"),"Meta l-Ewropa bil-mod bdiet tisħon mill-aħħar età tas-silġ?")</f>
        <v>Meta l-Ewropa bil-mod bdiet tisħon mill-aħħar età tas-silġ?</v>
      </c>
    </row>
    <row r="19755" ht="15.75" customHeight="1">
      <c r="A19755" s="2" t="s">
        <v>19755</v>
      </c>
      <c r="B19755" s="2" t="str">
        <f>IFERROR(__xludf.DUMMYFUNCTION("GOOGLETRANSLATE(A19755, ""en"", ""mt"")"),"X'inhu kejl użat komunement biex jiġi ddeterminat il-kumplessità ta 'problema tal-komputazzjoni?")</f>
        <v>X'inhu kejl użat komunement biex jiġi ddeterminat il-kumplessità ta 'problema tal-komputazzjoni?</v>
      </c>
    </row>
    <row r="19756" ht="15.75" customHeight="1">
      <c r="A19756" s="2" t="s">
        <v>19756</v>
      </c>
      <c r="B19756" s="2" t="str">
        <f>IFERROR(__xludf.DUMMYFUNCTION("GOOGLETRANSLATE(A19756, ""en"", ""mt"")"),"Liema dibattitu jdum 55 minuta?")</f>
        <v>Liema dibattitu jdum 55 minuta?</v>
      </c>
    </row>
    <row r="19757" ht="15.75" customHeight="1">
      <c r="A19757" s="2" t="s">
        <v>19757</v>
      </c>
      <c r="B19757" s="2" t="str">
        <f>IFERROR(__xludf.DUMMYFUNCTION("GOOGLETRANSLATE(A19757, ""en"", ""mt"")"),"X'inhuma ż-żewġ sorsi kostituzzjonali primarji ta 'l-Unjoni Ewropea?")</f>
        <v>X'inhuma ż-żewġ sorsi kostituzzjonali primarji ta 'l-Unjoni Ewropea?</v>
      </c>
    </row>
    <row r="19758" ht="15.75" customHeight="1">
      <c r="A19758" s="2" t="s">
        <v>19758</v>
      </c>
      <c r="B19758" s="2" t="str">
        <f>IFERROR(__xludf.DUMMYFUNCTION("GOOGLETRANSLATE(A19758, ""en"", ""mt"")"),"It-Tieni Gwerra Dinjija")</f>
        <v>It-Tieni Gwerra Dinjija</v>
      </c>
    </row>
    <row r="19759" ht="15.75" customHeight="1">
      <c r="A19759" s="2" t="s">
        <v>19759</v>
      </c>
      <c r="B19759" s="2" t="str">
        <f>IFERROR(__xludf.DUMMYFUNCTION("GOOGLETRANSLATE(A19759, ""en"", ""mt"")"),"Bħalissa, kemm hemm voti mill-352 vot totali huma meħtieġa għal maġġoranza?")</f>
        <v>Bħalissa, kemm hemm voti mill-352 vot totali huma meħtieġa għal maġġoranza?</v>
      </c>
    </row>
    <row r="19760" ht="15.75" customHeight="1">
      <c r="A19760" s="2" t="s">
        <v>19760</v>
      </c>
      <c r="B19760" s="2" t="str">
        <f>IFERROR(__xludf.DUMMYFUNCTION("GOOGLETRANSLATE(A19760, ""en"", ""mt"")"),"Liema kastell bħalissa fih iċ-Ċentru għall-Art Ujazdow?")</f>
        <v>Liema kastell bħalissa fih iċ-Ċentru għall-Art Ujazdow?</v>
      </c>
    </row>
    <row r="19761" ht="15.75" customHeight="1">
      <c r="A19761" s="2" t="s">
        <v>19761</v>
      </c>
      <c r="B19761" s="2" t="str">
        <f>IFERROR(__xludf.DUMMYFUNCTION("GOOGLETRANSLATE(A19761, ""en"", ""mt"")"),"Ekonomija tad-Dinja")</f>
        <v>Ekonomija tad-Dinja</v>
      </c>
    </row>
    <row r="19762" ht="15.75" customHeight="1">
      <c r="A19762" s="2" t="s">
        <v>19762</v>
      </c>
      <c r="B19762" s="2" t="str">
        <f>IFERROR(__xludf.DUMMYFUNCTION("GOOGLETRANSLATE(A19762, ""en"", ""mt"")"),"periti")</f>
        <v>periti</v>
      </c>
    </row>
    <row r="19763" ht="15.75" customHeight="1">
      <c r="A19763" s="2" t="s">
        <v>19763</v>
      </c>
      <c r="B19763" s="2" t="str">
        <f>IFERROR(__xludf.DUMMYFUNCTION("GOOGLETRANSLATE(A19763, ""en"", ""mt"")"),"Antiparallel")</f>
        <v>Antiparallel</v>
      </c>
    </row>
    <row r="19764" ht="15.75" customHeight="1">
      <c r="A19764" s="2" t="s">
        <v>19764</v>
      </c>
      <c r="B19764" s="2" t="str">
        <f>IFERROR(__xludf.DUMMYFUNCTION("GOOGLETRANSLATE(A19764, ""en"", ""mt"")"),"Żoni li fihom il-muntanji huma mibnija tul il-konfini tal-pjanċa tettonika konverġenti huma msejħa?")</f>
        <v>Żoni li fihom il-muntanji huma mibnija tul il-konfini tal-pjanċa tettonika konverġenti huma msejħa?</v>
      </c>
    </row>
    <row r="19765" ht="15.75" customHeight="1">
      <c r="A19765" s="2" t="s">
        <v>19765</v>
      </c>
      <c r="B19765" s="2" t="str">
        <f>IFERROR(__xludf.DUMMYFUNCTION("GOOGLETRANSLATE(A19765, ""en"", ""mt"")"),"Liema grupp jopera l-Kulleġġ ta 'St Dominic f'Wanganui?")</f>
        <v>Liema grupp jopera l-Kulleġġ ta 'St Dominic f'Wanganui?</v>
      </c>
    </row>
    <row r="19766" ht="15.75" customHeight="1">
      <c r="A19766" s="2" t="s">
        <v>19766</v>
      </c>
      <c r="B19766" s="2" t="str">
        <f>IFERROR(__xludf.DUMMYFUNCTION("GOOGLETRANSLATE(A19766, ""en"", ""mt"")"),"Taħt l-Att tal-Iskozja tal-1988, x'jista 'jiġi stabbilit f'Edinburgu?")</f>
        <v>Taħt l-Att tal-Iskozja tal-1988, x'jista 'jiġi stabbilit f'Edinburgu?</v>
      </c>
    </row>
    <row r="19767" ht="15.75" customHeight="1">
      <c r="A19767" s="2" t="s">
        <v>19767</v>
      </c>
      <c r="B19767" s="2" t="str">
        <f>IFERROR(__xludf.DUMMYFUNCTION("GOOGLETRANSLATE(A19767, ""en"", ""mt"")"),"Minn Nova Scotia u Newfoundland fit-Tramuntana, sa Georgia fin-Nofsinhar")</f>
        <v>Minn Nova Scotia u Newfoundland fit-Tramuntana, sa Georgia fin-Nofsinhar</v>
      </c>
    </row>
    <row r="19768" ht="15.75" customHeight="1">
      <c r="A19768" s="2" t="s">
        <v>19768</v>
      </c>
      <c r="B19768" s="2" t="str">
        <f>IFERROR(__xludf.DUMMYFUNCTION("GOOGLETRANSLATE(A19768, ""en"", ""mt"")"),"Riżultati tal-mudell, rapporti minn aġenziji tal-gvern u organizzazzjonijiet mhux governattivi, u ġurnali tal-industrija")</f>
        <v>Riżultati tal-mudell, rapporti minn aġenziji tal-gvern u organizzazzjonijiet mhux governattivi, u ġurnali tal-industrija</v>
      </c>
    </row>
    <row r="19769" ht="15.75" customHeight="1">
      <c r="A19769" s="2" t="s">
        <v>19769</v>
      </c>
      <c r="B19769" s="2" t="str">
        <f>IFERROR(__xludf.DUMMYFUNCTION("GOOGLETRANSLATE(A19769, ""en"", ""mt"")"),"X'kienet il-kawża għall-kwistjonijiet bil-finanzjament tal-belt?")</f>
        <v>X'kienet il-kawża għall-kwistjonijiet bil-finanzjament tal-belt?</v>
      </c>
    </row>
    <row r="19770" ht="15.75" customHeight="1">
      <c r="A19770" s="2" t="s">
        <v>19770</v>
      </c>
      <c r="B19770" s="2" t="str">
        <f>IFERROR(__xludf.DUMMYFUNCTION("GOOGLETRANSLATE(A19770, ""en"", ""mt"")"),"X'inhu l-Affiljat tal-Fox f'Salinas?")</f>
        <v>X'inhu l-Affiljat tal-Fox f'Salinas?</v>
      </c>
    </row>
    <row r="19771" ht="15.75" customHeight="1">
      <c r="A19771" s="2" t="s">
        <v>19771</v>
      </c>
      <c r="B19771" s="2" t="str">
        <f>IFERROR(__xludf.DUMMYFUNCTION("GOOGLETRANSLATE(A19771, ""en"", ""mt"")"),"Min ippubblika r-rapport tal-Istat tal-Pjaneta 2008-2009?")</f>
        <v>Min ippubblika r-rapport tal-Istat tal-Pjaneta 2008-2009?</v>
      </c>
    </row>
    <row r="19772" ht="15.75" customHeight="1">
      <c r="A19772" s="2" t="s">
        <v>19772</v>
      </c>
      <c r="B19772" s="2" t="str">
        <f>IFERROR(__xludf.DUMMYFUNCTION("GOOGLETRANSLATE(A19772, ""en"", ""mt"")"),"Min kien iservi lil Varsavja bħala s-sedil fl-1529?")</f>
        <v>Min kien iservi lil Varsavja bħala s-sedil fl-1529?</v>
      </c>
    </row>
    <row r="19773" ht="15.75" customHeight="1">
      <c r="A19773" s="2" t="s">
        <v>19773</v>
      </c>
      <c r="B19773" s="2" t="str">
        <f>IFERROR(__xludf.DUMMYFUNCTION("GOOGLETRANSLATE(A19773, ""en"", ""mt"")"),"Esklużjoni Soċjali")</f>
        <v>Esklużjoni Soċjali</v>
      </c>
    </row>
    <row r="19774" ht="15.75" customHeight="1">
      <c r="A19774" s="2" t="s">
        <v>19774</v>
      </c>
      <c r="B19774" s="2" t="str">
        <f>IFERROR(__xludf.DUMMYFUNCTION("GOOGLETRANSLATE(A19774, ""en"", ""mt"")"),"Membru ieħor normalment ma jikkontribwixxix għal xiex?")</f>
        <v>Membru ieħor normalment ma jikkontribwixxix għal xiex?</v>
      </c>
    </row>
    <row r="19775" ht="15.75" customHeight="1">
      <c r="A19775" s="2" t="s">
        <v>19775</v>
      </c>
      <c r="B19775" s="2" t="str">
        <f>IFERROR(__xludf.DUMMYFUNCTION("GOOGLETRANSLATE(A19775, ""en"", ""mt"")"),"F'liema sena ġew iffirmati l-Artikoli tal-Konfederazzjoni għal South Carolina?")</f>
        <v>F'liema sena ġew iffirmati l-Artikoli tal-Konfederazzjoni għal South Carolina?</v>
      </c>
    </row>
    <row r="19776" ht="15.75" customHeight="1">
      <c r="A19776" s="2" t="s">
        <v>19776</v>
      </c>
      <c r="B19776" s="2" t="str">
        <f>IFERROR(__xludf.DUMMYFUNCTION("GOOGLETRANSLATE(A19776, ""en"", ""mt"")"),"Pjanti planktoniċi")</f>
        <v>Pjanti planktoniċi</v>
      </c>
    </row>
    <row r="19777" ht="15.75" customHeight="1">
      <c r="A19777" s="2" t="s">
        <v>19777</v>
      </c>
      <c r="B19777" s="2" t="str">
        <f>IFERROR(__xludf.DUMMYFUNCTION("GOOGLETRANSLATE(A19777, ""en"", ""mt"")"),"Sussegwentement, Californios (mhux sodisfatti bit-taxxi u l-liġijiet tal-art inġusti) u s-southers favur l-iskjavitù fil- ""kontej tal-baqar"" popolati ħafif fin-Nofsinhar ta 'California li ppruvaw tliet darbiet fl-1850s biex jiksbu stat ta' stat separat "&amp;"jew territorjali separat mit-Tramuntana ta 'California. L-aħħar attentat, l-Att Pico tal-1859, ġie mgħoddi mil-Leġislatura tal-Istat ta ’Kalifornja u ffirmat mill-Gvernatur tal-Istat John B. Weller. Ġie approvat bil-kbir bi kważi 75% tal-votanti fit-terri"&amp;"torju propost ta 'Colorado. Dan it-territorju kellu jinkludi l-kontej kollha sal-Kontea ta 'Tulare ħafna dak iż-żmien ikbar (li kien jinkludi dak li issa huwa Kings, ħafna mill-Kern, u parti mill-kontej Inyo) u l-Kontea ta' San Luis Obispo. Il-proposta nt"&amp;"bagħtet lil Washington, D.C. ma 'avukat qawwi fis-Senatur Milton Latham. Madankollu, il-kriżi tas-seċessjoni wara l-elezzjoni ta 'Abraham Lincoln fl-1860 wasslet għall-proposta li qatt ma tasal għal vot.")</f>
        <v>Sussegwentement, Californios (mhux sodisfatti bit-taxxi u l-liġijiet tal-art inġusti) u s-southers favur l-iskjavitù fil- "kontej tal-baqar" popolati ħafif fin-Nofsinhar ta 'California li ppruvaw tliet darbiet fl-1850s biex jiksbu stat ta' stat separat jew territorjali separat mit-Tramuntana ta 'California. L-aħħar attentat, l-Att Pico tal-1859, ġie mgħoddi mil-Leġislatura tal-Istat ta ’Kalifornja u ffirmat mill-Gvernatur tal-Istat John B. Weller. Ġie approvat bil-kbir bi kważi 75% tal-votanti fit-territorju propost ta 'Colorado. Dan it-territorju kellu jinkludi l-kontej kollha sal-Kontea ta 'Tulare ħafna dak iż-żmien ikbar (li kien jinkludi dak li issa huwa Kings, ħafna mill-Kern, u parti mill-kontej Inyo) u l-Kontea ta' San Luis Obispo. Il-proposta ntbagħtet lil Washington, D.C. ma 'avukat qawwi fis-Senatur Milton Latham. Madankollu, il-kriżi tas-seċessjoni wara l-elezzjoni ta 'Abraham Lincoln fl-1860 wasslet għall-proposta li qatt ma tasal għal vot.</v>
      </c>
    </row>
    <row r="19778" ht="15.75" customHeight="1">
      <c r="A19778" s="2" t="s">
        <v>19778</v>
      </c>
      <c r="B19778" s="2" t="str">
        <f>IFERROR(__xludf.DUMMYFUNCTION("GOOGLETRANSLATE(A19778, ""en"", ""mt"")"),"Chivas")</f>
        <v>Chivas</v>
      </c>
    </row>
    <row r="19779" ht="15.75" customHeight="1">
      <c r="A19779" s="2" t="s">
        <v>19779</v>
      </c>
      <c r="B19779" s="2" t="str">
        <f>IFERROR(__xludf.DUMMYFUNCTION("GOOGLETRANSLATE(A19779, ""en"", ""mt"")"),"Assemblea Skoċċiża eletta direttament")</f>
        <v>Assemblea Skoċċiża eletta direttament</v>
      </c>
    </row>
    <row r="19780" ht="15.75" customHeight="1">
      <c r="A19780" s="2" t="s">
        <v>19780</v>
      </c>
      <c r="B19780" s="2" t="str">
        <f>IFERROR(__xludf.DUMMYFUNCTION("GOOGLETRANSLATE(A19780, ""en"", ""mt"")"),"il-mitralla")</f>
        <v>il-mitralla</v>
      </c>
    </row>
    <row r="19781" ht="15.75" customHeight="1">
      <c r="A19781" s="2" t="s">
        <v>19781</v>
      </c>
      <c r="B19781" s="2" t="str">
        <f>IFERROR(__xludf.DUMMYFUNCTION("GOOGLETRANSLATE(A19781, ""en"", ""mt"")"),"Khrushchev")</f>
        <v>Khrushchev</v>
      </c>
    </row>
    <row r="19782" ht="15.75" customHeight="1">
      <c r="A19782" s="2" t="s">
        <v>19782</v>
      </c>
      <c r="B19782" s="2" t="str">
        <f>IFERROR(__xludf.DUMMYFUNCTION("GOOGLETRANSLATE(A19782, ""en"", ""mt"")"),"Min kien President tal-Kumitat tax-Xjenza tal-Kamra?")</f>
        <v>Min kien President tal-Kumitat tax-Xjenza tal-Kamra?</v>
      </c>
    </row>
    <row r="19783" ht="15.75" customHeight="1">
      <c r="A19783" s="2" t="s">
        <v>19783</v>
      </c>
      <c r="B19783" s="2" t="str">
        <f>IFERROR(__xludf.DUMMYFUNCTION("GOOGLETRANSLATE(A19783, ""en"", ""mt"")"),"iffrankar u investiment")</f>
        <v>iffrankar u investiment</v>
      </c>
    </row>
    <row r="19784" ht="15.75" customHeight="1">
      <c r="A19784" s="2" t="s">
        <v>19784</v>
      </c>
      <c r="B19784" s="2" t="str">
        <f>IFERROR(__xludf.DUMMYFUNCTION("GOOGLETRANSLATE(A19784, ""en"", ""mt"")"),"Ctenophores jistgħu jkunu abbundanti matul ix-xhur tas-sajf f'xi postijiet kostali, iżda f'postijiet oħra mhumiex komuni u diffiċli biex jinstabu. Fil-bajjiet fejn iseħħu f'numri għoljin ħafna, il-predazzjoni minn ctenophores tista 'tikkontrolla l-popolaz"&amp;"zjonijiet ta' organiżmi zooplanktoniċi żgħar bħal copepods, li altrimenti jistgħu jħassru l-fitoplankton (pjanti planktoniċi), li huma parti vitali tal-katini tal-ikel tal-baħar. Ctenophore wieħed, Mnemiopsis, ġie introdott aċċidentalment fil-Baħar l-Iswe"&amp;"d, fejn huwa akkużat li kkawża li l-ħażniet tal-ħut jiġġarrfu billi jieklu kemm larva tal-ħut kif ukoll organiżmi li altrimenti kienu jkunu mitmugħa l-ħut. Is-sitwazzjoni kienet aggravata minn fatturi oħra, bħalma huma s-sajd żejjed u bidliet ambjentali f"&amp;"it-tul li ppromwovew it-tkabbir tal-popolazzjoni Mnemiopsis. L-introduzzjoni aċċidentali aktar tard ta 'Beroe għenet biex tittaffa l-problema, hekk kif Beroe jippriża fuq ctenophores oħra.")</f>
        <v>Ctenophores jistgħu jkunu abbundanti matul ix-xhur tas-sajf f'xi postijiet kostali, iżda f'postijiet oħra mhumiex komuni u diffiċli biex jinstabu. Fil-bajjiet fejn iseħħu f'numri għoljin ħafna, il-predazzjoni minn ctenophores tista 'tikkontrolla l-popolazzjonijiet ta' organiżmi zooplanktoniċi żgħar bħal copepods, li altrimenti jistgħu jħassru l-fitoplankton (pjanti planktoniċi), li huma parti vitali tal-katini tal-ikel tal-baħar. Ctenophore wieħed, Mnemiopsis, ġie introdott aċċidentalment fil-Baħar l-Iswed, fejn huwa akkużat li kkawża li l-ħażniet tal-ħut jiġġarrfu billi jieklu kemm larva tal-ħut kif ukoll organiżmi li altrimenti kienu jkunu mitmugħa l-ħut. Is-sitwazzjoni kienet aggravata minn fatturi oħra, bħalma huma s-sajd żejjed u bidliet ambjentali fit-tul li ppromwovew it-tkabbir tal-popolazzjoni Mnemiopsis. L-introduzzjoni aċċidentali aktar tard ta 'Beroe għenet biex tittaffa l-problema, hekk kif Beroe jippriża fuq ctenophores oħra.</v>
      </c>
    </row>
    <row r="19785" ht="15.75" customHeight="1">
      <c r="A19785" s="2" t="s">
        <v>19785</v>
      </c>
      <c r="B19785" s="2" t="str">
        <f>IFERROR(__xludf.DUMMYFUNCTION("GOOGLETRANSLATE(A19785, ""en"", ""mt"")"),"X'inhuma l-komponenti tat-terapija bil-mediċina?")</f>
        <v>X'inhuma l-komponenti tat-terapija bil-mediċina?</v>
      </c>
    </row>
    <row r="19786" ht="15.75" customHeight="1">
      <c r="A19786" s="2" t="s">
        <v>19786</v>
      </c>
      <c r="B19786" s="2" t="str">
        <f>IFERROR(__xludf.DUMMYFUNCTION("GOOGLETRANSLATE(A19786, ""en"", ""mt"")"),"Ipproduċi kurrenti tal-ilma li jgħinu priża mikroskopika diretta lejn il-ħalq")</f>
        <v>Ipproduċi kurrenti tal-ilma li jgħinu priża mikroskopika diretta lejn il-ħalq</v>
      </c>
    </row>
    <row r="19787" ht="15.75" customHeight="1">
      <c r="A19787" s="2" t="s">
        <v>19787</v>
      </c>
      <c r="B19787" s="2" t="str">
        <f>IFERROR(__xludf.DUMMYFUNCTION("GOOGLETRANSLATE(A19787, ""en"", ""mt"")"),"Dak li jiddetermina l-profil tat-temperatura barra mill-qoxra?")</f>
        <v>Dak li jiddetermina l-profil tat-temperatura barra mill-qoxra?</v>
      </c>
    </row>
    <row r="19788" ht="15.75" customHeight="1">
      <c r="A19788" s="2" t="s">
        <v>19788</v>
      </c>
      <c r="B19788" s="2" t="str">
        <f>IFERROR(__xludf.DUMMYFUNCTION("GOOGLETRANSLATE(A19788, ""en"", ""mt"")"),"Qabel il-ftehim Ewropew, iż-żona li issa kienet tikkostitwixxi Victoria kienet abitata minn numru kbir ta 'popli Aboriġini, magħrufa kollettivament bħala l-Koori. Bil-Gran Brittanja wara li ddikjarat il-kontinent Awstraljan kollu fil-lvant tal-135th Merid"&amp;"ian East fl-1788, ir-Rabat kienet inkluża fil-kolonja usa 'ta' New South Wales. L-ewwel ftehim fiż-żona seħħ fl-1803 fil-Bajja ta 'Sullivan, u ħafna minn dak li issa huwa Victoria kien inkluż fid-distrett ta' Port Phillip fl-1836, diviżjoni amministrattiv"&amp;"a ta 'New South Wales. Victoria inħolqot uffiċjalment kolonja separata fl-1851, u kisbet l-awto-gvern fl-1855. L-għaġla tad-deheb Vittorjan fl-1850s u l-1860 żiedet b'mod sinifikanti kemm il-popolazzjoni kif ukoll il-ġid tal-kolonja, u mill-Federazzjoni t"&amp;"al-Awstralja fl-1901, Melbourne kienet saret L-akbar belt u ċentru finanzjarju ewlieni fl-Awstralasja. Melbourne serva wkoll bħala kapitali tal-Awstralja sal-kostruzzjoni ta 'Canberra fl-1927, bil-laqgħa tal-Parlament Federali fil-Kamra tal-Parlament ta' "&amp;"Melbourne u l-uffiċċji prinċipali kollha tal-gvern federali li huma bbażati f'Melbourne.")</f>
        <v>Qabel il-ftehim Ewropew, iż-żona li issa kienet tikkostitwixxi Victoria kienet abitata minn numru kbir ta 'popli Aboriġini, magħrufa kollettivament bħala l-Koori. Bil-Gran Brittanja wara li ddikjarat il-kontinent Awstraljan kollu fil-lvant tal-135th Meridian East fl-1788, ir-Rabat kienet inkluża fil-kolonja usa 'ta' New South Wales. L-ewwel ftehim fiż-żona seħħ fl-1803 fil-Bajja ta 'Sullivan, u ħafna minn dak li issa huwa Victoria kien inkluż fid-distrett ta' Port Phillip fl-1836, diviżjoni amministrattiva ta 'New South Wales. Victoria inħolqot uffiċjalment kolonja separata fl-1851, u kisbet l-awto-gvern fl-1855. L-għaġla tad-deheb Vittorjan fl-1850s u l-1860 żiedet b'mod sinifikanti kemm il-popolazzjoni kif ukoll il-ġid tal-kolonja, u mill-Federazzjoni tal-Awstralja fl-1901, Melbourne kienet saret L-akbar belt u ċentru finanzjarju ewlieni fl-Awstralasja. Melbourne serva wkoll bħala kapitali tal-Awstralja sal-kostruzzjoni ta 'Canberra fl-1927, bil-laqgħa tal-Parlament Federali fil-Kamra tal-Parlament ta' Melbourne u l-uffiċċji prinċipali kollha tal-gvern federali li huma bbażati f'Melbourne.</v>
      </c>
    </row>
    <row r="19789" ht="15.75" customHeight="1">
      <c r="A19789" s="2" t="s">
        <v>19789</v>
      </c>
      <c r="B19789" s="2" t="str">
        <f>IFERROR(__xludf.DUMMYFUNCTION("GOOGLETRANSLATE(A19789, ""en"", ""mt"")"),"Il-Ministeru tad-Difiża ddiskuta x'inhu fl-1966?")</f>
        <v>Il-Ministeru tad-Difiża ddiskuta x'inhu fl-1966?</v>
      </c>
    </row>
    <row r="19790" ht="15.75" customHeight="1">
      <c r="A19790" s="2" t="s">
        <v>19790</v>
      </c>
      <c r="B19790" s="2" t="str">
        <f>IFERROR(__xludf.DUMMYFUNCTION("GOOGLETRANSLATE(A19790, ""en"", ""mt"")"),"Għaliex Confucians jobogħdu l-qasam mediku?")</f>
        <v>Għaliex Confucians jobogħdu l-qasam mediku?</v>
      </c>
    </row>
    <row r="19791" ht="15.75" customHeight="1">
      <c r="A19791" s="2" t="s">
        <v>19791</v>
      </c>
      <c r="B19791" s="2" t="str">
        <f>IFERROR(__xludf.DUMMYFUNCTION("GOOGLETRANSLATE(A19791, ""en"", ""mt"")"),"Gruppi ta 'interess u aġenziji tal-gvern li kienu kkonċernati bl-enerġija ma kinux jaqblu għal min?")</f>
        <v>Gruppi ta 'interess u aġenziji tal-gvern li kienu kkonċernati bl-enerġija ma kinux jaqblu għal min?</v>
      </c>
    </row>
    <row r="19792" ht="15.75" customHeight="1">
      <c r="A19792" s="2" t="s">
        <v>19792</v>
      </c>
      <c r="B19792" s="2" t="str">
        <f>IFERROR(__xludf.DUMMYFUNCTION("GOOGLETRANSLATE(A19792, ""en"", ""mt"")"),"Analiżi mikroskopika ta 'sezzjonijiet irqaq orjentati")</f>
        <v>Analiżi mikroskopika ta 'sezzjonijiet irqaq orjentati</v>
      </c>
    </row>
    <row r="19793" ht="15.75" customHeight="1">
      <c r="A19793" s="2" t="s">
        <v>19793</v>
      </c>
      <c r="B19793" s="2" t="str">
        <f>IFERROR(__xludf.DUMMYFUNCTION("GOOGLETRANSLATE(A19793, ""en"", ""mt"")"),"X'inhu l-isem tal-kittieb u s-satirist Amerikan li huwa wkoll alumni tal-università?")</f>
        <v>X'inhu l-isem tal-kittieb u s-satirist Amerikan li huwa wkoll alumni tal-università?</v>
      </c>
    </row>
    <row r="19794" ht="15.75" customHeight="1">
      <c r="A19794" s="2" t="s">
        <v>19794</v>
      </c>
      <c r="B19794" s="2" t="str">
        <f>IFERROR(__xludf.DUMMYFUNCTION("GOOGLETRANSLATE(A19794, ""en"", ""mt"")"),"Dak li jgħin biex jinħeles il-kapaċità tal-produttività tal-foqra?")</f>
        <v>Dak li jgħin biex jinħeles il-kapaċità tal-produttività tal-foqra?</v>
      </c>
    </row>
    <row r="19795" ht="15.75" customHeight="1">
      <c r="A19795" s="2" t="s">
        <v>19795</v>
      </c>
      <c r="B19795" s="2" t="str">
        <f>IFERROR(__xludf.DUMMYFUNCTION("GOOGLETRANSLATE(A19795, ""en"", ""mt"")"),"X'qal l-IPCC li kien żbaljat?")</f>
        <v>X'qal l-IPCC li kien żbaljat?</v>
      </c>
    </row>
    <row r="19796" ht="15.75" customHeight="1">
      <c r="A19796" s="2" t="s">
        <v>19796</v>
      </c>
      <c r="B19796" s="2" t="str">
        <f>IFERROR(__xludf.DUMMYFUNCTION("GOOGLETRANSLATE(A19796, ""en"", ""mt"")"),"In- ""naħa tal-punent"" ta 'Fresno, li wkoll tissejjaħ ukoll ""Southwest Fresno"", hija waħda mill-eqdem kwartieri fil-belt. Il-viċinat jinsab fil-Lbiċ tad-99 Freeway (li jaqsamha minn Downtown Fresno), fil-punent tal-Freeway 41 u fin-Nofsinhar ta 'Nielse"&amp;"n Ave (jew il-180 awtostrada li għadha kemm ġiet mibnija), u testendi sal-limiti tal-belt lejn il-punent u fin-nofsinhar. Il-viċinat huwa tradizzjonalment ikkunsidrat bħala ċ-ċentru tal-komunità Afrikana-Amerikana ta 'Fresno. Huwa kulturalment divers u ji"&amp;"nkludi wkoll popolazzjonijiet sinifikanti Messikani-Amerikani u Ażjatiċi (prinċipalment Hmong jew Laotian).")</f>
        <v>In- "naħa tal-punent" ta 'Fresno, li wkoll tissejjaħ ukoll "Southwest Fresno", hija waħda mill-eqdem kwartieri fil-belt. Il-viċinat jinsab fil-Lbiċ tad-99 Freeway (li jaqsamha minn Downtown Fresno), fil-punent tal-Freeway 41 u fin-Nofsinhar ta 'Nielsen Ave (jew il-180 awtostrada li għadha kemm ġiet mibnija), u testendi sal-limiti tal-belt lejn il-punent u fin-nofsinhar. Il-viċinat huwa tradizzjonalment ikkunsidrat bħala ċ-ċentru tal-komunità Afrikana-Amerikana ta 'Fresno. Huwa kulturalment divers u jinkludi wkoll popolazzjonijiet sinifikanti Messikani-Amerikani u Ażjatiċi (prinċipalment Hmong jew Laotian).</v>
      </c>
    </row>
    <row r="19797" ht="15.75" customHeight="1">
      <c r="A19797" s="2" t="s">
        <v>19797</v>
      </c>
      <c r="B19797" s="2" t="str">
        <f>IFERROR(__xludf.DUMMYFUNCTION("GOOGLETRANSLATE(A19797, ""en"", ""mt"")"),"Liema terminu jirreferi għall-mistoqsija konkreta li trid tissolva?")</f>
        <v>Liema terminu jirreferi għall-mistoqsija konkreta li trid tissolva?</v>
      </c>
    </row>
    <row r="19798" ht="15.75" customHeight="1">
      <c r="A19798" s="2" t="s">
        <v>19798</v>
      </c>
      <c r="B19798" s="2" t="str">
        <f>IFERROR(__xludf.DUMMYFUNCTION("GOOGLETRANSLATE(A19798, ""en"", ""mt"")"),"Il-pass ewlieni li jmiss seħħ meta James Watt żviluppa (1763-1775) verżjoni mtejba tal-magna ta ’Newcomen, b’kondensatur separat. Il-magni bikrija ta 'Boulton u Watt użaw nofs il-faħam daqs il-verżjoni mtejba ta' John Smeaton ta 'Newcomen. Il-magni bikrij"&amp;"a ta 'Newcomen u Watt kienu ""atmosferiċi"". Kienu mħaddma mill-pressjoni tal-arja li ġiegħlu pistun fil-vakwu parzjali ġġenerat mill-kondensazzjoni tal-fwar, minflok il-pressjoni tal-espansjoni tal-fwar. Iċ-ċilindri tal-magna kellhom ikunu kbar minħabba "&amp;"li l-unika forza li tista 'taġixxi fuqhom kienet dovuta għal pressjoni atmosferika.")</f>
        <v>Il-pass ewlieni li jmiss seħħ meta James Watt żviluppa (1763-1775) verżjoni mtejba tal-magna ta ’Newcomen, b’kondensatur separat. Il-magni bikrija ta 'Boulton u Watt użaw nofs il-faħam daqs il-verżjoni mtejba ta' John Smeaton ta 'Newcomen. Il-magni bikrija ta 'Newcomen u Watt kienu "atmosferiċi". Kienu mħaddma mill-pressjoni tal-arja li ġiegħlu pistun fil-vakwu parzjali ġġenerat mill-kondensazzjoni tal-fwar, minflok il-pressjoni tal-espansjoni tal-fwar. Iċ-ċilindri tal-magna kellhom ikunu kbar minħabba li l-unika forza li tista 'taġixxi fuqhom kienet dovuta għal pressjoni atmosferika.</v>
      </c>
    </row>
    <row r="19799" ht="15.75" customHeight="1">
      <c r="A19799" s="2" t="s">
        <v>19799</v>
      </c>
      <c r="B19799" s="2" t="str">
        <f>IFERROR(__xludf.DUMMYFUNCTION("GOOGLETRANSLATE(A19799, ""en"", ""mt"")"),"Akkademja tax-Xjenzi Pollakka")</f>
        <v>Akkademja tax-Xjenzi Pollakka</v>
      </c>
    </row>
    <row r="19800" ht="15.75" customHeight="1">
      <c r="A19800" s="2" t="s">
        <v>19800</v>
      </c>
      <c r="B19800" s="2" t="str">
        <f>IFERROR(__xludf.DUMMYFUNCTION("GOOGLETRANSLATE(A19800, ""en"", ""mt"")"),"Liema żona ta 'Brookhaven għadha magħrufa għal-livelli għoljin ta' kriminalità tagħha?")</f>
        <v>Liema żona ta 'Brookhaven għadha magħrufa għal-livelli għoljin ta' kriminalità tagħha?</v>
      </c>
    </row>
    <row r="19801" ht="15.75" customHeight="1">
      <c r="A19801" s="2" t="s">
        <v>19801</v>
      </c>
      <c r="B19801" s="2" t="str">
        <f>IFERROR(__xludf.DUMMYFUNCTION("GOOGLETRANSLATE(A19801, ""en"", ""mt"")"),"Il-konċepiment tal-punt huwa eżempju ta 'monument fost liema fruntiera tan-Nofsinhar ta' California?")</f>
        <v>Il-konċepiment tal-punt huwa eżempju ta 'monument fost liema fruntiera tan-Nofsinhar ta' California?</v>
      </c>
    </row>
    <row r="19802" ht="15.75" customHeight="1">
      <c r="A19802" s="2" t="s">
        <v>19802</v>
      </c>
      <c r="B19802" s="2" t="str">
        <f>IFERROR(__xludf.DUMMYFUNCTION("GOOGLETRANSLATE(A19802, ""en"", ""mt"")"),"Fl-istati tal-Istati Uniti, x'jiġri mill-istennija tal-ħajja f'dawk aktar ekonomikament ugwali?")</f>
        <v>Fl-istati tal-Istati Uniti, x'jiġri mill-istennija tal-ħajja f'dawk aktar ekonomikament ugwali?</v>
      </c>
    </row>
    <row r="19803" ht="15.75" customHeight="1">
      <c r="A19803" s="2" t="s">
        <v>19803</v>
      </c>
      <c r="B19803" s="2" t="str">
        <f>IFERROR(__xludf.DUMMYFUNCTION("GOOGLETRANSLATE(A19803, ""en"", ""mt"")"),"X'inhu eżempju ta 'magna li ddur mingħajr tnixxija?")</f>
        <v>X'inhu eżempju ta 'magna li ddur mingħajr tnixxija?</v>
      </c>
    </row>
    <row r="19804" ht="15.75" customHeight="1">
      <c r="A19804" s="2" t="s">
        <v>19804</v>
      </c>
      <c r="B19804" s="2" t="str">
        <f>IFERROR(__xludf.DUMMYFUNCTION("GOOGLETRANSLATE(A19804, ""en"", ""mt"")"),"Disturbi tas-sistema immunitarja jistgħu jirriżultaw f'mard awtoimmuni, mard infjammatorju u kanċer. L-immunodefiċjenza sseħħ meta s-sistema immunitarja tkun inqas attiva min-normal, li tirriżulta f'infezzjonijiet rikorrenti u li jheddu l-ħajja. Fil-bnedm"&amp;"in, l-immunodefiċjenza tista 'tkun jew ir-riżultat ta' marda ġenetika bħal immunodefiċjenza severa kkombinata, kundizzjonijiet akkwistati bħal HIV / AIDS, jew l-użu ta 'medikazzjoni immunosoppressiva. B'kuntrast, l-awtoimmunità tirriżulta minn sistema imm"&amp;"uni iperattiva li tattakka tessuti normali daqs li kieku kienu organiżmi barranin. Mard awtoimmuni komuni jinkludi t-tirojde ta 'Hashimoto, l-artrite rewmatojde, id-dijabete mellitus tat-tip 1, u l-lupus eritematosu sistemiku. L-immunoloġija tkopri l-istu"&amp;"dju tal-aspetti kollha tas-sistema immunitarja.")</f>
        <v>Disturbi tas-sistema immunitarja jistgħu jirriżultaw f'mard awtoimmuni, mard infjammatorju u kanċer. L-immunodefiċjenza sseħħ meta s-sistema immunitarja tkun inqas attiva min-normal, li tirriżulta f'infezzjonijiet rikorrenti u li jheddu l-ħajja. Fil-bnedmin, l-immunodefiċjenza tista 'tkun jew ir-riżultat ta' marda ġenetika bħal immunodefiċjenza severa kkombinata, kundizzjonijiet akkwistati bħal HIV / AIDS, jew l-użu ta 'medikazzjoni immunosoppressiva. B'kuntrast, l-awtoimmunità tirriżulta minn sistema immuni iperattiva li tattakka tessuti normali daqs li kieku kienu organiżmi barranin. Mard awtoimmuni komuni jinkludi t-tirojde ta 'Hashimoto, l-artrite rewmatojde, id-dijabete mellitus tat-tip 1, u l-lupus eritematosu sistemiku. L-immunoloġija tkopri l-istudju tal-aspetti kollha tas-sistema immunitarja.</v>
      </c>
    </row>
    <row r="19805" ht="15.75" customHeight="1">
      <c r="A19805" s="2" t="s">
        <v>19805</v>
      </c>
      <c r="B19805" s="2" t="str">
        <f>IFERROR(__xludf.DUMMYFUNCTION("GOOGLETRANSLATE(A19805, ""en"", ""mt"")"),"Il-varjazzjonijiet fil-klima waqqfu s-savanna milli tagħmel xiex?")</f>
        <v>Il-varjazzjonijiet fil-klima waqqfu s-savanna milli tagħmel xiex?</v>
      </c>
    </row>
    <row r="19806" ht="15.75" customHeight="1">
      <c r="A19806" s="2" t="s">
        <v>19806</v>
      </c>
      <c r="B19806" s="2" t="str">
        <f>IFERROR(__xludf.DUMMYFUNCTION("GOOGLETRANSLATE(A19806, ""en"", ""mt"")"),"Kunsinna sekwenzjata tad-dejta")</f>
        <v>Kunsinna sekwenzjata tad-dejta</v>
      </c>
    </row>
    <row r="19807" ht="15.75" customHeight="1">
      <c r="A19807" s="2" t="s">
        <v>19807</v>
      </c>
      <c r="B19807" s="2" t="str">
        <f>IFERROR(__xludf.DUMMYFUNCTION("GOOGLETRANSLATE(A19807, ""en"", ""mt"")"),"Fejn Ġwanni Pawlu II iċċelebra l-Quddiesa f'Berlin?")</f>
        <v>Fejn Ġwanni Pawlu II iċċelebra l-Quddiesa f'Berlin?</v>
      </c>
    </row>
    <row r="19808" ht="15.75" customHeight="1">
      <c r="A19808" s="2" t="s">
        <v>19808</v>
      </c>
      <c r="B19808" s="2" t="str">
        <f>IFERROR(__xludf.DUMMYFUNCTION("GOOGLETRANSLATE(A19808, ""en"", ""mt"")"),"X'insabu l-fossili fis-shale Burgess?")</f>
        <v>X'insabu l-fossili fis-shale Burgess?</v>
      </c>
    </row>
    <row r="19809" ht="15.75" customHeight="1">
      <c r="A19809" s="2" t="s">
        <v>19809</v>
      </c>
      <c r="B19809" s="2" t="str">
        <f>IFERROR(__xludf.DUMMYFUNCTION("GOOGLETRANSLATE(A19809, ""en"", ""mt"")"),"Min ressaq il-qorti tiegħu minn Varsavja lejn Krakovja fl-1596?")</f>
        <v>Min ressaq il-qorti tiegħu minn Varsavja lejn Krakovja fl-1596?</v>
      </c>
    </row>
    <row r="19810" ht="15.75" customHeight="1">
      <c r="A19810" s="2" t="s">
        <v>19810</v>
      </c>
      <c r="B19810" s="2" t="str">
        <f>IFERROR(__xludf.DUMMYFUNCTION("GOOGLETRANSLATE(A19810, ""en"", ""mt"")"),"X'inhu l-isem ta 'tip wieħed ta' test tal-algoritmu modern?")</f>
        <v>X'inhu l-isem ta 'tip wieħed ta' test tal-algoritmu modern?</v>
      </c>
    </row>
    <row r="19811" ht="15.75" customHeight="1">
      <c r="A19811" s="2" t="s">
        <v>19811</v>
      </c>
      <c r="B19811" s="2" t="str">
        <f>IFERROR(__xludf.DUMMYFUNCTION("GOOGLETRANSLATE(A19811, ""en"", ""mt"")"),"Min invada l-Iskozja fis-seklu 10?")</f>
        <v>Min invada l-Iskozja fis-seklu 10?</v>
      </c>
    </row>
    <row r="19812" ht="15.75" customHeight="1">
      <c r="A19812" s="2" t="s">
        <v>19812</v>
      </c>
      <c r="B19812" s="2" t="str">
        <f>IFERROR(__xludf.DUMMYFUNCTION("GOOGLETRANSLATE(A19812, ""en"", ""mt"")"),"X’ħeġġiġhom iż-żjarat ta ’John Paul II fl-1979 u fl-1983?")</f>
        <v>X’ħeġġiġhom iż-żjarat ta ’John Paul II fl-1979 u fl-1983?</v>
      </c>
    </row>
    <row r="19813" ht="15.75" customHeight="1">
      <c r="A19813" s="2" t="s">
        <v>19813</v>
      </c>
      <c r="B19813" s="2" t="str">
        <f>IFERROR(__xludf.DUMMYFUNCTION("GOOGLETRANSLATE(A19813, ""en"", ""mt"")"),"X'inhu d-dispensarju soġġett għal maġġoranza tal-pajjiżi?")</f>
        <v>X'inhu d-dispensarju soġġett għal maġġoranza tal-pajjiżi?</v>
      </c>
    </row>
    <row r="19814" ht="15.75" customHeight="1">
      <c r="A19814" s="2" t="s">
        <v>19814</v>
      </c>
      <c r="B19814" s="2" t="str">
        <f>IFERROR(__xludf.DUMMYFUNCTION("GOOGLETRANSLATE(A19814, ""en"", ""mt"")"),"depressurizzazzjoni")</f>
        <v>depressurizzazzjoni</v>
      </c>
    </row>
    <row r="19815" ht="15.75" customHeight="1">
      <c r="A19815" s="2" t="s">
        <v>19815</v>
      </c>
      <c r="B19815" s="2" t="str">
        <f>IFERROR(__xludf.DUMMYFUNCTION("GOOGLETRANSLATE(A19815, ""en"", ""mt"")"),"Meta ż-żejt fl-aħħar irritorna għal-livelli ta 'Bretton Woods tiegħu?")</f>
        <v>Meta ż-żejt fl-aħħar irritorna għal-livelli ta 'Bretton Woods tiegħu?</v>
      </c>
    </row>
    <row r="19816" ht="15.75" customHeight="1">
      <c r="A19816" s="2" t="s">
        <v>19816</v>
      </c>
      <c r="B19816" s="2" t="str">
        <f>IFERROR(__xludf.DUMMYFUNCTION("GOOGLETRANSLATE(A19816, ""en"", ""mt"")"),"Wara referendum fl-1997")</f>
        <v>Wara referendum fl-1997</v>
      </c>
    </row>
    <row r="19817" ht="15.75" customHeight="1">
      <c r="A19817" s="2" t="s">
        <v>19817</v>
      </c>
      <c r="B19817" s="2" t="str">
        <f>IFERROR(__xludf.DUMMYFUNCTION("GOOGLETRANSLATE(A19817, ""en"", ""mt"")"),"1097")</f>
        <v>1097</v>
      </c>
    </row>
    <row r="19818" ht="15.75" customHeight="1">
      <c r="A19818" s="2" t="s">
        <v>19818</v>
      </c>
      <c r="B19818" s="2" t="str">
        <f>IFERROR(__xludf.DUMMYFUNCTION("GOOGLETRANSLATE(A19818, ""en"", ""mt"")"),"X'toffri Warner Sinback?")</f>
        <v>X'toffri Warner Sinback?</v>
      </c>
    </row>
    <row r="19819" ht="15.75" customHeight="1">
      <c r="A19819" s="2" t="s">
        <v>19819</v>
      </c>
      <c r="B19819" s="2" t="str">
        <f>IFERROR(__xludf.DUMMYFUNCTION("GOOGLETRANSLATE(A19819, ""en"", ""mt"")"),"Kemm dam biex id-diżubbidjenza ta 'Thoreau tkun magħrufa?")</f>
        <v>Kemm dam biex id-diżubbidjenza ta 'Thoreau tkun magħrufa?</v>
      </c>
    </row>
    <row r="19820" ht="15.75" customHeight="1">
      <c r="A19820" s="2" t="s">
        <v>19820</v>
      </c>
      <c r="B19820" s="2" t="str">
        <f>IFERROR(__xludf.DUMMYFUNCTION("GOOGLETRANSLATE(A19820, ""en"", ""mt"")"),"diversifikat")</f>
        <v>diversifikat</v>
      </c>
    </row>
    <row r="19821" ht="15.75" customHeight="1">
      <c r="A19821" s="2" t="s">
        <v>19821</v>
      </c>
      <c r="B19821" s="2" t="str">
        <f>IFERROR(__xludf.DUMMYFUNCTION("GOOGLETRANSLATE(A19821, ""en"", ""mt"")"),"Liema rondi l-ġisem ifittex fagoċiti?")</f>
        <v>Liema rondi l-ġisem ifittex fagoċiti?</v>
      </c>
    </row>
    <row r="19822" ht="15.75" customHeight="1">
      <c r="A19822" s="2" t="s">
        <v>19822</v>
      </c>
      <c r="B19822" s="2" t="str">
        <f>IFERROR(__xludf.DUMMYFUNCTION("GOOGLETRANSLATE(A19822, ""en"", ""mt"")"),"X'inhu l-piż medju tal-bijomassa għal kull ettaru fl-Amażonja?")</f>
        <v>X'inhu l-piż medju tal-bijomassa għal kull ettaru fl-Amażonja?</v>
      </c>
    </row>
    <row r="19823" ht="15.75" customHeight="1">
      <c r="A19823" s="2" t="s">
        <v>19823</v>
      </c>
      <c r="B19823" s="2" t="str">
        <f>IFERROR(__xludf.DUMMYFUNCTION("GOOGLETRANSLATE(A19823, ""en"", ""mt"")"),"Il-plott tal-Amboise")</f>
        <v>Il-plott tal-Amboise</v>
      </c>
    </row>
    <row r="19824" ht="15.75" customHeight="1">
      <c r="A19824" s="2" t="s">
        <v>19824</v>
      </c>
      <c r="B19824" s="2" t="str">
        <f>IFERROR(__xludf.DUMMYFUNCTION("GOOGLETRANSLATE(A19824, ""en"", ""mt"")"),"Id-dinastija Yuan kienet l-ewwel darba li l-poplu Ċiniż mhux nattiv iddeċieda ċ-Ċina kollha. Fl-istorijografija tal-Mongolja, ġeneralment huwa meqjus bħala t-tkomplija tal-imperu Mongoljan. Il-Mongoli huma magħrufa ħafna li jaduraw is-sema eterna, u skont"&amp;" l-ideoloġija tradizzjonali Mongoljana, il-wan huwa meqjus bħala ""l-bidu ta 'numru infinit ta' bnedmin, il-pedament tal-paċi u l-kuntentizza, il-poter tal-istat, il-ħolma ta 'ħafna popli, minbarraha M'hemm xejn kbir jew prezzjuż. "" Fl-istorijografija tr"&amp;"adizzjonali taċ-Ċina, min-naħa l-oħra, id-dinastija Yuan ġeneralment hija meqjusa bħala d-dinastija leġittima bejn id-dinastija tal-kanzunetta u d-dinastija Ming. Innota, madankollu, id-dinastija Yuan hija tradizzjonalment estiża biex tkopri l-imperu Mong"&amp;"oljan qabel l-istabbiliment formali ta 'Kublai Khan tal-Yuan fl-1271, parzjalment minħabba li Kublai kellu n-nannu tiegħu Genghis Khan poġġa fir-rekord uffiċjali bħala l-fundatur tad-Dynasty jew Taizu (Ċiniż:太祖). Minkejja l-istorijografija tradizzjonali k"&amp;"if ukoll il-fehmiet uffiċjali (inkluża l-gvern tad-dinastija Ming li ħakem id-dinastija Yuan), jeżistu wkoll nies Ċiniżi [li?] Li ma kkunsidrawx id-dinastija Yuan bħala dinastija leġittima taċ-Ċina, iżda pjuttost Bħala perjodu ta 'dominazzjoni barranija. "&amp;"Dawn tal-aħħar jemmnu li Han Ċiniż ġew ittrattati bħala ċittadini tat-tieni klassi, [ċitazzjoni meħtieġa] u li ċ-Ċina staġnaw ekonomikament u xjentifikament.")</f>
        <v>Id-dinastija Yuan kienet l-ewwel darba li l-poplu Ċiniż mhux nattiv iddeċieda ċ-Ċina kollha. Fl-istorijografija tal-Mongolja, ġeneralment huwa meqjus bħala t-tkomplija tal-imperu Mongoljan. Il-Mongoli huma magħrufa ħafna li jaduraw is-sema eterna, u skont l-ideoloġija tradizzjonali Mongoljana, il-wan huwa meqjus bħala "l-bidu ta 'numru infinit ta' bnedmin, il-pedament tal-paċi u l-kuntentizza, il-poter tal-istat, il-ħolma ta 'ħafna popli, minbarraha M'hemm xejn kbir jew prezzjuż. " Fl-istorijografija tradizzjonali taċ-Ċina, min-naħa l-oħra, id-dinastija Yuan ġeneralment hija meqjusa bħala d-dinastija leġittima bejn id-dinastija tal-kanzunetta u d-dinastija Ming. Innota, madankollu, id-dinastija Yuan hija tradizzjonalment estiża biex tkopri l-imperu Mongoljan qabel l-istabbiliment formali ta 'Kublai Khan tal-Yuan fl-1271, parzjalment minħabba li Kublai kellu n-nannu tiegħu Genghis Khan poġġa fir-rekord uffiċjali bħala l-fundatur tad-Dynasty jew Taizu (Ċiniż:太祖). Minkejja l-istorijografija tradizzjonali kif ukoll il-fehmiet uffiċjali (inkluża l-gvern tad-dinastija Ming li ħakem id-dinastija Yuan), jeżistu wkoll nies Ċiniżi [li?] Li ma kkunsidrawx id-dinastija Yuan bħala dinastija leġittima taċ-Ċina, iżda pjuttost Bħala perjodu ta 'dominazzjoni barranija. Dawn tal-aħħar jemmnu li Han Ċiniż ġew ittrattati bħala ċittadini tat-tieni klassi, [ċitazzjoni meħtieġa] u li ċ-Ċina staġnaw ekonomikament u xjentifikament.</v>
      </c>
    </row>
    <row r="19825" ht="15.75" customHeight="1">
      <c r="A19825" s="2" t="s">
        <v>19825</v>
      </c>
      <c r="B19825" s="2" t="str">
        <f>IFERROR(__xludf.DUMMYFUNCTION("GOOGLETRANSLATE(A19825, ""en"", ""mt"")"),"Liema konġettura żżomm li dejjem hemm minimu ta '4 primes bejn il-kwadri ta' primes konsekuttivi akbar minn 2?")</f>
        <v>Liema konġettura żżomm li dejjem hemm minimu ta '4 primes bejn il-kwadri ta' primes konsekuttivi akbar minn 2?</v>
      </c>
    </row>
    <row r="19826" ht="15.75" customHeight="1">
      <c r="A19826" s="2" t="s">
        <v>19826</v>
      </c>
      <c r="B19826" s="2" t="str">
        <f>IFERROR(__xludf.DUMMYFUNCTION("GOOGLETRANSLATE(A19826, ""en"", ""mt"")"),"X'inhu eżempju ta 'mediċina immunosoppressiva li tipprevjeni l-attività taċ-ċelluli T billi tbiddel il-mogħdijiet ta' transduzzjoni tas-sinjal?")</f>
        <v>X'inhu eżempju ta 'mediċina immunosoppressiva li tipprevjeni l-attività taċ-ċelluli T billi tbiddel il-mogħdijiet ta' transduzzjoni tas-sinjal?</v>
      </c>
    </row>
    <row r="19827" ht="15.75" customHeight="1">
      <c r="A19827" s="2" t="s">
        <v>19827</v>
      </c>
      <c r="B19827" s="2" t="str">
        <f>IFERROR(__xludf.DUMMYFUNCTION("GOOGLETRANSLATE(A19827, ""en"", ""mt"")"),"Il-Knisja Protestanta Franċiża ta ’Londra ġiet stabbilita minn Royal Charter fl-1550. Issa tinsab fi Soho Square. Ir-refuġjati Huguenot ħarġu lejn Shoreditch, Londra. Huma stabbilixxew industrija ewlenija tal-insiġ fi Spitalfields u madwarha (ara Petticoa"&amp;"t Lane u t-Tenterground) fil-Lvant ta 'Londra. F’Wandsworth, il-ħiliet tal-ġardinaġġ tagħhom ibbenefikaw mill-Ġonna tas-Suq tal-Battersea. Il-Birrerija l-Qadima Truman, imbagħad magħrufa bħala l-Black Eagle Brewery, twaqqfet fl-1724. It-titjira tar-refuġj"&amp;"ati Huguenot minn tours, Franza ġibdet il-biċċa l-kbira tal-ħaddiema tal-imtieħen tal-ħarir il-kbar tagħha li kienu bnew. [Ċitazzjoni kellha bżonn] uħud minn dawn L-immigranti marru joqogħdu lejn Norwich, li kien akkomodat soluzzjoni preċedenti ta 'min ji"&amp;"nsa. Il-Franċiżi żiedu mal-popolazzjoni ta 'immigranti eżistenti, u mbagħad tinkludi madwar terz tal-popolazzjoni tal-belt.")</f>
        <v>Il-Knisja Protestanta Franċiża ta ’Londra ġiet stabbilita minn Royal Charter fl-1550. Issa tinsab fi Soho Square. Ir-refuġjati Huguenot ħarġu lejn Shoreditch, Londra. Huma stabbilixxew industrija ewlenija tal-insiġ fi Spitalfields u madwarha (ara Petticoat Lane u t-Tenterground) fil-Lvant ta 'Londra. F’Wandsworth, il-ħiliet tal-ġardinaġġ tagħhom ibbenefikaw mill-Ġonna tas-Suq tal-Battersea. Il-Birrerija l-Qadima Truman, imbagħad magħrufa bħala l-Black Eagle Brewery, twaqqfet fl-1724. It-titjira tar-refuġjati Huguenot minn tours, Franza ġibdet il-biċċa l-kbira tal-ħaddiema tal-imtieħen tal-ħarir il-kbar tagħha li kienu bnew. [Ċitazzjoni kellha bżonn] uħud minn dawn L-immigranti marru joqogħdu lejn Norwich, li kien akkomodat soluzzjoni preċedenti ta 'min jinsa. Il-Franċiżi żiedu mal-popolazzjoni ta 'immigranti eżistenti, u mbagħad tinkludi madwar terz tal-popolazzjoni tal-belt.</v>
      </c>
    </row>
    <row r="19828" ht="15.75" customHeight="1">
      <c r="A19828" s="2" t="s">
        <v>19828</v>
      </c>
      <c r="B19828" s="2" t="str">
        <f>IFERROR(__xludf.DUMMYFUNCTION("GOOGLETRANSLATE(A19828, ""en"", ""mt"")"),"It-trabi tat-twelid huma vulnerabbli għall-infezzjoni minħabba li m'għandhom l-ebda esponiment preċedenti għal xiex?")</f>
        <v>It-trabi tat-twelid huma vulnerabbli għall-infezzjoni minħabba li m'għandhom l-ebda esponiment preċedenti għal xiex?</v>
      </c>
    </row>
    <row r="19829" ht="15.75" customHeight="1">
      <c r="A19829" s="2" t="s">
        <v>19829</v>
      </c>
      <c r="B19829" s="2" t="str">
        <f>IFERROR(__xludf.DUMMYFUNCTION("GOOGLETRANSLATE(A19829, ""en"", ""mt"")"),"X'kien meħtieġ mit-tfal Huguenot wara li l-editt ġie revokat?")</f>
        <v>X'kien meħtieġ mit-tfal Huguenot wara li l-editt ġie revokat?</v>
      </c>
    </row>
    <row r="19830" ht="15.75" customHeight="1">
      <c r="A19830" s="2" t="s">
        <v>19830</v>
      </c>
      <c r="B19830" s="2" t="str">
        <f>IFERROR(__xludf.DUMMYFUNCTION("GOOGLETRANSLATE(A19830, ""en"", ""mt"")"),"il-firxa tal-qsim il-kbir")</f>
        <v>il-firxa tal-qsim il-kbir</v>
      </c>
    </row>
    <row r="19831" ht="15.75" customHeight="1">
      <c r="A19831" s="2" t="s">
        <v>19831</v>
      </c>
      <c r="B19831" s="2" t="str">
        <f>IFERROR(__xludf.DUMMYFUNCTION("GOOGLETRANSLATE(A19831, ""en"", ""mt"")"),"Il-Gvernatur Robert Dinwiddie kellu investiment f'liema kumpanija insinifikanti?")</f>
        <v>Il-Gvernatur Robert Dinwiddie kellu investiment f'liema kumpanija insinifikanti?</v>
      </c>
    </row>
    <row r="19832" ht="15.75" customHeight="1">
      <c r="A19832" s="2" t="s">
        <v>19832</v>
      </c>
      <c r="B19832" s="2" t="str">
        <f>IFERROR(__xludf.DUMMYFUNCTION("GOOGLETRANSLATE(A19832, ""en"", ""mt"")"),"Ċentru Athletic Malkin")</f>
        <v>Ċentru Athletic Malkin</v>
      </c>
    </row>
    <row r="19833" ht="15.75" customHeight="1">
      <c r="A19833" s="2" t="s">
        <v>19833</v>
      </c>
      <c r="B19833" s="2" t="str">
        <f>IFERROR(__xludf.DUMMYFUNCTION("GOOGLETRANSLATE(A19833, ""en"", ""mt"")"),"L-istoriku Francis Aidan Gasquet kiteb dwar il-'Pestilenza l-Kbira 'fl-1893 u ssuġġerixxa li ""jidher li hija xi forma tal-pesta ordinarja tal-Lvant jew Buboniku"". Huwa kien kapaċi jadotta l-epidemjoloġija tal-pesta bubonika għall-mewt sewda għat-tieni e"&amp;"dizzjoni fl-1908, li implikat firien u briegħed fil-proċess, u l-interpretazzjoni tiegħu kienet aċċettata b'mod wiesa 'għal epidemiji antiki u medjevali oħra, bħall-pesta Justinian li kienet Prevalenti fl-Imperu Ruman tal-Lvant minn 541 sa 700 CE.")</f>
        <v>L-istoriku Francis Aidan Gasquet kiteb dwar il-'Pestilenza l-Kbira 'fl-1893 u ssuġġerixxa li "jidher li hija xi forma tal-pesta ordinarja tal-Lvant jew Buboniku". Huwa kien kapaċi jadotta l-epidemjoloġija tal-pesta bubonika għall-mewt sewda għat-tieni edizzjoni fl-1908, li implikat firien u briegħed fil-proċess, u l-interpretazzjoni tiegħu kienet aċċettata b'mod wiesa 'għal epidemiji antiki u medjevali oħra, bħall-pesta Justinian li kienet Prevalenti fl-Imperu Ruman tal-Lvant minn 541 sa 700 CE.</v>
      </c>
    </row>
    <row r="19834" ht="15.75" customHeight="1">
      <c r="A19834" s="2" t="s">
        <v>19834</v>
      </c>
      <c r="B19834" s="2" t="str">
        <f>IFERROR(__xludf.DUMMYFUNCTION("GOOGLETRANSLATE(A19834, ""en"", ""mt"")"),"Perjodu kwaternarju")</f>
        <v>Perjodu kwaternarju</v>
      </c>
    </row>
    <row r="19835" ht="15.75" customHeight="1">
      <c r="A19835" s="2" t="s">
        <v>19835</v>
      </c>
      <c r="B19835" s="2" t="str">
        <f>IFERROR(__xludf.DUMMYFUNCTION("GOOGLETRANSLATE(A19835, ""en"", ""mt"")"),"Fl-aħħar tas-seklu 19")</f>
        <v>Fl-aħħar tas-seklu 19</v>
      </c>
    </row>
    <row r="19836" ht="15.75" customHeight="1">
      <c r="A19836" s="2" t="s">
        <v>19836</v>
      </c>
      <c r="B19836" s="2" t="str">
        <f>IFERROR(__xludf.DUMMYFUNCTION("GOOGLETRANSLATE(A19836, ""en"", ""mt"")"),"Min rebaħ il-battalja tal-Lag Niagara?")</f>
        <v>Min rebaħ il-battalja tal-Lag Niagara?</v>
      </c>
    </row>
    <row r="19837" ht="15.75" customHeight="1">
      <c r="A19837" s="2" t="s">
        <v>19837</v>
      </c>
      <c r="B19837" s="2" t="str">
        <f>IFERROR(__xludf.DUMMYFUNCTION("GOOGLETRANSLATE(A19837, ""en"", ""mt"")"),"1805")</f>
        <v>1805</v>
      </c>
    </row>
    <row r="19838" ht="15.75" customHeight="1">
      <c r="A19838" s="2" t="s">
        <v>19838</v>
      </c>
      <c r="B19838" s="2" t="str">
        <f>IFERROR(__xludf.DUMMYFUNCTION("GOOGLETRANSLATE(A19838, ""en"", ""mt"")"),"Il-Kulleġġ ta 'l-Università ta' Chicago jagħti Baċellerat fl-Arti u Baċellerat ta 'Gradi tax-Xjenza f'50 maġġuri akkademiċi u 28 minorenni. L-akkademiċi tal-kulleġġ huma maqsuma f'ħames diviżjonijiet: id-Diviżjoni tal-Kolleġġjata tax-Xjenzi Bijoloġiċi, id"&amp;"-Diviżjoni Kolleġġjata tax-Xjenzi Fiżiċi, id-Diviżjoni Kolleġġjata tax-Xjenzi Soċjali, id-Diviżjoni Kolleġġjata tal-Umanistika, u d-Diviżjoni Kolleġġjata l-Ġdida. L-ewwel erbgħa huma sezzjonijiet fi ħdan id-diviżjonijiet tal-gradwati korrispondenti tagħho"&amp;"m, filwaqt li d-diviżjoni kolleġjali l-ġdida tamministra maġġuri interdixxiplinarji u studji li ma jidħlux f'waħda mill-erba 'diviżjonijiet l-oħra.")</f>
        <v>Il-Kulleġġ ta 'l-Università ta' Chicago jagħti Baċellerat fl-Arti u Baċellerat ta 'Gradi tax-Xjenza f'50 maġġuri akkademiċi u 28 minorenni. L-akkademiċi tal-kulleġġ huma maqsuma f'ħames diviżjonijiet: id-Diviżjoni tal-Kolleġġjata tax-Xjenzi Bijoloġiċi, id-Diviżjoni Kolleġġjata tax-Xjenzi Fiżiċi, id-Diviżjoni Kolleġġjata tax-Xjenzi Soċjali, id-Diviżjoni Kolleġġjata tal-Umanistika, u d-Diviżjoni Kolleġġjata l-Ġdida. L-ewwel erbgħa huma sezzjonijiet fi ħdan id-diviżjonijiet tal-gradwati korrispondenti tagħhom, filwaqt li d-diviżjoni kolleġjali l-ġdida tamministra maġġuri interdixxiplinarji u studji li ma jidħlux f'waħda mill-erba 'diviżjonijiet l-oħra.</v>
      </c>
    </row>
    <row r="19839" ht="15.75" customHeight="1">
      <c r="A19839" s="2" t="s">
        <v>19839</v>
      </c>
      <c r="B19839" s="2" t="str">
        <f>IFERROR(__xludf.DUMMYFUNCTION("GOOGLETRANSLATE(A19839, ""en"", ""mt"")"),"deportazzjoni")</f>
        <v>deportazzjoni</v>
      </c>
    </row>
    <row r="19840" ht="15.75" customHeight="1">
      <c r="A19840" s="2" t="s">
        <v>19840</v>
      </c>
      <c r="B19840" s="2" t="str">
        <f>IFERROR(__xludf.DUMMYFUNCTION("GOOGLETRANSLATE(A19840, ""en"", ""mt"")"),"Madwar 1800 Richard Trevithick u, separatament, Oliver Evans fl-1801 introduċa magni bl-użu ta 'fwar bi pressjoni għolja; Trevithick kiseb il-privattiva tal-magna bi pressjoni għolja tiegħu fl-1802. Dawn kienu ferm aktar qawwija għal daqs ta 'ċilindru par"&amp;"tikolari minn magni preċedenti u jistgħu jsiru żgħar biżżejjed għall-applikazzjonijiet tat-trasport. Wara dan, żviluppi teknoloġiċi u titjib fit-tekniki tal-manifattura (parzjalment miġjuba mill-adozzjoni tal-magna tal-fwar bħala sors ta 'enerġija) irriżu"&amp;"ltaw fid-disinn ta' magni aktar effiċjenti li jistgħu jkunu iżgħar, aktar mgħaġġla, jew aktar qawwija, skont l-applikazzjoni maħsuba.")</f>
        <v>Madwar 1800 Richard Trevithick u, separatament, Oliver Evans fl-1801 introduċa magni bl-użu ta 'fwar bi pressjoni għolja; Trevithick kiseb il-privattiva tal-magna bi pressjoni għolja tiegħu fl-1802. Dawn kienu ferm aktar qawwija għal daqs ta 'ċilindru partikolari minn magni preċedenti u jistgħu jsiru żgħar biżżejjed għall-applikazzjonijiet tat-trasport. Wara dan, żviluppi teknoloġiċi u titjib fit-tekniki tal-manifattura (parzjalment miġjuba mill-adozzjoni tal-magna tal-fwar bħala sors ta 'enerġija) irriżultaw fid-disinn ta' magni aktar effiċjenti li jistgħu jkunu iżgħar, aktar mgħaġġla, jew aktar qawwija, skont l-applikazzjoni maħsuba.</v>
      </c>
    </row>
    <row r="19841" ht="15.75" customHeight="1">
      <c r="A19841" s="2" t="s">
        <v>19841</v>
      </c>
      <c r="B19841" s="2" t="str">
        <f>IFERROR(__xludf.DUMMYFUNCTION("GOOGLETRANSLATE(A19841, ""en"", ""mt"")"),"1975")</f>
        <v>1975</v>
      </c>
    </row>
    <row r="19842" ht="15.75" customHeight="1">
      <c r="A19842" s="2" t="s">
        <v>19842</v>
      </c>
      <c r="B19842" s="2" t="str">
        <f>IFERROR(__xludf.DUMMYFUNCTION("GOOGLETRANSLATE(A19842, ""en"", ""mt"")"),"Meta patoġen jittiekel minn fagoċita jinqabad f'liema vesicle?")</f>
        <v>Meta patoġen jittiekel minn fagoċita jinqabad f'liema vesicle?</v>
      </c>
    </row>
    <row r="19843" ht="15.75" customHeight="1">
      <c r="A19843" s="2" t="s">
        <v>19843</v>
      </c>
      <c r="B19843" s="2" t="str">
        <f>IFERROR(__xludf.DUMMYFUNCTION("GOOGLETRANSLATE(A19843, ""en"", ""mt"")"),"Permezz tad-deżert tad-distrett ta 'Maine u' l isfel fix-xmara Chaudière biex tattakka l-belt ta 'Quebec")</f>
        <v>Permezz tad-deżert tad-distrett ta 'Maine u' l isfel fix-xmara Chaudière biex tattakka l-belt ta 'Quebec</v>
      </c>
    </row>
    <row r="19844" ht="15.75" customHeight="1">
      <c r="A19844" s="2" t="s">
        <v>19844</v>
      </c>
      <c r="B19844" s="2" t="str">
        <f>IFERROR(__xludf.DUMMYFUNCTION("GOOGLETRANSLATE(A19844, ""en"", ""mt"")"),"Kemm kienu miċħuda diviżjonijiet tal-klassi tas-soċjetà fil-pjan li Kublai?")</f>
        <v>Kemm kienu miċħuda diviżjonijiet tal-klassi tas-soċjetà fil-pjan li Kublai?</v>
      </c>
    </row>
    <row r="19845" ht="15.75" customHeight="1">
      <c r="A19845" s="2" t="s">
        <v>19845</v>
      </c>
      <c r="B19845" s="2" t="str">
        <f>IFERROR(__xludf.DUMMYFUNCTION("GOOGLETRANSLATE(A19845, ""en"", ""mt"")"),"Kemm kanali BSKYB kienu disponibbli għall-klijenti qabel Ottubru 2005?")</f>
        <v>Kemm kanali BSKYB kienu disponibbli għall-klijenti qabel Ottubru 2005?</v>
      </c>
    </row>
    <row r="19846" ht="15.75" customHeight="1">
      <c r="A19846" s="2" t="s">
        <v>19846</v>
      </c>
      <c r="B19846" s="2" t="str">
        <f>IFERROR(__xludf.DUMMYFUNCTION("GOOGLETRANSLATE(A19846, ""en"", ""mt"")"),"F'liema sena ħa l-viċi-konslu tal-Afrika t'Isfel Duke Kent-Brown?")</f>
        <v>F'liema sena ħa l-viċi-konslu tal-Afrika t'Isfel Duke Kent-Brown?</v>
      </c>
    </row>
    <row r="19847" ht="15.75" customHeight="1">
      <c r="A19847" s="2" t="s">
        <v>19847</v>
      </c>
      <c r="B19847" s="2" t="str">
        <f>IFERROR(__xludf.DUMMYFUNCTION("GOOGLETRANSLATE(A19847, ""en"", ""mt"")"),"X'iktar kienu familji bi dħul taħt $ 38,000 mhux meħtieġa li jħallsu fl-2009?")</f>
        <v>X'iktar kienu familji bi dħul taħt $ 38,000 mhux meħtieġa li jħallsu fl-2009?</v>
      </c>
    </row>
    <row r="19848" ht="15.75" customHeight="1">
      <c r="A19848" s="2" t="s">
        <v>19848</v>
      </c>
      <c r="B19848" s="2" t="str">
        <f>IFERROR(__xludf.DUMMYFUNCTION("GOOGLETRANSLATE(A19848, ""en"", ""mt"")"),"Sa dak iż-żmien tal-Miocene")</f>
        <v>Sa dak iż-żmien tal-Miocene</v>
      </c>
    </row>
    <row r="19849" ht="15.75" customHeight="1">
      <c r="A19849" s="2" t="s">
        <v>19849</v>
      </c>
      <c r="B19849" s="2" t="str">
        <f>IFERROR(__xludf.DUMMYFUNCTION("GOOGLETRANSLATE(A19849, ""en"", ""mt"")"),"X'inhu s-salarju medju tal-kostruzzjoni fir-Renju Unit?")</f>
        <v>X'inhu s-salarju medju tal-kostruzzjoni fir-Renju Unit?</v>
      </c>
    </row>
    <row r="19850" ht="15.75" customHeight="1">
      <c r="A19850" s="2" t="s">
        <v>19850</v>
      </c>
      <c r="B19850" s="2" t="str">
        <f>IFERROR(__xludf.DUMMYFUNCTION("GOOGLETRANSLATE(A19850, ""en"", ""mt"")"),"X'tipprovdi r-Ruhr lill-komunità tagħha?")</f>
        <v>X'tipprovdi r-Ruhr lill-komunità tagħha?</v>
      </c>
    </row>
    <row r="19851" ht="15.75" customHeight="1">
      <c r="A19851" s="2" t="s">
        <v>19851</v>
      </c>
      <c r="B19851" s="2" t="str">
        <f>IFERROR(__xludf.DUMMYFUNCTION("GOOGLETRANSLATE(A19851, ""en"", ""mt"")"),"Min ordna lil Loudoun biex jiddefendi lil Louisbourg?")</f>
        <v>Min ordna lil Loudoun biex jiddefendi lil Louisbourg?</v>
      </c>
    </row>
    <row r="19852" ht="15.75" customHeight="1">
      <c r="A19852" s="2" t="s">
        <v>19852</v>
      </c>
      <c r="B19852" s="2" t="str">
        <f>IFERROR(__xludf.DUMMYFUNCTION("GOOGLETRANSLATE(A19852, ""en"", ""mt"")"),"siġġijiet tal-kostitwenza")</f>
        <v>siġġijiet tal-kostitwenza</v>
      </c>
    </row>
    <row r="19853" ht="15.75" customHeight="1">
      <c r="A19853" s="2" t="s">
        <v>19853</v>
      </c>
      <c r="B19853" s="2" t="str">
        <f>IFERROR(__xludf.DUMMYFUNCTION("GOOGLETRANSLATE(A19853, ""en"", ""mt"")"),"Ir-rwol tal-ispiżjar kliniku jinvolvi l-ħolqien ta 'pjan komprensiv ta' terapija ta 'mediċina għal problemi speċifiċi għall-pazjent, l-identifikazzjoni ta' għanijiet ta 'terapija, u tirrevedi l-mediċini preskritti kollha qabel it-tqassim u l-għoti lill-pa"&amp;"zjent. Il-proċess ta 'reviżjoni ħafna drabi jinvolvi evalwazzjoni ta' l-adegwatezza tat-terapija tal-mediċina (per eżempju, l-għażla tal-mediċina, id-doża, ir-rotta, il-frekwenza, u t-tul tat-terapija) u l-effikaċja tagħha. L-ispiżjar għandu wkoll jimmoni"&amp;"torja għal interazzjonijiet potenzjali ta 'mediċini, reazzjonijiet avversi għall-mediċina, u jivvaluta l-allerġiji tal-mediċina tal-pazjent waqt li jiddisinja u jibda pjan ta' terapija ta 'mediċina.")</f>
        <v>Ir-rwol tal-ispiżjar kliniku jinvolvi l-ħolqien ta 'pjan komprensiv ta' terapija ta 'mediċina għal problemi speċifiċi għall-pazjent, l-identifikazzjoni ta' għanijiet ta 'terapija, u tirrevedi l-mediċini preskritti kollha qabel it-tqassim u l-għoti lill-pazjent. Il-proċess ta 'reviżjoni ħafna drabi jinvolvi evalwazzjoni ta' l-adegwatezza tat-terapija tal-mediċina (per eżempju, l-għażla tal-mediċina, id-doża, ir-rotta, il-frekwenza, u t-tul tat-terapija) u l-effikaċja tagħha. L-ispiżjar għandu wkoll jimmonitorja għal interazzjonijiet potenzjali ta 'mediċini, reazzjonijiet avversi għall-mediċina, u jivvaluta l-allerġiji tal-mediċina tal-pazjent waqt li jiddisinja u jibda pjan ta' terapija ta 'mediċina.</v>
      </c>
    </row>
    <row r="19854" ht="15.75" customHeight="1">
      <c r="A19854" s="2" t="s">
        <v>19854</v>
      </c>
      <c r="B19854" s="2" t="str">
        <f>IFERROR(__xludf.DUMMYFUNCTION("GOOGLETRANSLATE(A19854, ""en"", ""mt"")"),"B'liema mezzi kienu x-xjenzati kapaċi li likwidi l-arja?")</f>
        <v>B'liema mezzi kienu x-xjenzati kapaċi li likwidi l-arja?</v>
      </c>
    </row>
    <row r="19855" ht="15.75" customHeight="1">
      <c r="A19855" s="2" t="s">
        <v>19855</v>
      </c>
      <c r="B19855" s="2" t="str">
        <f>IFERROR(__xludf.DUMMYFUNCTION("GOOGLETRANSLATE(A19855, ""en"", ""mt"")"),"In-nazzjonijiet industrijalizzati żiedu r-riservi tagħhom (billi espandu l-provvisti ta 'flushom) f'ammonti ferm akbar minn qabel")</f>
        <v>In-nazzjonijiet industrijalizzati żiedu r-riservi tagħhom (billi espandu l-provvisti ta 'flushom) f'ammonti ferm akbar minn qabel</v>
      </c>
    </row>
    <row r="19856" ht="15.75" customHeight="1">
      <c r="A19856" s="2" t="s">
        <v>19856</v>
      </c>
      <c r="B19856" s="2" t="str">
        <f>IFERROR(__xludf.DUMMYFUNCTION("GOOGLETRANSLATE(A19856, ""en"", ""mt"")"),"Xi tissuġġerixxi l-kelma prim ġeneralment?")</f>
        <v>Xi tissuġġerixxi l-kelma prim ġeneralment?</v>
      </c>
    </row>
    <row r="19857" ht="15.75" customHeight="1">
      <c r="A19857" s="2" t="s">
        <v>19857</v>
      </c>
      <c r="B19857" s="2" t="str">
        <f>IFERROR(__xludf.DUMMYFUNCTION("GOOGLETRANSLATE(A19857, ""en"", ""mt"")"),"Mapep tas-seklu dsatax")</f>
        <v>Mapep tas-seklu dsatax</v>
      </c>
    </row>
    <row r="19858" ht="15.75" customHeight="1">
      <c r="A19858" s="2" t="s">
        <v>19858</v>
      </c>
      <c r="B19858" s="2" t="str">
        <f>IFERROR(__xludf.DUMMYFUNCTION("GOOGLETRANSLATE(A19858, ""en"", ""mt"")"),"Ġnien tal-Palazz Krasiński")</f>
        <v>Ġnien tal-Palazz Krasiński</v>
      </c>
    </row>
    <row r="19859" ht="15.75" customHeight="1">
      <c r="A19859" s="2" t="s">
        <v>19859</v>
      </c>
      <c r="B19859" s="2" t="str">
        <f>IFERROR(__xludf.DUMMYFUNCTION("GOOGLETRANSLATE(A19859, ""en"", ""mt"")"),"F'liema pajjiż kienet ir-rivoluzzjoni tal-bellus tal-2004?")</f>
        <v>F'liema pajjiż kienet ir-rivoluzzjoni tal-bellus tal-2004?</v>
      </c>
    </row>
    <row r="19860" ht="15.75" customHeight="1">
      <c r="A19860" s="2" t="s">
        <v>19860</v>
      </c>
      <c r="B19860" s="2" t="str">
        <f>IFERROR(__xludf.DUMMYFUNCTION("GOOGLETRANSLATE(A19860, ""en"", ""mt"")"),"X'inhuma t-tribujiet li jitkellmu bil-Siouan?")</f>
        <v>X'inhuma t-tribujiet li jitkellmu bil-Siouan?</v>
      </c>
    </row>
    <row r="19861" ht="15.75" customHeight="1">
      <c r="A19861" s="2" t="s">
        <v>19861</v>
      </c>
      <c r="B19861" s="2" t="str">
        <f>IFERROR(__xludf.DUMMYFUNCTION("GOOGLETRANSLATE(A19861, ""en"", ""mt"")"),"Il-petroloġi jistgħu wkoll jużaw dejta dwar l-inklużjoni tal-fluwidi u jwettqu temperatura għolja u pressjoni esperimenti fiżiċi biex jifhmu t-temperaturi u l-pressjonijiet li fihom jidhru fażijiet minerali differenti, u kif jinbidlu permezz ta 'proċessi "&amp;"igneous u metamorfiċi. Din ir-riċerka tista 'tiġi estrapolata fil-qasam biex tifhem il-proċessi metamorfiċi u l-kundizzjonijiet tal-kristallizzazzjoni ta' blat igneous. Dan ix-xogħol jista 'jgħin ukoll biex jispjega proċessi li jseħħu fid-dinja, bħas-subd"&amp;"uction u l-evoluzzjoni tal-kamra tal-magma.")</f>
        <v>Il-petroloġi jistgħu wkoll jużaw dejta dwar l-inklużjoni tal-fluwidi u jwettqu temperatura għolja u pressjoni esperimenti fiżiċi biex jifhmu t-temperaturi u l-pressjonijiet li fihom jidhru fażijiet minerali differenti, u kif jinbidlu permezz ta 'proċessi igneous u metamorfiċi. Din ir-riċerka tista 'tiġi estrapolata fil-qasam biex tifhem il-proċessi metamorfiċi u l-kundizzjonijiet tal-kristallizzazzjoni ta' blat igneous. Dan ix-xogħol jista 'jgħin ukoll biex jispjega proċessi li jseħħu fid-dinja, bħas-subduction u l-evoluzzjoni tal-kamra tal-magma.</v>
      </c>
    </row>
    <row r="19862" ht="15.75" customHeight="1">
      <c r="A19862" s="2" t="s">
        <v>19862</v>
      </c>
      <c r="B19862" s="2" t="str">
        <f>IFERROR(__xludf.DUMMYFUNCTION("GOOGLETRANSLATE(A19862, ""en"", ""mt"")"),"Andrew Alper")</f>
        <v>Andrew Alper</v>
      </c>
    </row>
    <row r="19863" ht="15.75" customHeight="1">
      <c r="A19863" s="2" t="s">
        <v>19863</v>
      </c>
      <c r="B19863" s="2" t="str">
        <f>IFERROR(__xludf.DUMMYFUNCTION("GOOGLETRANSLATE(A19863, ""en"", ""mt"")"),"Arkitettura Gotika")</f>
        <v>Arkitettura Gotika</v>
      </c>
    </row>
    <row r="19864" ht="15.75" customHeight="1">
      <c r="A19864" s="2" t="s">
        <v>19864</v>
      </c>
      <c r="B19864" s="2" t="str">
        <f>IFERROR(__xludf.DUMMYFUNCTION("GOOGLETRANSLATE(A19864, ""en"", ""mt"")"),"Fejn intemm l-ewwel vjaġġ bil-ferrovija tad-dinja?")</f>
        <v>Fejn intemm l-ewwel vjaġġ bil-ferrovija tad-dinja?</v>
      </c>
    </row>
    <row r="19865" ht="15.75" customHeight="1">
      <c r="A19865" s="2" t="s">
        <v>19865</v>
      </c>
      <c r="B19865" s="2" t="str">
        <f>IFERROR(__xludf.DUMMYFUNCTION("GOOGLETRANSLATE(A19865, ""en"", ""mt"")"),"Is-servizzi ta 'min is-servizzi ta' kostruzzjoni jintegraw permezz tad-disinn u l-kostruzzjoni?")</f>
        <v>Is-servizzi ta 'min is-servizzi ta' kostruzzjoni jintegraw permezz tad-disinn u l-kostruzzjoni?</v>
      </c>
    </row>
    <row r="19866" ht="15.75" customHeight="1">
      <c r="A19866" s="2" t="s">
        <v>19866</v>
      </c>
      <c r="B19866" s="2" t="str">
        <f>IFERROR(__xludf.DUMMYFUNCTION("GOOGLETRANSLATE(A19866, ""en"", ""mt"")"),"X'kienet is-setta favorita ta 'Kublai tal-Buddiżmu Tibetan?")</f>
        <v>X'kienet is-setta favorita ta 'Kublai tal-Buddiżmu Tibetan?</v>
      </c>
    </row>
    <row r="19867" ht="15.75" customHeight="1">
      <c r="A19867" s="2" t="s">
        <v>19867</v>
      </c>
      <c r="B19867" s="2" t="str">
        <f>IFERROR(__xludf.DUMMYFUNCTION("GOOGLETRANSLATE(A19867, ""en"", ""mt"")"),"Molekuli organiċi komuni")</f>
        <v>Molekuli organiċi komuni</v>
      </c>
    </row>
    <row r="19868" ht="15.75" customHeight="1">
      <c r="A19868" s="2" t="s">
        <v>19868</v>
      </c>
      <c r="B19868" s="2" t="str">
        <f>IFERROR(__xludf.DUMMYFUNCTION("GOOGLETRANSLATE(A19868, ""en"", ""mt"")"),"F'liema sena miet Henry Ware?")</f>
        <v>F'liema sena miet Henry Ware?</v>
      </c>
    </row>
    <row r="19869" ht="15.75" customHeight="1">
      <c r="A19869" s="2" t="s">
        <v>19869</v>
      </c>
      <c r="B19869" s="2" t="str">
        <f>IFERROR(__xludf.DUMMYFUNCTION("GOOGLETRANSLATE(A19869, ""en"", ""mt"")"),"Il-Kunsill Reġjonali ta 'Strathclyde Ex-Diskussjoni tal-Kamra fi Glasgow")</f>
        <v>Il-Kunsill Reġjonali ta 'Strathclyde Ex-Diskussjoni tal-Kamra fi Glasgow</v>
      </c>
    </row>
    <row r="19870" ht="15.75" customHeight="1">
      <c r="A19870" s="2" t="s">
        <v>19870</v>
      </c>
      <c r="B19870" s="2" t="str">
        <f>IFERROR(__xludf.DUMMYFUNCTION("GOOGLETRANSLATE(A19870, ""en"", ""mt"")"),"Liema xmara oriġinarjament illimitat id-dukat")</f>
        <v>Liema xmara oriġinarjament illimitat id-dukat</v>
      </c>
    </row>
    <row r="19871" ht="15.75" customHeight="1">
      <c r="A19871" s="2" t="s">
        <v>19871</v>
      </c>
      <c r="B19871" s="2" t="str">
        <f>IFERROR(__xludf.DUMMYFUNCTION("GOOGLETRANSLATE(A19871, ""en"", ""mt"")"),"Għaliex l-Iżlamisti għandhom bżonn elezzjonijiet demokratiċi?")</f>
        <v>Għaliex l-Iżlamisti għandhom bżonn elezzjonijiet demokratiċi?</v>
      </c>
    </row>
    <row r="19872" ht="15.75" customHeight="1">
      <c r="A19872" s="2" t="s">
        <v>19872</v>
      </c>
      <c r="B19872" s="2" t="str">
        <f>IFERROR(__xludf.DUMMYFUNCTION("GOOGLETRANSLATE(A19872, ""en"", ""mt"")"),"Centrum meta serva bħala president?")</f>
        <v>Centrum meta serva bħala president?</v>
      </c>
    </row>
    <row r="19873" ht="15.75" customHeight="1">
      <c r="A19873" s="2" t="s">
        <v>19873</v>
      </c>
      <c r="B19873" s="2" t="str">
        <f>IFERROR(__xludf.DUMMYFUNCTION("GOOGLETRANSLATE(A19873, ""en"", ""mt"")"),"Moraine")</f>
        <v>Moraine</v>
      </c>
    </row>
    <row r="19874" ht="15.75" customHeight="1">
      <c r="A19874" s="2" t="s">
        <v>19874</v>
      </c>
      <c r="B19874" s="2" t="str">
        <f>IFERROR(__xludf.DUMMYFUNCTION("GOOGLETRANSLATE(A19874, ""en"", ""mt"")"),"Minn liema kunċett tal-matematika moderna Zhu Shijie jaħdem differenti minnu?")</f>
        <v>Minn liema kunċett tal-matematika moderna Zhu Shijie jaħdem differenti minnu?</v>
      </c>
    </row>
    <row r="19875" ht="15.75" customHeight="1">
      <c r="A19875" s="2" t="s">
        <v>19875</v>
      </c>
      <c r="B19875" s="2" t="str">
        <f>IFERROR(__xludf.DUMMYFUNCTION("GOOGLETRANSLATE(A19875, ""en"", ""mt"")"),"X'jikkawża li l-popolazzjoni ta 'ctenophora tikber b'rata splussiva?")</f>
        <v>X'jikkawża li l-popolazzjoni ta 'ctenophora tikber b'rata splussiva?</v>
      </c>
    </row>
    <row r="19876" ht="15.75" customHeight="1">
      <c r="A19876" s="2" t="s">
        <v>19876</v>
      </c>
      <c r="B19876" s="2" t="str">
        <f>IFERROR(__xludf.DUMMYFUNCTION("GOOGLETRANSLATE(A19876, ""en"", ""mt"")"),"Post ta 'Varsavja")</f>
        <v>Post ta 'Varsavja</v>
      </c>
    </row>
    <row r="19877" ht="15.75" customHeight="1">
      <c r="A19877" s="2" t="s">
        <v>19877</v>
      </c>
      <c r="B19877" s="2" t="str">
        <f>IFERROR(__xludf.DUMMYFUNCTION("GOOGLETRANSLATE(A19877, ""en"", ""mt"")"),"Antiforms")</f>
        <v>Antiforms</v>
      </c>
    </row>
    <row r="19878" ht="15.75" customHeight="1">
      <c r="A19878" s="2" t="s">
        <v>19878</v>
      </c>
      <c r="B19878" s="2" t="str">
        <f>IFERROR(__xludf.DUMMYFUNCTION("GOOGLETRANSLATE(A19878, ""en"", ""mt"")"),"X'inhu xandira tal-materjal Sky + HD?")</f>
        <v>X'inhu xandira tal-materjal Sky + HD?</v>
      </c>
    </row>
    <row r="19879" ht="15.75" customHeight="1">
      <c r="A19879" s="2" t="s">
        <v>19879</v>
      </c>
      <c r="B19879" s="2" t="str">
        <f>IFERROR(__xludf.DUMMYFUNCTION("GOOGLETRANSLATE(A19879, ""en"", ""mt"")"),"Direttiva tal-Kunsill tax-Xogħlijiet")</f>
        <v>Direttiva tal-Kunsill tax-Xogħlijiet</v>
      </c>
    </row>
    <row r="19880" ht="15.75" customHeight="1">
      <c r="A19880" s="2" t="s">
        <v>19880</v>
      </c>
      <c r="B19880" s="2" t="str">
        <f>IFERROR(__xludf.DUMMYFUNCTION("GOOGLETRANSLATE(A19880, ""en"", ""mt"")"),"X’kisponiet il-liċenzja biex tibni dan it-tip ta ’karozza fl-2011?")</f>
        <v>X’kisponiet il-liċenzja biex tibni dan it-tip ta ’karozza fl-2011?</v>
      </c>
    </row>
    <row r="19881" ht="15.75" customHeight="1">
      <c r="A19881" s="2" t="s">
        <v>19881</v>
      </c>
      <c r="B19881" s="2" t="str">
        <f>IFERROR(__xludf.DUMMYFUNCTION("GOOGLETRANSLATE(A19881, ""en"", ""mt"")"),"Dipartiment tal-Istat")</f>
        <v>Dipartiment tal-Istat</v>
      </c>
    </row>
    <row r="19882" ht="15.75" customHeight="1">
      <c r="A19882" s="2" t="s">
        <v>19882</v>
      </c>
      <c r="B19882" s="2" t="str">
        <f>IFERROR(__xludf.DUMMYFUNCTION("GOOGLETRANSLATE(A19882, ""en"", ""mt"")"),"Filwaqt li l-liġi kostituzzjonali tikkonċerna l-istruttura tal-governanza tal-Unjoni Ewropea, il-liġi amministrattiva tgħaqqad istituzzjonijiet tal-UE u stati membri biex isegwu l-liġi. Kemm l-istati membri kif ukoll il-kummissjoni għandhom dritt legali ġ"&amp;"enerali jew ""permanenti"" (locus standa) biex iġibu talbiet kontra istituzzjonijiet tal-UE u stati membri oħra għall-ksur tat-trattati. Mill-fondazzjoni tal-UE, il-Qorti tal-Ġustizzja ddeċidiet ukoll li t-trattati ppermettew liċ-ċittadini jew korporazzjo"&amp;"nijiet biex iġibu talbiet kontra l-UE u istituzzjonijiet tal-Istat Membru għall-ksur tat-trattati u r-regolamenti, jekk ġew interpretati sewwa bħala li joħolqu drittijiet u obbligi. Madankollu, taħt direttivi, iċ-ċittadini jew korporazzjonijiet intqal fl-"&amp;"1986 biex ma jitħallewx iġibu talbiet kontra partijiet oħra mhux statali. Dan kien ifisser li qrati ta 'l-istati membri ma kinux marbuta li japplikaw liġi tal-UE fejn regola nazzjonali kienet f'kunflitt, minkejja li l-gvern tal-istat membru jista' jiġi mħ"&amp;"arrek, jekk timponi obbligu fuq ċittadin jew korporazzjoni oħra. Dawn ir-regoli dwar ""effett dirett"" jillimitaw sa liema punt il-qrati tal-istat membri huma marbuta li jamministraw il-liġi tal-UE. L-azzjonijiet kollha mill-istituzzjonijiet tal-UE jistgħ"&amp;"u jkunu soġġetti għal reviżjoni ġudizzjarja, u ġġudikati minn standards ta 'proporzjonalità, partikolarment fejn huma involuti prinċipji ġenerali tal-liġi, jew drittijiet fundamentali. Ir-rimedju għal pretendent fejn kien hemm ksur tal-liġi ħafna drabi hu"&amp;"wa danni monetarji, iżda l-qrati jistgħu wkoll jeħtieġu prestazzjoni speċifika jew jagħtu mandat ta 'inibizzjoni, sabiex ikun assigurat li l-liġi tkun effettiva kemm jista' jkun.")</f>
        <v>Filwaqt li l-liġi kostituzzjonali tikkonċerna l-istruttura tal-governanza tal-Unjoni Ewropea, il-liġi amministrattiva tgħaqqad istituzzjonijiet tal-UE u stati membri biex isegwu l-liġi. Kemm l-istati membri kif ukoll il-kummissjoni għandhom dritt legali ġenerali jew "permanenti" (locus standa) biex iġibu talbiet kontra istituzzjonijiet tal-UE u stati membri oħra għall-ksur tat-trattati. Mill-fondazzjoni tal-UE, il-Qorti tal-Ġustizzja ddeċidiet ukoll li t-trattati ppermettew liċ-ċittadini jew korporazzjonijiet biex iġibu talbiet kontra l-UE u istituzzjonijiet tal-Istat Membru għall-ksur tat-trattati u r-regolamenti, jekk ġew interpretati sewwa bħala li joħolqu drittijiet u obbligi. Madankollu, taħt direttivi, iċ-ċittadini jew korporazzjonijiet intqal fl-1986 biex ma jitħallewx iġibu talbiet kontra partijiet oħra mhux statali. Dan kien ifisser li qrati ta 'l-istati membri ma kinux marbuta li japplikaw liġi tal-UE fejn regola nazzjonali kienet f'kunflitt, minkejja li l-gvern tal-istat membru jista' jiġi mħarrek, jekk timponi obbligu fuq ċittadin jew korporazzjoni oħra. Dawn ir-regoli dwar "effett dirett" jillimitaw sa liema punt il-qrati tal-istat membri huma marbuta li jamministraw il-liġi tal-UE. L-azzjonijiet kollha mill-istituzzjonijiet tal-UE jistgħu jkunu soġġetti għal reviżjoni ġudizzjarja, u ġġudikati minn standards ta 'proporzjonalità, partikolarment fejn huma involuti prinċipji ġenerali tal-liġi, jew drittijiet fundamentali. Ir-rimedju għal pretendent fejn kien hemm ksur tal-liġi ħafna drabi huwa danni monetarji, iżda l-qrati jistgħu wkoll jeħtieġu prestazzjoni speċifika jew jagħtu mandat ta 'inibizzjoni, sabiex ikun assigurat li l-liġi tkun effettiva kemm jista' jkun.</v>
      </c>
    </row>
    <row r="19883" ht="15.75" customHeight="1">
      <c r="A19883" s="2" t="s">
        <v>19883</v>
      </c>
      <c r="B19883" s="2" t="str">
        <f>IFERROR(__xludf.DUMMYFUNCTION("GOOGLETRANSLATE(A19883, ""en"", ""mt"")"),"Mantell")</f>
        <v>Mantell</v>
      </c>
    </row>
    <row r="19884" ht="15.75" customHeight="1">
      <c r="A19884" s="2" t="s">
        <v>19884</v>
      </c>
      <c r="B19884" s="2" t="str">
        <f>IFERROR(__xludf.DUMMYFUNCTION("GOOGLETRANSLATE(A19884, ""en"", ""mt"")"),"Il-proġett għandu jaderixxi mar-rekwiżiti tal-kodiċi taż-żona u tal-bini. Il-kostruzzjoni ta 'proġett li tonqos milli taderixxi mal-kodiċi ma tibbenefikax lis-sid. Xi ħtiġijiet legali jiġu minn malum f'kunsiderazzjonijiet SE, jew ix-xewqa li jiġu evitati "&amp;"affarijiet li huma indiskutibbli - il-pont jiġġarraf jew l-isplużjonijiet. Rekwiżiti legali oħra ġejjin minn konsiderazzjonijiet ta 'malum projbim, jew affarijiet li huma kwistjoni ta' drawwa jew aspettattiva, bħalma huma l-iżolament ta 'negozji għal dist"&amp;"rett ta' negozju u residenzi għal distrett residenzjali. Avukat jista 'jfittex bidliet jew eżenzjonijiet fil-liġi li jirregola l-art fejn se jinbena l-bini, jew billi jargumenta li regola mhix applikabbli (id-disinn tal-pont ma jikkawżax kollass), jew li "&amp;"d-drawwa m'għadhiex meħtieġa (aċċettazzjoni Spazji ta 'xogħol ħaj kiber fil-komunità).")</f>
        <v>Il-proġett għandu jaderixxi mar-rekwiżiti tal-kodiċi taż-żona u tal-bini. Il-kostruzzjoni ta 'proġett li tonqos milli taderixxi mal-kodiċi ma tibbenefikax lis-sid. Xi ħtiġijiet legali jiġu minn malum f'kunsiderazzjonijiet SE, jew ix-xewqa li jiġu evitati affarijiet li huma indiskutibbli - il-pont jiġġarraf jew l-isplużjonijiet. Rekwiżiti legali oħra ġejjin minn konsiderazzjonijiet ta 'malum projbim, jew affarijiet li huma kwistjoni ta' drawwa jew aspettattiva, bħalma huma l-iżolament ta 'negozji għal distrett ta' negozju u residenzi għal distrett residenzjali. Avukat jista 'jfittex bidliet jew eżenzjonijiet fil-liġi li jirregola l-art fejn se jinbena l-bini, jew billi jargumenta li regola mhix applikabbli (id-disinn tal-pont ma jikkawżax kollass), jew li d-drawwa m'għadhiex meħtieġa (aċċettazzjoni Spazji ta 'xogħol ħaj kiber fil-komunità).</v>
      </c>
    </row>
    <row r="19885" ht="15.75" customHeight="1">
      <c r="A19885" s="2" t="s">
        <v>19885</v>
      </c>
      <c r="B19885" s="2" t="str">
        <f>IFERROR(__xludf.DUMMYFUNCTION("GOOGLETRANSLATE(A19885, ""en"", ""mt"")"),"X'qed jiżdied il-prezz taż-żejt fl-1979 globalment?")</f>
        <v>X'qed jiżdied il-prezz taż-żejt fl-1979 globalment?</v>
      </c>
    </row>
    <row r="19886" ht="15.75" customHeight="1">
      <c r="A19886" s="2" t="s">
        <v>19886</v>
      </c>
      <c r="B19886" s="2" t="str">
        <f>IFERROR(__xludf.DUMMYFUNCTION("GOOGLETRANSLATE(A19886, ""en"", ""mt"")"),"Hassan Al Banna")</f>
        <v>Hassan Al Banna</v>
      </c>
    </row>
    <row r="19887" ht="15.75" customHeight="1">
      <c r="A19887" s="2" t="s">
        <v>19887</v>
      </c>
      <c r="B19887" s="2" t="str">
        <f>IFERROR(__xludf.DUMMYFUNCTION("GOOGLETRANSLATE(A19887, ""en"", ""mt"")"),"Liema ħsad ewlieni nġieb lejn iċ-Ċina mill-Punent?")</f>
        <v>Liema ħsad ewlieni nġieb lejn iċ-Ċina mill-Punent?</v>
      </c>
    </row>
    <row r="19888" ht="15.75" customHeight="1">
      <c r="A19888" s="2" t="s">
        <v>19888</v>
      </c>
      <c r="B19888" s="2" t="str">
        <f>IFERROR(__xludf.DUMMYFUNCTION("GOOGLETRANSLATE(A19888, ""en"", ""mt"")"),"X'inhi t-temperatura rreġistrata l-iktar sħuna ta 'Jacksonville?")</f>
        <v>X'inhi t-temperatura rreġistrata l-iktar sħuna ta 'Jacksonville?</v>
      </c>
    </row>
    <row r="19889" ht="15.75" customHeight="1">
      <c r="A19889" s="2" t="s">
        <v>19889</v>
      </c>
      <c r="B19889" s="2" t="str">
        <f>IFERROR(__xludf.DUMMYFUNCTION("GOOGLETRANSLATE(A19889, ""en"", ""mt"")"),"Riservat")</f>
        <v>Riservat</v>
      </c>
    </row>
    <row r="19890" ht="15.75" customHeight="1">
      <c r="A19890" s="2" t="s">
        <v>19890</v>
      </c>
      <c r="B19890" s="2" t="str">
        <f>IFERROR(__xludf.DUMMYFUNCTION("GOOGLETRANSLATE(A19890, ""en"", ""mt"")"),"F'liema belt hija l-iskola tal-bniet Rangi Ruru?")</f>
        <v>F'liema belt hija l-iskola tal-bniet Rangi Ruru?</v>
      </c>
    </row>
    <row r="19891" ht="15.75" customHeight="1">
      <c r="A19891" s="2" t="s">
        <v>19891</v>
      </c>
      <c r="B19891" s="2" t="str">
        <f>IFERROR(__xludf.DUMMYFUNCTION("GOOGLETRANSLATE(A19891, ""en"", ""mt"")"),"Siġġijiet tal-grupp ta 'ħidma")</f>
        <v>Siġġijiet tal-grupp ta 'ħidma</v>
      </c>
    </row>
    <row r="19892" ht="15.75" customHeight="1">
      <c r="A19892" s="2" t="s">
        <v>19892</v>
      </c>
      <c r="B19892" s="2" t="str">
        <f>IFERROR(__xludf.DUMMYFUNCTION("GOOGLETRANSLATE(A19892, ""en"", ""mt"")"),"Min stieden lil Washington biex jiġġieled miegħu?")</f>
        <v>Min stieden lil Washington biex jiġġieled miegħu?</v>
      </c>
    </row>
    <row r="19893" ht="15.75" customHeight="1">
      <c r="A19893" s="2" t="s">
        <v>19893</v>
      </c>
      <c r="B19893" s="2" t="str">
        <f>IFERROR(__xludf.DUMMYFUNCTION("GOOGLETRANSLATE(A19893, ""en"", ""mt"")"),"Fl-Ingilterra, il-perjodu ta 'arkitettura Norman jirnexxi immedjatament dak ta' l-Anglo-Sassonu u jippreċedi l-Gotiku bikri. Fin-Nofsinhar tal-Italja, in-Normanni inkorporaw elementi ta ’tekniki tal-bini Iżlamiku, Lombard u Biżantini tagħhom stess, u bdew"&amp;" stil uniku magħruf bħala arkitettura Norman-Għarbija fir-Renju ta’ Sqallija.")</f>
        <v>Fl-Ingilterra, il-perjodu ta 'arkitettura Norman jirnexxi immedjatament dak ta' l-Anglo-Sassonu u jippreċedi l-Gotiku bikri. Fin-Nofsinhar tal-Italja, in-Normanni inkorporaw elementi ta ’tekniki tal-bini Iżlamiku, Lombard u Biżantini tagħhom stess, u bdew stil uniku magħruf bħala arkitettura Norman-Għarbija fir-Renju ta’ Sqallija.</v>
      </c>
    </row>
    <row r="19894" ht="15.75" customHeight="1">
      <c r="A19894" s="2" t="s">
        <v>19894</v>
      </c>
      <c r="B19894" s="2" t="str">
        <f>IFERROR(__xludf.DUMMYFUNCTION("GOOGLETRANSLATE(A19894, ""en"", ""mt"")"),"X'kienet it-tellieqa primarja ta 'studenti li jattendu akkademji Kristjani wara d-deċiżjoni ta' Brown?")</f>
        <v>X'kienet it-tellieqa primarja ta 'studenti li jattendu akkademji Kristjani wara d-deċiżjoni ta' Brown?</v>
      </c>
    </row>
    <row r="19895" ht="15.75" customHeight="1">
      <c r="A19895" s="2" t="s">
        <v>19895</v>
      </c>
      <c r="B19895" s="2" t="str">
        <f>IFERROR(__xludf.DUMMYFUNCTION("GOOGLETRANSLATE(A19895, ""en"", ""mt"")"),"Min mexxa l-attakk fuq Spanja fl-1565?")</f>
        <v>Min mexxa l-attakk fuq Spanja fl-1565?</v>
      </c>
    </row>
    <row r="19896" ht="15.75" customHeight="1">
      <c r="A19896" s="2" t="s">
        <v>19896</v>
      </c>
      <c r="B19896" s="2" t="str">
        <f>IFERROR(__xludf.DUMMYFUNCTION("GOOGLETRANSLATE(A19896, ""en"", ""mt"")"),"X'inhu t-tip ta 'produzzjoni ta' ossiġnu għall-ossiġnu ta 'emerġenza fil-linji tal-ajru?")</f>
        <v>X'inhu t-tip ta 'produzzjoni ta' ossiġnu għall-ossiġnu ta 'emerġenza fil-linji tal-ajru?</v>
      </c>
    </row>
    <row r="19897" ht="15.75" customHeight="1">
      <c r="A19897" s="2" t="s">
        <v>19897</v>
      </c>
      <c r="B19897" s="2" t="str">
        <f>IFERROR(__xludf.DUMMYFUNCTION("GOOGLETRANSLATE(A19897, ""en"", ""mt"")"),"Żoni statistiċi metropolitani")</f>
        <v>Żoni statistiċi metropolitani</v>
      </c>
    </row>
    <row r="19898" ht="15.75" customHeight="1">
      <c r="A19898" s="2" t="s">
        <v>19898</v>
      </c>
      <c r="B19898" s="2" t="str">
        <f>IFERROR(__xludf.DUMMYFUNCTION("GOOGLETRANSLATE(A19898, ""en"", ""mt"")"),"F'liema sena miet Louis XIV?")</f>
        <v>F'liema sena miet Louis XIV?</v>
      </c>
    </row>
    <row r="19899" ht="15.75" customHeight="1">
      <c r="A19899" s="2" t="s">
        <v>19899</v>
      </c>
      <c r="B19899" s="2" t="str">
        <f>IFERROR(__xludf.DUMMYFUNCTION("GOOGLETRANSLATE(A19899, ""en"", ""mt"")"),"rivalità qawwija kontra Cornell")</f>
        <v>rivalità qawwija kontra Cornell</v>
      </c>
    </row>
    <row r="19900" ht="15.75" customHeight="1">
      <c r="A19900" s="2" t="s">
        <v>19900</v>
      </c>
      <c r="B19900" s="2" t="str">
        <f>IFERROR(__xludf.DUMMYFUNCTION("GOOGLETRANSLATE(A19900, ""en"", ""mt"")"),"L-istudjużi ddikjaraw li diġà kien hemm soluzzjoni eżistenti bejn 2 partijiet qabel liema data?")</f>
        <v>L-istudjużi ddikjaraw li diġà kien hemm soluzzjoni eżistenti bejn 2 partijiet qabel liema data?</v>
      </c>
    </row>
    <row r="19901" ht="15.75" customHeight="1">
      <c r="A19901" s="2" t="s">
        <v>19901</v>
      </c>
      <c r="B19901" s="2" t="str">
        <f>IFERROR(__xludf.DUMMYFUNCTION("GOOGLETRANSLATE(A19901, ""en"", ""mt"")"),"mibgħuta sitt reġimenti lil Franza Ġdida")</f>
        <v>mibgħuta sitt reġimenti lil Franza Ġdida</v>
      </c>
    </row>
    <row r="19902" ht="15.75" customHeight="1">
      <c r="A19902" s="2" t="s">
        <v>19902</v>
      </c>
      <c r="B19902" s="2" t="str">
        <f>IFERROR(__xludf.DUMMYFUNCTION("GOOGLETRANSLATE(A19902, ""en"", ""mt"")"),"Xi wħud jemmnu li t-Trattat ta 'Versailles assistit fih?")</f>
        <v>Xi wħud jemmnu li t-Trattat ta 'Versailles assistit fih?</v>
      </c>
    </row>
    <row r="19903" ht="15.75" customHeight="1">
      <c r="A19903" s="2" t="s">
        <v>19903</v>
      </c>
      <c r="B19903" s="2" t="str">
        <f>IFERROR(__xludf.DUMMYFUNCTION("GOOGLETRANSLATE(A19903, ""en"", ""mt"")"),"Henry IV")</f>
        <v>Henry IV</v>
      </c>
    </row>
    <row r="19904" ht="15.75" customHeight="1">
      <c r="A19904" s="2" t="s">
        <v>19904</v>
      </c>
      <c r="B19904" s="2" t="str">
        <f>IFERROR(__xludf.DUMMYFUNCTION("GOOGLETRANSLATE(A19904, ""en"", ""mt"")"),"Kif huwa kkaratterizzat il-bidla tal-pakketti")</f>
        <v>Kif huwa kkaratterizzat il-bidla tal-pakketti</v>
      </c>
    </row>
    <row r="19905" ht="15.75" customHeight="1">
      <c r="A19905" s="2" t="s">
        <v>19905</v>
      </c>
      <c r="B19905" s="2" t="str">
        <f>IFERROR(__xludf.DUMMYFUNCTION("GOOGLETRANSLATE(A19905, ""en"", ""mt"")"),"Meta l-forzi jaġixxu fuq korp estiż, x'għandek bżonn tagħti kont għall-effetti tal-moviment?")</f>
        <v>Meta l-forzi jaġixxu fuq korp estiż, x'għandek bżonn tagħti kont għall-effetti tal-moviment?</v>
      </c>
    </row>
    <row r="19906" ht="15.75" customHeight="1">
      <c r="A19906" s="2" t="s">
        <v>19906</v>
      </c>
      <c r="B19906" s="2" t="str">
        <f>IFERROR(__xludf.DUMMYFUNCTION("GOOGLETRANSLATE(A19906, ""en"", ""mt"")"),"Liema komposti huma rilaxxati minn ċelloli mweġġa 'jew infettati, li jikkawżaw infjammazzjoni?")</f>
        <v>Liema komposti huma rilaxxati minn ċelloli mweġġa 'jew infettati, li jikkawżaw infjammazzjoni?</v>
      </c>
    </row>
    <row r="19907" ht="15.75" customHeight="1">
      <c r="A19907" s="2" t="s">
        <v>19907</v>
      </c>
      <c r="B19907" s="2" t="str">
        <f>IFERROR(__xludf.DUMMYFUNCTION("GOOGLETRANSLATE(A19907, ""en"", ""mt"")"),"Teħid qawwi ta 'proprjetà")</f>
        <v>Teħid qawwi ta 'proprjetà</v>
      </c>
    </row>
    <row r="19908" ht="15.75" customHeight="1">
      <c r="A19908" s="2" t="s">
        <v>19908</v>
      </c>
      <c r="B19908" s="2" t="str">
        <f>IFERROR(__xludf.DUMMYFUNCTION("GOOGLETRANSLATE(A19908, ""en"", ""mt"")"),"X'kienet is-sinifikat tar-rebħa Ingliża?")</f>
        <v>X'kienet is-sinifikat tar-rebħa Ingliża?</v>
      </c>
    </row>
    <row r="19909" ht="15.75" customHeight="1">
      <c r="A19909" s="2" t="s">
        <v>19909</v>
      </c>
      <c r="B19909" s="2" t="str">
        <f>IFERROR(__xludf.DUMMYFUNCTION("GOOGLETRANSLATE(A19909, ""en"", ""mt"")"),"Newton waslet biex tirrealizza li l-effetti tal-gravità jistgħu jiġu osservati b’modi differenti f’distanzi akbar. B'mod partikolari, Newton iddetermina li l-aċċellerazzjoni tal-qamar madwar id-dinja tista 'tiġi attribwita għall-istess forza tal-gravità j"&amp;"ekk l-aċċellerazzjoni minħabba l-gravità naqset bħala liġi kwadra inversa. Barra minn hekk, Newton induna li l-aċċellerazzjoni minħabba l-gravità hija proporzjonali għall-massa tal-korp li jattira. Li tgħaqqad dawn l-ideat tagħti formula li tirrelata l-ma"&amp;"ssa () u r-raġġ () tad-dinja mal-aċċelerazzjoni gravitazzjonali:")</f>
        <v>Newton waslet biex tirrealizza li l-effetti tal-gravità jistgħu jiġu osservati b’modi differenti f’distanzi akbar. B'mod partikolari, Newton iddetermina li l-aċċellerazzjoni tal-qamar madwar id-dinja tista 'tiġi attribwita għall-istess forza tal-gravità jekk l-aċċellerazzjoni minħabba l-gravità naqset bħala liġi kwadra inversa. Barra minn hekk, Newton induna li l-aċċellerazzjoni minħabba l-gravità hija proporzjonali għall-massa tal-korp li jattira. Li tgħaqqad dawn l-ideat tagħti formula li tirrelata l-massa () u r-raġġ () tad-dinja mal-aċċelerazzjoni gravitazzjonali:</v>
      </c>
    </row>
    <row r="19910" ht="15.75" customHeight="1">
      <c r="A19910" s="2" t="s">
        <v>19910</v>
      </c>
      <c r="B19910" s="2" t="str">
        <f>IFERROR(__xludf.DUMMYFUNCTION("GOOGLETRANSLATE(A19910, ""en"", ""mt"")"),"temperatura tal-għeluq")</f>
        <v>temperatura tal-għeluq</v>
      </c>
    </row>
    <row r="19911" ht="15.75" customHeight="1">
      <c r="A19911" s="2" t="s">
        <v>19911</v>
      </c>
      <c r="B19911" s="2" t="str">
        <f>IFERROR(__xludf.DUMMYFUNCTION("GOOGLETRANSLATE(A19911, ""en"", ""mt"")"),"X'tip ta 'effett farmakoloġiku x'aktarx huwa spjegazzjoni għall- ""spinta"" mill-ossiġnu?")</f>
        <v>X'tip ta 'effett farmakoloġiku x'aktarx huwa spjegazzjoni għall- "spinta" mill-ossiġnu?</v>
      </c>
    </row>
    <row r="19912" ht="15.75" customHeight="1">
      <c r="A19912" s="2" t="s">
        <v>19912</v>
      </c>
      <c r="B19912" s="2" t="str">
        <f>IFERROR(__xludf.DUMMYFUNCTION("GOOGLETRANSLATE(A19912, ""en"", ""mt"")"),"X'għandha ssolvi l-problema ta 'għażla ta' lista ta 'numri interi li tingħata bħala l-input?")</f>
        <v>X'għandha ssolvi l-problema ta 'għażla ta' lista ta 'numri interi li tingħata bħala l-input?</v>
      </c>
    </row>
    <row r="19913" ht="15.75" customHeight="1">
      <c r="A19913" s="2" t="s">
        <v>19913</v>
      </c>
      <c r="B19913" s="2" t="str">
        <f>IFERROR(__xludf.DUMMYFUNCTION("GOOGLETRANSLATE(A19913, ""en"", ""mt"")"),"Fl-2003")</f>
        <v>Fl-2003</v>
      </c>
    </row>
    <row r="19914" ht="15.75" customHeight="1">
      <c r="A19914" s="2" t="s">
        <v>19914</v>
      </c>
      <c r="B19914" s="2" t="str">
        <f>IFERROR(__xludf.DUMMYFUNCTION("GOOGLETRANSLATE(A19914, ""en"", ""mt"")"),"Liema gvernatur ma kienx inkarigat minn Franza l-ġdida miet fl-1752?")</f>
        <v>Liema gvernatur ma kienx inkarigat minn Franza l-ġdida miet fl-1752?</v>
      </c>
    </row>
    <row r="19915" ht="15.75" customHeight="1">
      <c r="A19915" s="2" t="s">
        <v>19915</v>
      </c>
      <c r="B19915" s="2" t="str">
        <f>IFERROR(__xludf.DUMMYFUNCTION("GOOGLETRANSLATE(A19915, ""en"", ""mt"")"),"Xi 30% tal-belt")</f>
        <v>Xi 30% tal-belt</v>
      </c>
    </row>
    <row r="19916" ht="15.75" customHeight="1">
      <c r="A19916" s="2" t="s">
        <v>19916</v>
      </c>
      <c r="B19916" s="2" t="str">
        <f>IFERROR(__xludf.DUMMYFUNCTION("GOOGLETRANSLATE(A19916, ""en"", ""mt"")"),"X'inhuma l-kumitati fil-Parlament Skoċċiż meta mqabbla ma 'sistemi oħra?")</f>
        <v>X'inhuma l-kumitati fil-Parlament Skoċċiż meta mqabbla ma 'sistemi oħra?</v>
      </c>
    </row>
    <row r="19917" ht="15.75" customHeight="1">
      <c r="A19917" s="2" t="s">
        <v>19917</v>
      </c>
      <c r="B19917" s="2" t="str">
        <f>IFERROR(__xludf.DUMMYFUNCTION("GOOGLETRANSLATE(A19917, ""en"", ""mt"")")," X’jagħmlu l-Musulmani li rrifjutaw il-Ħamas?")</f>
        <v> X’jagħmlu l-Musulmani li rrifjutaw il-Ħamas?</v>
      </c>
    </row>
    <row r="19918" ht="15.75" customHeight="1">
      <c r="A19918" s="2" t="s">
        <v>19918</v>
      </c>
      <c r="B19918" s="2" t="str">
        <f>IFERROR(__xludf.DUMMYFUNCTION("GOOGLETRANSLATE(A19918, ""en"", ""mt"")"),"jiksbu medikazzjoni kosteffikaċi")</f>
        <v>jiksbu medikazzjoni kosteffikaċi</v>
      </c>
    </row>
    <row r="19919" ht="15.75" customHeight="1">
      <c r="A19919" s="2" t="s">
        <v>19919</v>
      </c>
      <c r="B19919" s="2" t="str">
        <f>IFERROR(__xludf.DUMMYFUNCTION("GOOGLETRANSLATE(A19919, ""en"", ""mt"")"),"ammont ta 'ħin li għalih huma permessi jitkellmu")</f>
        <v>ammont ta 'ħin li għalih huma permessi jitkellmu</v>
      </c>
    </row>
    <row r="19920" ht="15.75" customHeight="1">
      <c r="A19920" s="2" t="s">
        <v>19920</v>
      </c>
      <c r="B19920" s="2" t="str">
        <f>IFERROR(__xludf.DUMMYFUNCTION("GOOGLETRANSLATE(A19920, ""en"", ""mt"")"),"X'kien ippruvat fl-2001 fir-rigward tal-fażi ta 'ossiġnu solidu?")</f>
        <v>X'kien ippruvat fl-2001 fir-rigward tal-fażi ta 'ossiġnu solidu?</v>
      </c>
    </row>
    <row r="19921" ht="15.75" customHeight="1">
      <c r="A19921" s="2" t="s">
        <v>19921</v>
      </c>
      <c r="B19921" s="2" t="str">
        <f>IFERROR(__xludf.DUMMYFUNCTION("GOOGLETRANSLATE(A19921, ""en"", ""mt"")"),"Ġeoglyphs li jmorru għal liema perjodu nstabu f'art deforestata tul ix-xmara Amazon?")</f>
        <v>Ġeoglyphs li jmorru għal liema perjodu nstabu f'art deforestata tul ix-xmara Amazon?</v>
      </c>
    </row>
    <row r="19922" ht="15.75" customHeight="1">
      <c r="A19922" s="2" t="s">
        <v>19922</v>
      </c>
      <c r="B19922" s="2" t="str">
        <f>IFERROR(__xludf.DUMMYFUNCTION("GOOGLETRANSLATE(A19922, ""en"", ""mt"")"),"Kastelli")</f>
        <v>Kastelli</v>
      </c>
    </row>
    <row r="19923" ht="15.75" customHeight="1">
      <c r="A19923" s="2" t="s">
        <v>19923</v>
      </c>
      <c r="B19923" s="2" t="str">
        <f>IFERROR(__xludf.DUMMYFUNCTION("GOOGLETRANSLATE(A19923, ""en"", ""mt"")"),"Flussi tal-lava bażaltiċi b'saffi")</f>
        <v>Flussi tal-lava bażaltiċi b'saffi</v>
      </c>
    </row>
    <row r="19924" ht="15.75" customHeight="1">
      <c r="A19924" s="2" t="s">
        <v>19924</v>
      </c>
      <c r="B19924" s="2" t="str">
        <f>IFERROR(__xludf.DUMMYFUNCTION("GOOGLETRANSLATE(A19924, ""en"", ""mt"")"),"Ta 'x'inhu l-ożonu parti reattiva ta' ossiġnu?")</f>
        <v>Ta 'x'inhu l-ożonu parti reattiva ta' ossiġnu?</v>
      </c>
    </row>
    <row r="19925" ht="15.75" customHeight="1">
      <c r="A19925" s="2" t="s">
        <v>19925</v>
      </c>
      <c r="B19925" s="2" t="str">
        <f>IFERROR(__xludf.DUMMYFUNCTION("GOOGLETRANSLATE(A19925, ""en"", ""mt"")"),"L-infrastruttura ta 'spiss tissejjaħ xiex?")</f>
        <v>L-infrastruttura ta 'spiss tissejjaħ xiex?</v>
      </c>
    </row>
    <row r="19926" ht="15.75" customHeight="1">
      <c r="A19926" s="2" t="s">
        <v>19926</v>
      </c>
      <c r="B19926" s="2" t="str">
        <f>IFERROR(__xludf.DUMMYFUNCTION("GOOGLETRANSLATE(A19926, ""en"", ""mt"")"),"X'inhi l-loġika wara l-istrateġija evoluzzjonarja tan-numru Cicadas?")</f>
        <v>X'inhi l-loġika wara l-istrateġija evoluzzjonarja tan-numru Cicadas?</v>
      </c>
    </row>
    <row r="19927" ht="15.75" customHeight="1">
      <c r="A19927" s="2" t="s">
        <v>19927</v>
      </c>
      <c r="B19927" s="2" t="str">
        <f>IFERROR(__xludf.DUMMYFUNCTION("GOOGLETRANSLATE(A19927, ""en"", ""mt"")"),"Għaliex l-ossiġnu jifforma bonds mat-tipi l-oħra kollha ta 'elementi?")</f>
        <v>Għaliex l-ossiġnu jifforma bonds mat-tipi l-oħra kollha ta 'elementi?</v>
      </c>
    </row>
    <row r="19928" ht="15.75" customHeight="1">
      <c r="A19928" s="2" t="s">
        <v>19928</v>
      </c>
      <c r="B19928" s="2" t="str">
        <f>IFERROR(__xludf.DUMMYFUNCTION("GOOGLETRANSLATE(A19928, ""en"", ""mt"")"),"L-ispedizzjoni ta 'Johnson kienet organizzata aħjar minn dik ta' Shirley, li kienet innutata mill-gvernatur ta 'New France, il-Marquis de Vaudreuil. Huwa kien primarjament imħasseb dwar il-linja ta 'provvista estiża għall-fortizzi fuq l-Ohio, u kien bagħa"&amp;"t lill-Baruni Dieskau biex imexxi d-difiżi fi Frontenac kontra l-attakk mistenni ta' Shirley. Meta Johnson kien meqjus bħala t-theddida ikbar, Vaudreuil bagħat lil Dieskau fil-Fort San Frédéric biex jiltaqa ’ma’ dik it-theddida. Dieskau ppjana li jattakka"&amp;" l-akkampjar Brittaniku fil-Fort Edward fit-tarf ta 'fuq tan-navigazzjoni fuq ix-Xmara Hudson, iżda Johnson kien imsaħħaħ bil-qawwa, u l-appoġġ Indjan ta' Dieskau kien ħerqan li jattakka. Iż-żewġ forzi fl-aħħar iltaqgħu fil-battalja mdemmi tal-Lag George "&amp;"bejn Fort Edward u Fort William Henry. Il-battalja ntemmet b'mod inkonklussiv, biż-żewġ naħat jirtiraw mill-għalqa. L-avvanz ta ’Johnson waqaf fil-Fort William Henry, u l-Franċiżi rtiraw lejn Ticonderoga Point, fejn bdew il-kostruzzjoni ta’ Fort Carillon "&amp;"(aktar tard semmiet Fort Ticonderoga wara li qbadt l-Ingliżi fl-1759).")</f>
        <v>L-ispedizzjoni ta 'Johnson kienet organizzata aħjar minn dik ta' Shirley, li kienet innutata mill-gvernatur ta 'New France, il-Marquis de Vaudreuil. Huwa kien primarjament imħasseb dwar il-linja ta 'provvista estiża għall-fortizzi fuq l-Ohio, u kien bagħat lill-Baruni Dieskau biex imexxi d-difiżi fi Frontenac kontra l-attakk mistenni ta' Shirley. Meta Johnson kien meqjus bħala t-theddida ikbar, Vaudreuil bagħat lil Dieskau fil-Fort San Frédéric biex jiltaqa ’ma’ dik it-theddida. Dieskau ppjana li jattakka l-akkampjar Brittaniku fil-Fort Edward fit-tarf ta 'fuq tan-navigazzjoni fuq ix-Xmara Hudson, iżda Johnson kien imsaħħaħ bil-qawwa, u l-appoġġ Indjan ta' Dieskau kien ħerqan li jattakka. Iż-żewġ forzi fl-aħħar iltaqgħu fil-battalja mdemmi tal-Lag George bejn Fort Edward u Fort William Henry. Il-battalja ntemmet b'mod inkonklussiv, biż-żewġ naħat jirtiraw mill-għalqa. L-avvanz ta ’Johnson waqaf fil-Fort William Henry, u l-Franċiżi rtiraw lejn Ticonderoga Point, fejn bdew il-kostruzzjoni ta’ Fort Carillon (aktar tard semmiet Fort Ticonderoga wara li qbadt l-Ingliżi fl-1759).</v>
      </c>
    </row>
    <row r="19929" ht="15.75" customHeight="1">
      <c r="A19929" s="2" t="s">
        <v>19929</v>
      </c>
      <c r="B19929" s="2" t="str">
        <f>IFERROR(__xludf.DUMMYFUNCTION("GOOGLETRANSLATE(A19929, ""en"", ""mt"")"),"Għal xiex huwa QED qasir?")</f>
        <v>Għal xiex huwa QED qasir?</v>
      </c>
    </row>
    <row r="19930" ht="15.75" customHeight="1">
      <c r="A19930" s="2" t="s">
        <v>19930</v>
      </c>
      <c r="B19930" s="2" t="str">
        <f>IFERROR(__xludf.DUMMYFUNCTION("GOOGLETRANSLATE(A19930, ""en"", ""mt"")"),"Bassett jiffoka fuq dak li juri l-idea tiegħu?")</f>
        <v>Bassett jiffoka fuq dak li juri l-idea tiegħu?</v>
      </c>
    </row>
    <row r="19931" ht="15.75" customHeight="1">
      <c r="A19931" s="2" t="s">
        <v>19931</v>
      </c>
      <c r="B19931" s="2" t="str">
        <f>IFERROR(__xludf.DUMMYFUNCTION("GOOGLETRANSLATE(A19931, ""en"", ""mt"")"),"X'inhu, flimkien ma 'solari, faħam, u nukleari, juża l-proċess tas-sħana?")</f>
        <v>X'inhu, flimkien ma 'solari, faħam, u nukleari, juża l-proċess tas-sħana?</v>
      </c>
    </row>
    <row r="19932" ht="15.75" customHeight="1">
      <c r="A19932" s="2" t="s">
        <v>19932</v>
      </c>
      <c r="B19932" s="2" t="str">
        <f>IFERROR(__xludf.DUMMYFUNCTION("GOOGLETRANSLATE(A19932, ""en"", ""mt"")"),"G. H. Hardy")</f>
        <v>G. H. Hardy</v>
      </c>
    </row>
    <row r="19933" ht="15.75" customHeight="1">
      <c r="A19933" s="2" t="s">
        <v>19933</v>
      </c>
      <c r="B19933" s="2" t="str">
        <f>IFERROR(__xludf.DUMMYFUNCTION("GOOGLETRANSLATE(A19933, ""en"", ""mt"")"),"Minbarra li joħolqu drittijiet għal ""ħaddiema"" li ġeneralment m'għandhomx poter ta 'negozjar fis-suq, it-trattat dwar il-funzjonament tal-Unjoni Ewropea jipproteġi wkoll il- ""libertà tal-istabbiliment"" fl-Artikolu 49, u ""libertà li tipprovdi servizzi"&amp;""" fl-Artikolu 56. Fil-Gebhard vs Consiglio dell'ordine degli avvocati e procuratori di milano, il-qorti tal-ġustizzja ddeċidiet li tkun ""stabbilita"" tfisser li tipparteċipa fil-ħajja ekonomika ""fuq bażi stabbli u kontinwa"", filwaqt li tipprovdi ""ser"&amp;"vizzi"" tfisser li ssegwi attività aktar ""fuq bażi temporanja "". Dan kien ifisser li avukat minn Stuttgart, li kien waqqaf kmamar f'Milan u ġie ċċensurat mill-Kunsill tal-Avukati ta 'Milan talli ma rreġistrax, kien intitolat li jġib talba għal-libertà t"&amp;"a' stabbiliment, aktar milli l-libertà tas-servizz. Madankollu, ir-rekwiżiti li għandhom jiġu rreġistrati f'Milan qabel ma jkunu jistgħu jipprattikaw ikunu permessi kieku ma kinux diskriminatorji, ""ġustifikati minn rekwiżiti imperattivi fl-interess ġener"&amp;"ali"" u applikati b'mod proporzjonat. In-nies jew l-entitajiet kollha li jinvolvu ruħhom f'attività ekonomika, partikolarment dawk li jaħdmu għal rashom, jew ""impriżi"" bħal kumpaniji jew ditti, għandhom id-dritt li jwaqqfu intrapriża mingħajr restrizzjo"&amp;"nijiet mhux ġustifikati. Il-Qorti tal-Ġustizzja ddeċidiet li kemm gvern tal-istat membru kif ukoll parti privata jistgħu jfixklu l-libertà tal-istabbiliment, u għalhekk l-Artikolu 49 għandu effett dirett kemm ""vertikali"" kif ukoll ""orizzontali"". Fil-B"&amp;"elġju fil-Belġju, il-Qorti tal-Ġustizzja ddeċidiet li rifjut li jammetti avukat fil-bar Belġjan għax kien nieqes miċ-ċittadinanza Belġjana ma kienx iġġustifikat. L-Artikolu 49 tat-TFEU jgħid li l-istati huma eżentati milli jiksru l-libertà ta 'stabbilimen"&amp;"t ta' ħaddieħor meta jeżerċitaw ""awtorità uffiċjali"", iżda dan għamel ix-xogħol ta 'avukat (għall-kuntrarju ta' qorti) ma kienx uffiċjali. B'kuntrast fil-Kummissjoni v l-Italja l-Qorti tal-Ġustizzja ddeċidiet li rekwiżit għall-avukati fl-Italja biex jik"&amp;"konformaw mat-tariffi massimi sakemm ma kienx hemm ftehim ma 'klijent ma kienx restrizzjoni. Il-kamra kbira tal-Qorti tal-Ġustizzja ddeċidiet li l-kummissjoni ma wrietx li dan kellu xi oġġett jew effett li jillimitaw prattikanti milli jidħlu fis-suq. Għal"&amp;"hekk, ma kien hemm l-ebda libertà ta 'stabbiliment ta' ksur ta 'prima facie li kellha tkun iġġustifikata.")</f>
        <v>Minbarra li joħolqu drittijiet għal "ħaddiema" li ġeneralment m'għandhomx poter ta 'negozjar fis-suq, it-trattat dwar il-funzjonament tal-Unjoni Ewropea jipproteġi wkoll il- "libertà tal-istabbiliment" fl-Artikolu 49, u "libertà li tipprovdi servizzi" fl-Artikolu 56. Fil-Gebhard vs Consiglio dell'ordine degli avvocati e procuratori di milano, il-qorti tal-ġustizzja ddeċidiet li tkun "stabbilita" tfisser li tipparteċipa fil-ħajja ekonomika "fuq bażi stabbli u kontinwa", filwaqt li tipprovdi "servizzi" tfisser li ssegwi attività aktar "fuq bażi temporanja ". Dan kien ifisser li avukat minn Stuttgart, li kien waqqaf kmamar f'Milan u ġie ċċensurat mill-Kunsill tal-Avukati ta 'Milan talli ma rreġistrax, kien intitolat li jġib talba għal-libertà ta' stabbiliment, aktar milli l-libertà tas-servizz. Madankollu, ir-rekwiżiti li għandhom jiġu rreġistrati f'Milan qabel ma jkunu jistgħu jipprattikaw ikunu permessi kieku ma kinux diskriminatorji, "ġustifikati minn rekwiżiti imperattivi fl-interess ġenerali" u applikati b'mod proporzjonat. In-nies jew l-entitajiet kollha li jinvolvu ruħhom f'attività ekonomika, partikolarment dawk li jaħdmu għal rashom, jew "impriżi" bħal kumpaniji jew ditti, għandhom id-dritt li jwaqqfu intrapriża mingħajr restrizzjonijiet mhux ġustifikati. Il-Qorti tal-Ġustizzja ddeċidiet li kemm gvern tal-istat membru kif ukoll parti privata jistgħu jfixklu l-libertà tal-istabbiliment, u għalhekk l-Artikolu 49 għandu effett dirett kemm "vertikali" kif ukoll "orizzontali". Fil-Belġju fil-Belġju, il-Qorti tal-Ġustizzja ddeċidiet li rifjut li jammetti avukat fil-bar Belġjan għax kien nieqes miċ-ċittadinanza Belġjana ma kienx iġġustifikat. L-Artikolu 49 tat-TFEU jgħid li l-istati huma eżentati milli jiksru l-libertà ta 'stabbiliment ta' ħaddieħor meta jeżerċitaw "awtorità uffiċjali", iżda dan għamel ix-xogħol ta 'avukat (għall-kuntrarju ta' qorti) ma kienx uffiċjali. B'kuntrast fil-Kummissjoni v l-Italja l-Qorti tal-Ġustizzja ddeċidiet li rekwiżit għall-avukati fl-Italja biex jikkonformaw mat-tariffi massimi sakemm ma kienx hemm ftehim ma 'klijent ma kienx restrizzjoni. Il-kamra kbira tal-Qorti tal-Ġustizzja ddeċidiet li l-kummissjoni ma wrietx li dan kellu xi oġġett jew effett li jillimitaw prattikanti milli jidħlu fis-suq. Għalhekk, ma kien hemm l-ebda libertà ta 'stabbiliment ta' ksur ta 'prima facie li kellha tkun iġġustifikata.</v>
      </c>
    </row>
    <row r="19934" ht="15.75" customHeight="1">
      <c r="A19934" s="2" t="s">
        <v>19934</v>
      </c>
      <c r="B19934" s="2" t="str">
        <f>IFERROR(__xludf.DUMMYFUNCTION("GOOGLETRANSLATE(A19934, ""en"", ""mt"")"),"Liema spiżjar irnexxielu jagħmel biżżejjed ossiġnu likwidu biex juża għall-istudju?")</f>
        <v>Liema spiżjar irnexxielu jagħmel biżżejjed ossiġnu likwidu biex juża għall-istudju?</v>
      </c>
    </row>
    <row r="19935" ht="15.75" customHeight="1">
      <c r="A19935" s="2" t="s">
        <v>19935</v>
      </c>
      <c r="B19935" s="2" t="str">
        <f>IFERROR(__xludf.DUMMYFUNCTION("GOOGLETRANSLATE(A19935, ""en"", ""mt"")"),"numru ta 'stadji")</f>
        <v>numru ta 'stadji</v>
      </c>
    </row>
    <row r="19936" ht="15.75" customHeight="1">
      <c r="A19936" s="2" t="s">
        <v>19936</v>
      </c>
      <c r="B19936" s="2" t="str">
        <f>IFERROR(__xludf.DUMMYFUNCTION("GOOGLETRANSLATE(A19936, ""en"", ""mt"")"),"X'inhu terminu ieħor użat għas-sena 13?")</f>
        <v>X'inhu terminu ieħor użat għas-sena 13?</v>
      </c>
    </row>
    <row r="19937" ht="15.75" customHeight="1">
      <c r="A19937" s="2" t="s">
        <v>19937</v>
      </c>
      <c r="B19937" s="2" t="str">
        <f>IFERROR(__xludf.DUMMYFUNCTION("GOOGLETRANSLATE(A19937, ""en"", ""mt"")"),"X'inhu definit billi tuża t-teorema ta 'tnaqqis?")</f>
        <v>X'inhu definit billi tuża t-teorema ta 'tnaqqis?</v>
      </c>
    </row>
    <row r="19938" ht="15.75" customHeight="1">
      <c r="A19938" s="2" t="s">
        <v>19938</v>
      </c>
      <c r="B19938" s="2" t="str">
        <f>IFERROR(__xludf.DUMMYFUNCTION("GOOGLETRANSLATE(A19938, ""en"", ""mt"")"),"is-servizz tal-kuxxinett pubbliku telepad")</f>
        <v>is-servizz tal-kuxxinett pubbliku telepad</v>
      </c>
    </row>
    <row r="19939" ht="15.75" customHeight="1">
      <c r="A19939" s="2" t="s">
        <v>19939</v>
      </c>
      <c r="B19939" s="2" t="str">
        <f>IFERROR(__xludf.DUMMYFUNCTION("GOOGLETRANSLATE(A19939, ""en"", ""mt"")"),"Min kien Boleslaw II ta 'Masovia?")</f>
        <v>Min kien Boleslaw II ta 'Masovia?</v>
      </c>
    </row>
    <row r="19940" ht="15.75" customHeight="1">
      <c r="A19940" s="2" t="s">
        <v>19940</v>
      </c>
      <c r="B19940" s="2" t="str">
        <f>IFERROR(__xludf.DUMMYFUNCTION("GOOGLETRANSLATE(A19940, ""en"", ""mt"")"),"Liema pont il-Ġermaniżi naqsu milli jitwaqqgħu?")</f>
        <v>Liema pont il-Ġermaniżi naqsu milli jitwaqqgħu?</v>
      </c>
    </row>
    <row r="19941" ht="15.75" customHeight="1">
      <c r="A19941" s="2" t="s">
        <v>19941</v>
      </c>
      <c r="B19941" s="2" t="str">
        <f>IFERROR(__xludf.DUMMYFUNCTION("GOOGLETRANSLATE(A19941, ""en"", ""mt"")"),"Liema żball sostanzjali poġġa r-riċerka tal-IPCC fid-dubju?")</f>
        <v>Liema żball sostanzjali poġġa r-riċerka tal-IPCC fid-dubju?</v>
      </c>
    </row>
    <row r="19942" ht="15.75" customHeight="1">
      <c r="A19942" s="2" t="s">
        <v>19942</v>
      </c>
      <c r="B19942" s="2" t="str">
        <f>IFERROR(__xludf.DUMMYFUNCTION("GOOGLETRANSLATE(A19942, ""en"", ""mt"")"),"Il-Konvenzjoni Ewropea dwar id-Drittijiet tal-Bniedem fl-1950 u t-Twaqqif tal-Qorti Ewropea tad-Drittijiet tal-Bniedem")</f>
        <v>Il-Konvenzjoni Ewropea dwar id-Drittijiet tal-Bniedem fl-1950 u t-Twaqqif tal-Qorti Ewropea tad-Drittijiet tal-Bniedem</v>
      </c>
    </row>
    <row r="19943" ht="15.75" customHeight="1">
      <c r="A19943" s="2" t="s">
        <v>19943</v>
      </c>
      <c r="B19943" s="2" t="str">
        <f>IFERROR(__xludf.DUMMYFUNCTION("GOOGLETRANSLATE(A19943, ""en"", ""mt"")"),"Min kellu aċċess mit-terminal mill-bogħod?")</f>
        <v>Min kellu aċċess mit-terminal mill-bogħod?</v>
      </c>
    </row>
    <row r="19944" ht="15.75" customHeight="1">
      <c r="A19944" s="2" t="s">
        <v>19944</v>
      </c>
      <c r="B19944" s="2" t="str">
        <f>IFERROR(__xludf.DUMMYFUNCTION("GOOGLETRANSLATE(A19944, ""en"", ""mt"")"),"Direttivi")</f>
        <v>Direttivi</v>
      </c>
    </row>
    <row r="19945" ht="15.75" customHeight="1">
      <c r="A19945" s="2" t="s">
        <v>19945</v>
      </c>
      <c r="B19945" s="2" t="str">
        <f>IFERROR(__xludf.DUMMYFUNCTION("GOOGLETRANSLATE(A19945, ""en"", ""mt"")"),"X'għandu jiġri jekk tiffoka biss fuq l-awto-gratifikazzjoni?")</f>
        <v>X'għandu jiġri jekk tiffoka biss fuq l-awto-gratifikazzjoni?</v>
      </c>
    </row>
    <row r="19946" ht="15.75" customHeight="1">
      <c r="A19946" s="2" t="s">
        <v>19946</v>
      </c>
      <c r="B19946" s="2" t="str">
        <f>IFERROR(__xludf.DUMMYFUNCTION("GOOGLETRANSLATE(A19946, ""en"", ""mt"")"),"L-IPCC kif tħejji rapporti speċjali?")</f>
        <v>L-IPCC kif tħejji rapporti speċjali?</v>
      </c>
    </row>
    <row r="19947" ht="15.75" customHeight="1">
      <c r="A19947" s="2" t="s">
        <v>19947</v>
      </c>
      <c r="B19947" s="2" t="str">
        <f>IFERROR(__xludf.DUMMYFUNCTION("GOOGLETRANSLATE(A19947, ""en"", ""mt"")"),"Kwistjonijiet relatati mas-sustanza tad-dikjarazzjoni")</f>
        <v>Kwistjonijiet relatati mas-sustanza tad-dikjarazzjoni</v>
      </c>
    </row>
    <row r="19948" ht="15.75" customHeight="1">
      <c r="A19948" s="2" t="s">
        <v>19948</v>
      </c>
      <c r="B19948" s="2" t="str">
        <f>IFERROR(__xludf.DUMMYFUNCTION("GOOGLETRANSLATE(A19948, ""en"", ""mt"")"),"Liema grupp ta 'ctenophore huma l-aktar diffiċli biex jiġu studjati?")</f>
        <v>Liema grupp ta 'ctenophore huma l-aktar diffiċli biex jiġu studjati?</v>
      </c>
    </row>
    <row r="19949" ht="15.75" customHeight="1">
      <c r="A19949" s="2" t="s">
        <v>19949</v>
      </c>
      <c r="B19949" s="2" t="str">
        <f>IFERROR(__xludf.DUMMYFUNCTION("GOOGLETRANSLATE(A19949, ""en"", ""mt"")"),"2100")</f>
        <v>2100</v>
      </c>
    </row>
    <row r="19950" ht="15.75" customHeight="1">
      <c r="A19950" s="2" t="s">
        <v>19950</v>
      </c>
      <c r="B19950" s="2" t="str">
        <f>IFERROR(__xludf.DUMMYFUNCTION("GOOGLETRANSLATE(A19950, ""en"", ""mt"")"),"Liema skambju fl-FMCG huwa wieħed mill-iktar importanti għall-Ewropa Ċentrali u tal-Lvant?")</f>
        <v>Liema skambju fl-FMCG huwa wieħed mill-iktar importanti għall-Ewropa Ċentrali u tal-Lvant?</v>
      </c>
    </row>
    <row r="19951" ht="15.75" customHeight="1">
      <c r="A19951" s="2" t="s">
        <v>19951</v>
      </c>
      <c r="B19951" s="2" t="str">
        <f>IFERROR(__xludf.DUMMYFUNCTION("GOOGLETRANSLATE(A19951, ""en"", ""mt"")"),"Liema sena seħħet l-għargħar li ħalla l-Meuse?")</f>
        <v>Liema sena seħħet l-għargħar li ħalla l-Meuse?</v>
      </c>
    </row>
    <row r="19952" ht="15.75" customHeight="1">
      <c r="A19952" s="2" t="s">
        <v>19952</v>
      </c>
      <c r="B19952" s="2" t="str">
        <f>IFERROR(__xludf.DUMMYFUNCTION("GOOGLETRANSLATE(A19952, ""en"", ""mt"")"),"qawwa solari")</f>
        <v>qawwa solari</v>
      </c>
    </row>
    <row r="19953" ht="15.75" customHeight="1">
      <c r="A19953" s="2" t="s">
        <v>19953</v>
      </c>
      <c r="B19953" s="2" t="str">
        <f>IFERROR(__xludf.DUMMYFUNCTION("GOOGLETRANSLATE(A19953, ""en"", ""mt"")"),"2009")</f>
        <v>2009</v>
      </c>
    </row>
    <row r="19954" ht="15.75" customHeight="1">
      <c r="A19954" s="2" t="s">
        <v>19954</v>
      </c>
      <c r="B19954" s="2" t="str">
        <f>IFERROR(__xludf.DUMMYFUNCTION("GOOGLETRANSLATE(A19954, ""en"", ""mt"")"),"X'kienet l-ewwel sena li Yale u Harvard lagħbu l-futbol?")</f>
        <v>X'kienet l-ewwel sena li Yale u Harvard lagħbu l-futbol?</v>
      </c>
    </row>
    <row r="19955" ht="15.75" customHeight="1">
      <c r="A19955" s="2" t="s">
        <v>19955</v>
      </c>
      <c r="B19955" s="2" t="str">
        <f>IFERROR(__xludf.DUMMYFUNCTION("GOOGLETRANSLATE(A19955, ""en"", ""mt"")"),"F'liema għandha d-duttrina ta 'l-aspettattivi leġittimi?")</f>
        <v>F'liema għandha d-duttrina ta 'l-aspettattivi leġittimi?</v>
      </c>
    </row>
    <row r="19956" ht="15.75" customHeight="1">
      <c r="A19956" s="2" t="s">
        <v>19956</v>
      </c>
      <c r="B19956" s="2" t="str">
        <f>IFERROR(__xludf.DUMMYFUNCTION("GOOGLETRANSLATE(A19956, ""en"", ""mt"")"),"Stil Art Deco fil-pittura u l-arti")</f>
        <v>Stil Art Deco fil-pittura u l-arti</v>
      </c>
    </row>
    <row r="19957" ht="15.75" customHeight="1">
      <c r="A19957" s="2" t="s">
        <v>19957</v>
      </c>
      <c r="B19957" s="2" t="str">
        <f>IFERROR(__xludf.DUMMYFUNCTION("GOOGLETRANSLATE(A19957, ""en"", ""mt"")"),"Kemm għandu rappreżentanti kull elettorat?")</f>
        <v>Kemm għandu rappreżentanti kull elettorat?</v>
      </c>
    </row>
    <row r="19958" ht="15.75" customHeight="1">
      <c r="A19958" s="2" t="s">
        <v>19958</v>
      </c>
      <c r="B19958" s="2" t="str">
        <f>IFERROR(__xludf.DUMMYFUNCTION("GOOGLETRANSLATE(A19958, ""en"", ""mt"")"),"Kif tipprova tistabbilixxi assemblea Skoċċiża devolta fl-1979?")</f>
        <v>Kif tipprova tistabbilixxi assemblea Skoċċiża devolta fl-1979?</v>
      </c>
    </row>
    <row r="19959" ht="15.75" customHeight="1">
      <c r="A19959" s="2" t="s">
        <v>19959</v>
      </c>
      <c r="B19959" s="2" t="str">
        <f>IFERROR(__xludf.DUMMYFUNCTION("GOOGLETRANSLATE(A19959, ""en"", ""mt"")"),"Meta l-okkupazzjoni tal-alleati titlaq minn Rhineland?")</f>
        <v>Meta l-okkupazzjoni tal-alleati titlaq minn Rhineland?</v>
      </c>
    </row>
    <row r="19960" ht="15.75" customHeight="1">
      <c r="A19960" s="2" t="s">
        <v>19960</v>
      </c>
      <c r="B19960" s="2" t="str">
        <f>IFERROR(__xludf.DUMMYFUNCTION("GOOGLETRANSLATE(A19960, ""en"", ""mt"")"),"Dak li jagħmel il-metodu tad-diviżjoni tal-prova aktar effiċjenti?")</f>
        <v>Dak li jagħmel il-metodu tad-diviżjoni tal-prova aktar effiċjenti?</v>
      </c>
    </row>
    <row r="19961" ht="15.75" customHeight="1">
      <c r="A19961" s="2" t="s">
        <v>19961</v>
      </c>
      <c r="B19961" s="2" t="str">
        <f>IFERROR(__xludf.DUMMYFUNCTION("GOOGLETRANSLATE(A19961, ""en"", ""mt"")"),"ma tistax tinkiteb bħala s-somma tal-għoqda ta 'żewġ għoqod mhux privati")</f>
        <v>ma tistax tinkiteb bħala s-somma tal-għoqda ta 'żewġ għoqod mhux privati</v>
      </c>
    </row>
    <row r="19962" ht="15.75" customHeight="1">
      <c r="A19962" s="2" t="s">
        <v>19962</v>
      </c>
      <c r="B19962" s="2" t="str">
        <f>IFERROR(__xludf.DUMMYFUNCTION("GOOGLETRANSLATE(A19962, ""en"", ""mt"")"),"aktar minn 18-il miljun")</f>
        <v>aktar minn 18-il miljun</v>
      </c>
    </row>
    <row r="19963" ht="15.75" customHeight="1">
      <c r="A19963" s="2" t="s">
        <v>19963</v>
      </c>
      <c r="B19963" s="2" t="str">
        <f>IFERROR(__xludf.DUMMYFUNCTION("GOOGLETRANSLATE(A19963, ""en"", ""mt"")"),"minimalità jew indekompożizzjoni")</f>
        <v>minimalità jew indekompożizzjoni</v>
      </c>
    </row>
    <row r="19964" ht="15.75" customHeight="1">
      <c r="A19964" s="2" t="s">
        <v>19964</v>
      </c>
      <c r="B19964" s="2" t="str">
        <f>IFERROR(__xludf.DUMMYFUNCTION("GOOGLETRANSLATE(A19964, ""en"", ""mt"")"),"Liema attakki proposti ppjanaw Shirley?")</f>
        <v>Liema attakki proposti ppjanaw Shirley?</v>
      </c>
    </row>
    <row r="19965" ht="15.75" customHeight="1">
      <c r="A19965" s="2" t="s">
        <v>19965</v>
      </c>
      <c r="B19965" s="2" t="str">
        <f>IFERROR(__xludf.DUMMYFUNCTION("GOOGLETRANSLATE(A19965, ""en"", ""mt"")"),"L-aħħar 5-10 miljun sena")</f>
        <v>L-aħħar 5-10 miljun sena</v>
      </c>
    </row>
    <row r="19966" ht="15.75" customHeight="1">
      <c r="A19966" s="2" t="s">
        <v>19966</v>
      </c>
      <c r="B19966" s="2" t="str">
        <f>IFERROR(__xludf.DUMMYFUNCTION("GOOGLETRANSLATE(A19966, ""en"", ""mt"")"),"evidenza xjentifika")</f>
        <v>evidenza xjentifika</v>
      </c>
    </row>
    <row r="19967" ht="15.75" customHeight="1">
      <c r="A19967" s="2" t="s">
        <v>19967</v>
      </c>
      <c r="B19967" s="2" t="str">
        <f>IFERROR(__xludf.DUMMYFUNCTION("GOOGLETRANSLATE(A19967, ""en"", ""mt"")"),"X'inhu pajjiż wieħed li ma jistax jiġi ssuġġerit għall-importazzjoni ta 'mediċini?")</f>
        <v>X'inhu pajjiż wieħed li ma jistax jiġi ssuġġerit għall-importazzjoni ta 'mediċini?</v>
      </c>
    </row>
    <row r="19968" ht="15.75" customHeight="1">
      <c r="A19968" s="2" t="s">
        <v>19968</v>
      </c>
      <c r="B19968" s="2" t="str">
        <f>IFERROR(__xludf.DUMMYFUNCTION("GOOGLETRANSLATE(A19968, ""en"", ""mt"")"),"Liema rata tat-taxxa għandha relazzjoni diretta mal-inugwaljanza tad-dħul?")</f>
        <v>Liema rata tat-taxxa għandha relazzjoni diretta mal-inugwaljanza tad-dħul?</v>
      </c>
    </row>
    <row r="19969" ht="15.75" customHeight="1">
      <c r="A19969" s="2" t="s">
        <v>19969</v>
      </c>
      <c r="B19969" s="2" t="str">
        <f>IFERROR(__xludf.DUMMYFUNCTION("GOOGLETRANSLATE(A19969, ""en"", ""mt"")"),"Kumitat ta 'Esperti Indipendenti")</f>
        <v>Kumitat ta 'Esperti Indipendenti</v>
      </c>
    </row>
    <row r="19970" ht="15.75" customHeight="1">
      <c r="A19970" s="2" t="s">
        <v>19970</v>
      </c>
      <c r="B19970" s="2" t="str">
        <f>IFERROR(__xludf.DUMMYFUNCTION("GOOGLETRANSLATE(A19970, ""en"", ""mt"")"),"Unitajiet ta 'kiri ta' kwalità")</f>
        <v>Unitajiet ta 'kiri ta' kwalità</v>
      </c>
    </row>
    <row r="19971" ht="15.75" customHeight="1">
      <c r="A19971" s="2" t="s">
        <v>19971</v>
      </c>
      <c r="B19971" s="2" t="str">
        <f>IFERROR(__xludf.DUMMYFUNCTION("GOOGLETRANSLATE(A19971, ""en"", ""mt"")"),"Thomas de Maiziere jservi liema rwol fil-kabinett Ġermaniż?")</f>
        <v>Thomas de Maiziere jservi liema rwol fil-kabinett Ġermaniż?</v>
      </c>
    </row>
    <row r="19972" ht="15.75" customHeight="1">
      <c r="A19972" s="2" t="s">
        <v>19972</v>
      </c>
      <c r="B19972" s="2" t="str">
        <f>IFERROR(__xludf.DUMMYFUNCTION("GOOGLETRANSLATE(A19972, ""en"", ""mt"")"),"Andrew Jackson")</f>
        <v>Andrew Jackson</v>
      </c>
    </row>
    <row r="19973" ht="15.75" customHeight="1">
      <c r="A19973" s="2" t="s">
        <v>19973</v>
      </c>
      <c r="B19973" s="2" t="str">
        <f>IFERROR(__xludf.DUMMYFUNCTION("GOOGLETRANSLATE(A19973, ""en"", ""mt"")"),"memorja immunoloġika")</f>
        <v>memorja immunoloġika</v>
      </c>
    </row>
    <row r="19974" ht="15.75" customHeight="1">
      <c r="A19974" s="2" t="s">
        <v>19974</v>
      </c>
      <c r="B19974" s="2" t="str">
        <f>IFERROR(__xludf.DUMMYFUNCTION("GOOGLETRANSLATE(A19974, ""en"", ""mt"")"),"Li ddeċidiet id-Dukat tan-Normandija")</f>
        <v>Li ddeċidiet id-Dukat tan-Normandija</v>
      </c>
    </row>
    <row r="19975" ht="15.75" customHeight="1">
      <c r="A19975" s="2" t="s">
        <v>19975</v>
      </c>
      <c r="B19975" s="2" t="str">
        <f>IFERROR(__xludf.DUMMYFUNCTION("GOOGLETRANSLATE(A19975, ""en"", ""mt"")"),"X'kienet il-konklużjoni ta 'Shrewsbury?")</f>
        <v>X'kienet il-konklużjoni ta 'Shrewsbury?</v>
      </c>
    </row>
    <row r="19976" ht="15.75" customHeight="1">
      <c r="A19976" s="2" t="s">
        <v>19976</v>
      </c>
      <c r="B19976" s="2" t="str">
        <f>IFERROR(__xludf.DUMMYFUNCTION("GOOGLETRANSLATE(A19976, ""en"", ""mt"")"),"Irlandiż")</f>
        <v>Irlandiż</v>
      </c>
    </row>
    <row r="19977" ht="15.75" customHeight="1">
      <c r="A19977" s="2" t="s">
        <v>19977</v>
      </c>
      <c r="B19977" s="2" t="str">
        <f>IFERROR(__xludf.DUMMYFUNCTION("GOOGLETRANSLATE(A19977, ""en"", ""mt"")"),"żieda fis-soluzzjoni u d-deforestazzjoni")</f>
        <v>żieda fis-soluzzjoni u d-deforestazzjoni</v>
      </c>
    </row>
    <row r="19978" ht="15.75" customHeight="1">
      <c r="A19978" s="2" t="s">
        <v>19978</v>
      </c>
      <c r="B19978" s="2" t="str">
        <f>IFERROR(__xludf.DUMMYFUNCTION("GOOGLETRANSLATE(A19978, ""en"", ""mt"")"),"Truppi Franċiżi waqqfu r-rewwixti tal-camisard bejn liema snin?")</f>
        <v>Truppi Franċiżi waqqfu r-rewwixti tal-camisard bejn liema snin?</v>
      </c>
    </row>
    <row r="19979" ht="15.75" customHeight="1">
      <c r="A19979" s="2" t="s">
        <v>19979</v>
      </c>
      <c r="B19979" s="2" t="str">
        <f>IFERROR(__xludf.DUMMYFUNCTION("GOOGLETRANSLATE(A19979, ""en"", ""mt"")"),"Ħtieġa għall-ekonomiji kapitalisti biex kontinwament jespandu l-investiment, ir-riżorsi materjali u l-ħaddiema")</f>
        <v>Ħtieġa għall-ekonomiji kapitalisti biex kontinwament jespandu l-investiment, ir-riżorsi materjali u l-ħaddiema</v>
      </c>
    </row>
    <row r="19980" ht="15.75" customHeight="1">
      <c r="A19980" s="2" t="s">
        <v>19980</v>
      </c>
      <c r="B19980" s="2" t="str">
        <f>IFERROR(__xludf.DUMMYFUNCTION("GOOGLETRANSLATE(A19980, ""en"", ""mt"")"),"deterministikament")</f>
        <v>deterministikament</v>
      </c>
    </row>
    <row r="19981" ht="15.75" customHeight="1">
      <c r="A19981" s="2" t="s">
        <v>19981</v>
      </c>
      <c r="B19981" s="2" t="str">
        <f>IFERROR(__xludf.DUMMYFUNCTION("GOOGLETRANSLATE(A19981, ""en"", ""mt"")"),"X'inhu l-isem tal-affiljat tas-CBS fi Fresno?")</f>
        <v>X'inhu l-isem tal-affiljat tas-CBS fi Fresno?</v>
      </c>
    </row>
    <row r="19982" ht="15.75" customHeight="1">
      <c r="A19982" s="2" t="s">
        <v>19982</v>
      </c>
      <c r="B19982" s="2" t="str">
        <f>IFERROR(__xludf.DUMMYFUNCTION("GOOGLETRANSLATE(A19982, ""en"", ""mt"")"),"Il-wan kien l-ewwel darba li l-Ġappun kollu ġie maħkum minn min?")</f>
        <v>Il-wan kien l-ewwel darba li l-Ġappun kollu ġie maħkum minn min?</v>
      </c>
    </row>
    <row r="19983" ht="15.75" customHeight="1">
      <c r="A19983" s="2" t="s">
        <v>19983</v>
      </c>
      <c r="B19983" s="2" t="str">
        <f>IFERROR(__xludf.DUMMYFUNCTION("GOOGLETRANSLATE(A19983, ""en"", ""mt"")"),"diżubbidjenza ċivili")</f>
        <v>diżubbidjenza ċivili</v>
      </c>
    </row>
    <row r="19984" ht="15.75" customHeight="1">
      <c r="A19984" s="2" t="s">
        <v>19984</v>
      </c>
      <c r="B19984" s="2" t="str">
        <f>IFERROR(__xludf.DUMMYFUNCTION("GOOGLETRANSLATE(A19984, ""en"", ""mt"")"),"difensini u żingu")</f>
        <v>difensini u żingu</v>
      </c>
    </row>
    <row r="19985" ht="15.75" customHeight="1">
      <c r="A19985" s="2" t="s">
        <v>19985</v>
      </c>
      <c r="B19985" s="2" t="str">
        <f>IFERROR(__xludf.DUMMYFUNCTION("GOOGLETRANSLATE(A19985, ""en"", ""mt"")"),"X'jismu l-iskejjel tal-grammatika kollha biex jattendu l-istudenti tagħhom?")</f>
        <v>X'jismu l-iskejjel tal-grammatika kollha biex jattendu l-istudenti tagħhom?</v>
      </c>
    </row>
    <row r="19986" ht="15.75" customHeight="1">
      <c r="A19986" s="2" t="s">
        <v>19986</v>
      </c>
      <c r="B19986" s="2" t="str">
        <f>IFERROR(__xludf.DUMMYFUNCTION("GOOGLETRANSLATE(A19986, ""en"", ""mt"")"),"1970")</f>
        <v>1970</v>
      </c>
    </row>
    <row r="19987" ht="15.75" customHeight="1">
      <c r="A19987" s="2" t="s">
        <v>19987</v>
      </c>
      <c r="B19987" s="2" t="str">
        <f>IFERROR(__xludf.DUMMYFUNCTION("GOOGLETRANSLATE(A19987, ""en"", ""mt"")"),"X'kien ir-Rapport P-2626")</f>
        <v>X'kien ir-Rapport P-2626</v>
      </c>
    </row>
    <row r="19988" ht="15.75" customHeight="1">
      <c r="A19988" s="2" t="s">
        <v>19988</v>
      </c>
      <c r="B19988" s="2" t="str">
        <f>IFERROR(__xludf.DUMMYFUNCTION("GOOGLETRANSLATE(A19988, ""en"", ""mt"")"),"X'inhu qabel il-perjodu ta 'arkitettura Anglo-Sassona?")</f>
        <v>X'inhu qabel il-perjodu ta 'arkitettura Anglo-Sassona?</v>
      </c>
    </row>
    <row r="19989" ht="15.75" customHeight="1">
      <c r="A19989" s="2" t="s">
        <v>19989</v>
      </c>
      <c r="B19989" s="2" t="str">
        <f>IFERROR(__xludf.DUMMYFUNCTION("GOOGLETRANSLATE(A19989, ""en"", ""mt"")"),"Griegi")</f>
        <v>Griegi</v>
      </c>
    </row>
    <row r="19990" ht="15.75" customHeight="1">
      <c r="A19990" s="2" t="s">
        <v>19990</v>
      </c>
      <c r="B19990" s="2" t="str">
        <f>IFERROR(__xludf.DUMMYFUNCTION("GOOGLETRANSLATE(A19990, ""en"", ""mt"")"),"X'inhu mod wieħed ta 'diżubbidjenza ċivili diġitali li jista' jkollha konsegwenzi ferm?")</f>
        <v>X'inhu mod wieħed ta 'diżubbidjenza ċivili diġitali li jista' jkollha konsegwenzi ferm?</v>
      </c>
    </row>
    <row r="19991" ht="15.75" customHeight="1">
      <c r="A19991" s="2" t="s">
        <v>19991</v>
      </c>
      <c r="B19991" s="2" t="str">
        <f>IFERROR(__xludf.DUMMYFUNCTION("GOOGLETRANSLATE(A19991, ""en"", ""mt"")"),"Politika: Segretarju Ġenerali U.N. Ban Ki-moon; Il-mexxejja politiċi Amerikani John Hancock, John Adams, John Quincy Adams, Rutherford B. Hayes, Theodore Roosevelt, Franklin D. Roosevelt, John F. Kennedy, Al Gore, George W. Bush u Barack Obama; Il-Preside"&amp;"nt Ċilen Sebastián Piñera; Il-President Kolombjan Juan Manuel Santos; Il-President tal-Kosta Rika José María Figueres; Il-presidenti Messikani Felipe Calderón, Carlos Salinas de Gortari u Miguel de la Madrid; President Mongoljan Tsakhiagiin Elbegdorj; Il-"&amp;"President Peruvjan Alejandro Toledo; Il-President Tajwaniż Ma Ying-jeou; Il-Gvernatur Kanadiż Ġenerali David Lloyd Johnston; Membru tal-Parlament Indjan Jayant Sinha; Fan tal-Prim Ministru Albaniż S. Noli; Il-Prim Ministri Kanadiżi Mackenzie King u Pierre"&amp;" Trudeau; Il-Prim Ministru Grieg Antonis Samaras; Il-Prim Ministru Iżraeljan Benjamin Netanyahu; L-ex Prim Ministru Pakistani Benazir Bhutto; U. S. Segretarju tad-Djar u l-Iżvilupp Urban Shaun Donovan; Mexxej politiku Kanadiż Michael Ignatieff; Membri Pak"&amp;"istani tal-Assemblea Provinċjali Murtaza Bhutto u Sanam Bhutto; Ministru tal-Finanzi tal-Bangladexx Abul Maal Abdul Muhith; President ta 'Puntland Abdiweli Mohamed Ali; Ambaxxatur tal-Istati Uniti għall-Unjoni Ewropea Anthony Luzzatto Gardner.")</f>
        <v>Politika: Segretarju Ġenerali U.N. Ban Ki-moon; Il-mexxejja politiċi Amerikani John Hancock, John Adams, John Quincy Adams, Rutherford B. Hayes, Theodore Roosevelt, Franklin D. Roosevelt, John F. Kennedy, Al Gore, George W. Bush u Barack Obama; Il-President Ċilen Sebastián Piñera; Il-President Kolombjan Juan Manuel Santos; Il-President tal-Kosta Rika José María Figueres; Il-presidenti Messikani Felipe Calderón, Carlos Salinas de Gortari u Miguel de la Madrid; President Mongoljan Tsakhiagiin Elbegdorj; Il-President Peruvjan Alejandro Toledo; Il-President Tajwaniż Ma Ying-jeou; Il-Gvernatur Kanadiż Ġenerali David Lloyd Johnston; Membru tal-Parlament Indjan Jayant Sinha; Fan tal-Prim Ministru Albaniż S. Noli; Il-Prim Ministri Kanadiżi Mackenzie King u Pierre Trudeau; Il-Prim Ministru Grieg Antonis Samaras; Il-Prim Ministru Iżraeljan Benjamin Netanyahu; L-ex Prim Ministru Pakistani Benazir Bhutto; U. S. Segretarju tad-Djar u l-Iżvilupp Urban Shaun Donovan; Mexxej politiku Kanadiż Michael Ignatieff; Membri Pakistani tal-Assemblea Provinċjali Murtaza Bhutto u Sanam Bhutto; Ministru tal-Finanzi tal-Bangladexx Abul Maal Abdul Muhith; President ta 'Puntland Abdiweli Mohamed Ali; Ambaxxatur tal-Istati Uniti għall-Unjoni Ewropea Anthony Luzzatto Gardner.</v>
      </c>
    </row>
    <row r="19992" ht="15.75" customHeight="1">
      <c r="A19992" s="2" t="s">
        <v>19992</v>
      </c>
      <c r="B19992" s="2" t="str">
        <f>IFERROR(__xludf.DUMMYFUNCTION("GOOGLETRANSLATE(A19992, ""en"", ""mt"")"),"Pauli")</f>
        <v>Pauli</v>
      </c>
    </row>
    <row r="19993" ht="15.75" customHeight="1">
      <c r="A19993" s="2" t="s">
        <v>19993</v>
      </c>
      <c r="B19993" s="2" t="str">
        <f>IFERROR(__xludf.DUMMYFUNCTION("GOOGLETRANSLATE(A19993, ""en"", ""mt"")")," F'liema battalja ġew magħquda l-Mongoli mit-Tran?")</f>
        <v> F'liema battalja ġew magħquda l-Mongoli mit-Tran?</v>
      </c>
    </row>
    <row r="19994" ht="15.75" customHeight="1">
      <c r="A19994" s="2" t="s">
        <v>19994</v>
      </c>
      <c r="B19994" s="2" t="str">
        <f>IFERROR(__xludf.DUMMYFUNCTION("GOOGLETRANSLATE(A19994, ""en"", ""mt"")"),"Memorja immunoloġika tista 'tieħu liema żewġ forom?")</f>
        <v>Memorja immunoloġika tista 'tieħu liema żewġ forom?</v>
      </c>
    </row>
    <row r="19995" ht="15.75" customHeight="1">
      <c r="A19995" s="2" t="s">
        <v>19995</v>
      </c>
      <c r="B19995" s="2" t="str">
        <f>IFERROR(__xludf.DUMMYFUNCTION("GOOGLETRANSLATE(A19995, ""en"", ""mt"")"),"Gini")</f>
        <v>Gini</v>
      </c>
    </row>
    <row r="19996" ht="15.75" customHeight="1">
      <c r="A19996" s="2" t="s">
        <v>19996</v>
      </c>
      <c r="B19996" s="2" t="str">
        <f>IFERROR(__xludf.DUMMYFUNCTION("GOOGLETRANSLATE(A19996, ""en"", ""mt"")"),"Ġenesi")</f>
        <v>Ġenesi</v>
      </c>
    </row>
    <row r="19997" ht="15.75" customHeight="1">
      <c r="A19997" s="2" t="s">
        <v>19997</v>
      </c>
      <c r="B19997" s="2" t="str">
        <f>IFERROR(__xludf.DUMMYFUNCTION("GOOGLETRANSLATE(A19997, ""en"", ""mt"")"),"X'kienet l-etniċità ta 'Bill Aken?")</f>
        <v>X'kienet l-etniċità ta 'Bill Aken?</v>
      </c>
    </row>
    <row r="19998" ht="15.75" customHeight="1">
      <c r="A19998" s="2" t="s">
        <v>19998</v>
      </c>
      <c r="B19998" s="2" t="str">
        <f>IFERROR(__xludf.DUMMYFUNCTION("GOOGLETRANSLATE(A19998, ""en"", ""mt"")"),"Meta kienet ir-rewwixta Olandiża?")</f>
        <v>Meta kienet ir-rewwixta Olandiża?</v>
      </c>
    </row>
    <row r="19999" ht="15.75" customHeight="1">
      <c r="A19999" s="2" t="s">
        <v>19999</v>
      </c>
      <c r="B19999" s="2" t="str">
        <f>IFERROR(__xludf.DUMMYFUNCTION("GOOGLETRANSLATE(A19999, ""en"", ""mt"")"),"Min qies l-art tagħhom fuq il-kontinent l-iktar azjenda importanti tagħhom?")</f>
        <v>Min qies l-art tagħhom fuq il-kontinent l-iktar azjenda importanti tagħhom?</v>
      </c>
    </row>
    <row r="20000" ht="15.75" customHeight="1">
      <c r="A20000" s="2" t="s">
        <v>20000</v>
      </c>
      <c r="B20000" s="2" t="str">
        <f>IFERROR(__xludf.DUMMYFUNCTION("GOOGLETRANSLATE(A20000, ""en"", ""mt"")"),"ctenophores,")</f>
        <v>ctenophores,</v>
      </c>
    </row>
    <row r="20001" ht="15.75" customHeight="1">
      <c r="A20001" s="2" t="s">
        <v>20001</v>
      </c>
      <c r="B20001" s="2" t="str">
        <f>IFERROR(__xludf.DUMMYFUNCTION("GOOGLETRANSLATE(A20001, ""en"", ""mt"")"),"X'kien ikkuntrattat Eero Saarinen biex jiżviluppa fl-2011?")</f>
        <v>X'kien ikkuntrattat Eero Saarinen biex jiżviluppa fl-2011?</v>
      </c>
    </row>
    <row r="20002" ht="15.75" customHeight="1">
      <c r="A20002" s="2" t="s">
        <v>20002</v>
      </c>
      <c r="B20002" s="2" t="str">
        <f>IFERROR(__xludf.DUMMYFUNCTION("GOOGLETRANSLATE(A20002, ""en"", ""mt"")"),"l-aħjar, l-agħar u l-medja tal-każ")</f>
        <v>l-aħjar, l-agħar u l-medja tal-każ</v>
      </c>
    </row>
    <row r="20003" ht="15.75" customHeight="1">
      <c r="A20003" s="2" t="s">
        <v>20003</v>
      </c>
      <c r="B20003" s="2" t="str">
        <f>IFERROR(__xludf.DUMMYFUNCTION("GOOGLETRANSLATE(A20003, ""en"", ""mt"")"),"Toyota Corona Mark II")</f>
        <v>Toyota Corona Mark II</v>
      </c>
    </row>
    <row r="20004" ht="15.75" customHeight="1">
      <c r="A20004" s="2" t="s">
        <v>20004</v>
      </c>
      <c r="B20004" s="2" t="str">
        <f>IFERROR(__xludf.DUMMYFUNCTION("GOOGLETRANSLATE(A20004, ""en"", ""mt"")"),"Minbarra l-ijssel, fejn l-ilma mill-pannerdens kanaal redsitrubute?")</f>
        <v>Minbarra l-ijssel, fejn l-ilma mill-pannerdens kanaal redsitrubute?</v>
      </c>
    </row>
    <row r="20005" ht="15.75" customHeight="1">
      <c r="A20005" s="2" t="s">
        <v>20005</v>
      </c>
      <c r="B20005" s="2" t="str">
        <f>IFERROR(__xludf.DUMMYFUNCTION("GOOGLETRANSLATE(A20005, ""en"", ""mt"")"),"Ċittadella ta ’Varsavja")</f>
        <v>Ċittadella ta ’Varsavja</v>
      </c>
    </row>
    <row r="20006" ht="15.75" customHeight="1">
      <c r="A20006" s="2" t="s">
        <v>20006</v>
      </c>
      <c r="B20006" s="2" t="str">
        <f>IFERROR(__xludf.DUMMYFUNCTION("GOOGLETRANSLATE(A20006, ""en"", ""mt"")"),"Meta bdiet id-dinastija Jin?")</f>
        <v>Meta bdiet id-dinastija Jin?</v>
      </c>
    </row>
    <row r="20007" ht="15.75" customHeight="1">
      <c r="A20007" s="2" t="s">
        <v>20007</v>
      </c>
      <c r="B20007" s="2" t="str">
        <f>IFERROR(__xludf.DUMMYFUNCTION("GOOGLETRANSLATE(A20007, ""en"", ""mt"")"),"Fuq liema sorsi ma kinux imfassla l-qrati tal-UE?")</f>
        <v>Fuq liema sorsi ma kinux imfassla l-qrati tal-UE?</v>
      </c>
    </row>
    <row r="20008" ht="15.75" customHeight="1">
      <c r="A20008" s="2" t="s">
        <v>20008</v>
      </c>
      <c r="B20008" s="2" t="str">
        <f>IFERROR(__xludf.DUMMYFUNCTION("GOOGLETRANSLATE(A20008, ""en"", ""mt"")"),"Il-konnessjoni bejn il-forzi makroskopiċi mhux konservattivi u l-forzi konservattivi mikroskopiċi hija deskritta permezz ta 'trattament dettaljat bil-mekkanika statistika. F'sistemi magħluqa makroskopiċi, il-forzi mhux konservattivi jaġixxu biex ibiddlu l"&amp;"-enerġiji interni tas-sistema, u ħafna drabi huma assoċjati mat-trasferiment tas-sħana. Skond it-tieni liġi tat-termodinamiċità, il-forzi mhux konservattivi neċessarjament jirriżultaw fi trasformazzjonijiet ta 'enerġija f'sistemi magħluqa minn ordnati għa"&amp;"l kundizzjonijiet aktar każwali hekk kif tiżdied l-entropija.")</f>
        <v>Il-konnessjoni bejn il-forzi makroskopiċi mhux konservattivi u l-forzi konservattivi mikroskopiċi hija deskritta permezz ta 'trattament dettaljat bil-mekkanika statistika. F'sistemi magħluqa makroskopiċi, il-forzi mhux konservattivi jaġixxu biex ibiddlu l-enerġiji interni tas-sistema, u ħafna drabi huma assoċjati mat-trasferiment tas-sħana. Skond it-tieni liġi tat-termodinamiċità, il-forzi mhux konservattivi neċessarjament jirriżultaw fi trasformazzjonijiet ta 'enerġija f'sistemi magħluqa minn ordnati għal kundizzjonijiet aktar każwali hekk kif tiżdied l-entropija.</v>
      </c>
    </row>
    <row r="20009" ht="15.75" customHeight="1">
      <c r="A20009" s="2" t="s">
        <v>20009</v>
      </c>
      <c r="B20009" s="2" t="str">
        <f>IFERROR(__xludf.DUMMYFUNCTION("GOOGLETRANSLATE(A20009, ""en"", ""mt"")"),"Liema parti tas-sistema immunitarja tipproteġi l-moħħ?")</f>
        <v>Liema parti tas-sistema immunitarja tipproteġi l-moħħ?</v>
      </c>
    </row>
    <row r="20010" ht="15.75" customHeight="1">
      <c r="A20010" s="2" t="s">
        <v>20010</v>
      </c>
      <c r="B20010" s="2" t="str">
        <f>IFERROR(__xludf.DUMMYFUNCTION("GOOGLETRANSLATE(A20010, ""en"", ""mt"")"),"L-ammont ta 'art li pajjiż jikkontrolla huwa l-agħar tiegħu x'inhu?")</f>
        <v>L-ammont ta 'art li pajjiż jikkontrolla huwa l-agħar tiegħu x'inhu?</v>
      </c>
    </row>
    <row r="20011" ht="15.75" customHeight="1">
      <c r="A20011" s="2" t="s">
        <v>20011</v>
      </c>
      <c r="B20011" s="2" t="str">
        <f>IFERROR(__xludf.DUMMYFUNCTION("GOOGLETRANSLATE(A20011, ""en"", ""mt"")"),"X’abbandunaw l-Istati Uniti?")</f>
        <v>X’abbandunaw l-Istati Uniti?</v>
      </c>
    </row>
    <row r="20012" ht="15.75" customHeight="1">
      <c r="A20012" s="2" t="s">
        <v>20012</v>
      </c>
      <c r="B20012" s="2" t="str">
        <f>IFERROR(__xludf.DUMMYFUNCTION("GOOGLETRANSLATE(A20012, ""en"", ""mt"")"),"Permezz tal-qbid tan-nixxiegħa, ir-Renu estenda l-ilma tal-baħar lejn in-nofsinhar. Sal-perjodu Pliocene, ir-Renu kien qabad nixxigħat sal-Muntanji Vosges, inklużi l-Mosel, il-Main u l-Neckar. L-Alpi tat-Tramuntana mbagħad ġew imsaffija mir-Rhone. Sal-per"&amp;"jodu bikri tal-Pleistocene, ir-Renu kien qabad il-biċċa l-kbira tal-ilma tal-ilma preżenti tiegħu mill-Rhône, inkluż l-AAR. Minn dak iż-żmien, ir-Rhine żied il-baqra tal-ilma 'l fuq mill-Lag Constance (Vorderrhein, Hinterrhein, Alpenrhein; maqbud mill-Rhô"&amp;"ne), il-parti ta' fuq tal-main, lil hinn minn Schweinfurt u l-muntanji Vosges, maqbuda mill-meuse, għall-ilma tagħha.")</f>
        <v>Permezz tal-qbid tan-nixxiegħa, ir-Renu estenda l-ilma tal-baħar lejn in-nofsinhar. Sal-perjodu Pliocene, ir-Renu kien qabad nixxigħat sal-Muntanji Vosges, inklużi l-Mosel, il-Main u l-Neckar. L-Alpi tat-Tramuntana mbagħad ġew imsaffija mir-Rhone. Sal-perjodu bikri tal-Pleistocene, ir-Renu kien qabad il-biċċa l-kbira tal-ilma tal-ilma preżenti tiegħu mill-Rhône, inkluż l-AAR. Minn dak iż-żmien, ir-Rhine żied il-baqra tal-ilma 'l fuq mill-Lag Constance (Vorderrhein, Hinterrhein, Alpenrhein; maqbud mill-Rhône), il-parti ta' fuq tal-main, lil hinn minn Schweinfurt u l-muntanji Vosges, maqbuda mill-meuse, għall-ilma tagħha.</v>
      </c>
    </row>
    <row r="20013" ht="15.75" customHeight="1">
      <c r="A20013" s="2" t="s">
        <v>20013</v>
      </c>
      <c r="B20013" s="2" t="str">
        <f>IFERROR(__xludf.DUMMYFUNCTION("GOOGLETRANSLATE(A20013, ""en"", ""mt"")"),"Otter, kastur u mijiet ta 'speċi ta' għasafar.")</f>
        <v>Otter, kastur u mijiet ta 'speċi ta' għasafar.</v>
      </c>
    </row>
    <row r="20014" ht="15.75" customHeight="1">
      <c r="A20014" s="2" t="s">
        <v>20014</v>
      </c>
      <c r="B20014" s="2" t="str">
        <f>IFERROR(__xludf.DUMMYFUNCTION("GOOGLETRANSLATE(A20014, ""en"", ""mt"")"),"Minn xiex saru spettaklu?")</f>
        <v>Minn xiex saru spettaklu?</v>
      </c>
    </row>
    <row r="20015" ht="15.75" customHeight="1">
      <c r="A20015" s="2" t="s">
        <v>20015</v>
      </c>
      <c r="B20015" s="2" t="str">
        <f>IFERROR(__xludf.DUMMYFUNCTION("GOOGLETRANSLATE(A20015, ""en"", ""mt"")"),"joffru paga ogħla l-aħjar ta 'xogħolhom")</f>
        <v>joffru paga ogħla l-aħjar ta 'xogħolhom</v>
      </c>
    </row>
    <row r="20016" ht="15.75" customHeight="1">
      <c r="A20016" s="2" t="s">
        <v>20016</v>
      </c>
      <c r="B20016" s="2" t="str">
        <f>IFERROR(__xludf.DUMMYFUNCTION("GOOGLETRANSLATE(A20016, ""en"", ""mt"")"),"regolamenti u direttivi li huma bbażati fuq it-trattati")</f>
        <v>regolamenti u direttivi li huma bbażati fuq it-trattati</v>
      </c>
    </row>
    <row r="20017" ht="15.75" customHeight="1">
      <c r="A20017" s="2" t="s">
        <v>20017</v>
      </c>
      <c r="B20017" s="2" t="str">
        <f>IFERROR(__xludf.DUMMYFUNCTION("GOOGLETRANSLATE(A20017, ""en"", ""mt"")"),"Np")</f>
        <v>Np</v>
      </c>
    </row>
    <row r="20018" ht="15.75" customHeight="1">
      <c r="A20018" s="2" t="s">
        <v>20018</v>
      </c>
      <c r="B20018" s="2" t="str">
        <f>IFERROR(__xludf.DUMMYFUNCTION("GOOGLETRANSLATE(A20018, ""en"", ""mt"")"),"Jekk hemmx stat jew theddida ta 'gwerra")</f>
        <v>Jekk hemmx stat jew theddida ta 'gwerra</v>
      </c>
    </row>
    <row r="20019" ht="15.75" customHeight="1">
      <c r="A20019" s="2" t="s">
        <v>20019</v>
      </c>
      <c r="B20019" s="2" t="str">
        <f>IFERROR(__xludf.DUMMYFUNCTION("GOOGLETRANSLATE(A20019, ""en"", ""mt"")"),"Għaliex ġie ffurmat in-netwerk tal-mertu fil-Michigan")</f>
        <v>Għaliex ġie ffurmat in-netwerk tal-mertu fil-Michigan</v>
      </c>
    </row>
    <row r="20020" ht="15.75" customHeight="1">
      <c r="A20020" s="2" t="s">
        <v>20020</v>
      </c>
      <c r="B20020" s="2" t="str">
        <f>IFERROR(__xludf.DUMMYFUNCTION("GOOGLETRANSLATE(A20020, ""en"", ""mt"")"),"Min irrifjuta li jaġixxi sakemm Loudoun approva l-pjanijiet?")</f>
        <v>Min irrifjuta li jaġixxi sakemm Loudoun approva l-pjanijiet?</v>
      </c>
    </row>
    <row r="20021" ht="15.75" customHeight="1">
      <c r="A20021" s="2" t="s">
        <v>20021</v>
      </c>
      <c r="B20021" s="2" t="str">
        <f>IFERROR(__xludf.DUMMYFUNCTION("GOOGLETRANSLATE(A20021, ""en"", ""mt"")"),"Liema belt moderna tinsab fuq il-kolonja oriġinali Huguenot?")</f>
        <v>Liema belt moderna tinsab fuq il-kolonja oriġinali Huguenot?</v>
      </c>
    </row>
    <row r="20022" ht="15.75" customHeight="1">
      <c r="A20022" s="2" t="s">
        <v>20022</v>
      </c>
      <c r="B20022" s="2" t="str">
        <f>IFERROR(__xludf.DUMMYFUNCTION("GOOGLETRANSLATE(A20022, ""en"", ""mt"")"),"Ford, Chrysler, u GM, rispettivament")</f>
        <v>Ford, Chrysler, u GM, rispettivament</v>
      </c>
    </row>
    <row r="20023" ht="15.75" customHeight="1">
      <c r="A20023" s="2" t="s">
        <v>20023</v>
      </c>
      <c r="B20023" s="2" t="str">
        <f>IFERROR(__xludf.DUMMYFUNCTION("GOOGLETRANSLATE(A20023, ""en"", ""mt"")"),"gass ​​diatomiku")</f>
        <v>gass ​​diatomiku</v>
      </c>
    </row>
    <row r="20024" ht="15.75" customHeight="1">
      <c r="A20024" s="2" t="s">
        <v>20024</v>
      </c>
      <c r="B20024" s="2" t="str">
        <f>IFERROR(__xludf.DUMMYFUNCTION("GOOGLETRANSLATE(A20024, ""en"", ""mt"")"),"Dak li ġeneralment iseħħ fuq il-post għal klijent mhux magħruf?")</f>
        <v>Dak li ġeneralment iseħħ fuq il-post għal klijent mhux magħruf?</v>
      </c>
    </row>
    <row r="20025" ht="15.75" customHeight="1">
      <c r="A20025" s="2" t="s">
        <v>20025</v>
      </c>
      <c r="B20025" s="2" t="str">
        <f>IFERROR(__xludf.DUMMYFUNCTION("GOOGLETRANSLATE(A20025, ""en"", ""mt"")"),"X'jiġri meta t-tyrosinase hija espressa f'livelli baxxi?")</f>
        <v>X'jiġri meta t-tyrosinase hija espressa f'livelli baxxi?</v>
      </c>
    </row>
    <row r="20026" ht="15.75" customHeight="1">
      <c r="A20026" s="2" t="s">
        <v>20026</v>
      </c>
      <c r="B20026" s="2" t="str">
        <f>IFERROR(__xludf.DUMMYFUNCTION("GOOGLETRANSLATE(A20026, ""en"", ""mt"")"),"Kemm horsepower kienet il-magna ta 'Newcomen?")</f>
        <v>Kemm horsepower kienet il-magna ta 'Newcomen?</v>
      </c>
    </row>
    <row r="20027" ht="15.75" customHeight="1">
      <c r="A20027" s="2" t="s">
        <v>20027</v>
      </c>
      <c r="B20027" s="2" t="str">
        <f>IFERROR(__xludf.DUMMYFUNCTION("GOOGLETRANSLATE(A20027, ""en"", ""mt"")"),"fejn l-ilma jiswa ħafna")</f>
        <v>fejn l-ilma jiswa ħafna</v>
      </c>
    </row>
    <row r="20028" ht="15.75" customHeight="1">
      <c r="A20028" s="2" t="s">
        <v>20028</v>
      </c>
      <c r="B20028" s="2" t="str">
        <f>IFERROR(__xludf.DUMMYFUNCTION("GOOGLETRANSLATE(A20028, ""en"", ""mt"")"),"Abercynon fin-nofsinhar ta 'Wales")</f>
        <v>Abercynon fin-nofsinhar ta 'Wales</v>
      </c>
    </row>
    <row r="20029" ht="15.75" customHeight="1">
      <c r="A20029" s="2" t="s">
        <v>20029</v>
      </c>
      <c r="B20029" s="2" t="str">
        <f>IFERROR(__xludf.DUMMYFUNCTION("GOOGLETRANSLATE(A20029, ""en"", ""mt"")"),"avveniment ta 'tqabbid")</f>
        <v>avveniment ta 'tqabbid</v>
      </c>
    </row>
    <row r="20030" ht="15.75" customHeight="1">
      <c r="A20030" s="2" t="s">
        <v>20030</v>
      </c>
      <c r="B20030" s="2" t="str">
        <f>IFERROR(__xludf.DUMMYFUNCTION("GOOGLETRANSLATE(A20030, ""en"", ""mt"")"),"X'forma normalment ikollha l-aboral?")</f>
        <v>X'forma normalment ikollha l-aboral?</v>
      </c>
    </row>
    <row r="20031" ht="15.75" customHeight="1">
      <c r="A20031" s="2" t="s">
        <v>20031</v>
      </c>
      <c r="B20031" s="2" t="str">
        <f>IFERROR(__xludf.DUMMYFUNCTION("GOOGLETRANSLATE(A20031, ""en"", ""mt"")"),"Fejn ġiet iffurmata l-FIS?")</f>
        <v>Fejn ġiet iffurmata l-FIS?</v>
      </c>
    </row>
    <row r="20032" ht="15.75" customHeight="1">
      <c r="A20032" s="2" t="s">
        <v>20032</v>
      </c>
      <c r="B20032" s="2" t="str">
        <f>IFERROR(__xludf.DUMMYFUNCTION("GOOGLETRANSLATE(A20032, ""en"", ""mt"")"),"Fejn hu l-Pont Rhine?")</f>
        <v>Fejn hu l-Pont Rhine?</v>
      </c>
    </row>
    <row r="20033" ht="15.75" customHeight="1">
      <c r="A20033" s="2" t="s">
        <v>20033</v>
      </c>
      <c r="B20033" s="2" t="str">
        <f>IFERROR(__xludf.DUMMYFUNCTION("GOOGLETRANSLATE(A20033, ""en"", ""mt"")"),"dħul rilevanti aħjar.")</f>
        <v>dħul rilevanti aħjar.</v>
      </c>
    </row>
    <row r="20034" ht="15.75" customHeight="1">
      <c r="A20034" s="2" t="s">
        <v>20034</v>
      </c>
      <c r="B20034" s="2" t="str">
        <f>IFERROR(__xludf.DUMMYFUNCTION("GOOGLETRANSLATE(A20034, ""en"", ""mt"")"),"għargħar kostanti")</f>
        <v>għargħar kostanti</v>
      </c>
    </row>
    <row r="20035" ht="15.75" customHeight="1">
      <c r="A20035" s="2" t="s">
        <v>20035</v>
      </c>
      <c r="B20035" s="2" t="str">
        <f>IFERROR(__xludf.DUMMYFUNCTION("GOOGLETRANSLATE(A20035, ""en"", ""mt"")"),"Liema perjodu r-Rhine qabad nixxigħat?")</f>
        <v>Liema perjodu r-Rhine qabad nixxigħat?</v>
      </c>
    </row>
    <row r="20036" ht="15.75" customHeight="1">
      <c r="A20036" s="2" t="s">
        <v>20036</v>
      </c>
      <c r="B20036" s="2" t="str">
        <f>IFERROR(__xludf.DUMMYFUNCTION("GOOGLETRANSLATE(A20036, ""en"", ""mt"")"),"Is-sistema immunitarja tipproteġi l-organiżmi kontra xiex?")</f>
        <v>Is-sistema immunitarja tipproteġi l-organiżmi kontra xiex?</v>
      </c>
    </row>
    <row r="20037" ht="15.75" customHeight="1">
      <c r="A20037" s="2" t="s">
        <v>20037</v>
      </c>
      <c r="B20037" s="2" t="str">
        <f>IFERROR(__xludf.DUMMYFUNCTION("GOOGLETRANSLATE(A20037, ""en"", ""mt"")"),"Min jiddeċiedi min jasal biex jindirizza lill-membri tal-Parlament biex jaqsmu l-ħsibijiet tagħhom dwar kwistjonijiet ta 'fidi?")</f>
        <v>Min jiddeċiedi min jasal biex jindirizza lill-membri tal-Parlament biex jaqsmu l-ħsibijiet tagħhom dwar kwistjonijiet ta 'fidi?</v>
      </c>
    </row>
    <row r="20038" ht="15.75" customHeight="1">
      <c r="A20038" s="2" t="s">
        <v>20038</v>
      </c>
      <c r="B20038" s="2" t="str">
        <f>IFERROR(__xludf.DUMMYFUNCTION("GOOGLETRANSLATE(A20038, ""en"", ""mt"")"),"Dawk involuti fid-disinn u l-eżekuzzjoni tal-infrastruttura in kwistjoni")</f>
        <v>Dawk involuti fid-disinn u l-eżekuzzjoni tal-infrastruttura in kwistjoni</v>
      </c>
    </row>
    <row r="20039" ht="15.75" customHeight="1">
      <c r="A20039" s="2" t="s">
        <v>20039</v>
      </c>
      <c r="B20039" s="2" t="str">
        <f>IFERROR(__xludf.DUMMYFUNCTION("GOOGLETRANSLATE(A20039, ""en"", ""mt"")"),"Telekomunikazzjonijiet MCI")</f>
        <v>Telekomunikazzjonijiet MCI</v>
      </c>
    </row>
    <row r="20040" ht="15.75" customHeight="1">
      <c r="A20040" s="2" t="s">
        <v>20040</v>
      </c>
      <c r="B20040" s="2" t="str">
        <f>IFERROR(__xludf.DUMMYFUNCTION("GOOGLETRANSLATE(A20040, ""en"", ""mt"")"),"Frederick William")</f>
        <v>Frederick William</v>
      </c>
    </row>
    <row r="20041" ht="15.75" customHeight="1">
      <c r="A20041" s="2" t="s">
        <v>20041</v>
      </c>
      <c r="B20041" s="2" t="str">
        <f>IFERROR(__xludf.DUMMYFUNCTION("GOOGLETRANSLATE(A20041, ""en"", ""mt"")"),"Leonhard Euler")</f>
        <v>Leonhard Euler</v>
      </c>
    </row>
    <row r="20042" ht="15.75" customHeight="1">
      <c r="A20042" s="2" t="s">
        <v>20042</v>
      </c>
      <c r="B20042" s="2" t="str">
        <f>IFERROR(__xludf.DUMMYFUNCTION("GOOGLETRANSLATE(A20042, ""en"", ""mt"")"),"Il-programmi akkademiċi ta 'Harvard joperaw fuq kalendarju tas-semestru li jibda fil-bidu ta' Settembru u jispiċċa f'nofs Mejju. L-universitarji tipikament jieħdu erba 'nofs korsijiet għal kull terminu u għandhom iżommu medja ta' erba 'korsijiet biex titq"&amp;"ies full-time. F’ħafna konċentrazzjonijiet, l-istudenti jistgħu jagħżlu li jsegwu programm bażiku jew programm eliġibbli għall-unuri li jeħtieġ teżi anzjana u / jew xogħol ta ’kors avvanzat. Studenti li jiggradwaw fl-aqwa 4-5% tal-klassi jingħataw gradi s"&amp;"umma cum laude, studenti fil-15% li ġejjin tal-klassi jingħataw Magna Cum Laude, u t-30% li jmiss tal-klassi jingħataw cum laude. Harvard għandu kapitoli ta 'soċjetajiet ta' unur akkademiku bħal Phi Beta Kappa u kumitati u dipartimenti varji wkoll jagħtu "&amp;"wkoll bosta mijiet ta 'premjijiet imsemmija kull sena. Harvard, flimkien ma 'universitajiet oħra, ġie akkużat b'inflazzjoni ta' grad, għalkemm hemm evidenza li l-kwalità tal-korp tal-istudenti u l-motivazzjoni tiegħu żdiedet ukoll. Il-Kulleġġ ta 'Harvard "&amp;"naqqas in-numru ta' studenti li jirċievu unuri Latini minn 90% fl-2004 għal 60% fl-2005. Barra minn hekk, l-unuri ta '""John Harvard Scholar"" u ""Harvard College Scholar"" issa se jingħataw biss lill-aqwa 5 fil-mija u 5 fil-mija li jmiss ta 'kull klassi.")</f>
        <v>Il-programmi akkademiċi ta 'Harvard joperaw fuq kalendarju tas-semestru li jibda fil-bidu ta' Settembru u jispiċċa f'nofs Mejju. L-universitarji tipikament jieħdu erba 'nofs korsijiet għal kull terminu u għandhom iżommu medja ta' erba 'korsijiet biex titqies full-time. F’ħafna konċentrazzjonijiet, l-istudenti jistgħu jagħżlu li jsegwu programm bażiku jew programm eliġibbli għall-unuri li jeħtieġ teżi anzjana u / jew xogħol ta ’kors avvanzat. Studenti li jiggradwaw fl-aqwa 4-5% tal-klassi jingħataw gradi summa cum laude, studenti fil-15% li ġejjin tal-klassi jingħataw Magna Cum Laude, u t-30% li jmiss tal-klassi jingħataw cum laude. Harvard għandu kapitoli ta 'soċjetajiet ta' unur akkademiku bħal Phi Beta Kappa u kumitati u dipartimenti varji wkoll jagħtu wkoll bosta mijiet ta 'premjijiet imsemmija kull sena. Harvard, flimkien ma 'universitajiet oħra, ġie akkużat b'inflazzjoni ta' grad, għalkemm hemm evidenza li l-kwalità tal-korp tal-istudenti u l-motivazzjoni tiegħu żdiedet ukoll. Il-Kulleġġ ta 'Harvard naqqas in-numru ta' studenti li jirċievu unuri Latini minn 90% fl-2004 għal 60% fl-2005. Barra minn hekk, l-unuri ta '"John Harvard Scholar" u "Harvard College Scholar" issa se jingħataw biss lill-aqwa 5 fil-mija u 5 fil-mija li jmiss ta 'kull klassi.</v>
      </c>
    </row>
    <row r="20043" ht="15.75" customHeight="1">
      <c r="A20043" s="2" t="s">
        <v>20043</v>
      </c>
      <c r="B20043" s="2" t="str">
        <f>IFERROR(__xludf.DUMMYFUNCTION("GOOGLETRANSLATE(A20043, ""en"", ""mt"")"),"Qu")</f>
        <v>Qu</v>
      </c>
    </row>
    <row r="20044" ht="15.75" customHeight="1">
      <c r="A20044" s="2" t="s">
        <v>20044</v>
      </c>
      <c r="B20044" s="2" t="str">
        <f>IFERROR(__xludf.DUMMYFUNCTION("GOOGLETRANSLATE(A20044, ""en"", ""mt"")"),"Min kien Varsavja taħt l-amministrazzjoni ta 'meta ġie taħt il-ħakma tal-gvern ġenerali?")</f>
        <v>Min kien Varsavja taħt l-amministrazzjoni ta 'meta ġie taħt il-ħakma tal-gvern ġenerali?</v>
      </c>
    </row>
    <row r="20045" ht="15.75" customHeight="1">
      <c r="A20045" s="2" t="s">
        <v>20045</v>
      </c>
      <c r="B20045" s="2" t="str">
        <f>IFERROR(__xludf.DUMMYFUNCTION("GOOGLETRANSLATE(A20045, ""en"", ""mt"")"),"Il-prinċipji tagħhom kienu l-prinċipju tas-suċċessjoni faunal?")</f>
        <v>Il-prinċipji tagħhom kienu l-prinċipju tas-suċċessjoni faunal?</v>
      </c>
    </row>
    <row r="20046" ht="15.75" customHeight="1">
      <c r="A20046" s="2" t="s">
        <v>20046</v>
      </c>
      <c r="B20046" s="2" t="str">
        <f>IFERROR(__xludf.DUMMYFUNCTION("GOOGLETRANSLATE(A20046, ""en"", ""mt"")"),"Fejn hemm żewġ terzi tar-Rhine barra mill-Ġermanja?")</f>
        <v>Fejn hemm żewġ terzi tar-Rhine barra mill-Ġermanja?</v>
      </c>
    </row>
    <row r="20047" ht="15.75" customHeight="1">
      <c r="A20047" s="2" t="s">
        <v>20047</v>
      </c>
      <c r="B20047" s="2" t="str">
        <f>IFERROR(__xludf.DUMMYFUNCTION("GOOGLETRANSLATE(A20047, ""en"", ""mt"")"),"Terra Preta huwa distributur fuq żona żgħira ta 'xiex?")</f>
        <v>Terra Preta huwa distributur fuq żona żgħira ta 'xiex?</v>
      </c>
    </row>
    <row r="20048" ht="15.75" customHeight="1">
      <c r="A20048" s="2" t="s">
        <v>20048</v>
      </c>
      <c r="B20048" s="2" t="str">
        <f>IFERROR(__xludf.DUMMYFUNCTION("GOOGLETRANSLATE(A20048, ""en"", ""mt"")"),"In-netwerk kif twassal id-dejta?")</f>
        <v>In-netwerk kif twassal id-dejta?</v>
      </c>
    </row>
    <row r="20049" ht="15.75" customHeight="1">
      <c r="A20049" s="2" t="s">
        <v>20049</v>
      </c>
      <c r="B20049" s="2" t="str">
        <f>IFERROR(__xludf.DUMMYFUNCTION("GOOGLETRANSLATE(A20049, ""en"", ""mt"")"),"Meta ġie difiża Dali mill-wan?")</f>
        <v>Meta ġie difiża Dali mill-wan?</v>
      </c>
    </row>
    <row r="20050" ht="15.75" customHeight="1">
      <c r="A20050" s="2" t="s">
        <v>20050</v>
      </c>
      <c r="B20050" s="2" t="str">
        <f>IFERROR(__xludf.DUMMYFUNCTION("GOOGLETRANSLATE(A20050, ""en"", ""mt"")"),"X'se jkollu impatt dirett ta 'inugwaljanza f'sistema li tuża taxxa progressiva?")</f>
        <v>X'se jkollu impatt dirett ta 'inugwaljanza f'sistema li tuża taxxa progressiva?</v>
      </c>
    </row>
    <row r="20051" ht="15.75" customHeight="1">
      <c r="A20051" s="2" t="s">
        <v>20051</v>
      </c>
      <c r="B20051" s="2" t="str">
        <f>IFERROR(__xludf.DUMMYFUNCTION("GOOGLETRANSLATE(A20051, ""en"", ""mt"")"),"Front Unifikat fil-Kummerċ u n-Negozjati ma 'Diversi Indjani")</f>
        <v>Front Unifikat fil-Kummerċ u n-Negozjati ma 'Diversi Indjani</v>
      </c>
    </row>
    <row r="20052" ht="15.75" customHeight="1">
      <c r="A20052" s="2" t="s">
        <v>20052</v>
      </c>
      <c r="B20052" s="2" t="str">
        <f>IFERROR(__xludf.DUMMYFUNCTION("GOOGLETRANSLATE(A20052, ""en"", ""mt"")"),"Liema xejra żżid il-kompożizzjoni organika tal-kapital fuq medda twila ta 'żmien?")</f>
        <v>Liema xejra żżid il-kompożizzjoni organika tal-kapital fuq medda twila ta 'żmien?</v>
      </c>
    </row>
    <row r="20053" ht="15.75" customHeight="1">
      <c r="A20053" s="2" t="s">
        <v>20053</v>
      </c>
      <c r="B20053" s="2" t="str">
        <f>IFERROR(__xludf.DUMMYFUNCTION("GOOGLETRANSLATE(A20053, ""en"", ""mt"")"),"Ċiniż mhux nattiv")</f>
        <v>Ċiniż mhux nattiv</v>
      </c>
    </row>
    <row r="20054" ht="15.75" customHeight="1">
      <c r="A20054" s="2" t="s">
        <v>20054</v>
      </c>
      <c r="B20054" s="2" t="str">
        <f>IFERROR(__xludf.DUMMYFUNCTION("GOOGLETRANSLATE(A20054, ""en"", ""mt"")"),"Dak li jgħin lid-disinjaturi interni waqt l-integrazzjoni?")</f>
        <v>Dak li jgħin lid-disinjaturi interni waqt l-integrazzjoni?</v>
      </c>
    </row>
    <row r="20055" ht="15.75" customHeight="1">
      <c r="A20055" s="2" t="s">
        <v>20055</v>
      </c>
      <c r="B20055" s="2" t="str">
        <f>IFERROR(__xludf.DUMMYFUNCTION("GOOGLETRANSLATE(A20055, ""en"", ""mt"")"),"Il-mekkanika tagħhom affettwat oġġetti tridimensjonali?")</f>
        <v>Il-mekkanika tagħhom affettwat oġġetti tridimensjonali?</v>
      </c>
    </row>
    <row r="20056" ht="15.75" customHeight="1">
      <c r="A20056" s="2" t="s">
        <v>20056</v>
      </c>
      <c r="B20056" s="2" t="str">
        <f>IFERROR(__xludf.DUMMYFUNCTION("GOOGLETRANSLATE(A20056, ""en"", ""mt"")"),"Wahhabism")</f>
        <v>Wahhabism</v>
      </c>
    </row>
    <row r="20057" ht="15.75" customHeight="1">
      <c r="A20057" s="2" t="s">
        <v>20057</v>
      </c>
      <c r="B20057" s="2" t="str">
        <f>IFERROR(__xludf.DUMMYFUNCTION("GOOGLETRANSLATE(A20057, ""en"", ""mt"")"),"Xiao Zhala")</f>
        <v>Xiao Zhala</v>
      </c>
    </row>
    <row r="20058" ht="15.75" customHeight="1">
      <c r="A20058" s="2" t="s">
        <v>20058</v>
      </c>
      <c r="B20058" s="2" t="str">
        <f>IFERROR(__xludf.DUMMYFUNCTION("GOOGLETRANSLATE(A20058, ""en"", ""mt"")"),"Kif jissejjaħ l-espressjoni msejħa fejn jiġu mmultiplikati tliet numri interi?")</f>
        <v>Kif jissejjaħ l-espressjoni msejħa fejn jiġu mmultiplikati tliet numri interi?</v>
      </c>
    </row>
    <row r="20059" ht="15.75" customHeight="1">
      <c r="A20059" s="2" t="s">
        <v>20059</v>
      </c>
      <c r="B20059" s="2" t="str">
        <f>IFERROR(__xludf.DUMMYFUNCTION("GOOGLETRANSLATE(A20059, ""en"", ""mt"")"),"Kurunell tal-Iroquois")</f>
        <v>Kurunell tal-Iroquois</v>
      </c>
    </row>
    <row r="20060" ht="15.75" customHeight="1">
      <c r="A20060" s="2" t="s">
        <v>20060</v>
      </c>
      <c r="B20060" s="2" t="str">
        <f>IFERROR(__xludf.DUMMYFUNCTION("GOOGLETRANSLATE(A20060, ""en"", ""mt"")"),"Sevenfold")</f>
        <v>Sevenfold</v>
      </c>
    </row>
    <row r="20061" ht="15.75" customHeight="1">
      <c r="A20061" s="2" t="s">
        <v>20061</v>
      </c>
      <c r="B20061" s="2" t="str">
        <f>IFERROR(__xludf.DUMMYFUNCTION("GOOGLETRANSLATE(A20061, ""en"", ""mt"")"),"Liema kumpanija qablet li ttemm il-proċeduri tal-qorti għolja ma 'Virgin Media?")</f>
        <v>Liema kumpanija qablet li ttemm il-proċeduri tal-qorti għolja ma 'Virgin Media?</v>
      </c>
    </row>
    <row r="20062" ht="15.75" customHeight="1">
      <c r="A20062" s="2" t="s">
        <v>20062</v>
      </c>
      <c r="B20062" s="2" t="str">
        <f>IFERROR(__xludf.DUMMYFUNCTION("GOOGLETRANSLATE(A20062, ""en"", ""mt"")"),"Tabelli tal-hash")</f>
        <v>Tabelli tal-hash</v>
      </c>
    </row>
    <row r="20063" ht="15.75" customHeight="1">
      <c r="A20063" s="2" t="s">
        <v>20063</v>
      </c>
      <c r="B20063" s="2" t="str">
        <f>IFERROR(__xludf.DUMMYFUNCTION("GOOGLETRANSLATE(A20063, ""en"", ""mt"")"),"Jekk il-pakketti jivvjaġġaw permezz ta 'rotot differenti, allura kif jaslu fl-ordni?")</f>
        <v>Jekk il-pakketti jivvjaġġaw permezz ta 'rotot differenti, allura kif jaslu fl-ordni?</v>
      </c>
    </row>
    <row r="20064" ht="15.75" customHeight="1">
      <c r="A20064" s="2" t="s">
        <v>20064</v>
      </c>
      <c r="B20064" s="2" t="str">
        <f>IFERROR(__xludf.DUMMYFUNCTION("GOOGLETRANSLATE(A20064, ""en"", ""mt"")"),"edukazzjoni,")</f>
        <v>edukazzjoni,</v>
      </c>
    </row>
    <row r="20065" ht="15.75" customHeight="1">
      <c r="A20065" s="2" t="s">
        <v>20065</v>
      </c>
      <c r="B20065" s="2" t="str">
        <f>IFERROR(__xludf.DUMMYFUNCTION("GOOGLETRANSLATE(A20065, ""en"", ""mt"")"),"F'liema sena kien il-mudell definittiv ta 'Alan Turing ta' apparat tal-komputazzjoni li rċieva?")</f>
        <v>F'liema sena kien il-mudell definittiv ta 'Alan Turing ta' apparat tal-komputazzjoni li rċieva?</v>
      </c>
    </row>
    <row r="20066" ht="15.75" customHeight="1">
      <c r="A20066" s="2" t="s">
        <v>20066</v>
      </c>
      <c r="B20066" s="2" t="str">
        <f>IFERROR(__xludf.DUMMYFUNCTION("GOOGLETRANSLATE(A20066, ""en"", ""mt"")"),"Veru Iżlamiku")</f>
        <v>Veru Iżlamiku</v>
      </c>
    </row>
    <row r="20067" ht="15.75" customHeight="1">
      <c r="A20067" s="2" t="s">
        <v>20067</v>
      </c>
      <c r="B20067" s="2" t="str">
        <f>IFERROR(__xludf.DUMMYFUNCTION("GOOGLETRANSLATE(A20067, ""en"", ""mt"")"),"It-Tehachapis")</f>
        <v>It-Tehachapis</v>
      </c>
    </row>
    <row r="20068" ht="15.75" customHeight="1">
      <c r="A20068" s="2" t="s">
        <v>20068</v>
      </c>
      <c r="B20068" s="2" t="str">
        <f>IFERROR(__xludf.DUMMYFUNCTION("GOOGLETRANSLATE(A20068, ""en"", ""mt"")"),"Immaniġġja d-dipartiment tal-ispiżerija u żoni speċjalizzati")</f>
        <v>Immaniġġja d-dipartiment tal-ispiżerija u żoni speċjalizzati</v>
      </c>
    </row>
    <row r="20069" ht="15.75" customHeight="1">
      <c r="A20069" s="2" t="s">
        <v>20069</v>
      </c>
      <c r="B20069" s="2" t="str">
        <f>IFERROR(__xludf.DUMMYFUNCTION("GOOGLETRANSLATE(A20069, ""en"", ""mt"")"),"Leonardo da Vinci")</f>
        <v>Leonardo da Vinci</v>
      </c>
    </row>
    <row r="20070" ht="15.75" customHeight="1">
      <c r="A20070" s="2" t="s">
        <v>20070</v>
      </c>
      <c r="B20070" s="2" t="str">
        <f>IFERROR(__xludf.DUMMYFUNCTION("GOOGLETRANSLATE(A20070, ""en"", ""mt"")"),"Ġappuniż")</f>
        <v>Ġappuniż</v>
      </c>
    </row>
    <row r="20071" ht="15.75" customHeight="1">
      <c r="A20071" s="2" t="s">
        <v>20071</v>
      </c>
      <c r="B20071" s="2" t="str">
        <f>IFERROR(__xludf.DUMMYFUNCTION("GOOGLETRANSLATE(A20071, ""en"", ""mt"")"),"Netwerking avvanzat ġie żviluppat minn liema sponsorizzazzjoni?")</f>
        <v>Netwerking avvanzat ġie żviluppat minn liema sponsorizzazzjoni?</v>
      </c>
    </row>
    <row r="20072" ht="15.75" customHeight="1">
      <c r="A20072" s="2" t="s">
        <v>20072</v>
      </c>
      <c r="B20072" s="2" t="str">
        <f>IFERROR(__xludf.DUMMYFUNCTION("GOOGLETRANSLATE(A20072, ""en"", ""mt"")"),"Fejn tinsab il-bass dritta Victoria?")</f>
        <v>Fejn tinsab il-bass dritta Victoria?</v>
      </c>
    </row>
    <row r="20073" ht="15.75" customHeight="1">
      <c r="A20073" s="2" t="s">
        <v>20073</v>
      </c>
      <c r="B20073" s="2" t="str">
        <f>IFERROR(__xludf.DUMMYFUNCTION("GOOGLETRANSLATE(A20073, ""en"", ""mt"")"),"X'inhi raġuni waħda li tiġri problema tax-xogħol u ma tistax tkun iffinanzjata?")</f>
        <v>X'inhi raġuni waħda li tiġri problema tax-xogħol u ma tistax tkun iffinanzjata?</v>
      </c>
    </row>
    <row r="20074" ht="15.75" customHeight="1">
      <c r="A20074" s="2" t="s">
        <v>20074</v>
      </c>
      <c r="B20074" s="2" t="str">
        <f>IFERROR(__xludf.DUMMYFUNCTION("GOOGLETRANSLATE(A20074, ""en"", ""mt"")"),"1870s")</f>
        <v>1870s</v>
      </c>
    </row>
    <row r="20075" ht="15.75" customHeight="1">
      <c r="A20075" s="2" t="s">
        <v>20075</v>
      </c>
      <c r="B20075" s="2" t="str">
        <f>IFERROR(__xludf.DUMMYFUNCTION("GOOGLETRANSLATE(A20075, ""en"", ""mt"")")," Min minbarra Woodrow Wilson innifsu ma kellux l-idea għall-inkjesta?")</f>
        <v> Min minbarra Woodrow Wilson innifsu ma kellux l-idea għall-inkjesta?</v>
      </c>
    </row>
    <row r="20076" ht="15.75" customHeight="1">
      <c r="A20076" s="2" t="s">
        <v>20076</v>
      </c>
      <c r="B20076" s="2" t="str">
        <f>IFERROR(__xludf.DUMMYFUNCTION("GOOGLETRANSLATE(A20076, ""en"", ""mt"")"),"Fejn tibda r-Rhine?")</f>
        <v>Fejn tibda r-Rhine?</v>
      </c>
    </row>
    <row r="20077" ht="15.75" customHeight="1">
      <c r="A20077" s="2" t="s">
        <v>20077</v>
      </c>
      <c r="B20077" s="2" t="str">
        <f>IFERROR(__xludf.DUMMYFUNCTION("GOOGLETRANSLATE(A20077, ""en"", ""mt"")"),"Meta ġiet ippubblikata l-karta li l-graff ""Millennial Northern Emisfera Reconstruction"" kienet ibbażata?")</f>
        <v>Meta ġiet ippubblikata l-karta li l-graff "Millennial Northern Emisfera Reconstruction" kienet ibbażata?</v>
      </c>
    </row>
    <row r="20078" ht="15.75" customHeight="1">
      <c r="A20078" s="2" t="s">
        <v>20078</v>
      </c>
      <c r="B20078" s="2" t="str">
        <f>IFERROR(__xludf.DUMMYFUNCTION("GOOGLETRANSLATE(A20078, ""en"", ""mt"")"),"Kemm iddum l-Ewropa tal-Punent Ċipru?")</f>
        <v>Kemm iddum l-Ewropa tal-Punent Ċipru?</v>
      </c>
    </row>
    <row r="20079" ht="15.75" customHeight="1">
      <c r="A20079" s="2" t="s">
        <v>20079</v>
      </c>
      <c r="B20079" s="2" t="str">
        <f>IFERROR(__xludf.DUMMYFUNCTION("GOOGLETRANSLATE(A20079, ""en"", ""mt"")")," Min il-Gran Brittanja ma sfruttajtx fl-Indja?")</f>
        <v> Min il-Gran Brittanja ma sfruttajtx fl-Indja?</v>
      </c>
    </row>
    <row r="20080" ht="15.75" customHeight="1">
      <c r="A20080" s="2" t="s">
        <v>20080</v>
      </c>
      <c r="B20080" s="2" t="str">
        <f>IFERROR(__xludf.DUMMYFUNCTION("GOOGLETRANSLATE(A20080, ""en"", ""mt"")"),"Propaganda")</f>
        <v>Propaganda</v>
      </c>
    </row>
    <row r="20081" ht="15.75" customHeight="1">
      <c r="A20081" s="2" t="s">
        <v>20081</v>
      </c>
      <c r="B20081" s="2" t="str">
        <f>IFERROR(__xludf.DUMMYFUNCTION("GOOGLETRANSLATE(A20081, ""en"", ""mt"")"),"Kif ħassu William Shirley dwar l-avvanz Franċiż?")</f>
        <v>Kif ħassu William Shirley dwar l-avvanz Franċiż?</v>
      </c>
    </row>
    <row r="20082" ht="15.75" customHeight="1">
      <c r="A20082" s="2" t="s">
        <v>20082</v>
      </c>
      <c r="B20082" s="2" t="str">
        <f>IFERROR(__xludf.DUMMYFUNCTION("GOOGLETRANSLATE(A20082, ""en"", ""mt"")"),"Kemm jiffoka fejn hemm fir-rapport P-2626?")</f>
        <v>Kemm jiffoka fejn hemm fir-rapport P-2626?</v>
      </c>
    </row>
    <row r="20083" ht="15.75" customHeight="1">
      <c r="A20083" s="2" t="s">
        <v>20083</v>
      </c>
      <c r="B20083" s="2" t="str">
        <f>IFERROR(__xludf.DUMMYFUNCTION("GOOGLETRANSLATE(A20083, ""en"", ""mt"")"),"vjaġġ bir-ritorn mis-siti kollha f'Milan")</f>
        <v>vjaġġ bir-ritorn mis-siti kollha f'Milan</v>
      </c>
    </row>
    <row r="20084" ht="15.75" customHeight="1">
      <c r="A20084" s="2" t="s">
        <v>20084</v>
      </c>
      <c r="B20084" s="2" t="str">
        <f>IFERROR(__xludf.DUMMYFUNCTION("GOOGLETRANSLATE(A20084, ""en"", ""mt"")"),"Dizzjunarju tal-Liġi tal-Iswed")</f>
        <v>Dizzjunarju tal-Liġi tal-Iswed</v>
      </c>
    </row>
    <row r="20085" ht="15.75" customHeight="1">
      <c r="A20085" s="2" t="s">
        <v>20085</v>
      </c>
      <c r="B20085" s="2" t="str">
        <f>IFERROR(__xludf.DUMMYFUNCTION("GOOGLETRANSLATE(A20085, ""en"", ""mt"")"),"X'għamlu l-problemi makroekonomiċi li kkawżaw il-kumpaniji taż-żejt?")</f>
        <v>X'għamlu l-problemi makroekonomiċi li kkawżaw il-kumpaniji taż-żejt?</v>
      </c>
    </row>
    <row r="20086" ht="15.75" customHeight="1">
      <c r="A20086" s="2" t="s">
        <v>20086</v>
      </c>
      <c r="B20086" s="2" t="str">
        <f>IFERROR(__xludf.DUMMYFUNCTION("GOOGLETRANSLATE(A20086, ""en"", ""mt"")"),"Dubbidjenza Ċivili Rivoluzzjonarja")</f>
        <v>Dubbidjenza Ċivili Rivoluzzjonarja</v>
      </c>
    </row>
    <row r="20087" ht="15.75" customHeight="1">
      <c r="A20087" s="2" t="s">
        <v>20087</v>
      </c>
      <c r="B20087" s="2" t="str">
        <f>IFERROR(__xludf.DUMMYFUNCTION("GOOGLETRANSLATE(A20087, ""en"", ""mt"")"),"Lag tal-ilma ħelu")</f>
        <v>Lag tal-ilma ħelu</v>
      </c>
    </row>
    <row r="20088" ht="15.75" customHeight="1">
      <c r="A20088" s="2" t="s">
        <v>20088</v>
      </c>
      <c r="B20088" s="2" t="str">
        <f>IFERROR(__xludf.DUMMYFUNCTION("GOOGLETRANSLATE(A20088, ""en"", ""mt"")"),"Il-foresta tropikali tnaqqset")</f>
        <v>Il-foresta tropikali tnaqqset</v>
      </c>
    </row>
    <row r="20089" ht="15.75" customHeight="1">
      <c r="A20089" s="2" t="s">
        <v>20089</v>
      </c>
      <c r="B20089" s="2" t="str">
        <f>IFERROR(__xludf.DUMMYFUNCTION("GOOGLETRANSLATE(A20089, ""en"", ""mt"")"),"X'kien l-isem Ċiniż għas-Segretarjat Ċentrali?")</f>
        <v>X'kien l-isem Ċiniż għas-Segretarjat Ċentrali?</v>
      </c>
    </row>
    <row r="20090" ht="15.75" customHeight="1">
      <c r="A20090" s="2" t="s">
        <v>20090</v>
      </c>
      <c r="B20090" s="2" t="str">
        <f>IFERROR(__xludf.DUMMYFUNCTION("GOOGLETRANSLATE(A20090, ""en"", ""mt"")"),"suburbani")</f>
        <v>suburbani</v>
      </c>
    </row>
    <row r="20091" ht="15.75" customHeight="1">
      <c r="A20091" s="2" t="s">
        <v>20091</v>
      </c>
      <c r="B20091" s="2" t="str">
        <f>IFERROR(__xludf.DUMMYFUNCTION("GOOGLETRANSLATE(A20091, ""en"", ""mt"")"),"Wara t-Trattat ta 'Lisbona, il-Karta u l-Konvenzjoni issa jeżistu taħt xiex?")</f>
        <v>Wara t-Trattat ta 'Lisbona, il-Karta u l-Konvenzjoni issa jeżistu taħt xiex?</v>
      </c>
    </row>
    <row r="20092" ht="15.75" customHeight="1">
      <c r="A20092" s="2" t="s">
        <v>20092</v>
      </c>
      <c r="B20092" s="2" t="str">
        <f>IFERROR(__xludf.DUMMYFUNCTION("GOOGLETRANSLATE(A20092, ""en"", ""mt"")"),"Varjabbiltà tat-torque")</f>
        <v>Varjabbiltà tat-torque</v>
      </c>
    </row>
    <row r="20093" ht="15.75" customHeight="1">
      <c r="A20093" s="2" t="s">
        <v>20093</v>
      </c>
      <c r="B20093" s="2" t="str">
        <f>IFERROR(__xludf.DUMMYFUNCTION("GOOGLETRANSLATE(A20093, ""en"", ""mt"")"),"X'inhu l-iskop essenzjali tas-supplimentazzjoni?")</f>
        <v>X'inhu l-iskop essenzjali tas-supplimentazzjoni?</v>
      </c>
    </row>
    <row r="20094" ht="15.75" customHeight="1">
      <c r="A20094" s="2" t="s">
        <v>20094</v>
      </c>
      <c r="B20094" s="2" t="str">
        <f>IFERROR(__xludf.DUMMYFUNCTION("GOOGLETRANSLATE(A20094, ""en"", ""mt"")"),"X'inhu jkompli bil-livelli ta 'enerġija ferm lil hinn mid-dawra tas-seklu 20?")</f>
        <v>X'inhu jkompli bil-livelli ta 'enerġija ferm lil hinn mid-dawra tas-seklu 20?</v>
      </c>
    </row>
    <row r="20095" ht="15.75" customHeight="1">
      <c r="A20095" s="2" t="s">
        <v>20095</v>
      </c>
      <c r="B20095" s="2" t="str">
        <f>IFERROR(__xludf.DUMMYFUNCTION("GOOGLETRANSLATE(A20095, ""en"", ""mt"")"),"X’jagħmlu x-xjenzati biex jiddeterminaw il-proċess tal-moviment tax-xmajjar?")</f>
        <v>X’jagħmlu x-xjenzati biex jiddeterminaw il-proċess tal-moviment tax-xmajjar?</v>
      </c>
    </row>
    <row r="20096" ht="15.75" customHeight="1">
      <c r="A20096" s="2" t="s">
        <v>20096</v>
      </c>
      <c r="B20096" s="2" t="str">
        <f>IFERROR(__xludf.DUMMYFUNCTION("GOOGLETRANSLATE(A20096, ""en"", ""mt"")"),"X'għandha enerġija ta 'bond ta' 121 pm?")</f>
        <v>X'għandha enerġija ta 'bond ta' 121 pm?</v>
      </c>
    </row>
    <row r="20097" ht="15.75" customHeight="1">
      <c r="A20097" s="2" t="s">
        <v>20097</v>
      </c>
      <c r="B20097" s="2" t="str">
        <f>IFERROR(__xludf.DUMMYFUNCTION("GOOGLETRANSLATE(A20097, ""en"", ""mt"")"),"Diviżjoni I.")</f>
        <v>Diviżjoni I.</v>
      </c>
    </row>
    <row r="20098" ht="15.75" customHeight="1">
      <c r="A20098" s="2" t="s">
        <v>20098</v>
      </c>
      <c r="B20098" s="2" t="str">
        <f>IFERROR(__xludf.DUMMYFUNCTION("GOOGLETRANSLATE(A20098, ""en"", ""mt"")"),"Liema test huwa partikolarment utli għat-testijiet tal-Formola 2P-1?")</f>
        <v>Liema test huwa partikolarment utli għat-testijiet tal-Formola 2P-1?</v>
      </c>
    </row>
    <row r="20099" ht="15.75" customHeight="1">
      <c r="A20099" s="2" t="s">
        <v>20099</v>
      </c>
      <c r="B20099" s="2" t="str">
        <f>IFERROR(__xludf.DUMMYFUNCTION("GOOGLETRANSLATE(A20099, ""en"", ""mt"")"),"Kif ġew assimilati l-kolonizzaturi Huguenot fis-soċjetà ta 'l-Amerika ta' Fuq?")</f>
        <v>Kif ġew assimilati l-kolonizzaturi Huguenot fis-soċjetà ta 'l-Amerika ta' Fuq?</v>
      </c>
    </row>
    <row r="20100" ht="15.75" customHeight="1">
      <c r="A20100" s="2" t="s">
        <v>20100</v>
      </c>
      <c r="B20100" s="2" t="str">
        <f>IFERROR(__xludf.DUMMYFUNCTION("GOOGLETRANSLATE(A20100, ""en"", ""mt"")"),"Liema manifattur qatt ma kellu problemi ta 'provvista meta jittratta ma' BSKYB?")</f>
        <v>Liema manifattur qatt ma kellu problemi ta 'provvista meta jittratta ma' BSKYB?</v>
      </c>
    </row>
    <row r="20101" ht="15.75" customHeight="1">
      <c r="A20101" s="2" t="s">
        <v>20101</v>
      </c>
      <c r="B20101" s="2" t="str">
        <f>IFERROR(__xludf.DUMMYFUNCTION("GOOGLETRANSLATE(A20101, ""en"", ""mt"")"),"Kif ġie kopert l-avveniment meta l-Lhud ġew arrestati mill-kolletturi tat-taxxa?")</f>
        <v>Kif ġie kopert l-avveniment meta l-Lhud ġew arrestati mill-kolletturi tat-taxxa?</v>
      </c>
    </row>
    <row r="20102" ht="15.75" customHeight="1">
      <c r="A20102" s="2" t="s">
        <v>20102</v>
      </c>
      <c r="B20102" s="2" t="str">
        <f>IFERROR(__xludf.DUMMYFUNCTION("GOOGLETRANSLATE(A20102, ""en"", ""mt"")"),"Analiżi tal-filoġenija molekulari kkonfermat li ċ-ċidippidi mhumiex xiex?")</f>
        <v>Analiżi tal-filoġenija molekulari kkonfermat li ċ-ċidippidi mhumiex xiex?</v>
      </c>
    </row>
    <row r="20103" ht="15.75" customHeight="1">
      <c r="A20103" s="2" t="s">
        <v>20103</v>
      </c>
      <c r="B20103" s="2" t="str">
        <f>IFERROR(__xludf.DUMMYFUNCTION("GOOGLETRANSLATE(A20103, ""en"", ""mt"")"),"Kemm hemm volumi li żżomm il-librerija John Crerar bejn wieħed u ieħor?")</f>
        <v>Kemm hemm volumi li żżomm il-librerija John Crerar bejn wieħed u ieħor?</v>
      </c>
    </row>
    <row r="20104" ht="15.75" customHeight="1">
      <c r="A20104" s="2" t="s">
        <v>20104</v>
      </c>
      <c r="B20104" s="2" t="str">
        <f>IFERROR(__xludf.DUMMYFUNCTION("GOOGLETRANSLATE(A20104, ""en"", ""mt"")"),"X'tagħmel il-Beroe meta ssegwi l-priża?")</f>
        <v>X'tagħmel il-Beroe meta ssegwi l-priża?</v>
      </c>
    </row>
    <row r="20105" ht="15.75" customHeight="1">
      <c r="A20105" s="2" t="s">
        <v>20105</v>
      </c>
      <c r="B20105" s="2" t="str">
        <f>IFERROR(__xludf.DUMMYFUNCTION("GOOGLETRANSLATE(A20105, ""en"", ""mt"")"),"18%")</f>
        <v>18%</v>
      </c>
    </row>
    <row r="20106" ht="15.75" customHeight="1">
      <c r="A20106" s="2" t="s">
        <v>20106</v>
      </c>
      <c r="B20106" s="2" t="str">
        <f>IFERROR(__xludf.DUMMYFUNCTION("GOOGLETRANSLATE(A20106, ""en"", ""mt"")"),"Liema premju kien ispirat minn Corliss?")</f>
        <v>Liema premju kien ispirat minn Corliss?</v>
      </c>
    </row>
    <row r="20107" ht="15.75" customHeight="1">
      <c r="A20107" s="2" t="s">
        <v>20107</v>
      </c>
      <c r="B20107" s="2" t="str">
        <f>IFERROR(__xludf.DUMMYFUNCTION("GOOGLETRANSLATE(A20107, ""en"", ""mt"")"),"L-akbar karatteristika sensorja waħda hija l-organu aboral (fit-tarf oppost mill-ħalq). Il-komponent ewlieni tiegħu huwa statocyst, sensur tal-bilanċ li jikkonsisti minn statolit, partiċella solida sostnuta fuq erba 'qatet ta' ċili, imsejħa ""bilanċjaturi"&amp;""", li jħossu l-orjentazzjoni tiegħu. L-istatokist huwa protett minn koppla trasparenti magħmula minn ċili twil u immobbli. Ctenophore ma jipprovax awtomatikament iżomm l-istatolith jistrieħ bl-istess mod fuq il-bilanċjaturi kollha. Minflok ir-risposta ta"&amp;"għha hija determinata mill- ""burdata"" tal-annimal, fi kliem ieħor l-istat ġenerali tas-sistema nervuża. Pereżempju, jekk ctenophore bit-tentakli tat-tkaxkir jaqbad il-priża, ħafna drabi jpoġġi xi ringieli tal-moxt fil-maqlub, idawwar il-ħalq lejn il-pri"&amp;"ża.")</f>
        <v>L-akbar karatteristika sensorja waħda hija l-organu aboral (fit-tarf oppost mill-ħalq). Il-komponent ewlieni tiegħu huwa statocyst, sensur tal-bilanċ li jikkonsisti minn statolit, partiċella solida sostnuta fuq erba 'qatet ta' ċili, imsejħa "bilanċjaturi", li jħossu l-orjentazzjoni tiegħu. L-istatokist huwa protett minn koppla trasparenti magħmula minn ċili twil u immobbli. Ctenophore ma jipprovax awtomatikament iżomm l-istatolith jistrieħ bl-istess mod fuq il-bilanċjaturi kollha. Minflok ir-risposta tagħha hija determinata mill- "burdata" tal-annimal, fi kliem ieħor l-istat ġenerali tas-sistema nervuża. Pereżempju, jekk ctenophore bit-tentakli tat-tkaxkir jaqbad il-priża, ħafna drabi jpoġġi xi ringieli tal-moxt fil-maqlub, idawwar il-ħalq lejn il-priża.</v>
      </c>
    </row>
    <row r="20108" ht="15.75" customHeight="1">
      <c r="A20108" s="2" t="s">
        <v>20108</v>
      </c>
      <c r="B20108" s="2" t="str">
        <f>IFERROR(__xludf.DUMMYFUNCTION("GOOGLETRANSLATE(A20108, ""en"", ""mt"")"),"Il-kolonjaliżmu spiss ifisser pajjiż li jagħmel?")</f>
        <v>Il-kolonjaliżmu spiss ifisser pajjiż li jagħmel?</v>
      </c>
    </row>
    <row r="20109" ht="15.75" customHeight="1">
      <c r="A20109" s="2" t="s">
        <v>20109</v>
      </c>
      <c r="B20109" s="2" t="str">
        <f>IFERROR(__xludf.DUMMYFUNCTION("GOOGLETRANSLATE(A20109, ""en"", ""mt"")"),"L-inerzja rotazzjonali tal-pjaneta Mars hija x’inhu dak li jirranġa?")</f>
        <v>L-inerzja rotazzjonali tal-pjaneta Mars hija x’inhu dak li jirranġa?</v>
      </c>
    </row>
    <row r="20110" ht="15.75" customHeight="1">
      <c r="A20110" s="2" t="s">
        <v>20110</v>
      </c>
      <c r="B20110" s="2" t="str">
        <f>IFERROR(__xludf.DUMMYFUNCTION("GOOGLETRANSLATE(A20110, ""en"", ""mt"")"),"Besançon Hugues")</f>
        <v>Besançon Hugues</v>
      </c>
    </row>
    <row r="20111" ht="15.75" customHeight="1">
      <c r="A20111" s="2" t="s">
        <v>20111</v>
      </c>
      <c r="B20111" s="2" t="str">
        <f>IFERROR(__xludf.DUMMYFUNCTION("GOOGLETRANSLATE(A20111, ""en"", ""mt"")"),"Minn liema belt Ingliża kienet Edmund Bellinger?")</f>
        <v>Minn liema belt Ingliża kienet Edmund Bellinger?</v>
      </c>
    </row>
    <row r="20112" ht="15.75" customHeight="1">
      <c r="A20112" s="2" t="s">
        <v>20112</v>
      </c>
      <c r="B20112" s="2" t="str">
        <f>IFERROR(__xludf.DUMMYFUNCTION("GOOGLETRANSLATE(A20112, ""en"", ""mt"")"),"Typhoon inauspicious")</f>
        <v>Typhoon inauspicious</v>
      </c>
    </row>
    <row r="20113" ht="15.75" customHeight="1">
      <c r="A20113" s="2" t="s">
        <v>20113</v>
      </c>
      <c r="B20113" s="2" t="str">
        <f>IFERROR(__xludf.DUMMYFUNCTION("GOOGLETRANSLATE(A20113, ""en"", ""mt"")"),"Għal xiex huma limitati l-impenn tal-gvern inkompetenti għall-ġustizzja soċjali?")</f>
        <v>Għal xiex huma limitati l-impenn tal-gvern inkompetenti għall-ġustizzja soċjali?</v>
      </c>
    </row>
    <row r="20114" ht="15.75" customHeight="1">
      <c r="A20114" s="2" t="s">
        <v>20114</v>
      </c>
      <c r="B20114" s="2" t="str">
        <f>IFERROR(__xludf.DUMMYFUNCTION("GOOGLETRANSLATE(A20114, ""en"", ""mt"")"),"Robert Koch u Emil von Behring,")</f>
        <v>Robert Koch u Emil von Behring,</v>
      </c>
    </row>
    <row r="20115" ht="15.75" customHeight="1">
      <c r="A20115" s="2" t="s">
        <v>20115</v>
      </c>
      <c r="B20115" s="2" t="str">
        <f>IFERROR(__xludf.DUMMYFUNCTION("GOOGLETRANSLATE(A20115, ""en"", ""mt"")"),"Min kien bil-mod biex jirranġa l-prezzijiet?")</f>
        <v>Min kien bil-mod biex jirranġa l-prezzijiet?</v>
      </c>
    </row>
    <row r="20116" ht="15.75" customHeight="1">
      <c r="A20116" s="2" t="s">
        <v>20116</v>
      </c>
      <c r="B20116" s="2" t="str">
        <f>IFERROR(__xludf.DUMMYFUNCTION("GOOGLETRANSLATE(A20116, ""en"", ""mt"")"),"Sistemi kriptografiċi moderni")</f>
        <v>Sistemi kriptografiċi moderni</v>
      </c>
    </row>
    <row r="20117" ht="15.75" customHeight="1">
      <c r="A20117" s="2" t="s">
        <v>20117</v>
      </c>
      <c r="B20117" s="2" t="str">
        <f>IFERROR(__xludf.DUMMYFUNCTION("GOOGLETRANSLATE(A20117, ""en"", ""mt"")"),"Fejn jgħixu s-soltu aboral?")</f>
        <v>Fejn jgħixu s-soltu aboral?</v>
      </c>
    </row>
    <row r="20118" ht="15.75" customHeight="1">
      <c r="A20118" s="2" t="s">
        <v>20118</v>
      </c>
      <c r="B20118" s="2" t="str">
        <f>IFERROR(__xludf.DUMMYFUNCTION("GOOGLETRANSLATE(A20118, ""en"", ""mt"")"),"Gass tal-ossiġnu (O
2) Jista 'jkun tossiku bi pressjonijiet parzjali elevati, li jwassal għal konvulżjonijiet u problemi oħra ta' saħħa. [J] It-tossiċità tal-ossiġnu ġeneralment tibda sseħħ fi pressjonijiet parzjali aktar minn 50 kilopascals (kPa), daqs m"&amp;"adwar 50% kompożizzjoni ta 'ossiġenu bi pressjoni standard fi pressjoni standard jew 2.5 darbiet il-livell normali tal-baħar o
2 pressjoni parzjali ta 'madwar 21 kPa. Din mhix problema ħlief għal pazjenti fuq ventilaturi mekkaniċi, peress li l-gass fornut"&amp;" permezz ta 'maskri ta' ossiġnu f'applikazzjonijiet mediċi huwa tipikament magħmul minn 30% –50% biss o
2 bil-volum (madwar 30 kPa bi pressjoni standard). (Għalkemm din iċ-ċifra hija wkoll soġġetta għal varjazzjoni wiesgħa, skont it-tip ta 'maskra).")</f>
        <v>Gass tal-ossiġnu (O
2) Jista 'jkun tossiku bi pressjonijiet parzjali elevati, li jwassal għal konvulżjonijiet u problemi oħra ta' saħħa. [J] It-tossiċità tal-ossiġnu ġeneralment tibda sseħħ fi pressjonijiet parzjali aktar minn 50 kilopascals (kPa), daqs madwar 50% kompożizzjoni ta 'ossiġenu bi pressjoni standard fi pressjoni standard jew 2.5 darbiet il-livell normali tal-baħar o
2 pressjoni parzjali ta 'madwar 21 kPa. Din mhix problema ħlief għal pazjenti fuq ventilaturi mekkaniċi, peress li l-gass fornut permezz ta 'maskri ta' ossiġnu f'applikazzjonijiet mediċi huwa tipikament magħmul minn 30% –50% biss o
2 bil-volum (madwar 30 kPa bi pressjoni standard). (Għalkemm din iċ-ċifra hija wkoll soġġetta għal varjazzjoni wiesgħa, skont it-tip ta 'maskra).</v>
      </c>
    </row>
    <row r="20119" ht="15.75" customHeight="1">
      <c r="A20119" s="2" t="s">
        <v>20119</v>
      </c>
      <c r="B20119" s="2" t="str">
        <f>IFERROR(__xludf.DUMMYFUNCTION("GOOGLETRANSLATE(A20119, ""en"", ""mt"")"),"l-imħallfin")</f>
        <v>l-imħallfin</v>
      </c>
    </row>
    <row r="20120" ht="15.75" customHeight="1">
      <c r="A20120" s="2" t="s">
        <v>20120</v>
      </c>
      <c r="B20120" s="2" t="str">
        <f>IFERROR(__xludf.DUMMYFUNCTION("GOOGLETRANSLATE(A20120, ""en"", ""mt"")"),"Il-ħolqien ta 'stati moderni tal-Balkani u tal-Lvant Nofsani")</f>
        <v>Il-ħolqien ta 'stati moderni tal-Balkani u tal-Lvant Nofsani</v>
      </c>
    </row>
    <row r="20121" ht="15.75" customHeight="1">
      <c r="A20121" s="2" t="s">
        <v>20121</v>
      </c>
      <c r="B20121" s="2" t="str">
        <f>IFERROR(__xludf.DUMMYFUNCTION("GOOGLETRANSLATE(A20121, ""en"", ""mt"")"),"gassuż")</f>
        <v>gassuż</v>
      </c>
    </row>
    <row r="20122" ht="15.75" customHeight="1">
      <c r="A20122" s="2" t="s">
        <v>20122</v>
      </c>
      <c r="B20122" s="2" t="str">
        <f>IFERROR(__xludf.DUMMYFUNCTION("GOOGLETRANSLATE(A20122, ""en"", ""mt"")"),"1622")</f>
        <v>1622</v>
      </c>
    </row>
    <row r="20123" ht="15.75" customHeight="1">
      <c r="A20123" s="2" t="s">
        <v>20123</v>
      </c>
      <c r="B20123" s="2" t="str">
        <f>IFERROR(__xludf.DUMMYFUNCTION("GOOGLETRANSLATE(A20123, ""en"", ""mt"")"),"Rimedji tal-Ħxejjex")</f>
        <v>Rimedji tal-Ħxejjex</v>
      </c>
    </row>
    <row r="20124" ht="15.75" customHeight="1">
      <c r="A20124" s="2" t="s">
        <v>20124</v>
      </c>
      <c r="B20124" s="2" t="str">
        <f>IFERROR(__xludf.DUMMYFUNCTION("GOOGLETRANSLATE(A20124, ""en"", ""mt"")"),"Il-membri tal-Fratellanza huma favur li jikkunsmaw liema xorb?")</f>
        <v>Il-membri tal-Fratellanza huma favur li jikkunsmaw liema xorb?</v>
      </c>
    </row>
    <row r="20125" ht="15.75" customHeight="1">
      <c r="A20125" s="2" t="s">
        <v>20125</v>
      </c>
      <c r="B20125" s="2" t="str">
        <f>IFERROR(__xludf.DUMMYFUNCTION("GOOGLETRANSLATE(A20125, ""en"", ""mt"")"),"Diviżjonijiet politiċi storiċi")</f>
        <v>Diviżjonijiet politiċi storiċi</v>
      </c>
    </row>
    <row r="20126" ht="15.75" customHeight="1">
      <c r="A20126" s="2" t="s">
        <v>20126</v>
      </c>
      <c r="B20126" s="2" t="str">
        <f>IFERROR(__xludf.DUMMYFUNCTION("GOOGLETRANSLATE(A20126, ""en"", ""mt"")"),"Abu al-Rayhan al-Biruni fuq il-kitbiet tiegħu fuq?")</f>
        <v>Abu al-Rayhan al-Biruni fuq il-kitbiet tiegħu fuq?</v>
      </c>
    </row>
    <row r="20127" ht="15.75" customHeight="1">
      <c r="A20127" s="2" t="s">
        <v>20127</v>
      </c>
      <c r="B20127" s="2" t="str">
        <f>IFERROR(__xludf.DUMMYFUNCTION("GOOGLETRANSLATE(A20127, ""en"", ""mt"")"),"Rugby")</f>
        <v>Rugby</v>
      </c>
    </row>
    <row r="20128" ht="15.75" customHeight="1">
      <c r="A20128" s="2" t="s">
        <v>20128</v>
      </c>
      <c r="B20128" s="2" t="str">
        <f>IFERROR(__xludf.DUMMYFUNCTION("GOOGLETRANSLATE(A20128, ""en"", ""mt"")"),"X'inhuma t-tieni u t-tielet l-iktar megalopoli popolata wara n-Nofsinhar ta 'California?")</f>
        <v>X'inhuma t-tieni u t-tielet l-iktar megalopoli popolata wara n-Nofsinhar ta 'California?</v>
      </c>
    </row>
    <row r="20129" ht="15.75" customHeight="1">
      <c r="A20129" s="2" t="s">
        <v>20129</v>
      </c>
      <c r="B20129" s="2" t="str">
        <f>IFERROR(__xludf.DUMMYFUNCTION("GOOGLETRANSLATE(A20129, ""en"", ""mt"")"),"Bioluminesċenza")</f>
        <v>Bioluminesċenza</v>
      </c>
    </row>
    <row r="20130" ht="15.75" customHeight="1">
      <c r="A20130" s="2" t="s">
        <v>20130</v>
      </c>
      <c r="B20130" s="2" t="str">
        <f>IFERROR(__xludf.DUMMYFUNCTION("GOOGLETRANSLATE(A20130, ""en"", ""mt"")"),"Kemm hemm nies jgħixu fir-reġjun tal-Alsace ta 'Franza?")</f>
        <v>Kemm hemm nies jgħixu fir-reġjun tal-Alsace ta 'Franza?</v>
      </c>
    </row>
    <row r="20131" ht="15.75" customHeight="1">
      <c r="A20131" s="2" t="s">
        <v>20131</v>
      </c>
      <c r="B20131" s="2" t="str">
        <f>IFERROR(__xludf.DUMMYFUNCTION("GOOGLETRANSLATE(A20131, ""en"", ""mt"")"),"X'inhuma n-numri ikbar minn 1 li jistgħu jinqasmu b'6 numri jew aktar imsejħa?")</f>
        <v>X'inhuma n-numri ikbar minn 1 li jistgħu jinqasmu b'6 numri jew aktar imsejħa?</v>
      </c>
    </row>
    <row r="20132" ht="15.75" customHeight="1">
      <c r="A20132" s="2" t="s">
        <v>20132</v>
      </c>
      <c r="B20132" s="2" t="str">
        <f>IFERROR(__xludf.DUMMYFUNCTION("GOOGLETRANSLATE(A20132, ""en"", ""mt"")"),"Liema tip Franċiż ħareġ din id-dikjarazzjoni?")</f>
        <v>Liema tip Franċiż ħareġ din id-dikjarazzjoni?</v>
      </c>
    </row>
    <row r="20133" ht="15.75" customHeight="1">
      <c r="A20133" s="2" t="s">
        <v>20133</v>
      </c>
      <c r="B20133" s="2" t="str">
        <f>IFERROR(__xludf.DUMMYFUNCTION("GOOGLETRANSLATE(A20133, ""en"", ""mt"")"),"fihom muskolu strijat")</f>
        <v>fihom muskolu strijat</v>
      </c>
    </row>
    <row r="20134" ht="15.75" customHeight="1">
      <c r="A20134" s="2" t="s">
        <v>20134</v>
      </c>
      <c r="B20134" s="2" t="str">
        <f>IFERROR(__xludf.DUMMYFUNCTION("GOOGLETRANSLATE(A20134, ""en"", ""mt"")"),"Pliocene")</f>
        <v>Pliocene</v>
      </c>
    </row>
    <row r="20135" ht="15.75" customHeight="1">
      <c r="A20135" s="2" t="s">
        <v>20135</v>
      </c>
      <c r="B20135" s="2" t="str">
        <f>IFERROR(__xludf.DUMMYFUNCTION("GOOGLETRANSLATE(A20135, ""en"", ""mt"")"),"Wesel-Datteln Canal")</f>
        <v>Wesel-Datteln Canal</v>
      </c>
    </row>
    <row r="20136" ht="15.75" customHeight="1">
      <c r="A20136" s="2" t="s">
        <v>20136</v>
      </c>
      <c r="B20136" s="2" t="str">
        <f>IFERROR(__xludf.DUMMYFUNCTION("GOOGLETRANSLATE(A20136, ""en"", ""mt"")"),"Trojans")</f>
        <v>Trojans</v>
      </c>
    </row>
    <row r="20137" ht="15.75" customHeight="1">
      <c r="A20137" s="2" t="s">
        <v>20137</v>
      </c>
      <c r="B20137" s="2" t="str">
        <f>IFERROR(__xludf.DUMMYFUNCTION("GOOGLETRANSLATE(A20137, ""en"", ""mt"")"),"firien u briegħed")</f>
        <v>firien u briegħed</v>
      </c>
    </row>
    <row r="20138" ht="15.75" customHeight="1">
      <c r="A20138" s="2" t="s">
        <v>20138</v>
      </c>
      <c r="B20138" s="2" t="str">
        <f>IFERROR(__xludf.DUMMYFUNCTION("GOOGLETRANSLATE(A20138, ""en"", ""mt"")"),"Liema sena Vilnius it-tip mexxa l-qorti tiegħu lejn Varsavja?")</f>
        <v>Liema sena Vilnius it-tip mexxa l-qorti tiegħu lejn Varsavja?</v>
      </c>
    </row>
    <row r="20139" ht="15.75" customHeight="1">
      <c r="A20139" s="2" t="s">
        <v>20139</v>
      </c>
      <c r="B20139" s="2" t="str">
        <f>IFERROR(__xludf.DUMMYFUNCTION("GOOGLETRANSLATE(A20139, ""en"", ""mt"")"),"Kemm instabu l-fossili fiċ-Ċina?")</f>
        <v>Kemm instabu l-fossili fiċ-Ċina?</v>
      </c>
    </row>
    <row r="20140" ht="15.75" customHeight="1">
      <c r="A20140" s="2" t="s">
        <v>20140</v>
      </c>
      <c r="B20140" s="2" t="str">
        <f>IFERROR(__xludf.DUMMYFUNCTION("GOOGLETRANSLATE(A20140, ""en"", ""mt"")"),"Prinċipju ta 'Suċċessjoni Faunali")</f>
        <v>Prinċipju ta 'Suċċessjoni Faunali</v>
      </c>
    </row>
    <row r="20141" ht="15.75" customHeight="1">
      <c r="A20141" s="2" t="s">
        <v>20141</v>
      </c>
      <c r="B20141" s="2" t="str">
        <f>IFERROR(__xludf.DUMMYFUNCTION("GOOGLETRANSLATE(A20141, ""en"", ""mt"")"),"X'inhuma l-bilanċ f'sistema miftuħa ta 'partiċelli?")</f>
        <v>X'inhuma l-bilanċ f'sistema miftuħa ta 'partiċelli?</v>
      </c>
    </row>
    <row r="20142" ht="15.75" customHeight="1">
      <c r="A20142" s="2" t="s">
        <v>20142</v>
      </c>
      <c r="B20142" s="2" t="str">
        <f>IFERROR(__xludf.DUMMYFUNCTION("GOOGLETRANSLATE(A20142, ""en"", ""mt"")"),"Permezz ta ’esperimentazzjoni")</f>
        <v>Permezz ta ’esperimentazzjoni</v>
      </c>
    </row>
    <row r="20143" ht="15.75" customHeight="1">
      <c r="A20143" s="2" t="s">
        <v>20143</v>
      </c>
      <c r="B20143" s="2" t="str">
        <f>IFERROR(__xludf.DUMMYFUNCTION("GOOGLETRANSLATE(A20143, ""en"", ""mt"")"),"it-test tal-primalità Fermat")</f>
        <v>it-test tal-primalità Fermat</v>
      </c>
    </row>
    <row r="20144" ht="15.75" customHeight="1">
      <c r="A20144" s="2" t="s">
        <v>20144</v>
      </c>
      <c r="B20144" s="2" t="str">
        <f>IFERROR(__xludf.DUMMYFUNCTION("GOOGLETRANSLATE(A20144, ""en"", ""mt"")"),"Kemm kilometri ta 'acres tal-foresta tropikali Ekwadorjana huma appoġġjati?")</f>
        <v>Kemm kilometri ta 'acres tal-foresta tropikali Ekwadorjana huma appoġġjati?</v>
      </c>
    </row>
    <row r="20145" ht="15.75" customHeight="1">
      <c r="A20145" s="2" t="s">
        <v>20145</v>
      </c>
      <c r="B20145" s="2" t="str">
        <f>IFERROR(__xludf.DUMMYFUNCTION("GOOGLETRANSLATE(A20145, ""en"", ""mt"")"),"Iċ-Ċina tan-Nofsinhar")</f>
        <v>Iċ-Ċina tan-Nofsinhar</v>
      </c>
    </row>
    <row r="20146" ht="15.75" customHeight="1">
      <c r="A20146" s="2" t="s">
        <v>20146</v>
      </c>
      <c r="B20146" s="2" t="str">
        <f>IFERROR(__xludf.DUMMYFUNCTION("GOOGLETRANSLATE(A20146, ""en"", ""mt"")"),"Liema korp huwa magħmul minn membri tal-2009?")</f>
        <v>Liema korp huwa magħmul minn membri tal-2009?</v>
      </c>
    </row>
    <row r="20147" ht="15.75" customHeight="1">
      <c r="A20147" s="2" t="s">
        <v>20147</v>
      </c>
      <c r="B20147" s="2" t="str">
        <f>IFERROR(__xludf.DUMMYFUNCTION("GOOGLETRANSLATE(A20147, ""en"", ""mt"")"),"1,548")</f>
        <v>1,548</v>
      </c>
    </row>
    <row r="20148" ht="15.75" customHeight="1">
      <c r="A20148" s="2" t="s">
        <v>20148</v>
      </c>
      <c r="B20148" s="2" t="str">
        <f>IFERROR(__xludf.DUMMYFUNCTION("GOOGLETRANSLATE(A20148, ""en"", ""mt"")"),"biex jagħmlu ċerti liġijiet ineffettivi, li jikkawżaw ir-revoka tagħhom, jew li jagħmlu pressjoni biex jiksbu x-xewqat politiċi ta 'wieħed fuq xi kwistjoni oħra")</f>
        <v>biex jagħmlu ċerti liġijiet ineffettivi, li jikkawżaw ir-revoka tagħhom, jew li jagħmlu pressjoni biex jiksbu x-xewqat politiċi ta 'wieħed fuq xi kwistjoni oħra</v>
      </c>
    </row>
    <row r="20149" ht="15.75" customHeight="1">
      <c r="A20149" s="2" t="s">
        <v>20149</v>
      </c>
      <c r="B20149" s="2" t="str">
        <f>IFERROR(__xludf.DUMMYFUNCTION("GOOGLETRANSLATE(A20149, ""en"", ""mt"")"),"Liema ktieb minn Edward qal ippreżenta l-Lvant bħala l- ""oħrajn?""")</f>
        <v>Liema ktieb minn Edward qal ippreżenta l-Lvant bħala l- "oħrajn?"</v>
      </c>
    </row>
    <row r="20150" ht="15.75" customHeight="1">
      <c r="A20150" s="2" t="s">
        <v>20150</v>
      </c>
      <c r="B20150" s="2" t="str">
        <f>IFERROR(__xludf.DUMMYFUNCTION("GOOGLETRANSLATE(A20150, ""en"", ""mt"")"),"Min iddikjara li l-isem Black Death deher l-ewwel fl-1631?")</f>
        <v>Min iddikjara li l-isem Black Death deher l-ewwel fl-1631?</v>
      </c>
    </row>
    <row r="20151" ht="15.75" customHeight="1">
      <c r="A20151" s="2" t="s">
        <v>20151</v>
      </c>
      <c r="B20151" s="2" t="str">
        <f>IFERROR(__xludf.DUMMYFUNCTION("GOOGLETRANSLATE(A20151, ""en"", ""mt"")"),"il-qalb")</f>
        <v>il-qalb</v>
      </c>
    </row>
    <row r="20152" ht="15.75" customHeight="1">
      <c r="A20152" s="2" t="s">
        <v>20152</v>
      </c>
      <c r="B20152" s="2" t="str">
        <f>IFERROR(__xludf.DUMMYFUNCTION("GOOGLETRANSLATE(A20152, ""en"", ""mt"")"),"Kif evolviet id-diżubbidjenza ċivili fiż-żminijiet attwali?")</f>
        <v>Kif evolviet id-diżubbidjenza ċivili fiż-żminijiet attwali?</v>
      </c>
    </row>
    <row r="20153" ht="15.75" customHeight="1">
      <c r="A20153" s="2" t="s">
        <v>20153</v>
      </c>
      <c r="B20153" s="2" t="str">
        <f>IFERROR(__xludf.DUMMYFUNCTION("GOOGLETRANSLATE(A20153, ""en"", ""mt"")"),"Rivoluzzjoni Iżlamika")</f>
        <v>Rivoluzzjoni Iżlamika</v>
      </c>
    </row>
    <row r="20154" ht="15.75" customHeight="1">
      <c r="A20154" s="2" t="s">
        <v>20154</v>
      </c>
      <c r="B20154" s="2" t="str">
        <f>IFERROR(__xludf.DUMMYFUNCTION("GOOGLETRANSLATE(A20154, ""en"", ""mt"")"),"Kemm perċentwali ta 'art ta' Victoria hija meħuda mill-irziezet?")</f>
        <v>Kemm perċentwali ta 'art ta' Victoria hija meħuda mill-irziezet?</v>
      </c>
    </row>
    <row r="20155" ht="15.75" customHeight="1">
      <c r="A20155" s="2" t="s">
        <v>20155</v>
      </c>
      <c r="B20155" s="2" t="str">
        <f>IFERROR(__xludf.DUMMYFUNCTION("GOOGLETRANSLATE(A20155, ""en"", ""mt"")"),"Liema teorema tkun invalida jekk in-numru 15 kien ikkunsidrat bħala ewlieni?")</f>
        <v>Liema teorema tkun invalida jekk in-numru 15 kien ikkunsidrat bħala ewlieni?</v>
      </c>
    </row>
    <row r="20156" ht="15.75" customHeight="1">
      <c r="A20156" s="2" t="s">
        <v>20156</v>
      </c>
      <c r="B20156" s="2" t="str">
        <f>IFERROR(__xludf.DUMMYFUNCTION("GOOGLETRANSLATE(A20156, ""en"", ""mt"")"),"Iffurmat fl-1946, l-Ajruport tas-Sierra Sky Park hija komunità ta 'ajruport residenzjali mwielda minn ftehim uniku fil-liġi tat-trasport biex tippermetti inġenji tal-ajru u karozzi personali jaqsmu ċerti toroq. Sierra Sky Park kienet l-ewwel komunità tal-"&amp;"avjazzjoni li nbniet [ċitazzjoni meħtieġa] u issa hemm bosta komunitajiet bħal dawn madwar l-Istati Uniti u madwar id-dinja. L-iżviluppatur William Smilie ħoloq l-ewwel komunità ppjanata tal-avjazzjoni tan-nazzjon. Għadha qed topera llum, l-ajruport tal-u"&amp;"żu pubbliku jipprovdi viċinat uniku li ġab l-interess u komunitajiet simili fil-pajjiż kollu.")</f>
        <v>Iffurmat fl-1946, l-Ajruport tas-Sierra Sky Park hija komunità ta 'ajruport residenzjali mwielda minn ftehim uniku fil-liġi tat-trasport biex tippermetti inġenji tal-ajru u karozzi personali jaqsmu ċerti toroq. Sierra Sky Park kienet l-ewwel komunità tal-avjazzjoni li nbniet [ċitazzjoni meħtieġa] u issa hemm bosta komunitajiet bħal dawn madwar l-Istati Uniti u madwar id-dinja. L-iżviluppatur William Smilie ħoloq l-ewwel komunità ppjanata tal-avjazzjoni tan-nazzjon. Għadha qed topera llum, l-ajruport tal-użu pubbliku jipprovdi viċinat uniku li ġab l-interess u komunitajiet simili fil-pajjiż kollu.</v>
      </c>
    </row>
    <row r="20157" ht="15.75" customHeight="1">
      <c r="A20157" s="2" t="s">
        <v>20157</v>
      </c>
      <c r="B20157" s="2" t="str">
        <f>IFERROR(__xludf.DUMMYFUNCTION("GOOGLETRANSLATE(A20157, ""en"", ""mt"")"),"Kif jaħarbu minn cili u aboral mill-periklu?")</f>
        <v>Kif jaħarbu minn cili u aboral mill-periklu?</v>
      </c>
    </row>
    <row r="20158" ht="15.75" customHeight="1">
      <c r="A20158" s="2" t="s">
        <v>20158</v>
      </c>
      <c r="B20158" s="2" t="str">
        <f>IFERROR(__xludf.DUMMYFUNCTION("GOOGLETRANSLATE(A20158, ""en"", ""mt"")"),"Liema forma huma l-iktar mediċini fl-isptar ipprojbiti milli jkunu?")</f>
        <v>Liema forma huma l-iktar mediċini fl-isptar ipprojbiti milli jkunu?</v>
      </c>
    </row>
    <row r="20159" ht="15.75" customHeight="1">
      <c r="A20159" s="2" t="s">
        <v>20159</v>
      </c>
      <c r="B20159" s="2" t="str">
        <f>IFERROR(__xludf.DUMMYFUNCTION("GOOGLETRANSLATE(A20159, ""en"", ""mt"")"),"Ma 'min ħarab id-Duka Yansheng Kong Duanyou?")</f>
        <v>Ma 'min ħarab id-Duka Yansheng Kong Duanyou?</v>
      </c>
    </row>
    <row r="20160" ht="15.75" customHeight="1">
      <c r="A20160" s="2" t="s">
        <v>20160</v>
      </c>
      <c r="B20160" s="2" t="str">
        <f>IFERROR(__xludf.DUMMYFUNCTION("GOOGLETRANSLATE(A20160, ""en"", ""mt"")"),"Meta byantu jerġa 'jibda jittestja impjegati potenzjali tal-gvern?")</f>
        <v>Meta byantu jerġa 'jibda jittestja impjegati potenzjali tal-gvern?</v>
      </c>
    </row>
    <row r="20161" ht="15.75" customHeight="1">
      <c r="A20161" s="2" t="s">
        <v>20161</v>
      </c>
      <c r="B20161" s="2" t="str">
        <f>IFERROR(__xludf.DUMMYFUNCTION("GOOGLETRANSLATE(A20161, ""en"", ""mt"")"),"711.988")</f>
        <v>711.988</v>
      </c>
    </row>
    <row r="20162" ht="15.75" customHeight="1">
      <c r="A20162" s="2" t="s">
        <v>20162</v>
      </c>
      <c r="B20162" s="2" t="str">
        <f>IFERROR(__xludf.DUMMYFUNCTION("GOOGLETRANSLATE(A20162, ""en"", ""mt"")"),"X'inhu l-isem tal-alfabett li rarament jintuża fi problema?")</f>
        <v>X'inhu l-isem tal-alfabett li rarament jintuża fi problema?</v>
      </c>
    </row>
    <row r="20163" ht="15.75" customHeight="1">
      <c r="A20163" s="2" t="s">
        <v>20163</v>
      </c>
      <c r="B20163" s="2" t="str">
        <f>IFERROR(__xludf.DUMMYFUNCTION("GOOGLETRANSLATE(A20163, ""en"", ""mt"")"),"F’liema pajjiż hemm iċ-Cevennes?")</f>
        <v>F’liema pajjiż hemm iċ-Cevennes?</v>
      </c>
    </row>
    <row r="20164" ht="15.75" customHeight="1">
      <c r="A20164" s="2" t="s">
        <v>20164</v>
      </c>
      <c r="B20164" s="2" t="str">
        <f>IFERROR(__xludf.DUMMYFUNCTION("GOOGLETRANSLATE(A20164, ""en"", ""mt"")"),"sezzjoni kanalizzata")</f>
        <v>sezzjoni kanalizzata</v>
      </c>
    </row>
    <row r="20165" ht="15.75" customHeight="1">
      <c r="A20165" s="2" t="s">
        <v>20165</v>
      </c>
      <c r="B20165" s="2" t="str">
        <f>IFERROR(__xludf.DUMMYFUNCTION("GOOGLETRANSLATE(A20165, ""en"", ""mt"")"),"Immunoglobulina taċ-ċelloli qattiel")</f>
        <v>Immunoglobulina taċ-ċelloli qattiel</v>
      </c>
    </row>
    <row r="20166" ht="15.75" customHeight="1">
      <c r="A20166" s="2" t="s">
        <v>20166</v>
      </c>
      <c r="B20166" s="2" t="str">
        <f>IFERROR(__xludf.DUMMYFUNCTION("GOOGLETRANSLATE(A20166, ""en"", ""mt"")"),"jipprevjenu t-tkabbir")</f>
        <v>jipprevjenu t-tkabbir</v>
      </c>
    </row>
    <row r="20167" ht="15.75" customHeight="1">
      <c r="A20167" s="2" t="s">
        <v>20167</v>
      </c>
      <c r="B20167" s="2" t="str">
        <f>IFERROR(__xludf.DUMMYFUNCTION("GOOGLETRANSLATE(A20167, ""en"", ""mt"")"),"priġunerija")</f>
        <v>priġunerija</v>
      </c>
    </row>
    <row r="20168" ht="15.75" customHeight="1">
      <c r="A20168" s="2" t="s">
        <v>20168</v>
      </c>
      <c r="B20168" s="2" t="str">
        <f>IFERROR(__xludf.DUMMYFUNCTION("GOOGLETRANSLATE(A20168, ""en"", ""mt"")"),"Gamal Abdul Nasser")</f>
        <v>Gamal Abdul Nasser</v>
      </c>
    </row>
    <row r="20169" ht="15.75" customHeight="1">
      <c r="A20169" s="2" t="s">
        <v>20169</v>
      </c>
      <c r="B20169" s="2" t="str">
        <f>IFERROR(__xludf.DUMMYFUNCTION("GOOGLETRANSLATE(A20169, ""en"", ""mt"")"),"erba 'snin")</f>
        <v>erba 'snin</v>
      </c>
    </row>
    <row r="20170" ht="15.75" customHeight="1">
      <c r="A20170" s="2" t="s">
        <v>20170</v>
      </c>
      <c r="B20170" s="2" t="str">
        <f>IFERROR(__xludf.DUMMYFUNCTION("GOOGLETRANSLATE(A20170, ""en"", ""mt"")"),"ħafna ħwawar oħra")</f>
        <v>ħafna ħwawar oħra</v>
      </c>
    </row>
    <row r="20171" ht="15.75" customHeight="1">
      <c r="A20171" s="2" t="s">
        <v>20171</v>
      </c>
      <c r="B20171" s="2" t="str">
        <f>IFERROR(__xludf.DUMMYFUNCTION("GOOGLETRANSLATE(A20171, ""en"", ""mt"")"),"Għal liema jistgħu jiġu trasferiti mistoqsijiet aritmetiċi ġenerali għal jew minn?")</f>
        <v>Għal liema jistgħu jiġu trasferiti mistoqsijiet aritmetiċi ġenerali għal jew minn?</v>
      </c>
    </row>
    <row r="20172" ht="15.75" customHeight="1">
      <c r="A20172" s="2" t="s">
        <v>20172</v>
      </c>
      <c r="B20172" s="2" t="str">
        <f>IFERROR(__xludf.DUMMYFUNCTION("GOOGLETRANSLATE(A20172, ""en"", ""mt"")"),"Xejn għal uliedhom jattendu, inklużi kamra u bord")</f>
        <v>Xejn għal uliedhom jattendu, inklużi kamra u bord</v>
      </c>
    </row>
    <row r="20173" ht="15.75" customHeight="1">
      <c r="A20173" s="2" t="s">
        <v>20173</v>
      </c>
      <c r="B20173" s="2" t="str">
        <f>IFERROR(__xludf.DUMMYFUNCTION("GOOGLETRANSLATE(A20173, ""en"", ""mt"")"),"Kważi l-bijomolekuli kollha li huma importanti għal (jew iġġenerati minn) il-ħajja")</f>
        <v>Kważi l-bijomolekuli kollha li huma importanti għal (jew iġġenerati minn) il-ħajja</v>
      </c>
    </row>
    <row r="20174" ht="15.75" customHeight="1">
      <c r="A20174" s="2" t="s">
        <v>20174</v>
      </c>
      <c r="B20174" s="2" t="str">
        <f>IFERROR(__xludf.DUMMYFUNCTION("GOOGLETRANSLATE(A20174, ""en"", ""mt"")"),"Meta spiċċat id-dinastija Jin?")</f>
        <v>Meta spiċċat id-dinastija Jin?</v>
      </c>
    </row>
    <row r="20175" ht="15.75" customHeight="1">
      <c r="A20175" s="2" t="s">
        <v>20175</v>
      </c>
      <c r="B20175" s="2" t="str">
        <f>IFERROR(__xludf.DUMMYFUNCTION("GOOGLETRANSLATE(A20175, ""en"", ""mt"")"),"Prodott ta 'primes li huwa uniku biex tordna")</f>
        <v>Prodott ta 'primes li huwa uniku biex tordna</v>
      </c>
    </row>
    <row r="20176" ht="15.75" customHeight="1">
      <c r="A20176" s="2" t="s">
        <v>20176</v>
      </c>
      <c r="B20176" s="2" t="str">
        <f>IFERROR(__xludf.DUMMYFUNCTION("GOOGLETRANSLATE(A20176, ""en"", ""mt"")"),"2%")</f>
        <v>2%</v>
      </c>
    </row>
    <row r="20177" ht="15.75" customHeight="1">
      <c r="A20177" s="2" t="s">
        <v>20177</v>
      </c>
      <c r="B20177" s="2" t="str">
        <f>IFERROR(__xludf.DUMMYFUNCTION("GOOGLETRANSLATE(A20177, ""en"", ""mt"")"),"Baħar Tethys")</f>
        <v>Baħar Tethys</v>
      </c>
    </row>
    <row r="20178" ht="15.75" customHeight="1">
      <c r="A20178" s="2" t="s">
        <v>20178</v>
      </c>
      <c r="B20178" s="2" t="str">
        <f>IFERROR(__xludf.DUMMYFUNCTION("GOOGLETRANSLATE(A20178, ""en"", ""mt"")"),"X'jista 'jimblokka leġislazzjoni?")</f>
        <v>X'jista 'jimblokka leġislazzjoni?</v>
      </c>
    </row>
    <row r="20179" ht="15.75" customHeight="1">
      <c r="A20179" s="2" t="s">
        <v>20179</v>
      </c>
      <c r="B20179" s="2" t="str">
        <f>IFERROR(__xludf.DUMMYFUNCTION("GOOGLETRANSLATE(A20179, ""en"", ""mt"")"),"Ekwazzjonijiet Newtonjani")</f>
        <v>Ekwazzjonijiet Newtonjani</v>
      </c>
    </row>
    <row r="20180" ht="15.75" customHeight="1">
      <c r="A20180" s="2" t="s">
        <v>20180</v>
      </c>
      <c r="B20180" s="2" t="str">
        <f>IFERROR(__xludf.DUMMYFUNCTION("GOOGLETRANSLATE(A20180, ""en"", ""mt"")"),"Kif huwa allokat iċ-ċirkwit")</f>
        <v>Kif huwa allokat iċ-ċirkwit</v>
      </c>
    </row>
    <row r="20181" ht="15.75" customHeight="1">
      <c r="A20181" s="2" t="s">
        <v>20181</v>
      </c>
      <c r="B20181" s="2" t="str">
        <f>IFERROR(__xludf.DUMMYFUNCTION("GOOGLETRANSLATE(A20181, ""en"", ""mt"")"),"1900")</f>
        <v>1900</v>
      </c>
    </row>
    <row r="20182" ht="15.75" customHeight="1">
      <c r="A20182" s="2" t="s">
        <v>20182</v>
      </c>
      <c r="B20182" s="2" t="str">
        <f>IFERROR(__xludf.DUMMYFUNCTION("GOOGLETRANSLATE(A20182, ""en"", ""mt"")"),"X'inhu dak li jattira ċellola B Helper B?")</f>
        <v>X'inhu dak li jattira ċellola B Helper B?</v>
      </c>
    </row>
    <row r="20183" ht="15.75" customHeight="1">
      <c r="A20183" s="2" t="s">
        <v>20183</v>
      </c>
      <c r="B20183" s="2" t="str">
        <f>IFERROR(__xludf.DUMMYFUNCTION("GOOGLETRANSLATE(A20183, ""en"", ""mt"")"),"Marquis de Vaudreuil")</f>
        <v>Marquis de Vaudreuil</v>
      </c>
    </row>
    <row r="20184" ht="15.75" customHeight="1">
      <c r="A20184" s="2" t="s">
        <v>20184</v>
      </c>
      <c r="B20184" s="2" t="str">
        <f>IFERROR(__xludf.DUMMYFUNCTION("GOOGLETRANSLATE(A20184, ""en"", ""mt"")"),"Liema żewġ nisa kienu qed jisfidaw il-Fargħun fl-istorja mill-Ktieb tal-Eżodu?")</f>
        <v>Liema żewġ nisa kienu qed jisfidaw il-Fargħun fl-istorja mill-Ktieb tal-Eżodu?</v>
      </c>
    </row>
    <row r="20185" ht="15.75" customHeight="1">
      <c r="A20185" s="2" t="s">
        <v>20185</v>
      </c>
      <c r="B20185" s="2" t="str">
        <f>IFERROR(__xludf.DUMMYFUNCTION("GOOGLETRANSLATE(A20185, ""en"", ""mt"")"),"Liema vettura spazjali kien fiha dejta biex tiddetermina l-kontenut ta 'ossiġnu tax-xemx?")</f>
        <v>Liema vettura spazjali kien fiha dejta biex tiddetermina l-kontenut ta 'ossiġnu tax-xemx?</v>
      </c>
    </row>
    <row r="20186" ht="15.75" customHeight="1">
      <c r="A20186" s="2" t="s">
        <v>20186</v>
      </c>
      <c r="B20186" s="2" t="str">
        <f>IFERROR(__xludf.DUMMYFUNCTION("GOOGLETRANSLATE(A20186, ""en"", ""mt"")"),"Kemm hi Varsavja mill-Baħar Baltiku?")</f>
        <v>Kemm hi Varsavja mill-Baħar Baltiku?</v>
      </c>
    </row>
    <row r="20187" ht="15.75" customHeight="1">
      <c r="A20187" s="2" t="s">
        <v>20187</v>
      </c>
      <c r="B20187" s="2" t="str">
        <f>IFERROR(__xludf.DUMMYFUNCTION("GOOGLETRANSLATE(A20187, ""en"", ""mt"")"),"Pannerdens Kanaal")</f>
        <v>Pannerdens Kanaal</v>
      </c>
    </row>
    <row r="20188" ht="15.75" customHeight="1">
      <c r="A20188" s="2" t="s">
        <v>20188</v>
      </c>
      <c r="B20188" s="2" t="str">
        <f>IFERROR(__xludf.DUMMYFUNCTION("GOOGLETRANSLATE(A20188, ""en"", ""mt"")"),"Liema problema hija mfassla meta tiddeċiedi jekk l-input għandux fattur aktar minn k?")</f>
        <v>Liema problema hija mfassla meta tiddeċiedi jekk l-input għandux fattur aktar minn k?</v>
      </c>
    </row>
    <row r="20189" ht="15.75" customHeight="1">
      <c r="A20189" s="2" t="s">
        <v>20189</v>
      </c>
      <c r="B20189" s="2" t="str">
        <f>IFERROR(__xludf.DUMMYFUNCTION("GOOGLETRANSLATE(A20189, ""en"", ""mt"")"),"Minħabba l-integrazzjoni x'qed jikbru lil hinn mis-servizzi tal-periti?")</f>
        <v>Minħabba l-integrazzjoni x'qed jikbru lil hinn mis-servizzi tal-periti?</v>
      </c>
    </row>
    <row r="20190" ht="15.75" customHeight="1">
      <c r="A20190" s="2" t="s">
        <v>20190</v>
      </c>
      <c r="B20190" s="2" t="str">
        <f>IFERROR(__xludf.DUMMYFUNCTION("GOOGLETRANSLATE(A20190, ""en"", ""mt"")"),"Liema avveniment ġie akkużat dwar l-introduzzjoni ta 'Mnemiopsis fil-Baħar l-Iswed?")</f>
        <v>Liema avveniment ġie akkużat dwar l-introduzzjoni ta 'Mnemiopsis fil-Baħar l-Iswed?</v>
      </c>
    </row>
    <row r="20191" ht="15.75" customHeight="1">
      <c r="A20191" s="2" t="s">
        <v>20191</v>
      </c>
      <c r="B20191" s="2" t="str">
        <f>IFERROR(__xludf.DUMMYFUNCTION("GOOGLETRANSLATE(A20191, ""en"", ""mt"")"),"X'kien ir-rwol ta 'William Johnson fil-militar Brittaniku?")</f>
        <v>X'kien ir-rwol ta 'William Johnson fil-militar Brittaniku?</v>
      </c>
    </row>
    <row r="20192" ht="15.75" customHeight="1">
      <c r="A20192" s="2" t="s">
        <v>20192</v>
      </c>
      <c r="B20192" s="2" t="str">
        <f>IFERROR(__xludf.DUMMYFUNCTION("GOOGLETRANSLATE(A20192, ""en"", ""mt"")"),"X'inhuma l-inqas riżorsi ta 'kumplessità magħrufa?")</f>
        <v>X'inhuma l-inqas riżorsi ta 'kumplessità magħrufa?</v>
      </c>
    </row>
    <row r="20193" ht="15.75" customHeight="1">
      <c r="A20193" s="2" t="s">
        <v>20193</v>
      </c>
      <c r="B20193" s="2" t="str">
        <f>IFERROR(__xludf.DUMMYFUNCTION("GOOGLETRANSLATE(A20193, ""en"", ""mt"")"),"ippjanat li tattakka Fort Niagara")</f>
        <v>ippjanat li tattakka Fort Niagara</v>
      </c>
    </row>
    <row r="20194" ht="15.75" customHeight="1">
      <c r="A20194" s="2" t="s">
        <v>20194</v>
      </c>
      <c r="B20194" s="2" t="str">
        <f>IFERROR(__xludf.DUMMYFUNCTION("GOOGLETRANSLATE(A20194, ""en"", ""mt"")"),"Min innota l-użi attwali differenti tad-diżubbidjenza ċivili?")</f>
        <v>Min innota l-użi attwali differenti tad-diżubbidjenza ċivili?</v>
      </c>
    </row>
    <row r="20195" ht="15.75" customHeight="1">
      <c r="A20195" s="2" t="s">
        <v>20195</v>
      </c>
      <c r="B20195" s="2" t="str">
        <f>IFERROR(__xludf.DUMMYFUNCTION("GOOGLETRANSLATE(A20195, ""en"", ""mt"")"),"Danubju")</f>
        <v>Danubju</v>
      </c>
    </row>
    <row r="20196" ht="15.75" customHeight="1">
      <c r="A20196" s="2" t="s">
        <v>20196</v>
      </c>
      <c r="B20196" s="2" t="str">
        <f>IFERROR(__xludf.DUMMYFUNCTION("GOOGLETRANSLATE(A20196, ""en"", ""mt"")"),"L-għaqda politika taċ-Ċina u ħafna mill-Asja Ċentrali")</f>
        <v>L-għaqda politika taċ-Ċina u ħafna mill-Asja Ċentrali</v>
      </c>
    </row>
    <row r="20197" ht="15.75" customHeight="1">
      <c r="A20197" s="2" t="s">
        <v>20197</v>
      </c>
      <c r="B20197" s="2" t="str">
        <f>IFERROR(__xludf.DUMMYFUNCTION("GOOGLETRANSLATE(A20197, ""en"", ""mt"")"),"Piranha")</f>
        <v>Piranha</v>
      </c>
    </row>
    <row r="20198" ht="15.75" customHeight="1">
      <c r="A20198" s="2" t="s">
        <v>20198</v>
      </c>
      <c r="B20198" s="2" t="str">
        <f>IFERROR(__xludf.DUMMYFUNCTION("GOOGLETRANSLATE(A20198, ""en"", ""mt"")"),"F'liema ma jispeċjalizzawx l-ispiżjara kliniċi?")</f>
        <v>F'liema ma jispeċjalizzawx l-ispiżjara kliniċi?</v>
      </c>
    </row>
    <row r="20199" ht="15.75" customHeight="1">
      <c r="A20199" s="2" t="s">
        <v>20199</v>
      </c>
      <c r="B20199" s="2" t="str">
        <f>IFERROR(__xludf.DUMMYFUNCTION("GOOGLETRANSLATE(A20199, ""en"", ""mt"")"),"5 miljun persuna")</f>
        <v>5 miljun persuna</v>
      </c>
    </row>
    <row r="20200" ht="15.75" customHeight="1">
      <c r="A20200" s="2" t="s">
        <v>20200</v>
      </c>
      <c r="B20200" s="2" t="str">
        <f>IFERROR(__xludf.DUMMYFUNCTION("GOOGLETRANSLATE(A20200, ""en"", ""mt"")"),"Kif ġie ssuġġerit li l-IPCC jevita problemi politiċi?")</f>
        <v>Kif ġie ssuġġerit li l-IPCC jevita problemi politiċi?</v>
      </c>
    </row>
    <row r="20201" ht="15.75" customHeight="1">
      <c r="A20201" s="2" t="s">
        <v>20201</v>
      </c>
      <c r="B20201" s="2" t="str">
        <f>IFERROR(__xludf.DUMMYFUNCTION("GOOGLETRANSLATE(A20201, ""en"", ""mt"")"),"Għaliex Davies qatt ma rriċerka t-teorija, il-kunċett, l-idea, eċċ. Qabel ma żviluppaha?")</f>
        <v>Għaliex Davies qatt ma rriċerka t-teorija, il-kunċett, l-idea, eċċ. Qabel ma żviluppaha?</v>
      </c>
    </row>
    <row r="20202" ht="15.75" customHeight="1">
      <c r="A20202" s="2" t="s">
        <v>20202</v>
      </c>
      <c r="B20202" s="2" t="str">
        <f>IFERROR(__xludf.DUMMYFUNCTION("GOOGLETRANSLATE(A20202, ""en"", ""mt"")"),"Jekk żewġ terzi tar-Rhine jgħaddu minn Waal, minn fejn jgħaddi t-tielet l-ieħor?")</f>
        <v>Jekk żewġ terzi tar-Rhine jgħaddu minn Waal, minn fejn jgħaddi t-tielet l-ieħor?</v>
      </c>
    </row>
    <row r="20203" ht="15.75" customHeight="1">
      <c r="A20203" s="2" t="s">
        <v>20203</v>
      </c>
      <c r="B20203" s="2" t="str">
        <f>IFERROR(__xludf.DUMMYFUNCTION("GOOGLETRANSLATE(A20203, ""en"", ""mt"")"),"Xi attivisti li jikkommettu diżubbidjenza ċivili bħala grupp jirrifjutaw b’mod kollettiv li jiffirmaw il-ħelsien mill-arrest sakemm jintlaħqu ċerti talbiet")</f>
        <v>Xi attivisti li jikkommettu diżubbidjenza ċivili bħala grupp jirrifjutaw b’mod kollettiv li jiffirmaw il-ħelsien mill-arrest sakemm jintlaħqu ċerti talbiet</v>
      </c>
    </row>
    <row r="20204" ht="15.75" customHeight="1">
      <c r="A20204" s="2" t="s">
        <v>20204</v>
      </c>
      <c r="B20204" s="2" t="str">
        <f>IFERROR(__xludf.DUMMYFUNCTION("GOOGLETRANSLATE(A20204, ""en"", ""mt"")"),"liberazzjoni u evita l-ħabs")</f>
        <v>liberazzjoni u evita l-ħabs</v>
      </c>
    </row>
    <row r="20205" ht="15.75" customHeight="1">
      <c r="A20205" s="2" t="s">
        <v>20205</v>
      </c>
      <c r="B20205" s="2" t="str">
        <f>IFERROR(__xludf.DUMMYFUNCTION("GOOGLETRANSLATE(A20205, ""en"", ""mt"")"),"Min ivvinta magna tal-fwar bi pressjoni għolja madwar l-1800?")</f>
        <v>Min ivvinta magna tal-fwar bi pressjoni għolja madwar l-1800?</v>
      </c>
    </row>
    <row r="20206" ht="15.75" customHeight="1">
      <c r="A20206" s="2" t="s">
        <v>20206</v>
      </c>
      <c r="B20206" s="2" t="str">
        <f>IFERROR(__xludf.DUMMYFUNCTION("GOOGLETRANSLATE(A20206, ""en"", ""mt"")"),"A ""Unità")</f>
        <v>A "Unità</v>
      </c>
    </row>
    <row r="20207" ht="15.75" customHeight="1">
      <c r="A20207" s="2" t="s">
        <v>20207</v>
      </c>
      <c r="B20207" s="2" t="str">
        <f>IFERROR(__xludf.DUMMYFUNCTION("GOOGLETRANSLATE(A20207, ""en"", ""mt"")"),"Liema isem ingħata lin-nofs tal-punent ta 'Wales?")</f>
        <v>Liema isem ingħata lin-nofs tal-punent ta 'Wales?</v>
      </c>
    </row>
    <row r="20208" ht="15.75" customHeight="1">
      <c r="A20208" s="2" t="s">
        <v>20208</v>
      </c>
      <c r="B20208" s="2" t="str">
        <f>IFERROR(__xludf.DUMMYFUNCTION("GOOGLETRANSLATE(A20208, ""en"", ""mt"")"),"Kif jissejjaħ l-ogħla punt tal-Baċin tar-Renu?")</f>
        <v>Kif jissejjaħ l-ogħla punt tal-Baċin tar-Renu?</v>
      </c>
    </row>
    <row r="20209" ht="15.75" customHeight="1">
      <c r="A20209" s="2" t="s">
        <v>20209</v>
      </c>
      <c r="B20209" s="2" t="str">
        <f>IFERROR(__xludf.DUMMYFUNCTION("GOOGLETRANSLATE(A20209, ""en"", ""mt"")"),"Fl-2009 x'kienet it-total ta 'għotjiet mogħtija minn Harvard?")</f>
        <v>Fl-2009 x'kienet it-total ta 'għotjiet mogħtija minn Harvard?</v>
      </c>
    </row>
    <row r="20210" ht="15.75" customHeight="1">
      <c r="A20210" s="2" t="s">
        <v>20210</v>
      </c>
      <c r="B20210" s="2" t="str">
        <f>IFERROR(__xludf.DUMMYFUNCTION("GOOGLETRANSLATE(A20210, ""en"", ""mt"")"),"X'forma l-Merwede-Oute Maas ma 'Waal u Lek?")</f>
        <v>X'forma l-Merwede-Oute Maas ma 'Waal u Lek?</v>
      </c>
    </row>
    <row r="20211" ht="15.75" customHeight="1">
      <c r="A20211" s="2" t="s">
        <v>20211</v>
      </c>
      <c r="B20211" s="2" t="str">
        <f>IFERROR(__xludf.DUMMYFUNCTION("GOOGLETRANSLATE(A20211, ""en"", ""mt"")"),"Sunnyside")</f>
        <v>Sunnyside</v>
      </c>
    </row>
    <row r="20212" ht="15.75" customHeight="1">
      <c r="A20212" s="2" t="s">
        <v>20212</v>
      </c>
      <c r="B20212" s="2" t="str">
        <f>IFERROR(__xludf.DUMMYFUNCTION("GOOGLETRANSLATE(A20212, ""en"", ""mt"")"),"Għaliex l-Oloken ma jintwerax b'mod ċar fuq l-ewwel skeda ta 'żmien?")</f>
        <v>Għaliex l-Oloken ma jintwerax b'mod ċar fuq l-ewwel skeda ta 'żmien?</v>
      </c>
    </row>
    <row r="20213" ht="15.75" customHeight="1">
      <c r="A20213" s="2" t="s">
        <v>20213</v>
      </c>
      <c r="B20213" s="2" t="str">
        <f>IFERROR(__xludf.DUMMYFUNCTION("GOOGLETRANSLATE(A20213, ""en"", ""mt"")"),"X'jistgħu jitkejlu l-iskali u l-bilanċi tar-rebbiegħa bejn żewġ forzi billi jużaw ekwilibriju statiku?")</f>
        <v>X'jistgħu jitkejlu l-iskali u l-bilanċi tar-rebbiegħa bejn żewġ forzi billi jużaw ekwilibriju statiku?</v>
      </c>
    </row>
    <row r="20214" ht="15.75" customHeight="1">
      <c r="A20214" s="2" t="s">
        <v>20214</v>
      </c>
      <c r="B20214" s="2" t="str">
        <f>IFERROR(__xludf.DUMMYFUNCTION("GOOGLETRANSLATE(A20214, ""en"", ""mt"")"),"Liema sena twieled Casimir Wola f'Varsavja?")</f>
        <v>Liema sena twieled Casimir Wola f'Varsavja?</v>
      </c>
    </row>
    <row r="20215" ht="15.75" customHeight="1">
      <c r="A20215" s="2" t="s">
        <v>20215</v>
      </c>
      <c r="B20215" s="2" t="str">
        <f>IFERROR(__xludf.DUMMYFUNCTION("GOOGLETRANSLATE(A20215, ""en"", ""mt"")"),"X'inhi l-Knisja Huguenot f'Charleston, imsemmi Carolina t'Isfel?")</f>
        <v>X'inhi l-Knisja Huguenot f'Charleston, imsemmi Carolina t'Isfel?</v>
      </c>
    </row>
    <row r="20216" ht="15.75" customHeight="1">
      <c r="A20216" s="2" t="s">
        <v>20216</v>
      </c>
      <c r="B20216" s="2" t="str">
        <f>IFERROR(__xludf.DUMMYFUNCTION("GOOGLETRANSLATE(A20216, ""en"", ""mt"")"),"gass ​​ikkompressat;")</f>
        <v>gass ​​ikkompressat;</v>
      </c>
    </row>
    <row r="20217" ht="15.75" customHeight="1">
      <c r="A20217" s="2" t="s">
        <v>20217</v>
      </c>
      <c r="B20217" s="2" t="str">
        <f>IFERROR(__xludf.DUMMYFUNCTION("GOOGLETRANSLATE(A20217, ""en"", ""mt"")"),"Għaliex twaqqfu l-iskejjel Kattoliċi Rumani?")</f>
        <v>Għaliex twaqqfu l-iskejjel Kattoliċi Rumani?</v>
      </c>
    </row>
    <row r="20218" ht="15.75" customHeight="1">
      <c r="A20218" s="2" t="s">
        <v>20218</v>
      </c>
      <c r="B20218" s="2" t="str">
        <f>IFERROR(__xludf.DUMMYFUNCTION("GOOGLETRANSLATE(A20218, ""en"", ""mt"")"),"Twaqqif ta '""Fruntieri Naturali""")</f>
        <v>Twaqqif ta '"Fruntieri Naturali"</v>
      </c>
    </row>
    <row r="20219" ht="15.75" customHeight="1">
      <c r="A20219" s="2" t="s">
        <v>20219</v>
      </c>
      <c r="B20219" s="2" t="str">
        <f>IFERROR(__xludf.DUMMYFUNCTION("GOOGLETRANSLATE(A20219, ""en"", ""mt"")"),"Meta nbena l-Palazz fuq il-Bank?")</f>
        <v>Meta nbena l-Palazz fuq il-Bank?</v>
      </c>
    </row>
    <row r="20220" ht="15.75" customHeight="1">
      <c r="A20220" s="2" t="s">
        <v>20220</v>
      </c>
      <c r="B20220" s="2" t="str">
        <f>IFERROR(__xludf.DUMMYFUNCTION("GOOGLETRANSLATE(A20220, ""en"", ""mt"")"),"X'kien il-PGD nominali totali ta 'Varsavja fl-2010?")</f>
        <v>X'kien il-PGD nominali totali ta 'Varsavja fl-2010?</v>
      </c>
    </row>
    <row r="20221" ht="15.75" customHeight="1">
      <c r="A20221" s="2" t="s">
        <v>20221</v>
      </c>
      <c r="B20221" s="2" t="str">
        <f>IFERROR(__xludf.DUMMYFUNCTION("GOOGLETRANSLATE(A20221, ""en"", ""mt"")"),"Liema perċentwali ta 'edukazzjoni terzjarja Filippina sseħħ fi skejjel privati?")</f>
        <v>Liema perċentwali ta 'edukazzjoni terzjarja Filippina sseħħ fi skejjel privati?</v>
      </c>
    </row>
    <row r="20222" ht="15.75" customHeight="1">
      <c r="A20222" s="2" t="s">
        <v>20222</v>
      </c>
      <c r="B20222" s="2" t="str">
        <f>IFERROR(__xludf.DUMMYFUNCTION("GOOGLETRANSLATE(A20222, ""en"", ""mt"")"),"il-honeyeater elmu")</f>
        <v>il-honeyeater elmu</v>
      </c>
    </row>
    <row r="20223" ht="15.75" customHeight="1">
      <c r="A20223" s="2" t="s">
        <v>20223</v>
      </c>
      <c r="B20223" s="2" t="str">
        <f>IFERROR(__xludf.DUMMYFUNCTION("GOOGLETRANSLATE(A20223, ""en"", ""mt"")"),"X'in-Nazzjonijiet Uniti ddisinjat l-ISIL?")</f>
        <v>X'in-Nazzjonijiet Uniti ddisinjat l-ISIL?</v>
      </c>
    </row>
    <row r="20224" ht="15.75" customHeight="1">
      <c r="A20224" s="2" t="s">
        <v>20224</v>
      </c>
      <c r="B20224" s="2" t="str">
        <f>IFERROR(__xludf.DUMMYFUNCTION("GOOGLETRANSLATE(A20224, ""en"", ""mt"")"),"Li waqqaf Telnet")</f>
        <v>Li waqqaf Telnet</v>
      </c>
    </row>
    <row r="20225" ht="15.75" customHeight="1">
      <c r="A20225" s="2" t="s">
        <v>20225</v>
      </c>
      <c r="B20225" s="2" t="str">
        <f>IFERROR(__xludf.DUMMYFUNCTION("GOOGLETRANSLATE(A20225, ""en"", ""mt"")"),"Il-jiem tal-jazz tas-sajf ta 'Varsavja huwa wieħed mill-ħafna dak li ospitat minn Varsavja?")</f>
        <v>Il-jiem tal-jazz tas-sajf ta 'Varsavja huwa wieħed mill-ħafna dak li ospitat minn Varsavja?</v>
      </c>
    </row>
    <row r="20226" ht="15.75" customHeight="1">
      <c r="A20226" s="2" t="s">
        <v>20226</v>
      </c>
      <c r="B20226" s="2" t="str">
        <f>IFERROR(__xludf.DUMMYFUNCTION("GOOGLETRANSLATE(A20226, ""en"", ""mt"")"),"Xjentisti tal-Lvant Nofsani")</f>
        <v>Xjentisti tal-Lvant Nofsani</v>
      </c>
    </row>
    <row r="20227" ht="15.75" customHeight="1">
      <c r="A20227" s="2" t="s">
        <v>20227</v>
      </c>
      <c r="B20227" s="2" t="str">
        <f>IFERROR(__xludf.DUMMYFUNCTION("GOOGLETRANSLATE(A20227, ""en"", ""mt"")"),"Liema messaġġ ta 'kunsinna ntuża")</f>
        <v>Liema messaġġ ta 'kunsinna ntuża</v>
      </c>
    </row>
    <row r="20228" ht="15.75" customHeight="1">
      <c r="A20228" s="2" t="s">
        <v>20228</v>
      </c>
      <c r="B20228" s="2" t="str">
        <f>IFERROR(__xludf.DUMMYFUNCTION("GOOGLETRANSLATE(A20228, ""en"", ""mt"")"),"Komposti inorganiċi")</f>
        <v>Komposti inorganiċi</v>
      </c>
    </row>
    <row r="20229" ht="15.75" customHeight="1">
      <c r="A20229" s="2" t="s">
        <v>20229</v>
      </c>
      <c r="B20229" s="2" t="str">
        <f>IFERROR(__xludf.DUMMYFUNCTION("GOOGLETRANSLATE(A20229, ""en"", ""mt"")"),"Fielding H. Garrison jemmen li x-xjenza tal-ġeoloġija tista 'tiġi rintraċċata għal fejn?")</f>
        <v>Fielding H. Garrison jemmen li x-xjenza tal-ġeoloġija tista 'tiġi rintraċċata għal fejn?</v>
      </c>
    </row>
    <row r="20230" ht="15.75" customHeight="1">
      <c r="A20230" s="2" t="s">
        <v>20230</v>
      </c>
      <c r="B20230" s="2" t="str">
        <f>IFERROR(__xludf.DUMMYFUNCTION("GOOGLETRANSLATE(A20230, ""en"", ""mt"")"),"Din il-persuna pproponiet spjegazzjonijiet għall-oriġini tat-terremoti u l-formazzjoni tal-muntanji, x'kien ismu?")</f>
        <v>Din il-persuna pproponiet spjegazzjonijiet għall-oriġini tat-terremoti u l-formazzjoni tal-muntanji, x'kien ismu?</v>
      </c>
    </row>
    <row r="20231" ht="15.75" customHeight="1">
      <c r="A20231" s="2" t="s">
        <v>20231</v>
      </c>
      <c r="B20231" s="2" t="str">
        <f>IFERROR(__xludf.DUMMYFUNCTION("GOOGLETRANSLATE(A20231, ""en"", ""mt"")"),"Mill-ħamsinijiet")</f>
        <v>Mill-ħamsinijiet</v>
      </c>
    </row>
    <row r="20232" ht="15.75" customHeight="1">
      <c r="A20232" s="2" t="s">
        <v>20232</v>
      </c>
      <c r="B20232" s="2" t="str">
        <f>IFERROR(__xludf.DUMMYFUNCTION("GOOGLETRANSLATE(A20232, ""en"", ""mt"")"),"1487")</f>
        <v>1487</v>
      </c>
    </row>
    <row r="20233" ht="15.75" customHeight="1">
      <c r="A20233" s="2" t="s">
        <v>20233</v>
      </c>
      <c r="B20233" s="2" t="str">
        <f>IFERROR(__xludf.DUMMYFUNCTION("GOOGLETRANSLATE(A20233, ""en"", ""mt"")"),"1973–74")</f>
        <v>1973–74</v>
      </c>
    </row>
    <row r="20234" ht="15.75" customHeight="1">
      <c r="A20234" s="2" t="s">
        <v>20234</v>
      </c>
      <c r="B20234" s="2" t="str">
        <f>IFERROR(__xludf.DUMMYFUNCTION("GOOGLETRANSLATE(A20234, ""en"", ""mt"")"),"l-aktar sinjur 1 fil-mija")</f>
        <v>l-aktar sinjur 1 fil-mija</v>
      </c>
    </row>
    <row r="20235" ht="15.75" customHeight="1">
      <c r="A20235" s="2" t="s">
        <v>20235</v>
      </c>
      <c r="B20235" s="2" t="str">
        <f>IFERROR(__xludf.DUMMYFUNCTION("GOOGLETRANSLATE(A20235, ""en"", ""mt"")"),"Southeastern U.S.")</f>
        <v>Southeastern U.S.</v>
      </c>
    </row>
    <row r="20236" ht="15.75" customHeight="1">
      <c r="A20236" s="2" t="s">
        <v>20236</v>
      </c>
      <c r="B20236" s="2" t="str">
        <f>IFERROR(__xludf.DUMMYFUNCTION("GOOGLETRANSLATE(A20236, ""en"", ""mt"")"),"Il-ġeoloġi planetarji kejlu abbundanzi differenti ta 'iżotopi ta' ossiġenu f'kampjuni mid-dinja, il-qamar, Mars, u meteoriti, iżda ma setgħux jiksbu valuri ta 'referenza għall-proporzjonijiet ta' iżotopi fix-xemx, maħsuba li huma l-istess bħal dawk tas-so"&amp;"lari primordjali Nebula. Analiżi ta 'wejfer tas-silikon espost għar-riħ solari fl-ispazju u rritornat mill-vettura spazjali Ġenesi ġġarraf uriet li x-xemx għandha proporzjon ogħla ta' ossiġnu-16 milli tagħmel id-dinja. Il-kejl jimplika li proċess mhux mag"&amp;"ħruf ossiġnu-16 mid-diska tax-xemx ta 'materjal protoplanetarju qabel il-koexxenza ta' ħbub tat-trab li ffurmaw id-dinja.")</f>
        <v>Il-ġeoloġi planetarji kejlu abbundanzi differenti ta 'iżotopi ta' ossiġenu f'kampjuni mid-dinja, il-qamar, Mars, u meteoriti, iżda ma setgħux jiksbu valuri ta 'referenza għall-proporzjonijiet ta' iżotopi fix-xemx, maħsuba li huma l-istess bħal dawk tas-solari primordjali Nebula. Analiżi ta 'wejfer tas-silikon espost għar-riħ solari fl-ispazju u rritornat mill-vettura spazjali Ġenesi ġġarraf uriet li x-xemx għandha proporzjon ogħla ta' ossiġnu-16 milli tagħmel id-dinja. Il-kejl jimplika li proċess mhux magħruf ossiġnu-16 mid-diska tax-xemx ta 'materjal protoplanetarju qabel il-koexxenza ta' ħbub tat-trab li ffurmaw id-dinja.</v>
      </c>
    </row>
    <row r="20237" ht="15.75" customHeight="1">
      <c r="A20237" s="2" t="s">
        <v>20237</v>
      </c>
      <c r="B20237" s="2" t="str">
        <f>IFERROR(__xludf.DUMMYFUNCTION("GOOGLETRANSLATE(A20237, ""en"", ""mt"")"),"Biex tikkontrobatti l-għargħar kostanti u s-sedimentazzjoni qawwija")</f>
        <v>Biex tikkontrobatti l-għargħar kostanti u s-sedimentazzjoni qawwija</v>
      </c>
    </row>
    <row r="20238" ht="15.75" customHeight="1">
      <c r="A20238" s="2" t="s">
        <v>20238</v>
      </c>
      <c r="B20238" s="2" t="str">
        <f>IFERROR(__xludf.DUMMYFUNCTION("GOOGLETRANSLATE(A20238, ""en"", ""mt"")"),"mudelli")</f>
        <v>mudelli</v>
      </c>
    </row>
    <row r="20239" ht="15.75" customHeight="1">
      <c r="A20239" s="2" t="s">
        <v>20239</v>
      </c>
      <c r="B20239" s="2" t="str">
        <f>IFERROR(__xludf.DUMMYFUNCTION("GOOGLETRANSLATE(A20239, ""en"", ""mt"")"),"Ma 'min jaħdmu l-ispiżjara kliniċi?")</f>
        <v>Ma 'min jaħdmu l-ispiżjara kliniċi?</v>
      </c>
    </row>
    <row r="20240" ht="15.75" customHeight="1">
      <c r="A20240" s="2" t="s">
        <v>20240</v>
      </c>
      <c r="B20240" s="2" t="str">
        <f>IFERROR(__xludf.DUMMYFUNCTION("GOOGLETRANSLATE(A20240, ""en"", ""mt"")"),"Il-frizzjoni mhix ikkawżata mill-gradjenti ta 'xiex?")</f>
        <v>Il-frizzjoni mhix ikkawżata mill-gradjenti ta 'xiex?</v>
      </c>
    </row>
    <row r="20241" ht="15.75" customHeight="1">
      <c r="A20241" s="2" t="s">
        <v>20241</v>
      </c>
      <c r="B20241" s="2" t="str">
        <f>IFERROR(__xludf.DUMMYFUNCTION("GOOGLETRANSLATE(A20241, ""en"", ""mt"")"),"Liema deżert huwa fin-nofsinhar qrib Nevada?")</f>
        <v>Liema deżert huwa fin-nofsinhar qrib Nevada?</v>
      </c>
    </row>
    <row r="20242" ht="15.75" customHeight="1">
      <c r="A20242" s="2" t="s">
        <v>20242</v>
      </c>
      <c r="B20242" s="2" t="str">
        <f>IFERROR(__xludf.DUMMYFUNCTION("GOOGLETRANSLATE(A20242, ""en"", ""mt"")"),"Diffikultajiet loġistiċi")</f>
        <v>Diffikultajiet loġistiċi</v>
      </c>
    </row>
    <row r="20243" ht="15.75" customHeight="1">
      <c r="A20243" s="2" t="s">
        <v>20243</v>
      </c>
      <c r="B20243" s="2" t="str">
        <f>IFERROR(__xludf.DUMMYFUNCTION("GOOGLETRANSLATE(A20243, ""en"", ""mt"")")," Meta kienet id-dinastija Ming barra mill-poter?")</f>
        <v> Meta kienet id-dinastija Ming barra mill-poter?</v>
      </c>
    </row>
    <row r="20244" ht="15.75" customHeight="1">
      <c r="A20244" s="2" t="s">
        <v>20244</v>
      </c>
      <c r="B20244" s="2" t="str">
        <f>IFERROR(__xludf.DUMMYFUNCTION("GOOGLETRANSLATE(A20244, ""en"", ""mt"")"),"Membri tribali li jgħixu fil-foresti tropikali ta 'liema reġjun qed jużaw Google Earth?")</f>
        <v>Membri tribali li jgħixu fil-foresti tropikali ta 'liema reġjun qed jużaw Google Earth?</v>
      </c>
    </row>
    <row r="20245" ht="15.75" customHeight="1">
      <c r="A20245" s="2" t="s">
        <v>20245</v>
      </c>
      <c r="B20245" s="2" t="str">
        <f>IFERROR(__xludf.DUMMYFUNCTION("GOOGLETRANSLATE(A20245, ""en"", ""mt"")"),"Liema kontej qrib il-Kontea ta 'Kern-Bakersfield kien it-tkabbir tal-popolazzjoni għoli?")</f>
        <v>Liema kontej qrib il-Kontea ta 'Kern-Bakersfield kien it-tkabbir tal-popolazzjoni għoli?</v>
      </c>
    </row>
    <row r="20246" ht="15.75" customHeight="1">
      <c r="A20246" s="2" t="s">
        <v>20246</v>
      </c>
      <c r="B20246" s="2" t="str">
        <f>IFERROR(__xludf.DUMMYFUNCTION("GOOGLETRANSLATE(A20246, ""en"", ""mt"")"),"F'liema sena ġie ssuġġerit li l-Jacksonville jieqfu jwaqqfu komunitajiet periferiċi?")</f>
        <v>F'liema sena ġie ssuġġerit li l-Jacksonville jieqfu jwaqqfu komunitajiet periferiċi?</v>
      </c>
    </row>
    <row r="20247" ht="15.75" customHeight="1">
      <c r="A20247" s="2" t="s">
        <v>20247</v>
      </c>
      <c r="B20247" s="2" t="str">
        <f>IFERROR(__xludf.DUMMYFUNCTION("GOOGLETRANSLATE(A20247, ""en"", ""mt"")"),"Xi Ċiniżi qiesu l-wan bħala dinastija leġittima, imma x’kienu jaħsbuha Ċiniżi oħra?")</f>
        <v>Xi Ċiniżi qiesu l-wan bħala dinastija leġittima, imma x’kienu jaħsbuha Ċiniżi oħra?</v>
      </c>
    </row>
    <row r="20248" ht="15.75" customHeight="1">
      <c r="A20248" s="2" t="s">
        <v>20248</v>
      </c>
      <c r="B20248" s="2" t="str">
        <f>IFERROR(__xludf.DUMMYFUNCTION("GOOGLETRANSLATE(A20248, ""en"", ""mt"")"),"X’jivolvu s-servizzi mogħtija mill-ispiżjara?")</f>
        <v>X’jivolvu s-servizzi mogħtija mill-ispiżjara?</v>
      </c>
    </row>
    <row r="20249" ht="15.75" customHeight="1">
      <c r="A20249" s="2" t="s">
        <v>20249</v>
      </c>
      <c r="B20249" s="2" t="str">
        <f>IFERROR(__xludf.DUMMYFUNCTION("GOOGLETRANSLATE(A20249, ""en"", ""mt"")"),"Lysozyme u Phospholipase A2")</f>
        <v>Lysozyme u Phospholipase A2</v>
      </c>
    </row>
    <row r="20250" ht="15.75" customHeight="1">
      <c r="A20250" s="2" t="s">
        <v>20250</v>
      </c>
      <c r="B20250" s="2" t="str">
        <f>IFERROR(__xludf.DUMMYFUNCTION("GOOGLETRANSLATE(A20250, ""en"", ""mt"")"),"Ir-Rotta tal-Istat 168 tissejjaħ is-Sierra Freeway u liema żewġ ismijiet oħra?")</f>
        <v>Ir-Rotta tal-Istat 168 tissejjaħ is-Sierra Freeway u liema żewġ ismijiet oħra?</v>
      </c>
    </row>
    <row r="20251" ht="15.75" customHeight="1">
      <c r="A20251" s="2" t="s">
        <v>20251</v>
      </c>
      <c r="B20251" s="2" t="str">
        <f>IFERROR(__xludf.DUMMYFUNCTION("GOOGLETRANSLATE(A20251, ""en"", ""mt"")"),"Kemm hi wiesgħa l-pjanura tar-Rhine ta 'Fuq?")</f>
        <v>Kemm hi wiesgħa l-pjanura tar-Rhine ta 'Fuq?</v>
      </c>
    </row>
    <row r="20252" ht="15.75" customHeight="1">
      <c r="A20252" s="2" t="s">
        <v>20252</v>
      </c>
      <c r="B20252" s="2" t="str">
        <f>IFERROR(__xludf.DUMMYFUNCTION("GOOGLETRANSLATE(A20252, ""en"", ""mt"")"),"X'inhi raġuni ewlenija li l-imħallfin jużaw il-moralità kontra l-kriminalità?")</f>
        <v>X'inhi raġuni ewlenija li l-imħallfin jużaw il-moralità kontra l-kriminalità?</v>
      </c>
    </row>
    <row r="20253" ht="15.75" customHeight="1">
      <c r="A20253" s="2" t="s">
        <v>20253</v>
      </c>
      <c r="B20253" s="2" t="str">
        <f>IFERROR(__xludf.DUMMYFUNCTION("GOOGLETRANSLATE(A20253, ""en"", ""mt"")"),"Kif jissejjaħ il-livell ta ’fuq tal-Kamra tar-Rappreżentanti Awstraljana?")</f>
        <v>Kif jissejjaħ il-livell ta ’fuq tal-Kamra tar-Rappreżentanti Awstraljana?</v>
      </c>
    </row>
    <row r="20254" ht="15.75" customHeight="1">
      <c r="A20254" s="2" t="s">
        <v>20254</v>
      </c>
      <c r="B20254" s="2" t="str">
        <f>IFERROR(__xludf.DUMMYFUNCTION("GOOGLETRANSLATE(A20254, ""en"", ""mt"")"),"ingħata lill-Huguenots sostanzjali reliġjużi, politiċi u militari")</f>
        <v>ingħata lill-Huguenots sostanzjali reliġjużi, politiċi u militari</v>
      </c>
    </row>
    <row r="20255" ht="15.75" customHeight="1">
      <c r="A20255" s="2" t="s">
        <v>20255</v>
      </c>
      <c r="B20255" s="2" t="str">
        <f>IFERROR(__xludf.DUMMYFUNCTION("GOOGLETRANSLATE(A20255, ""en"", ""mt"")"),"Meta jeżistu l-problemi tal-fluss tal-flus?")</f>
        <v>Meta jeżistu l-problemi tal-fluss tal-flus?</v>
      </c>
    </row>
    <row r="20256" ht="15.75" customHeight="1">
      <c r="A20256" s="2" t="s">
        <v>20256</v>
      </c>
      <c r="B20256" s="2" t="str">
        <f>IFERROR(__xludf.DUMMYFUNCTION("GOOGLETRANSLATE(A20256, ""en"", ""mt"")"),"X'jista 'jkun varjat sa xahrejn?")</f>
        <v>X'jista 'jkun varjat sa xahrejn?</v>
      </c>
    </row>
    <row r="20257" ht="15.75" customHeight="1">
      <c r="A20257" s="2" t="s">
        <v>20257</v>
      </c>
      <c r="B20257" s="2" t="str">
        <f>IFERROR(__xludf.DUMMYFUNCTION("GOOGLETRANSLATE(A20257, ""en"", ""mt"")"),"Għaliex il-Franċiżi ħassew li ma kellhom l-ebda dritt għal Ohio?")</f>
        <v>Għaliex il-Franċiżi ħassew li ma kellhom l-ebda dritt għal Ohio?</v>
      </c>
    </row>
    <row r="20258" ht="15.75" customHeight="1">
      <c r="A20258" s="2" t="s">
        <v>20258</v>
      </c>
      <c r="B20258" s="2" t="str">
        <f>IFERROR(__xludf.DUMMYFUNCTION("GOOGLETRANSLATE(A20258, ""en"", ""mt"")"),"X'inhu l-isem tal-propjetà li tinnomina numru bħala prim jew le?")</f>
        <v>X'inhu l-isem tal-propjetà li tinnomina numru bħala prim jew le?</v>
      </c>
    </row>
    <row r="20259" ht="15.75" customHeight="1">
      <c r="A20259" s="2" t="s">
        <v>20259</v>
      </c>
      <c r="B20259" s="2" t="str">
        <f>IFERROR(__xludf.DUMMYFUNCTION("GOOGLETRANSLATE(A20259, ""en"", ""mt"")"),"Teoriji dwar l-imperjalizmu jużaw liema pajjiż bħala mudell?")</f>
        <v>Teoriji dwar l-imperjalizmu jużaw liema pajjiż bħala mudell?</v>
      </c>
    </row>
    <row r="20260" ht="15.75" customHeight="1">
      <c r="A20260" s="2" t="s">
        <v>20260</v>
      </c>
      <c r="B20260" s="2" t="str">
        <f>IFERROR(__xludf.DUMMYFUNCTION("GOOGLETRANSLATE(A20260, ""en"", ""mt"")"),"inġust")</f>
        <v>inġust</v>
      </c>
    </row>
    <row r="20261" ht="15.75" customHeight="1">
      <c r="A20261" s="2" t="s">
        <v>20261</v>
      </c>
      <c r="B20261" s="2" t="str">
        <f>IFERROR(__xludf.DUMMYFUNCTION("GOOGLETRANSLATE(A20261, ""en"", ""mt"")"),"Magni tal-fwar jista 'jingħad li kienu l-forza li tiċċaqlaq wara r-rivoluzzjoni industrijali u rat makkinarju ta' sewqan ta 'użu kummerċjali mifrux f'fabbriki, imtieħen u minjieri; Stazzjonijiet ta 'l-ippumpjar li jħaddmu; u jimbotta apparat tat-trasport "&amp;"bħal lokomottivi tal-ferrovija, vapuri, dgħajjes tal-fwar u vetturi tat-triq. L-użu tagħhom fl-agrikoltura wassal għal żieda fl-art disponibbli għall-kultivazzjoni. F'ħin jew ieħor hemm tratturi tar-razzett li jaħdmu bil-fwar, muturi (mingħajr ħafna suċċe"&amp;"ss) u anke karozzi bħala l-Steamer Stanley.")</f>
        <v>Magni tal-fwar jista 'jingħad li kienu l-forza li tiċċaqlaq wara r-rivoluzzjoni industrijali u rat makkinarju ta' sewqan ta 'użu kummerċjali mifrux f'fabbriki, imtieħen u minjieri; Stazzjonijiet ta 'l-ippumpjar li jħaddmu; u jimbotta apparat tat-trasport bħal lokomottivi tal-ferrovija, vapuri, dgħajjes tal-fwar u vetturi tat-triq. L-użu tagħhom fl-agrikoltura wassal għal żieda fl-art disponibbli għall-kultivazzjoni. F'ħin jew ieħor hemm tratturi tar-razzett li jaħdmu bil-fwar, muturi (mingħajr ħafna suċċess) u anke karozzi bħala l-Steamer Stanley.</v>
      </c>
    </row>
    <row r="20262" ht="15.75" customHeight="1">
      <c r="A20262" s="2" t="s">
        <v>20262</v>
      </c>
      <c r="B20262" s="2" t="str">
        <f>IFERROR(__xludf.DUMMYFUNCTION("GOOGLETRANSLATE(A20262, ""en"", ""mt"")"),"il-kummentarji dwar il-klassika tal-bidliet")</f>
        <v>il-kummentarji dwar il-klassika tal-bidliet</v>
      </c>
    </row>
    <row r="20263" ht="15.75" customHeight="1">
      <c r="A20263" s="2" t="s">
        <v>20263</v>
      </c>
      <c r="B20263" s="2" t="str">
        <f>IFERROR(__xludf.DUMMYFUNCTION("GOOGLETRANSLATE(A20263, ""en"", ""mt"")"),"""kwantitajiet ta 'vettur""")</f>
        <v>"kwantitajiet ta 'vettur"</v>
      </c>
    </row>
    <row r="20264" ht="15.75" customHeight="1">
      <c r="A20264" s="2" t="s">
        <v>20264</v>
      </c>
      <c r="B20264" s="2" t="str">
        <f>IFERROR(__xludf.DUMMYFUNCTION("GOOGLETRANSLATE(A20264, ""en"", ""mt"")"),"Min inganna lin-Normanni?")</f>
        <v>Min inganna lin-Normanni?</v>
      </c>
    </row>
    <row r="20265" ht="15.75" customHeight="1">
      <c r="A20265" s="2" t="s">
        <v>20265</v>
      </c>
      <c r="B20265" s="2" t="str">
        <f>IFERROR(__xludf.DUMMYFUNCTION("GOOGLETRANSLATE(A20265, ""en"", ""mt"")"),"Min ingħata art mill-government Ingliż għall-iżvilupp tal-pajjiż tal-Ohio?")</f>
        <v>Min ingħata art mill-government Ingliż għall-iżvilupp tal-pajjiż tal-Ohio?</v>
      </c>
    </row>
    <row r="20266" ht="15.75" customHeight="1">
      <c r="A20266" s="2" t="s">
        <v>20266</v>
      </c>
      <c r="B20266" s="2" t="str">
        <f>IFERROR(__xludf.DUMMYFUNCTION("GOOGLETRANSLATE(A20266, ""en"", ""mt"")"),"Dak li ma kienx kapaċi jara permezz tal-qalba solida densa tad-dinja?")</f>
        <v>Dak li ma kienx kapaċi jara permezz tal-qalba solida densa tad-dinja?</v>
      </c>
    </row>
    <row r="20267" ht="15.75" customHeight="1">
      <c r="A20267" s="2" t="s">
        <v>20267</v>
      </c>
      <c r="B20267" s="2" t="str">
        <f>IFERROR(__xludf.DUMMYFUNCTION("GOOGLETRANSLATE(A20267, ""en"", ""mt"")"),"L-ekonomista Simon Kuznets argumenta li l-livelli ta 'inugwaljanza ekonomika huma fil-parti l-kbira r-riżultat ta' stadji ta 'żvilupp. Skond Kuznets, pajjiżi b'livelli baxxi ta 'żvilupp għandhom distribuzzjonijiet relattivament ugwali ta' ġid. Hekk kif ji"&amp;"żviluppa pajjiż, huwa jakkwista aktar kapital, li jwassal biex is-sidien ta 'dan il-kapital ikollhom aktar ġid u dħul u jintroduċu inugwaljanza. Eventwalment, permezz ta 'diversi mekkaniżmi ta' tqassim mill-ġdid possibbli bħal programmi ta 'benesseri soċj"&amp;"ali, pajjiżi aktar żviluppati jmorru lura għal livelli aktar baxxi ta' inugwaljanza.")</f>
        <v>L-ekonomista Simon Kuznets argumenta li l-livelli ta 'inugwaljanza ekonomika huma fil-parti l-kbira r-riżultat ta' stadji ta 'żvilupp. Skond Kuznets, pajjiżi b'livelli baxxi ta 'żvilupp għandhom distribuzzjonijiet relattivament ugwali ta' ġid. Hekk kif jiżviluppa pajjiż, huwa jakkwista aktar kapital, li jwassal biex is-sidien ta 'dan il-kapital ikollhom aktar ġid u dħul u jintroduċu inugwaljanza. Eventwalment, permezz ta 'diversi mekkaniżmi ta' tqassim mill-ġdid possibbli bħal programmi ta 'benesseri soċjali, pajjiżi aktar żviluppati jmorru lura għal livelli aktar baxxi ta' inugwaljanza.</v>
      </c>
    </row>
    <row r="20268" ht="15.75" customHeight="1">
      <c r="A20268" s="2" t="s">
        <v>20268</v>
      </c>
      <c r="B20268" s="2" t="str">
        <f>IFERROR(__xludf.DUMMYFUNCTION("GOOGLETRANSLATE(A20268, ""en"", ""mt"")"),"vizzjuż u distruttiv")</f>
        <v>vizzjuż u distruttiv</v>
      </c>
    </row>
    <row r="20269" ht="15.75" customHeight="1">
      <c r="A20269" s="2" t="s">
        <v>20269</v>
      </c>
      <c r="B20269" s="2" t="str">
        <f>IFERROR(__xludf.DUMMYFUNCTION("GOOGLETRANSLATE(A20269, ""en"", ""mt"")"),"X'inhuma l-iskejjel tal-imbark li jgħallmu l-Ingliż?")</f>
        <v>X'inhuma l-iskejjel tal-imbark li jgħallmu l-Ingliż?</v>
      </c>
    </row>
    <row r="20270" ht="15.75" customHeight="1">
      <c r="A20270" s="2" t="s">
        <v>20270</v>
      </c>
      <c r="B20270" s="2" t="str">
        <f>IFERROR(__xludf.DUMMYFUNCTION("GOOGLETRANSLATE(A20270, ""en"", ""mt"")"),"Tip II")</f>
        <v>Tip II</v>
      </c>
    </row>
    <row r="20271" ht="15.75" customHeight="1">
      <c r="A20271" s="2" t="s">
        <v>20271</v>
      </c>
      <c r="B20271" s="2" t="str">
        <f>IFERROR(__xludf.DUMMYFUNCTION("GOOGLETRANSLATE(A20271, ""en"", ""mt"")"),"Ma 'liema ċelloli ċ-ċelloli T delta gamma ma jaqsmux il-karatteristiċi?")</f>
        <v>Ma 'liema ċelloli ċ-ċelloli T delta gamma ma jaqsmux il-karatteristiċi?</v>
      </c>
    </row>
    <row r="20272" ht="15.75" customHeight="1">
      <c r="A20272" s="2" t="s">
        <v>20272</v>
      </c>
      <c r="B20272" s="2" t="str">
        <f>IFERROR(__xludf.DUMMYFUNCTION("GOOGLETRANSLATE(A20272, ""en"", ""mt"")"),"X'għamel is-sistema Apple awtomatikament")</f>
        <v>X'għamel is-sistema Apple awtomatikament</v>
      </c>
    </row>
    <row r="20273" ht="15.75" customHeight="1">
      <c r="A20273" s="2" t="s">
        <v>20273</v>
      </c>
      <c r="B20273" s="2" t="str">
        <f>IFERROR(__xludf.DUMMYFUNCTION("GOOGLETRANSLATE(A20273, ""en"", ""mt"")"),"Tul il-Wied tax-Xmara San Lawrenz")</f>
        <v>Tul il-Wied tax-Xmara San Lawrenz</v>
      </c>
    </row>
    <row r="20274" ht="15.75" customHeight="1">
      <c r="A20274" s="2" t="s">
        <v>20274</v>
      </c>
      <c r="B20274" s="2" t="str">
        <f>IFERROR(__xludf.DUMMYFUNCTION("GOOGLETRANSLATE(A20274, ""en"", ""mt"")"),"Liema reliġjon kienu l-iktar Taljani matul l-1620s?")</f>
        <v>Liema reliġjon kienu l-iktar Taljani matul l-1620s?</v>
      </c>
    </row>
    <row r="20275" ht="15.75" customHeight="1">
      <c r="A20275" s="2" t="s">
        <v>20275</v>
      </c>
      <c r="B20275" s="2" t="str">
        <f>IFERROR(__xludf.DUMMYFUNCTION("GOOGLETRANSLATE(A20275, ""en"", ""mt"")"),"X'inhu inkluż fil-ġestjoni tat-terapija tal-medikazzjoni?")</f>
        <v>X'inhu inkluż fil-ġestjoni tat-terapija tal-medikazzjoni?</v>
      </c>
    </row>
    <row r="20276" ht="15.75" customHeight="1">
      <c r="A20276" s="2" t="s">
        <v>20276</v>
      </c>
      <c r="B20276" s="2" t="str">
        <f>IFERROR(__xludf.DUMMYFUNCTION("GOOGLETRANSLATE(A20276, ""en"", ""mt"")"),"2005")</f>
        <v>2005</v>
      </c>
    </row>
    <row r="20277" ht="15.75" customHeight="1">
      <c r="A20277" s="2" t="s">
        <v>20277</v>
      </c>
      <c r="B20277" s="2" t="str">
        <f>IFERROR(__xludf.DUMMYFUNCTION("GOOGLETRANSLATE(A20277, ""en"", ""mt"")"),"Ibgħat l-għajnuna u xi kultant imorru lilhom infushom biex jiġġieldu għall-fidi tagħhom")</f>
        <v>Ibgħat l-għajnuna u xi kultant imorru lilhom infushom biex jiġġieldu għall-fidi tagħhom</v>
      </c>
    </row>
    <row r="20278" ht="15.75" customHeight="1">
      <c r="A20278" s="2" t="s">
        <v>20278</v>
      </c>
      <c r="B20278" s="2" t="str">
        <f>IFERROR(__xludf.DUMMYFUNCTION("GOOGLETRANSLATE(A20278, ""en"", ""mt"")"),"Calipso")</f>
        <v>Calipso</v>
      </c>
    </row>
    <row r="20279" ht="15.75" customHeight="1">
      <c r="A20279" s="2" t="s">
        <v>20279</v>
      </c>
      <c r="B20279" s="2" t="str">
        <f>IFERROR(__xludf.DUMMYFUNCTION("GOOGLETRANSLATE(A20279, ""en"", ""mt"")"),"Il-kunċett determiniżmu ambjentali serva bħala ġustifikazzjoni morali għad-dominazzjoni ta 'ċerti territorji u popli. Kien maħsub li l-imġieba ta 'ċerta persuna kienu determinati mill-ambjent li kienu jgħixu u b'hekk ivvalidaw il-ħakma tagħhom. Pereżempju"&amp;", nies li jgħixu f'ambjenti tropikali kienu meqjusa bħala ""inqas ċivilizzati"" u għalhekk jiġġustifikaw il-kontroll kolonjali bħala missjoni ċivilizzanti. Madwar it-tliet mewġ ta 'kolonjaliżmu Ewropew (l-ewwel fl-Amerika, it-tieni fl-Asja u fl-aħħar fl-A"&amp;"frika), id-determiniżmu ambjentali ntuża biex ipoġġi kategorikament nies indiġeni f'ġerarkija razzjali. Dan jieħu żewġ forom, l-orjentaliżmu u t-tropiċità.")</f>
        <v>Il-kunċett determiniżmu ambjentali serva bħala ġustifikazzjoni morali għad-dominazzjoni ta 'ċerti territorji u popli. Kien maħsub li l-imġieba ta 'ċerta persuna kienu determinati mill-ambjent li kienu jgħixu u b'hekk ivvalidaw il-ħakma tagħhom. Pereżempju, nies li jgħixu f'ambjenti tropikali kienu meqjusa bħala "inqas ċivilizzati" u għalhekk jiġġustifikaw il-kontroll kolonjali bħala missjoni ċivilizzanti. Madwar it-tliet mewġ ta 'kolonjaliżmu Ewropew (l-ewwel fl-Amerika, it-tieni fl-Asja u fl-aħħar fl-Afrika), id-determiniżmu ambjentali ntuża biex ipoġġi kategorikament nies indiġeni f'ġerarkija razzjali. Dan jieħu żewġ forom, l-orjentaliżmu u t-tropiċità.</v>
      </c>
    </row>
    <row r="20280" ht="15.75" customHeight="1">
      <c r="A20280" s="2" t="s">
        <v>20280</v>
      </c>
      <c r="B20280" s="2" t="str">
        <f>IFERROR(__xludf.DUMMYFUNCTION("GOOGLETRANSLATE(A20280, ""en"", ""mt"")"),"riżorsi mhux tas-soltu")</f>
        <v>riżorsi mhux tas-soltu</v>
      </c>
    </row>
    <row r="20281" ht="15.75" customHeight="1">
      <c r="A20281" s="2" t="s">
        <v>20281</v>
      </c>
      <c r="B20281" s="2" t="str">
        <f>IFERROR(__xludf.DUMMYFUNCTION("GOOGLETRANSLATE(A20281, ""en"", ""mt"")"),"X'tip ta 'kostruzzjoni huwa mifrux f'bini privat u pubbliku?")</f>
        <v>X'tip ta 'kostruzzjoni huwa mifrux f'bini privat u pubbliku?</v>
      </c>
    </row>
    <row r="20282" ht="15.75" customHeight="1">
      <c r="A20282" s="2" t="s">
        <v>20282</v>
      </c>
      <c r="B20282" s="2" t="str">
        <f>IFERROR(__xludf.DUMMYFUNCTION("GOOGLETRANSLATE(A20282, ""en"", ""mt"")"),"L-imperjalizmu u l-kolonjaliżmu jiddettaw it-tnejn il-vantaġġ politiku u ekonomiku fuq art u l-popolazzjonijiet indiġeni li jikkontrollaw, iżda l-istudjużi kultant isibuha diffiċli biex juru d-differenza bejn it-tnejn. Għalkemm l-imperjalizmu u l-kolonjal"&amp;"iżmu jiffokaw fuq it-trażżin ta 'ieħor, jekk il-kolonjaliżmu jirreferi għall-proċess ta' pajjiż li jieħu kontroll fiżiku ta 'ieħor, l-imperjalizmu jirreferi għad-dominanza politika u monetarja, jew formalment jew informalment. Il-kolonjaliżmu huwa meqjus "&amp;"li huwa l-perit li jiddeċiedi kif jibda dominanti żoni u allura l-imperjalizmu jista 'jitqies bħala li joħloq l-idea wara l-konkwista li tikkoopera mal-kolonjaliżmu. Il-kolonjaliżmu huwa meta n-nazzjon imperjali jibda konkwista fuq żona u mbagħad eventwal"&amp;"ment ikun kapaċi jiddeċiedi fuq l-oqsma li n-nazzjon ta 'qabel kien ikkontrolla. It-tifsira ewlenija tal-kolonjaliżmu hija l-isfruttament tal-assi u l-provvisti siewja tan-nazzjon li ġie maħkuma u n-nazzjon li jirbħu u mbagħad jikseb il-benefiċċji mill-im"&amp;"ħassra tal-gwerra. It-tifsira tal-imperjalizmu hija li toħloq imperu, billi tirbaħ l-artijiet tal-istat l-ieħor u għalhekk iżżid id-dominanza tiegħu stess. Il-kolonjaliżmu huwa l-bennej u l-preservatur tal-possedimenti kolonjali f'żona minn popolazzjoni l"&amp;"i ġejja minn reġjun barrani. Il-kolonjaliżmu jista 'jbiddel kompletament l-istruttura soċjali eżistenti, l-istruttura fiżika u l-ekonomija ta' żona; Mhuwiex tas-soltu li l-karatteristiċi tal-popli li jirbħu jiġu wirt mill-popolazzjonijiet indiġeni maħkuma"&amp;".")</f>
        <v>L-imperjalizmu u l-kolonjaliżmu jiddettaw it-tnejn il-vantaġġ politiku u ekonomiku fuq art u l-popolazzjonijiet indiġeni li jikkontrollaw, iżda l-istudjużi kultant isibuha diffiċli biex juru d-differenza bejn it-tnejn. Għalkemm l-imperjalizmu u l-kolonjaliżmu jiffokaw fuq it-trażżin ta 'ieħor, jekk il-kolonjaliżmu jirreferi għall-proċess ta' pajjiż li jieħu kontroll fiżiku ta 'ieħor, l-imperjalizmu jirreferi għad-dominanza politika u monetarja, jew formalment jew informalment. Il-kolonjaliżmu huwa meqjus li huwa l-perit li jiddeċiedi kif jibda dominanti żoni u allura l-imperjalizmu jista 'jitqies bħala li joħloq l-idea wara l-konkwista li tikkoopera mal-kolonjaliżmu. Il-kolonjaliżmu huwa meta n-nazzjon imperjali jibda konkwista fuq żona u mbagħad eventwalment ikun kapaċi jiddeċiedi fuq l-oqsma li n-nazzjon ta 'qabel kien ikkontrolla. It-tifsira ewlenija tal-kolonjaliżmu hija l-isfruttament tal-assi u l-provvisti siewja tan-nazzjon li ġie maħkuma u n-nazzjon li jirbħu u mbagħad jikseb il-benefiċċji mill-imħassra tal-gwerra. It-tifsira tal-imperjalizmu hija li toħloq imperu, billi tirbaħ l-artijiet tal-istat l-ieħor u għalhekk iżżid id-dominanza tiegħu stess. Il-kolonjaliżmu huwa l-bennej u l-preservatur tal-possedimenti kolonjali f'żona minn popolazzjoni li ġejja minn reġjun barrani. Il-kolonjaliżmu jista 'jbiddel kompletament l-istruttura soċjali eżistenti, l-istruttura fiżika u l-ekonomija ta' żona; Mhuwiex tas-soltu li l-karatteristiċi tal-popli li jirbħu jiġu wirt mill-popolazzjonijiet indiġeni maħkuma.</v>
      </c>
    </row>
    <row r="20283" ht="15.75" customHeight="1">
      <c r="A20283" s="2" t="s">
        <v>20283</v>
      </c>
      <c r="B20283" s="2" t="str">
        <f>IFERROR(__xludf.DUMMYFUNCTION("GOOGLETRANSLATE(A20283, ""en"", ""mt"")"),"tħeġġeġ")</f>
        <v>tħeġġeġ</v>
      </c>
    </row>
    <row r="20284" ht="15.75" customHeight="1">
      <c r="A20284" s="2" t="s">
        <v>20284</v>
      </c>
      <c r="B20284" s="2" t="str">
        <f>IFERROR(__xludf.DUMMYFUNCTION("GOOGLETRANSLATE(A20284, ""en"", ""mt"")"),"Min imur blat, preċiżament, fit-taqsima stratigrafika?")</f>
        <v>Min imur blat, preċiżament, fit-taqsima stratigrafika?</v>
      </c>
    </row>
    <row r="20285" ht="15.75" customHeight="1">
      <c r="A20285" s="2" t="s">
        <v>20285</v>
      </c>
      <c r="B20285" s="2" t="str">
        <f>IFERROR(__xludf.DUMMYFUNCTION("GOOGLETRANSLATE(A20285, ""en"", ""mt"")"),"temperaturi aktar baxxi")</f>
        <v>temperaturi aktar baxxi</v>
      </c>
    </row>
    <row r="20286" ht="15.75" customHeight="1">
      <c r="A20286" s="2" t="s">
        <v>20286</v>
      </c>
      <c r="B20286" s="2" t="str">
        <f>IFERROR(__xludf.DUMMYFUNCTION("GOOGLETRANSLATE(A20286, ""en"", ""mt"")"),"rispons qawwi")</f>
        <v>rispons qawwi</v>
      </c>
    </row>
    <row r="20287" ht="15.75" customHeight="1">
      <c r="A20287" s="2" t="s">
        <v>20287</v>
      </c>
      <c r="B20287" s="2" t="str">
        <f>IFERROR(__xludf.DUMMYFUNCTION("GOOGLETRANSLATE(A20287, ""en"", ""mt"")"),"Minbarra l-Konfucjaniżmu, il-Buddiżmu, u l-Iżlam, liema reliġjonijiet ġew ittollerati matul il-wan?")</f>
        <v>Minbarra l-Konfucjaniżmu, il-Buddiżmu, u l-Iżlam, liema reliġjonijiet ġew ittollerati matul il-wan?</v>
      </c>
    </row>
    <row r="20288" ht="15.75" customHeight="1">
      <c r="A20288" s="2" t="s">
        <v>20288</v>
      </c>
      <c r="B20288" s="2" t="str">
        <f>IFERROR(__xludf.DUMMYFUNCTION("GOOGLETRANSLATE(A20288, ""en"", ""mt"")"),"Għaliex in-nies għażlu d-diżubbidjenza ċivili biex jipprotestaw?")</f>
        <v>Għaliex in-nies għażlu d-diżubbidjenza ċivili biex jipprotestaw?</v>
      </c>
    </row>
    <row r="20289" ht="15.75" customHeight="1">
      <c r="A20289" s="2" t="s">
        <v>20289</v>
      </c>
      <c r="B20289" s="2" t="str">
        <f>IFERROR(__xludf.DUMMYFUNCTION("GOOGLETRANSLATE(A20289, ""en"", ""mt"")"),"B'mod ċar, xi tumuri jevadu s-sistema immuni u jkomplu jsiru kanċer. Iċ-ċelloli tat-tumur spiss ikollhom numru imnaqqas ta 'molekuli tal-klassi I MHC fuq il-wiċċ tagħhom, u b'hekk jevitaw is-sejbien minn ċelloli T qattiel. Xi ċelloli tat-tumur jirrilaxxaw"&amp;" ukoll prodotti li jinibixxu r-rispons immuni; Pereżempju billi tnixxi ċ-ċitokina TGF-β, li trażżan l-attività ta 'makrofaġi u limfoċiti. Barra minn hekk, it-tolleranza immunoloġika tista 'tiżviluppa kontra antiġeni tat-tumur, u għalhekk is-sistema immuni"&amp;"tarja ma tibqax tattakka ċ-ċelloli tat-tumur.")</f>
        <v>B'mod ċar, xi tumuri jevadu s-sistema immuni u jkomplu jsiru kanċer. Iċ-ċelloli tat-tumur spiss ikollhom numru imnaqqas ta 'molekuli tal-klassi I MHC fuq il-wiċċ tagħhom, u b'hekk jevitaw is-sejbien minn ċelloli T qattiel. Xi ċelloli tat-tumur jirrilaxxaw ukoll prodotti li jinibixxu r-rispons immuni; Pereżempju billi tnixxi ċ-ċitokina TGF-β, li trażżan l-attività ta 'makrofaġi u limfoċiti. Barra minn hekk, it-tolleranza immunoloġika tista 'tiżviluppa kontra antiġeni tat-tumur, u għalhekk is-sistema immunitarja ma tibqax tattakka ċ-ċelloli tat-tumur.</v>
      </c>
    </row>
    <row r="20290" ht="15.75" customHeight="1">
      <c r="A20290" s="2" t="s">
        <v>20290</v>
      </c>
      <c r="B20290" s="2" t="str">
        <f>IFERROR(__xludf.DUMMYFUNCTION("GOOGLETRANSLATE(A20290, ""en"", ""mt"")"),"100,000")</f>
        <v>100,000</v>
      </c>
    </row>
    <row r="20291" ht="15.75" customHeight="1">
      <c r="A20291" s="2" t="s">
        <v>20291</v>
      </c>
      <c r="B20291" s="2" t="str">
        <f>IFERROR(__xludf.DUMMYFUNCTION("GOOGLETRANSLATE(A20291, ""en"", ""mt"")"),"ottimizzazzjoni ta 'trattament ta' mediċina għal individwu")</f>
        <v>ottimizzazzjoni ta 'trattament ta' mediċina għal individwu</v>
      </c>
    </row>
    <row r="20292" ht="15.75" customHeight="1">
      <c r="A20292" s="2" t="s">
        <v>20292</v>
      </c>
      <c r="B20292" s="2" t="str">
        <f>IFERROR(__xludf.DUMMYFUNCTION("GOOGLETRANSLATE(A20292, ""en"", ""mt"")"),"Kemm speċi ta 'pjanti huma stmati li jinsabu fir-reġjun tal-Amażonja?")</f>
        <v>Kemm speċi ta 'pjanti huma stmati li jinsabu fir-reġjun tal-Amażonja?</v>
      </c>
    </row>
    <row r="20293" ht="15.75" customHeight="1">
      <c r="A20293" s="2" t="s">
        <v>20293</v>
      </c>
      <c r="B20293" s="2" t="str">
        <f>IFERROR(__xludf.DUMMYFUNCTION("GOOGLETRANSLATE(A20293, ""en"", ""mt"")"),"X'inhi waħda mill-ikbar u l-aktar istituzzjonijiet onkoloġiċi moderni fl-Ewropa?")</f>
        <v>X'inhi waħda mill-ikbar u l-aktar istituzzjonijiet onkoloġiċi moderni fl-Ewropa?</v>
      </c>
    </row>
    <row r="20294" ht="15.75" customHeight="1">
      <c r="A20294" s="2" t="s">
        <v>20294</v>
      </c>
      <c r="B20294" s="2" t="str">
        <f>IFERROR(__xludf.DUMMYFUNCTION("GOOGLETRANSLATE(A20294, ""en"", ""mt"")"),"4380 speċi ta 'dak li ġie rreġistrat?")</f>
        <v>4380 speċi ta 'dak li ġie rreġistrat?</v>
      </c>
    </row>
    <row r="20295" ht="15.75" customHeight="1">
      <c r="A20295" s="2" t="s">
        <v>20295</v>
      </c>
      <c r="B20295" s="2" t="str">
        <f>IFERROR(__xludf.DUMMYFUNCTION("GOOGLETRANSLATE(A20295, ""en"", ""mt"")"),"Liema lenti tintuża biex tidentifika l-kompożizzjoni kimika?")</f>
        <v>Liema lenti tintuża biex tidentifika l-kompożizzjoni kimika?</v>
      </c>
    </row>
    <row r="20296" ht="15.75" customHeight="1">
      <c r="A20296" s="2" t="s">
        <v>20296</v>
      </c>
      <c r="B20296" s="2" t="str">
        <f>IFERROR(__xludf.DUMMYFUNCTION("GOOGLETRANSLATE(A20296, ""en"", ""mt"")"),"X'inhu l-Ġnien Upati fil-Pollakk?")</f>
        <v>X'inhu l-Ġnien Upati fil-Pollakk?</v>
      </c>
    </row>
    <row r="20297" ht="15.75" customHeight="1">
      <c r="A20297" s="2" t="s">
        <v>20297</v>
      </c>
      <c r="B20297" s="2" t="str">
        <f>IFERROR(__xludf.DUMMYFUNCTION("GOOGLETRANSLATE(A20297, ""en"", ""mt"")"),"X'tip ta 'valur ikollu l-funzjoni Zeta jekk ikun hemm primes finiti?")</f>
        <v>X'tip ta 'valur ikollu l-funzjoni Zeta jekk ikun hemm primes finiti?</v>
      </c>
    </row>
    <row r="20298" ht="15.75" customHeight="1">
      <c r="A20298" s="2" t="s">
        <v>20298</v>
      </c>
      <c r="B20298" s="2" t="str">
        <f>IFERROR(__xludf.DUMMYFUNCTION("GOOGLETRANSLATE(A20298, ""en"", ""mt"")"),"faħam")</f>
        <v>faħam</v>
      </c>
    </row>
    <row r="20299" ht="15.75" customHeight="1">
      <c r="A20299" s="2" t="s">
        <v>20299</v>
      </c>
      <c r="B20299" s="2" t="str">
        <f>IFERROR(__xludf.DUMMYFUNCTION("GOOGLETRANSLATE(A20299, ""en"", ""mt"")"),"Liema espressjoni hija ġeneralment użata biex twassal limiti ta 'fuq jew t'isfel?")</f>
        <v>Liema espressjoni hija ġeneralment użata biex twassal limiti ta 'fuq jew t'isfel?</v>
      </c>
    </row>
    <row r="20300" ht="15.75" customHeight="1">
      <c r="A20300" s="2" t="s">
        <v>20300</v>
      </c>
      <c r="B20300" s="2" t="str">
        <f>IFERROR(__xludf.DUMMYFUNCTION("GOOGLETRANSLATE(A20300, ""en"", ""mt"")"),"Fuq liema lag attakkaw it-truppi Fort William Henry fis-sajf?")</f>
        <v>Fuq liema lag attakkaw it-truppi Fort William Henry fis-sajf?</v>
      </c>
    </row>
    <row r="20301" ht="15.75" customHeight="1">
      <c r="A20301" s="2" t="s">
        <v>20301</v>
      </c>
      <c r="B20301" s="2" t="str">
        <f>IFERROR(__xludf.DUMMYFUNCTION("GOOGLETRANSLATE(A20301, ""en"", ""mt"")"),"Liema proteina ma taffettwax id-differenzjazzjoni taċ-ċelloli T?")</f>
        <v>Liema proteina ma taffettwax id-differenzjazzjoni taċ-ċelloli T?</v>
      </c>
    </row>
    <row r="20302" ht="15.75" customHeight="1">
      <c r="A20302" s="2" t="s">
        <v>20302</v>
      </c>
      <c r="B20302" s="2" t="str">
        <f>IFERROR(__xludf.DUMMYFUNCTION("GOOGLETRANSLATE(A20302, ""en"", ""mt"")"),"Min jagħmel Cambridge jgħid li l-espansjoni se tibbenefika?")</f>
        <v>Min jagħmel Cambridge jgħid li l-espansjoni se tibbenefika?</v>
      </c>
    </row>
    <row r="20303" ht="15.75" customHeight="1">
      <c r="A20303" s="2" t="s">
        <v>20303</v>
      </c>
      <c r="B20303" s="2" t="str">
        <f>IFERROR(__xludf.DUMMYFUNCTION("GOOGLETRANSLATE(A20303, ""en"", ""mt"")"),"F'Settembru 1971")</f>
        <v>F'Settembru 1971</v>
      </c>
    </row>
    <row r="20304" ht="15.75" customHeight="1">
      <c r="A20304" s="2" t="s">
        <v>20304</v>
      </c>
      <c r="B20304" s="2" t="str">
        <f>IFERROR(__xludf.DUMMYFUNCTION("GOOGLETRANSLATE(A20304, ""en"", ""mt"")"),"2003")</f>
        <v>2003</v>
      </c>
    </row>
    <row r="20305" ht="15.75" customHeight="1">
      <c r="A20305" s="2" t="s">
        <v>20305</v>
      </c>
      <c r="B20305" s="2" t="str">
        <f>IFERROR(__xludf.DUMMYFUNCTION("GOOGLETRANSLATE(A20305, ""en"", ""mt"")"),"Influwenza imperjalista")</f>
        <v>Influwenza imperjalista</v>
      </c>
    </row>
    <row r="20306" ht="15.75" customHeight="1">
      <c r="A20306" s="2" t="s">
        <v>20306</v>
      </c>
      <c r="B20306" s="2" t="str">
        <f>IFERROR(__xludf.DUMMYFUNCTION("GOOGLETRANSLATE(A20306, ""en"", ""mt"")"),"reġjuni l-aktar sħan")</f>
        <v>reġjuni l-aktar sħan</v>
      </c>
    </row>
    <row r="20307" ht="15.75" customHeight="1">
      <c r="A20307" s="2" t="s">
        <v>20307</v>
      </c>
      <c r="B20307" s="2" t="str">
        <f>IFERROR(__xludf.DUMMYFUNCTION("GOOGLETRANSLATE(A20307, ""en"", ""mt"")"),"X’għamel il-projbizzjoni tar-Renju Unit nhar ta ’Ħadd minħabba l-embargo?")</f>
        <v>X’għamel il-projbizzjoni tar-Renju Unit nhar ta ’Ħadd minħabba l-embargo?</v>
      </c>
    </row>
    <row r="20308" ht="15.75" customHeight="1">
      <c r="A20308" s="2" t="s">
        <v>20308</v>
      </c>
      <c r="B20308" s="2" t="str">
        <f>IFERROR(__xludf.DUMMYFUNCTION("GOOGLETRANSLATE(A20308, ""en"", ""mt"")"),"NL u NC")</f>
        <v>NL u NC</v>
      </c>
    </row>
    <row r="20309" ht="15.75" customHeight="1">
      <c r="A20309" s="2" t="s">
        <v>20309</v>
      </c>
      <c r="B20309" s="2" t="str">
        <f>IFERROR(__xludf.DUMMYFUNCTION("GOOGLETRANSLATE(A20309, ""en"", ""mt"")"),"Kemm hi wiesgħa r-Renu?")</f>
        <v>Kemm hi wiesgħa r-Renu?</v>
      </c>
    </row>
    <row r="20310" ht="15.75" customHeight="1">
      <c r="A20310" s="2" t="s">
        <v>20310</v>
      </c>
      <c r="B20310" s="2" t="str">
        <f>IFERROR(__xludf.DUMMYFUNCTION("GOOGLETRANSLATE(A20310, ""en"", ""mt"")"),"Att dwar il-Konservazzjoni tal-Enerġija ta 'Emerġenza ta' Emerġenza")</f>
        <v>Att dwar il-Konservazzjoni tal-Enerġija ta 'Emerġenza ta' Emerġenza</v>
      </c>
    </row>
    <row r="20311" ht="15.75" customHeight="1">
      <c r="A20311" s="2" t="s">
        <v>20311</v>
      </c>
      <c r="B20311" s="2" t="str">
        <f>IFERROR(__xludf.DUMMYFUNCTION("GOOGLETRANSLATE(A20311, ""en"", ""mt"")"),"Permezz tal-funzjonazzjonijiet dejjem jiżdiedu")</f>
        <v>Permezz tal-funzjonazzjonijiet dejjem jiżdiedu</v>
      </c>
    </row>
    <row r="20312" ht="15.75" customHeight="1">
      <c r="A20312" s="2" t="s">
        <v>20312</v>
      </c>
      <c r="B20312" s="2" t="str">
        <f>IFERROR(__xludf.DUMMYFUNCTION("GOOGLETRANSLATE(A20312, ""en"", ""mt"")"),"F'liema data seħħ l-ewwel vjaġġ bil-ferrovija fid-dinja?")</f>
        <v>F'liema data seħħ l-ewwel vjaġġ bil-ferrovija fid-dinja?</v>
      </c>
    </row>
    <row r="20313" ht="15.75" customHeight="1">
      <c r="A20313" s="2" t="s">
        <v>20313</v>
      </c>
      <c r="B20313" s="2" t="str">
        <f>IFERROR(__xludf.DUMMYFUNCTION("GOOGLETRANSLATE(A20313, ""en"", ""mt"")"),"Kemm residenti Franċiżi Huguenot fil-belt ta 'Manakin fil-fatt jgħixu barra l-belt fl-irziezet?")</f>
        <v>Kemm residenti Franċiżi Huguenot fil-belt ta 'Manakin fil-fatt jgħixu barra l-belt fl-irziezet?</v>
      </c>
    </row>
    <row r="20314" ht="15.75" customHeight="1">
      <c r="A20314" s="2" t="s">
        <v>20314</v>
      </c>
      <c r="B20314" s="2" t="str">
        <f>IFERROR(__xludf.DUMMYFUNCTION("GOOGLETRANSLATE(A20314, ""en"", ""mt"")"),"Rollo")</f>
        <v>Rollo</v>
      </c>
    </row>
    <row r="20315" ht="15.75" customHeight="1">
      <c r="A20315" s="2" t="s">
        <v>20315</v>
      </c>
      <c r="B20315" s="2" t="str">
        <f>IFERROR(__xludf.DUMMYFUNCTION("GOOGLETRANSLATE(A20315, ""en"", ""mt"")"),"Inugwaljanza ekonomika ogħla")</f>
        <v>Inugwaljanza ekonomika ogħla</v>
      </c>
    </row>
    <row r="20316" ht="15.75" customHeight="1">
      <c r="A20316" s="2" t="s">
        <v>20316</v>
      </c>
      <c r="B20316" s="2" t="str">
        <f>IFERROR(__xludf.DUMMYFUNCTION("GOOGLETRANSLATE(A20316, ""en"", ""mt"")"),"Min ippreżenta r-relazzjonijiet bejn livelli ta 'dħul u inugwaljanza?")</f>
        <v>Min ippreżenta r-relazzjonijiet bejn livelli ta 'dħul u inugwaljanza?</v>
      </c>
    </row>
    <row r="20317" ht="15.75" customHeight="1">
      <c r="A20317" s="2" t="s">
        <v>20317</v>
      </c>
      <c r="B20317" s="2" t="str">
        <f>IFERROR(__xludf.DUMMYFUNCTION("GOOGLETRANSLATE(A20317, ""en"", ""mt"")")," F'liema dinastija miet Tianze?")</f>
        <v> F'liema dinastija miet Tianze?</v>
      </c>
    </row>
    <row r="20318" ht="15.75" customHeight="1">
      <c r="A20318" s="2" t="s">
        <v>20318</v>
      </c>
      <c r="B20318" s="2" t="str">
        <f>IFERROR(__xludf.DUMMYFUNCTION("GOOGLETRANSLATE(A20318, ""en"", ""mt"")"),"1273")</f>
        <v>1273</v>
      </c>
    </row>
    <row r="20319" ht="15.75" customHeight="1">
      <c r="A20319" s="2" t="s">
        <v>20319</v>
      </c>
      <c r="B20319" s="2" t="str">
        <f>IFERROR(__xludf.DUMMYFUNCTION("GOOGLETRANSLATE(A20319, ""en"", ""mt"")"),"Liema viċinat etniku fi Fresno kellu primarjament residenti Ġappuniżi fl-1940?")</f>
        <v>Liema viċinat etniku fi Fresno kellu primarjament residenti Ġappuniżi fl-1940?</v>
      </c>
    </row>
    <row r="20320" ht="15.75" customHeight="1">
      <c r="A20320" s="2" t="s">
        <v>20320</v>
      </c>
      <c r="B20320" s="2" t="str">
        <f>IFERROR(__xludf.DUMMYFUNCTION("GOOGLETRANSLATE(A20320, ""en"", ""mt"")"),"X'irrakkomanda standard u fqir biex tħaffef l-irkupru tal-ekonomija?")</f>
        <v>X'irrakkomanda standard u fqir biex tħaffef l-irkupru tal-ekonomija?</v>
      </c>
    </row>
    <row r="20321" ht="15.75" customHeight="1">
      <c r="A20321" s="2" t="s">
        <v>20321</v>
      </c>
      <c r="B20321" s="2" t="str">
        <f>IFERROR(__xludf.DUMMYFUNCTION("GOOGLETRANSLATE(A20321, ""en"", ""mt"")"),"1064")</f>
        <v>1064</v>
      </c>
    </row>
    <row r="20322" ht="15.75" customHeight="1">
      <c r="A20322" s="2" t="s">
        <v>20322</v>
      </c>
      <c r="B20322" s="2" t="str">
        <f>IFERROR(__xludf.DUMMYFUNCTION("GOOGLETRANSLATE(A20322, ""en"", ""mt"")"),"jista 'jkun ta' profitt")</f>
        <v>jista 'jkun ta' profitt</v>
      </c>
    </row>
    <row r="20323" ht="15.75" customHeight="1">
      <c r="A20323" s="2" t="s">
        <v>20323</v>
      </c>
      <c r="B20323" s="2" t="str">
        <f>IFERROR(__xludf.DUMMYFUNCTION("GOOGLETRANSLATE(A20323, ""en"", ""mt"")"),"-40%")</f>
        <v>-40%</v>
      </c>
    </row>
    <row r="20324" ht="15.75" customHeight="1">
      <c r="A20324" s="2" t="s">
        <v>20324</v>
      </c>
      <c r="B20324" s="2" t="str">
        <f>IFERROR(__xludf.DUMMYFUNCTION("GOOGLETRANSLATE(A20324, ""en"", ""mt"")"),"X'ġara mill-istatus tal-Viċi President Agnew fi żminijiet moderni?")</f>
        <v>X'ġara mill-istatus tal-Viċi President Agnew fi żminijiet moderni?</v>
      </c>
    </row>
    <row r="20325" ht="15.75" customHeight="1">
      <c r="A20325" s="2" t="s">
        <v>20325</v>
      </c>
      <c r="B20325" s="2" t="str">
        <f>IFERROR(__xludf.DUMMYFUNCTION("GOOGLETRANSLATE(A20325, ""en"", ""mt"")"),"Aktar minn 1.3 miljun")</f>
        <v>Aktar minn 1.3 miljun</v>
      </c>
    </row>
    <row r="20326" ht="15.75" customHeight="1">
      <c r="A20326" s="2" t="s">
        <v>20326</v>
      </c>
      <c r="B20326" s="2" t="str">
        <f>IFERROR(__xludf.DUMMYFUNCTION("GOOGLETRANSLATE(A20326, ""en"", ""mt"")"),"Elettrodinamiċità kwantistika (jew QED)")</f>
        <v>Elettrodinamiċità kwantistika (jew QED)</v>
      </c>
    </row>
    <row r="20327" ht="15.75" customHeight="1">
      <c r="A20327" s="2" t="s">
        <v>20327</v>
      </c>
      <c r="B20327" s="2" t="str">
        <f>IFERROR(__xludf.DUMMYFUNCTION("GOOGLETRANSLATE(A20327, ""en"", ""mt"")"),"it-tieni livell")</f>
        <v>it-tieni livell</v>
      </c>
    </row>
    <row r="20328" ht="15.75" customHeight="1">
      <c r="A20328" s="2" t="s">
        <v>20328</v>
      </c>
      <c r="B20328" s="2" t="str">
        <f>IFERROR(__xludf.DUMMYFUNCTION("GOOGLETRANSLATE(A20328, ""en"", ""mt"")"),"F’Settembru 1958, il-Bank of America nieda prodott ġdid imsejjaħ BankaMericard fi Fresno. Wara ġestazzjoni mnikkta li matulha rriżenja mill-kreatur tagħha, BankAmericard kompla jsir l-ewwel karta ta 'kreditu ta' suċċess; Jiġifieri, strument finanzjarju li"&amp;" jista 'jintuża minn numru kbir ta' negozjanti u wkoll ippermetta lid-detenturi tal-kard iduru bilanċ (prodotti finanzjarji preċedenti jistgħu jagħmlu wieħed jew l-ieħor iżda mhux it-tnejn). Fl-1976, BankAmericard ġie msejjaħ u nbidel f'kumpanija separata"&amp;" magħrufa llum bħala Visa Inc.")</f>
        <v>F’Settembru 1958, il-Bank of America nieda prodott ġdid imsejjaħ BankaMericard fi Fresno. Wara ġestazzjoni mnikkta li matulha rriżenja mill-kreatur tagħha, BankAmericard kompla jsir l-ewwel karta ta 'kreditu ta' suċċess; Jiġifieri, strument finanzjarju li jista 'jintuża minn numru kbir ta' negozjanti u wkoll ippermetta lid-detenturi tal-kard iduru bilanċ (prodotti finanzjarji preċedenti jistgħu jagħmlu wieħed jew l-ieħor iżda mhux it-tnejn). Fl-1976, BankAmericard ġie msejjaħ u nbidel f'kumpanija separata magħrufa llum bħala Visa Inc.</v>
      </c>
    </row>
    <row r="20329" ht="15.75" customHeight="1">
      <c r="A20329" s="2" t="s">
        <v>20329</v>
      </c>
      <c r="B20329" s="2" t="str">
        <f>IFERROR(__xludf.DUMMYFUNCTION("GOOGLETRANSLATE(A20329, ""en"", ""mt"")"),"Fil-bidu tas-seklu 20")</f>
        <v>Fil-bidu tas-seklu 20</v>
      </c>
    </row>
    <row r="20330" ht="15.75" customHeight="1">
      <c r="A20330" s="2" t="s">
        <v>20330</v>
      </c>
      <c r="B20330" s="2" t="str">
        <f>IFERROR(__xludf.DUMMYFUNCTION("GOOGLETRANSLATE(A20330, ""en"", ""mt"")"),"X'inhuma l-batterji li ma jistgħux inixxu?")</f>
        <v>X'inhuma l-batterji li ma jistgħux inixxu?</v>
      </c>
    </row>
    <row r="20331" ht="15.75" customHeight="1">
      <c r="A20331" s="2" t="s">
        <v>20331</v>
      </c>
      <c r="B20331" s="2" t="str">
        <f>IFERROR(__xludf.DUMMYFUNCTION("GOOGLETRANSLATE(A20331, ""en"", ""mt"")"),"X'għandhom l-arkitetti fl-Istati Uniti / Kanada jaqilgħu kull sena?")</f>
        <v>X'għandhom l-arkitetti fl-Istati Uniti / Kanada jaqilgħu kull sena?</v>
      </c>
    </row>
    <row r="20332" ht="15.75" customHeight="1">
      <c r="A20332" s="2" t="s">
        <v>20332</v>
      </c>
      <c r="B20332" s="2" t="str">
        <f>IFERROR(__xludf.DUMMYFUNCTION("GOOGLETRANSLATE(A20332, ""en"", ""mt"")"),"Meta Holden ħabbar li se jiftaħ l-impjant tar-Rabat tagħha?")</f>
        <v>Meta Holden ħabbar li se jiftaħ l-impjant tar-Rabat tagħha?</v>
      </c>
    </row>
    <row r="20333" ht="15.75" customHeight="1">
      <c r="A20333" s="2" t="s">
        <v>20333</v>
      </c>
      <c r="B20333" s="2" t="str">
        <f>IFERROR(__xludf.DUMMYFUNCTION("GOOGLETRANSLATE(A20333, ""en"", ""mt"")"),"Spanjol")</f>
        <v>Spanjol</v>
      </c>
    </row>
    <row r="20334" ht="15.75" customHeight="1">
      <c r="A20334" s="2" t="s">
        <v>20334</v>
      </c>
      <c r="B20334" s="2" t="str">
        <f>IFERROR(__xludf.DUMMYFUNCTION("GOOGLETRANSLATE(A20334, ""en"", ""mt"")"),"Min induna li d-deċellerazzjoni gravitazzjonali kienet proporzjonali għall-massa?")</f>
        <v>Min induna li d-deċellerazzjoni gravitazzjonali kienet proporzjonali għall-massa?</v>
      </c>
    </row>
    <row r="20335" ht="15.75" customHeight="1">
      <c r="A20335" s="2" t="s">
        <v>20335</v>
      </c>
      <c r="B20335" s="2" t="str">
        <f>IFERROR(__xludf.DUMMYFUNCTION("GOOGLETRANSLATE(A20335, ""en"", ""mt"")"),"F'liema direzzjoni testendi s-sistema tax-xmara?")</f>
        <v>F'liema direzzjoni testendi s-sistema tax-xmara?</v>
      </c>
    </row>
    <row r="20336" ht="15.75" customHeight="1">
      <c r="A20336" s="2" t="s">
        <v>20336</v>
      </c>
      <c r="B20336" s="2" t="str">
        <f>IFERROR(__xludf.DUMMYFUNCTION("GOOGLETRANSLATE(A20336, ""en"", ""mt"")"),"X'kien ogħla matul l-LGM mill-preżent?")</f>
        <v>X'kien ogħla matul l-LGM mill-preżent?</v>
      </c>
    </row>
    <row r="20337" ht="15.75" customHeight="1">
      <c r="A20337" s="2" t="s">
        <v>20337</v>
      </c>
      <c r="B20337" s="2" t="str">
        <f>IFERROR(__xludf.DUMMYFUNCTION("GOOGLETRANSLATE(A20337, ""en"", ""mt"")"),"L-żieda għall-poter ta 'Adolf Hitler")</f>
        <v>L-żieda għall-poter ta 'Adolf Hitler</v>
      </c>
    </row>
    <row r="20338" ht="15.75" customHeight="1">
      <c r="A20338" s="2" t="s">
        <v>20338</v>
      </c>
      <c r="B20338" s="2" t="str">
        <f>IFERROR(__xludf.DUMMYFUNCTION("GOOGLETRANSLATE(A20338, ""en"", ""mt"")"),"Dak li jopponi direttament il-forza applikata biex tiċċaqlaq oġġett minn wiċċ?")</f>
        <v>Dak li jopponi direttament il-forza applikata biex tiċċaqlaq oġġett minn wiċċ?</v>
      </c>
    </row>
    <row r="20339" ht="15.75" customHeight="1">
      <c r="A20339" s="2" t="s">
        <v>20339</v>
      </c>
      <c r="B20339" s="2" t="str">
        <f>IFERROR(__xludf.DUMMYFUNCTION("GOOGLETRANSLATE(A20339, ""en"", ""mt"")"),"Produttività mnaqqsa")</f>
        <v>Produttività mnaqqsa</v>
      </c>
    </row>
    <row r="20340" ht="15.75" customHeight="1">
      <c r="A20340" s="2" t="s">
        <v>20340</v>
      </c>
      <c r="B20340" s="2" t="str">
        <f>IFERROR(__xludf.DUMMYFUNCTION("GOOGLETRANSLATE(A20340, ""en"", ""mt"")"),"Microplates li jagħsru u jduru ħolqu l-karatteristiċi ta 'xiex?")</f>
        <v>Microplates li jagħsru u jduru ħolqu l-karatteristiċi ta 'xiex?</v>
      </c>
    </row>
    <row r="20341" ht="15.75" customHeight="1">
      <c r="A20341" s="2" t="s">
        <v>20341</v>
      </c>
      <c r="B20341" s="2" t="str">
        <f>IFERROR(__xludf.DUMMYFUNCTION("GOOGLETRANSLATE(A20341, ""en"", ""mt"")"),"Il-ħamrija fqira misjuba fuq ħafna mill-forza tal-Amażonja hija riżultat ta 'xiex?")</f>
        <v>Il-ħamrija fqira misjuba fuq ħafna mill-forza tal-Amażonja hija riżultat ta 'xiex?</v>
      </c>
    </row>
    <row r="20342" ht="15.75" customHeight="1">
      <c r="A20342" s="2" t="s">
        <v>20342</v>
      </c>
      <c r="B20342" s="2" t="str">
        <f>IFERROR(__xludf.DUMMYFUNCTION("GOOGLETRANSLATE(A20342, ""en"", ""mt"")"),"X'inhu l-isem tal-akbar stampa universitarja fl-Istati Uniti?")</f>
        <v>X'inhu l-isem tal-akbar stampa universitarja fl-Istati Uniti?</v>
      </c>
    </row>
    <row r="20343" ht="15.75" customHeight="1">
      <c r="A20343" s="2" t="s">
        <v>20343</v>
      </c>
      <c r="B20343" s="2" t="str">
        <f>IFERROR(__xludf.DUMMYFUNCTION("GOOGLETRANSLATE(A20343, ""en"", ""mt"")"),"Liema kumpanija pprovdiet konnessjonijiet tat-triq bejn iċ-ċentru u l-isptar?")</f>
        <v>Liema kumpanija pprovdiet konnessjonijiet tat-triq bejn iċ-ċentru u l-isptar?</v>
      </c>
    </row>
    <row r="20344" ht="15.75" customHeight="1">
      <c r="A20344" s="2" t="s">
        <v>20344</v>
      </c>
      <c r="B20344" s="2" t="str">
        <f>IFERROR(__xludf.DUMMYFUNCTION("GOOGLETRANSLATE(A20344, ""en"", ""mt"")"),"Il-fratellanza kienet l-uniku grupp ta ’oppożizzjoni fl-Eġittu kapaċi jagħmel dak waqt l-elezzjonijiet?")</f>
        <v>Il-fratellanza kienet l-uniku grupp ta ’oppożizzjoni fl-Eġittu kapaċi jagħmel dak waqt l-elezzjonijiet?</v>
      </c>
    </row>
    <row r="20345" ht="15.75" customHeight="1">
      <c r="A20345" s="2" t="s">
        <v>20345</v>
      </c>
      <c r="B20345" s="2" t="str">
        <f>IFERROR(__xludf.DUMMYFUNCTION("GOOGLETRANSLATE(A20345, ""en"", ""mt"")")," Liema entità għamlet il-fehma li l-għanijiet tal-kummerċ ħieles huma msejsa mill-għanijiet li jtejbu l-benesseri tan-nies?")</f>
        <v> Liema entità għamlet il-fehma li l-għanijiet tal-kummerċ ħieles huma msejsa mill-għanijiet li jtejbu l-benesseri tan-nies?</v>
      </c>
    </row>
    <row r="20346" ht="15.75" customHeight="1">
      <c r="A20346" s="2" t="s">
        <v>20346</v>
      </c>
      <c r="B20346" s="2" t="str">
        <f>IFERROR(__xludf.DUMMYFUNCTION("GOOGLETRANSLATE(A20346, ""en"", ""mt"")"),"Kumpaniji tal-milizja lokali miġbura, ġeneralment imħarrġa morda u disponibbli biss għal perjodi qosra, biex jittrattaw theddid indiġenu, iżda ma kellhom l-ebda forzi permanenti.")</f>
        <v>Kumpaniji tal-milizja lokali miġbura, ġeneralment imħarrġa morda u disponibbli biss għal perjodi qosra, biex jittrattaw theddid indiġenu, iżda ma kellhom l-ebda forzi permanenti.</v>
      </c>
    </row>
    <row r="20347" ht="15.75" customHeight="1">
      <c r="A20347" s="2" t="s">
        <v>20347</v>
      </c>
      <c r="B20347" s="2" t="str">
        <f>IFERROR(__xludf.DUMMYFUNCTION("GOOGLETRANSLATE(A20347, ""en"", ""mt"")"),"Fejn huma bbażati l-magni bi pressjoni għolja?")</f>
        <v>Fejn huma bbażati l-magni bi pressjoni għolja?</v>
      </c>
    </row>
    <row r="20348" ht="15.75" customHeight="1">
      <c r="A20348" s="2" t="s">
        <v>20348</v>
      </c>
      <c r="B20348" s="2" t="str">
        <f>IFERROR(__xludf.DUMMYFUNCTION("GOOGLETRANSLATE(A20348, ""en"", ""mt"")"),"Min iddisinja l-arkitettura tal-istil tal-qawmien mill-ġdid tal-missjoni?")</f>
        <v>Min iddisinja l-arkitettura tal-istil tal-qawmien mill-ġdid tal-missjoni?</v>
      </c>
    </row>
    <row r="20349" ht="15.75" customHeight="1">
      <c r="A20349" s="2" t="s">
        <v>20349</v>
      </c>
      <c r="B20349" s="2" t="str">
        <f>IFERROR(__xludf.DUMMYFUNCTION("GOOGLETRANSLATE(A20349, ""en"", ""mt"")"),"Għal x'jista 'jiġi trasferit l-oqsma globali ġenerali għal jew minn?")</f>
        <v>Għal x'jista 'jiġi trasferit l-oqsma globali ġenerali għal jew minn?</v>
      </c>
    </row>
    <row r="20350" ht="15.75" customHeight="1">
      <c r="A20350" s="2" t="s">
        <v>20350</v>
      </c>
      <c r="B20350" s="2" t="str">
        <f>IFERROR(__xludf.DUMMYFUNCTION("GOOGLETRANSLATE(A20350, ""en"", ""mt"")"),"X'jista 'jwassal għal pagi ogħla għall-membri tal-organizzazzjonijiet tax-xogħol?")</f>
        <v>X'jista 'jwassal għal pagi ogħla għall-membri tal-organizzazzjonijiet tax-xogħol?</v>
      </c>
    </row>
    <row r="20351" ht="15.75" customHeight="1">
      <c r="A20351" s="2" t="s">
        <v>20351</v>
      </c>
      <c r="B20351" s="2" t="str">
        <f>IFERROR(__xludf.DUMMYFUNCTION("GOOGLETRANSLATE(A20351, ""en"", ""mt"")"),"informali")</f>
        <v>informali</v>
      </c>
    </row>
    <row r="20352" ht="15.75" customHeight="1">
      <c r="A20352" s="2" t="s">
        <v>20352</v>
      </c>
      <c r="B20352" s="2" t="str">
        <f>IFERROR(__xludf.DUMMYFUNCTION("GOOGLETRANSLATE(A20352, ""en"", ""mt"")"),"San Lawrenz, bid-difiżi primarji f'Carillon, Quebec, u Louisbourg,")</f>
        <v>San Lawrenz, bid-difiżi primarji f'Carillon, Quebec, u Louisbourg,</v>
      </c>
    </row>
    <row r="20353" ht="15.75" customHeight="1">
      <c r="A20353" s="2" t="s">
        <v>20353</v>
      </c>
      <c r="B20353" s="2" t="str">
        <f>IFERROR(__xludf.DUMMYFUNCTION("GOOGLETRANSLATE(A20353, ""en"", ""mt"")"),"ribelljoni")</f>
        <v>ribelljoni</v>
      </c>
    </row>
    <row r="20354" ht="15.75" customHeight="1">
      <c r="A20354" s="2" t="s">
        <v>20354</v>
      </c>
      <c r="B20354" s="2" t="str">
        <f>IFERROR(__xludf.DUMMYFUNCTION("GOOGLETRANSLATE(A20354, ""en"", ""mt"")"),"ekwivalenti rotazzjonali għall-pożizzjoni")</f>
        <v>ekwivalenti rotazzjonali għall-pożizzjoni</v>
      </c>
    </row>
    <row r="20355" ht="15.75" customHeight="1">
      <c r="A20355" s="2" t="s">
        <v>20355</v>
      </c>
      <c r="B20355" s="2" t="str">
        <f>IFERROR(__xludf.DUMMYFUNCTION("GOOGLETRANSLATE(A20355, ""en"", ""mt"")"),"X'tip ta 'magni tipikament għandha l-karozza Amerikana?")</f>
        <v>X'tip ta 'magni tipikament għandha l-karozza Amerikana?</v>
      </c>
    </row>
    <row r="20356" ht="15.75" customHeight="1">
      <c r="A20356" s="2" t="s">
        <v>20356</v>
      </c>
      <c r="B20356" s="2" t="str">
        <f>IFERROR(__xludf.DUMMYFUNCTION("GOOGLETRANSLATE(A20356, ""en"", ""mt"")"),"Fejn Canonball waqa 'mill-bejta ta' vapur fil-fatt l-art?")</f>
        <v>Fejn Canonball waqa 'mill-bejta ta' vapur fil-fatt l-art?</v>
      </c>
    </row>
    <row r="20357" ht="15.75" customHeight="1">
      <c r="A20357" s="2" t="s">
        <v>20357</v>
      </c>
      <c r="B20357" s="2" t="str">
        <f>IFERROR(__xludf.DUMMYFUNCTION("GOOGLETRANSLATE(A20357, ""en"", ""mt"")"),"derivat formula ta 'interpolazzjoni kubika")</f>
        <v>derivat formula ta 'interpolazzjoni kubika</v>
      </c>
    </row>
    <row r="20358" ht="15.75" customHeight="1">
      <c r="A20358" s="2" t="s">
        <v>20358</v>
      </c>
      <c r="B20358" s="2" t="str">
        <f>IFERROR(__xludf.DUMMYFUNCTION("GOOGLETRANSLATE(A20358, ""en"", ""mt"")"),"Li tmur il-ħabs twettaq liema għan ta 'diżubbidjenza ċivili?")</f>
        <v>Li tmur il-ħabs twettaq liema għan ta 'diżubbidjenza ċivili?</v>
      </c>
    </row>
    <row r="20359" ht="15.75" customHeight="1">
      <c r="A20359" s="2" t="s">
        <v>20359</v>
      </c>
      <c r="B20359" s="2" t="str">
        <f>IFERROR(__xludf.DUMMYFUNCTION("GOOGLETRANSLATE(A20359, ""en"", ""mt"")"),"Il-liġi ta 'Lorenzo tiddeskrivi xiex?")</f>
        <v>Il-liġi ta 'Lorenzo tiddeskrivi xiex?</v>
      </c>
    </row>
    <row r="20360" ht="15.75" customHeight="1">
      <c r="A20360" s="2" t="s">
        <v>20360</v>
      </c>
      <c r="B20360" s="2" t="str">
        <f>IFERROR(__xludf.DUMMYFUNCTION("GOOGLETRANSLATE(A20360, ""en"", ""mt"")"),"X'inhi l-akbar belt tal-Polonja?")</f>
        <v>X'inhi l-akbar belt tal-Polonja?</v>
      </c>
    </row>
    <row r="20361" ht="15.75" customHeight="1">
      <c r="A20361" s="2" t="s">
        <v>20361</v>
      </c>
      <c r="B20361" s="2" t="str">
        <f>IFERROR(__xludf.DUMMYFUNCTION("GOOGLETRANSLATE(A20361, ""en"", ""mt"")"),"Kemm 'il bogħod minn Czerniakow l-ambjent tax-Xmara Vistula jinbidel b'mod notevoli?")</f>
        <v>Kemm 'il bogħod minn Czerniakow l-ambjent tax-Xmara Vistula jinbidel b'mod notevoli?</v>
      </c>
    </row>
    <row r="20362" ht="15.75" customHeight="1">
      <c r="A20362" s="2" t="s">
        <v>20362</v>
      </c>
      <c r="B20362" s="2" t="str">
        <f>IFERROR(__xludf.DUMMYFUNCTION("GOOGLETRANSLATE(A20362, ""en"", ""mt"")"),"Liema marka ta 'karozza hija mmanifatturata fil-broadmeadows?")</f>
        <v>Liema marka ta 'karozza hija mmanifatturata fil-broadmeadows?</v>
      </c>
    </row>
    <row r="20363" ht="15.75" customHeight="1">
      <c r="A20363" s="2" t="s">
        <v>20363</v>
      </c>
      <c r="B20363" s="2" t="str">
        <f>IFERROR(__xludf.DUMMYFUNCTION("GOOGLETRANSLATE(A20363, ""en"", ""mt"")"),"Melbourne Cricket Ground")</f>
        <v>Melbourne Cricket Ground</v>
      </c>
    </row>
    <row r="20364" ht="15.75" customHeight="1">
      <c r="A20364" s="2" t="s">
        <v>20364</v>
      </c>
      <c r="B20364" s="2" t="str">
        <f>IFERROR(__xludf.DUMMYFUNCTION("GOOGLETRANSLATE(A20364, ""en"", ""mt"")"),"L-ispin ta 'x'jista' jipproduċi effett manjetiku għal molekuli ta 'ossiġnu?")</f>
        <v>L-ispin ta 'x'jista' jipproduċi effett manjetiku għal molekuli ta 'ossiġnu?</v>
      </c>
    </row>
    <row r="20365" ht="15.75" customHeight="1">
      <c r="A20365" s="2" t="s">
        <v>20365</v>
      </c>
      <c r="B20365" s="2" t="str">
        <f>IFERROR(__xludf.DUMMYFUNCTION("GOOGLETRANSLATE(A20365, ""en"", ""mt"")"),"Il-qorti kostituzzjonali Taljana")</f>
        <v>Il-qorti kostituzzjonali Taljana</v>
      </c>
    </row>
    <row r="20366" ht="15.75" customHeight="1">
      <c r="A20366" s="2" t="s">
        <v>20366</v>
      </c>
      <c r="B20366" s="2" t="str">
        <f>IFERROR(__xludf.DUMMYFUNCTION("GOOGLETRANSLATE(A20366, ""en"", ""mt"")"),"magħluqin skejjel Huguenot u eskludewhom minn professjonijiet favoriti")</f>
        <v>magħluqin skejjel Huguenot u eskludewhom minn professjonijiet favoriti</v>
      </c>
    </row>
    <row r="20367" ht="15.75" customHeight="1">
      <c r="A20367" s="2" t="s">
        <v>20367</v>
      </c>
      <c r="B20367" s="2" t="str">
        <f>IFERROR(__xludf.DUMMYFUNCTION("GOOGLETRANSLATE(A20367, ""en"", ""mt"")"),"F'liema pressjoni jissaħħan l-ilma fiċ-ċiklu ta 'Rankine?")</f>
        <v>F'liema pressjoni jissaħħan l-ilma fiċ-ċiklu ta 'Rankine?</v>
      </c>
    </row>
    <row r="20368" ht="15.75" customHeight="1">
      <c r="A20368" s="2" t="s">
        <v>20368</v>
      </c>
      <c r="B20368" s="2" t="str">
        <f>IFERROR(__xludf.DUMMYFUNCTION("GOOGLETRANSLATE(A20368, ""en"", ""mt"")"),"It-Tieni Liġi tat-Termodinamiċità")</f>
        <v>It-Tieni Liġi tat-Termodinamiċità</v>
      </c>
    </row>
    <row r="20369" ht="15.75" customHeight="1">
      <c r="A20369" s="2" t="s">
        <v>20369</v>
      </c>
      <c r="B20369" s="2" t="str">
        <f>IFERROR(__xludf.DUMMYFUNCTION("GOOGLETRANSLATE(A20369, ""en"", ""mt"")"),"direzzjoni li fiha l-ħalq qed jipponta")</f>
        <v>direzzjoni li fiha l-ħalq qed jipponta</v>
      </c>
    </row>
    <row r="20370" ht="15.75" customHeight="1">
      <c r="A20370" s="2" t="s">
        <v>20370</v>
      </c>
      <c r="B20370" s="2" t="str">
        <f>IFERROR(__xludf.DUMMYFUNCTION("GOOGLETRANSLATE(A20370, ""en"", ""mt"")"),"""Titjira Abjad""")</f>
        <v>"Titjira Abjad"</v>
      </c>
    </row>
    <row r="20371" ht="15.75" customHeight="1">
      <c r="A20371" s="2" t="s">
        <v>20371</v>
      </c>
      <c r="B20371" s="2" t="str">
        <f>IFERROR(__xludf.DUMMYFUNCTION("GOOGLETRANSLATE(A20371, ""en"", ""mt"")"),"Meta ffurmaw l-ewwel tentakli fuq ctenophores?")</f>
        <v>Meta ffurmaw l-ewwel tentakli fuq ctenophores?</v>
      </c>
    </row>
    <row r="20372" ht="15.75" customHeight="1">
      <c r="A20372" s="2" t="s">
        <v>20372</v>
      </c>
      <c r="B20372" s="2" t="str">
        <f>IFERROR(__xludf.DUMMYFUNCTION("GOOGLETRANSLATE(A20372, ""en"", ""mt"")"),"Id-definizzjoni ta 'l-imperjalizmu ma ġietx finalizzata għal sekli sħaħ u kienet tidher li tirrappreżenta l-politiki ta' poteri ewlenin, jew sempliċement, aggressività ta 'skop ġenerali. Aktar 'il quddiem, xi kittieba [min?] Użaw it-terminu imperjalizmu, "&amp;"b'mod kemmxejn aktar diskriminatorju, biex ifissru kull tip ta' dominazzjoni jew kontroll minn grupp ta 'nies fuq ieħor. Biex tnaddaf din il-konfużjoni dwar id-definizzjoni ta 'l-imperjalizmu wieħed jista' jitkellem dwar l-imperjalizmu ""formali"" u ""inf"&amp;"ormali"", l-ewwel tifsira ta 'kontroll fiżiku jew ""regola kolonjali sħiħa"" filwaqt li t-tieni kienet timplika regola inqas diretta għalkemm għadha fiha tipi ta' dominanza perċeabbli - Ir-regola informali ġeneralment tiswa inqas milli tieħu f'idejha t-te"&amp;"rritorji formalment. Dan għaliex, bir-regola informali, il-kontroll jinfirex b'mod aktar sottili permezz ta 'superjorità teknoloġika, li jinfurzaw uffiċjali tal-art f'dejn kbar li ma jistgħux jitħallsu lura, is-sjieda ta' industriji privati ​​u b'hekk tes"&amp;"pandi ż-żona kkontrollata, jew li l-pajjiżi jaqblu li jaqblu ma 'ftehimiet kummerċjali irregolari b'mod qawwi.")</f>
        <v>Id-definizzjoni ta 'l-imperjalizmu ma ġietx finalizzata għal sekli sħaħ u kienet tidher li tirrappreżenta l-politiki ta' poteri ewlenin, jew sempliċement, aggressività ta 'skop ġenerali. Aktar 'il quddiem, xi kittieba [min?] Użaw it-terminu imperjalizmu, b'mod kemmxejn aktar diskriminatorju, biex ifissru kull tip ta' dominazzjoni jew kontroll minn grupp ta 'nies fuq ieħor. Biex tnaddaf din il-konfużjoni dwar id-definizzjoni ta 'l-imperjalizmu wieħed jista' jitkellem dwar l-imperjalizmu "formali" u "informali", l-ewwel tifsira ta 'kontroll fiżiku jew "regola kolonjali sħiħa" filwaqt li t-tieni kienet timplika regola inqas diretta għalkemm għadha fiha tipi ta' dominanza perċeabbli - Ir-regola informali ġeneralment tiswa inqas milli tieħu f'idejha t-territorji formalment. Dan għaliex, bir-regola informali, il-kontroll jinfirex b'mod aktar sottili permezz ta 'superjorità teknoloġika, li jinfurzaw uffiċjali tal-art f'dejn kbar li ma jistgħux jitħallsu lura, is-sjieda ta' industriji privati ​​u b'hekk tespandi ż-żona kkontrollata, jew li l-pajjiżi jaqblu li jaqblu ma 'ftehimiet kummerċjali irregolari b'mod qawwi.</v>
      </c>
    </row>
    <row r="20373" ht="15.75" customHeight="1">
      <c r="A20373" s="2" t="s">
        <v>20373</v>
      </c>
      <c r="B20373" s="2" t="str">
        <f>IFERROR(__xludf.DUMMYFUNCTION("GOOGLETRANSLATE(A20373, ""en"", ""mt"")"),"Saddam Hussein")</f>
        <v>Saddam Hussein</v>
      </c>
    </row>
    <row r="20374" ht="15.75" customHeight="1">
      <c r="A20374" s="2" t="s">
        <v>20374</v>
      </c>
      <c r="B20374" s="2" t="str">
        <f>IFERROR(__xludf.DUMMYFUNCTION("GOOGLETRANSLATE(A20374, ""en"", ""mt"")"),"F’liema żewġ gruppi ta ’età hija mnaqqsa s-saħħa tas-sistema immunitarja?")</f>
        <v>F’liema żewġ gruppi ta ’età hija mnaqqsa s-saħħa tas-sistema immunitarja?</v>
      </c>
    </row>
    <row r="20375" ht="15.75" customHeight="1">
      <c r="A20375" s="2" t="s">
        <v>20375</v>
      </c>
      <c r="B20375" s="2" t="str">
        <f>IFERROR(__xludf.DUMMYFUNCTION("GOOGLETRANSLATE(A20375, ""en"", ""mt"")"),"X'kien hemm minoranza sinifikanti fit-Tieni Gwerra Dinjija?")</f>
        <v>X'kien hemm minoranza sinifikanti fit-Tieni Gwerra Dinjija?</v>
      </c>
    </row>
    <row r="20376" ht="15.75" customHeight="1">
      <c r="A20376" s="2" t="s">
        <v>20376</v>
      </c>
      <c r="B20376" s="2" t="str">
        <f>IFERROR(__xludf.DUMMYFUNCTION("GOOGLETRANSLATE(A20376, ""en"", ""mt"")"),"Kemm kien Huguenots fi Franza fis-seklu 18 kmieni?")</f>
        <v>Kemm kien Huguenots fi Franza fis-seklu 18 kmieni?</v>
      </c>
    </row>
    <row r="20377" ht="15.75" customHeight="1">
      <c r="A20377" s="2" t="s">
        <v>20377</v>
      </c>
      <c r="B20377" s="2" t="str">
        <f>IFERROR(__xludf.DUMMYFUNCTION("GOOGLETRANSLATE(A20377, ""en"", ""mt"")"),"Liema organizzazzjoni bassret li l-foresta tal-Amażonja tista 'tibqa' ħajja biss tliet snin ta 'nixfa?")</f>
        <v>Liema organizzazzjoni bassret li l-foresta tal-Amażonja tista 'tibqa' ħajja biss tliet snin ta 'nixfa?</v>
      </c>
    </row>
    <row r="20378" ht="15.75" customHeight="1">
      <c r="A20378" s="2" t="s">
        <v>20378</v>
      </c>
      <c r="B20378" s="2" t="str">
        <f>IFERROR(__xludf.DUMMYFUNCTION("GOOGLETRANSLATE(A20378, ""en"", ""mt"")"),"Meta Franza ħadet il-kontroll ta 'Londra?")</f>
        <v>Meta Franza ħadet il-kontroll ta 'Londra?</v>
      </c>
    </row>
    <row r="20379" ht="15.75" customHeight="1">
      <c r="A20379" s="2" t="s">
        <v>20379</v>
      </c>
      <c r="B20379" s="2" t="str">
        <f>IFERROR(__xludf.DUMMYFUNCTION("GOOGLETRANSLATE(A20379, ""en"", ""mt"")"),"Liema settur jinkludi distribuzzjoni u raffineriji ta 'utilità?")</f>
        <v>Liema settur jinkludi distribuzzjoni u raffineriji ta 'utilità?</v>
      </c>
    </row>
    <row r="20380" ht="15.75" customHeight="1">
      <c r="A20380" s="2" t="s">
        <v>20380</v>
      </c>
      <c r="B20380" s="2" t="str">
        <f>IFERROR(__xludf.DUMMYFUNCTION("GOOGLETRANSLATE(A20380, ""en"", ""mt"")"),"X'għandek ippreżentat problemi lill-ekonomija ta 'l-Istati Uniti aktar minn nazzjonijiet oħra?")</f>
        <v>X'għandek ippreżentat problemi lill-ekonomija ta 'l-Istati Uniti aktar minn nazzjonijiet oħra?</v>
      </c>
    </row>
    <row r="20381" ht="15.75" customHeight="1">
      <c r="A20381" s="2" t="s">
        <v>20381</v>
      </c>
      <c r="B20381" s="2" t="str">
        <f>IFERROR(__xludf.DUMMYFUNCTION("GOOGLETRANSLATE(A20381, ""en"", ""mt"")"),"Iż-żona trasversali rilevanti għall-volum li għalih qed jiġi kkalkulat it-tensjoni tal-istress")</f>
        <v>Iż-żona trasversali rilevanti għall-volum li għalih qed jiġi kkalkulat it-tensjoni tal-istress</v>
      </c>
    </row>
    <row r="20382" ht="15.75" customHeight="1">
      <c r="A20382" s="2" t="s">
        <v>20382</v>
      </c>
      <c r="B20382" s="2" t="str">
        <f>IFERROR(__xludf.DUMMYFUNCTION("GOOGLETRANSLATE(A20382, ""en"", ""mt"")"),"Liema tip ta 'arkitettura ġie qabel Norman fl-Ingilterra?")</f>
        <v>Liema tip ta 'arkitettura ġie qabel Norman fl-Ingilterra?</v>
      </c>
    </row>
    <row r="20383" ht="15.75" customHeight="1">
      <c r="A20383" s="2" t="s">
        <v>20383</v>
      </c>
      <c r="B20383" s="2" t="str">
        <f>IFERROR(__xludf.DUMMYFUNCTION("GOOGLETRANSLATE(A20383, ""en"", ""mt"")"),"Davies huwa kkreditat li jgħaqqad il-bdil tal-pakketti tal-isem modern u jispira bosta netwerks tal-iswiċċ tal-pakketti fl-Ewropa")</f>
        <v>Davies huwa kkreditat li jgħaqqad il-bdil tal-pakketti tal-isem modern u jispira bosta netwerks tal-iswiċċ tal-pakketti fl-Ewropa</v>
      </c>
    </row>
    <row r="20384" ht="15.75" customHeight="1">
      <c r="A20384" s="2" t="s">
        <v>20384</v>
      </c>
      <c r="B20384" s="2" t="str">
        <f>IFERROR(__xludf.DUMMYFUNCTION("GOOGLETRANSLATE(A20384, ""en"", ""mt"")")," Meta ġie rrifjutat il-kalendarju ta 'Gou bħala l-kalendarju uffiċjali tal-wan?")</f>
        <v> Meta ġie rrifjutat il-kalendarju ta 'Gou bħala l-kalendarju uffiċjali tal-wan?</v>
      </c>
    </row>
    <row r="20385" ht="15.75" customHeight="1">
      <c r="A20385" s="2" t="s">
        <v>20385</v>
      </c>
      <c r="B20385" s="2" t="str">
        <f>IFERROR(__xludf.DUMMYFUNCTION("GOOGLETRANSLATE(A20385, ""en"", ""mt"")"),"Bħala likwidu fit-tankers iżolati apposta")</f>
        <v>Bħala likwidu fit-tankers iżolati apposta</v>
      </c>
    </row>
    <row r="20386" ht="15.75" customHeight="1">
      <c r="A20386" s="2" t="s">
        <v>20386</v>
      </c>
      <c r="B20386" s="2" t="str">
        <f>IFERROR(__xludf.DUMMYFUNCTION("GOOGLETRANSLATE(A20386, ""en"", ""mt"")"),"Xi teħtieġ l-orjentazzjoni tal-konnessjoni")</f>
        <v>Xi teħtieġ l-orjentazzjoni tal-konnessjoni</v>
      </c>
    </row>
    <row r="20387" ht="15.75" customHeight="1">
      <c r="A20387" s="2" t="s">
        <v>20387</v>
      </c>
      <c r="B20387" s="2" t="str">
        <f>IFERROR(__xludf.DUMMYFUNCTION("GOOGLETRANSLATE(A20387, ""en"", ""mt"")"),"Għażla tal-prodott tad-droga")</f>
        <v>Għażla tal-prodott tad-droga</v>
      </c>
    </row>
    <row r="20388" ht="15.75" customHeight="1">
      <c r="A20388" s="2" t="s">
        <v>20388</v>
      </c>
      <c r="B20388" s="2" t="str">
        <f>IFERROR(__xludf.DUMMYFUNCTION("GOOGLETRANSLATE(A20388, ""en"", ""mt"")"),"X'inhu eżempju wieħed ta 'dominju ta' fatturizzazzjoni uniku?")</f>
        <v>X'inhu eżempju wieħed ta 'dominju ta' fatturizzazzjoni uniku?</v>
      </c>
    </row>
    <row r="20389" ht="15.75" customHeight="1">
      <c r="A20389" s="2" t="s">
        <v>20389</v>
      </c>
      <c r="B20389" s="2" t="str">
        <f>IFERROR(__xludf.DUMMYFUNCTION("GOOGLETRANSLATE(A20389, ""en"", ""mt"")"),"Kemm inbidlet it-temperatura tal-arja tal-wiċċ medja globali fl-aħħar seklu?")</f>
        <v>Kemm inbidlet it-temperatura tal-arja tal-wiċċ medja globali fl-aħħar seklu?</v>
      </c>
    </row>
    <row r="20390" ht="15.75" customHeight="1">
      <c r="A20390" s="2" t="s">
        <v>20390</v>
      </c>
      <c r="B20390" s="2" t="str">
        <f>IFERROR(__xludf.DUMMYFUNCTION("GOOGLETRANSLATE(A20390, ""en"", ""mt"")"),"Min ivvota kontra l-annessjoni ta 'Jacksonville?")</f>
        <v>Min ivvota kontra l-annessjoni ta 'Jacksonville?</v>
      </c>
    </row>
    <row r="20391" ht="15.75" customHeight="1">
      <c r="A20391" s="2" t="s">
        <v>20391</v>
      </c>
      <c r="B20391" s="2" t="str">
        <f>IFERROR(__xludf.DUMMYFUNCTION("GOOGLETRANSLATE(A20391, ""en"", ""mt"")"),"F'magna ta 'enerġija aġġustabbli, x'hemm bżonn li jinqasam biex jippermetti lill-operatur tbagħbisha?")</f>
        <v>F'magna ta 'enerġija aġġustabbli, x'hemm bżonn li jinqasam biex jippermetti lill-operatur tbagħbisha?</v>
      </c>
    </row>
    <row r="20392" ht="15.75" customHeight="1">
      <c r="A20392" s="2" t="s">
        <v>20392</v>
      </c>
      <c r="B20392" s="2" t="str">
        <f>IFERROR(__xludf.DUMMYFUNCTION("GOOGLETRANSLATE(A20392, ""en"", ""mt"")"),"Meta l-banek jemmnu li d-diżubbidjenza ċivili hija ġġustifikata?")</f>
        <v>Meta l-banek jemmnu li d-diżubbidjenza ċivili hija ġġustifikata?</v>
      </c>
    </row>
    <row r="20393" ht="15.75" customHeight="1">
      <c r="A20393" s="2" t="s">
        <v>20393</v>
      </c>
      <c r="B20393" s="2" t="str">
        <f>IFERROR(__xludf.DUMMYFUNCTION("GOOGLETRANSLATE(A20393, ""en"", ""mt"")"),"Waqt l-irtirar mill-Fort William Henry, x’għamlu xi alleati Indjani tal-Franċiżi?")</f>
        <v>Waqt l-irtirar mill-Fort William Henry, x’għamlu xi alleati Indjani tal-Franċiżi?</v>
      </c>
    </row>
    <row r="20394" ht="15.75" customHeight="1">
      <c r="A20394" s="2" t="s">
        <v>20394</v>
      </c>
      <c r="B20394" s="2" t="str">
        <f>IFERROR(__xludf.DUMMYFUNCTION("GOOGLETRANSLATE(A20394, ""en"", ""mt"")"),"Kemm ilma joħroġ ir-Rhine fil-fruntiera Franċiża?")</f>
        <v>Kemm ilma joħroġ ir-Rhine fil-fruntiera Franċiża?</v>
      </c>
    </row>
    <row r="20395" ht="15.75" customHeight="1">
      <c r="A20395" s="2" t="s">
        <v>20395</v>
      </c>
      <c r="B20395" s="2" t="str">
        <f>IFERROR(__xludf.DUMMYFUNCTION("GOOGLETRANSLATE(A20395, ""en"", ""mt"")"),"Speċifiċità naturali tas-sistema immunitarja")</f>
        <v>Speċifiċità naturali tas-sistema immunitarja</v>
      </c>
    </row>
    <row r="20396" ht="15.75" customHeight="1">
      <c r="A20396" s="2" t="s">
        <v>20396</v>
      </c>
      <c r="B20396" s="2" t="str">
        <f>IFERROR(__xludf.DUMMYFUNCTION("GOOGLETRANSLATE(A20396, ""en"", ""mt"")"),"In-Nofsinhar ta ’California tikkonsisti f’waħda mill-kollezzjonijiet l-aktar varjati ta’ pajsaġġi ta ’ekosistema ġeoloġika, topografika u naturali f’diversità li taqbeż reġjuni ewlenin oħra fl-istat u fil-pajjiż. Ir-reġjun jifrex mill-gżejjer tal-Oċean Pa"&amp;"ċifiku, xtut, bajjiet, u pjanuri kostali, permezz tal-meded trasversali u peninsulari bil-qċaċet tagħhom, fil-widien interni kbar u żgħar, għad-deżerti vasti ta 'California.")</f>
        <v>In-Nofsinhar ta ’California tikkonsisti f’waħda mill-kollezzjonijiet l-aktar varjati ta’ pajsaġġi ta ’ekosistema ġeoloġika, topografika u naturali f’diversità li taqbeż reġjuni ewlenin oħra fl-istat u fil-pajjiż. Ir-reġjun jifrex mill-gżejjer tal-Oċean Paċifiku, xtut, bajjiet, u pjanuri kostali, permezz tal-meded trasversali u peninsulari bil-qċaċet tagħhom, fil-widien interni kbar u żgħar, għad-deżerti vasti ta 'California.</v>
      </c>
    </row>
    <row r="20397" ht="15.75" customHeight="1">
      <c r="A20397" s="2" t="s">
        <v>20397</v>
      </c>
      <c r="B20397" s="2" t="str">
        <f>IFERROR(__xludf.DUMMYFUNCTION("GOOGLETRANSLATE(A20397, ""en"", ""mt"")"),"kordi ideali")</f>
        <v>kordi ideali</v>
      </c>
    </row>
    <row r="20398" ht="15.75" customHeight="1">
      <c r="A20398" s="2" t="s">
        <v>20398</v>
      </c>
      <c r="B20398" s="2" t="str">
        <f>IFERROR(__xludf.DUMMYFUNCTION("GOOGLETRANSLATE(A20398, ""en"", ""mt"")"),"F’ħafna pajjiżi, x’tip ta ’distakk fil-pagi ma hemmx?")</f>
        <v>F’ħafna pajjiżi, x’tip ta ’distakk fil-pagi ma hemmx?</v>
      </c>
    </row>
    <row r="20399" ht="15.75" customHeight="1">
      <c r="A20399" s="2" t="s">
        <v>20399</v>
      </c>
      <c r="B20399" s="2" t="str">
        <f>IFERROR(__xludf.DUMMYFUNCTION("GOOGLETRANSLATE(A20399, ""en"", ""mt"")"),"ċiklu tal-ossiġnu")</f>
        <v>ċiklu tal-ossiġnu</v>
      </c>
    </row>
    <row r="20400" ht="15.75" customHeight="1">
      <c r="A20400" s="2" t="s">
        <v>20400</v>
      </c>
      <c r="B20400" s="2" t="str">
        <f>IFERROR(__xludf.DUMMYFUNCTION("GOOGLETRANSLATE(A20400, ""en"", ""mt"")"),"Fejn kompliet id-dinastija tal-kanzunetta tkun paċifika ma 'Kublai?")</f>
        <v>Fejn kompliet id-dinastija tal-kanzunetta tkun paċifika ma 'Kublai?</v>
      </c>
    </row>
    <row r="20401" ht="15.75" customHeight="1">
      <c r="A20401" s="2" t="s">
        <v>20401</v>
      </c>
      <c r="B20401" s="2" t="str">
        <f>IFERROR(__xludf.DUMMYFUNCTION("GOOGLETRANSLATE(A20401, ""en"", ""mt"")"),"subborgi")</f>
        <v>subborgi</v>
      </c>
    </row>
    <row r="20402" ht="15.75" customHeight="1">
      <c r="A20402" s="2" t="s">
        <v>20402</v>
      </c>
      <c r="B20402" s="2" t="str">
        <f>IFERROR(__xludf.DUMMYFUNCTION("GOOGLETRANSLATE(A20402, ""en"", ""mt"")"),"Rebeljonijiet Huguenot")</f>
        <v>Rebeljonijiet Huguenot</v>
      </c>
    </row>
    <row r="20403" ht="15.75" customHeight="1">
      <c r="A20403" s="2" t="s">
        <v>20403</v>
      </c>
      <c r="B20403" s="2" t="str">
        <f>IFERROR(__xludf.DUMMYFUNCTION("GOOGLETRANSLATE(A20403, ""en"", ""mt"")"),"79")</f>
        <v>79</v>
      </c>
    </row>
    <row r="20404" ht="15.75" customHeight="1">
      <c r="A20404" s="2" t="s">
        <v>20404</v>
      </c>
      <c r="B20404" s="2" t="str">
        <f>IFERROR(__xludf.DUMMYFUNCTION("GOOGLETRANSLATE(A20404, ""en"", ""mt"")"),"widien")</f>
        <v>widien</v>
      </c>
    </row>
    <row r="20405" ht="15.75" customHeight="1">
      <c r="A20405" s="2" t="s">
        <v>20405</v>
      </c>
      <c r="B20405" s="2" t="str">
        <f>IFERROR(__xludf.DUMMYFUNCTION("GOOGLETRANSLATE(A20405, ""en"", ""mt"")"),"Fl-1781 James Watt brevettat magna tal-fwar li pproduċiet moviment li jdur kontinwu. Il-magni ta 'għaxar horsepower ta' Watt ippermettew firxa wiesgħa ta 'makkinarju tal-manifattura. Il-magni jistgħu jinstabu kullimkien li l-ilma u l-faħam jew fjuwil tal-"&amp;"injam jistgħu jinkisbu. Sal-1883, magni li setgħu jipprovdu 10,000 hp kienu fattibbli. Il-magna tal-fwar wieqfa kienet komponent ewlieni tar-rivoluzzjoni industrijali, li ppermettiet lill-fabbriki biex jinstabu fejn l-enerġija tal-ilma ma kinitx disponibb"&amp;"li. Il-magni atmosferiċi ta 'Newcomen u Watt kienu kbar meta mqabbla ma' l-ammont ta 'enerġija li pproduċew, iżda magni tal-fwar bi pressjoni għolja kienu ħfief biżżejjed biex jiġu applikati għal vetturi bħal magni tat-trazzjoni u l-lokomottivi tal-ferrov"&amp;"ija.")</f>
        <v>Fl-1781 James Watt brevettat magna tal-fwar li pproduċiet moviment li jdur kontinwu. Il-magni ta 'għaxar horsepower ta' Watt ippermettew firxa wiesgħa ta 'makkinarju tal-manifattura. Il-magni jistgħu jinstabu kullimkien li l-ilma u l-faħam jew fjuwil tal-injam jistgħu jinkisbu. Sal-1883, magni li setgħu jipprovdu 10,000 hp kienu fattibbli. Il-magna tal-fwar wieqfa kienet komponent ewlieni tar-rivoluzzjoni industrijali, li ppermettiet lill-fabbriki biex jinstabu fejn l-enerġija tal-ilma ma kinitx disponibbli. Il-magni atmosferiċi ta 'Newcomen u Watt kienu kbar meta mqabbla ma' l-ammont ta 'enerġija li pproduċew, iżda magni tal-fwar bi pressjoni għolja kienu ħfief biżżejjed biex jiġu applikati għal vetturi bħal magni tat-trazzjoni u l-lokomottivi tal-ferrovija.</v>
      </c>
    </row>
    <row r="20406" ht="15.75" customHeight="1">
      <c r="A20406" s="2" t="s">
        <v>20406</v>
      </c>
      <c r="B20406" s="2" t="str">
        <f>IFERROR(__xludf.DUMMYFUNCTION("GOOGLETRANSLATE(A20406, ""en"", ""mt"")"),"L-ammont ta 'art li pajjiż jikkontrolla huwa l-akbar tiegħu x'inhu?")</f>
        <v>L-ammont ta 'art li pajjiż jikkontrolla huwa l-akbar tiegħu x'inhu?</v>
      </c>
    </row>
    <row r="20407" ht="15.75" customHeight="1">
      <c r="A20407" s="2" t="s">
        <v>20407</v>
      </c>
      <c r="B20407" s="2" t="str">
        <f>IFERROR(__xludf.DUMMYFUNCTION("GOOGLETRANSLATE(A20407, ""en"", ""mt"")")," Min influwenza lil Franza minbarra l-ġirien tiegħu?")</f>
        <v> Min influwenza lil Franza minbarra l-ġirien tiegħu?</v>
      </c>
    </row>
    <row r="20408" ht="15.75" customHeight="1">
      <c r="A20408" s="2" t="s">
        <v>20408</v>
      </c>
      <c r="B20408" s="2" t="str">
        <f>IFERROR(__xludf.DUMMYFUNCTION("GOOGLETRANSLATE(A20408, ""en"", ""mt"")"),"X'jista 'ma jkunx aktar b'saħħtu minn oħrajn meta r-riżorsi tal-ħin jew l-ispazju ta' kkunsidrat?")</f>
        <v>X'jista 'ma jkunx aktar b'saħħtu minn oħrajn meta r-riżorsi tal-ħin jew l-ispazju ta' kkunsidrat?</v>
      </c>
    </row>
    <row r="20409" ht="15.75" customHeight="1">
      <c r="A20409" s="2" t="s">
        <v>20409</v>
      </c>
      <c r="B20409" s="2" t="str">
        <f>IFERROR(__xludf.DUMMYFUNCTION("GOOGLETRANSLATE(A20409, ""en"", ""mt"")"),"X'kien l-isem ta 'l-istil Ċiniż ta' Tugh?")</f>
        <v>X'kien l-isem ta 'l-istil Ċiniż ta' Tugh?</v>
      </c>
    </row>
    <row r="20410" ht="15.75" customHeight="1">
      <c r="A20410" s="2" t="s">
        <v>20410</v>
      </c>
      <c r="B20410" s="2" t="str">
        <f>IFERROR(__xludf.DUMMYFUNCTION("GOOGLETRANSLATE(A20410, ""en"", ""mt"")"),"L-ewwel lokomotiva tal-fwar tal-ferrovija fuq skala sħiħa fuq skala sħiħa nbniet minn Richard Trevithick fir-Renju Unit u, fil-21 ta 'Frar 1804, l-ewwel vjaġġ ferrovjarju tad-dinja seħħ hekk kif il-lokomotiva tal-fwar bla isem ta' Trevithick ġab ferrovija"&amp;" tul it-tramway mill-pen-y-daren Ironworks, qrib Merthyr Tydfil lil Abercynon fin-Nofsinhar ta ’Wales. Id-disinn inkorpora numru ta 'innovazzjonijiet importanti li kienu jinkludu l-użu ta' fwar bi pressjoni għolja li naqqas il-piż tal-magna u żied l-effiċ"&amp;"jenza tiegħu. Trevithick żar iż-żona ta ’Newcastle aktar tard fl-1804 u l-Ferroviji tal-Colliery fil-Grigal tal-Ingilterra saru ċ-ċentru ewlieni għall-esperimentazzjoni u l-iżvilupp ta’ lokomottivi tal-fwar.")</f>
        <v>L-ewwel lokomotiva tal-fwar tal-ferrovija fuq skala sħiħa fuq skala sħiħa nbniet minn Richard Trevithick fir-Renju Unit u, fil-21 ta 'Frar 1804, l-ewwel vjaġġ ferrovjarju tad-dinja seħħ hekk kif il-lokomotiva tal-fwar bla isem ta' Trevithick ġab ferrovija tul it-tramway mill-pen-y-daren Ironworks, qrib Merthyr Tydfil lil Abercynon fin-Nofsinhar ta ’Wales. Id-disinn inkorpora numru ta 'innovazzjonijiet importanti li kienu jinkludu l-użu ta' fwar bi pressjoni għolja li naqqas il-piż tal-magna u żied l-effiċjenza tiegħu. Trevithick żar iż-żona ta ’Newcastle aktar tard fl-1804 u l-Ferroviji tal-Colliery fil-Grigal tal-Ingilterra saru ċ-ċentru ewlieni għall-esperimentazzjoni u l-iżvilupp ta’ lokomottivi tal-fwar.</v>
      </c>
    </row>
    <row r="20411" ht="15.75" customHeight="1">
      <c r="A20411" s="2" t="s">
        <v>20411</v>
      </c>
      <c r="B20411" s="2" t="str">
        <f>IFERROR(__xludf.DUMMYFUNCTION("GOOGLETRANSLATE(A20411, ""en"", ""mt"")"),"Gold Rushes")</f>
        <v>Gold Rushes</v>
      </c>
    </row>
    <row r="20412" ht="15.75" customHeight="1">
      <c r="A20412" s="2" t="s">
        <v>20412</v>
      </c>
      <c r="B20412" s="2" t="str">
        <f>IFERROR(__xludf.DUMMYFUNCTION("GOOGLETRANSLATE(A20412, ""en"", ""mt"")"),"Manifatturi u negozjanti Ċiniżi privati ​​tan-Nofsinhar")</f>
        <v>Manifatturi u negozjanti Ċiniżi privati ​​tan-Nofsinhar</v>
      </c>
    </row>
    <row r="20413" ht="15.75" customHeight="1">
      <c r="A20413" s="2" t="s">
        <v>20413</v>
      </c>
      <c r="B20413" s="2" t="str">
        <f>IFERROR(__xludf.DUMMYFUNCTION("GOOGLETRANSLATE(A20413, ""en"", ""mt"")"),"kien miżjud")</f>
        <v>kien miżjud</v>
      </c>
    </row>
    <row r="20414" ht="15.75" customHeight="1">
      <c r="A20414" s="2" t="s">
        <v>20414</v>
      </c>
      <c r="B20414" s="2" t="str">
        <f>IFERROR(__xludf.DUMMYFUNCTION("GOOGLETRANSLATE(A20414, ""en"", ""mt"")"),"Liema sena bskyb neħħa s-sema italia?")</f>
        <v>Liema sena bskyb neħħa s-sema italia?</v>
      </c>
    </row>
    <row r="20415" ht="15.75" customHeight="1">
      <c r="A20415" s="2" t="s">
        <v>20415</v>
      </c>
      <c r="B20415" s="2" t="str">
        <f>IFERROR(__xludf.DUMMYFUNCTION("GOOGLETRANSLATE(A20415, ""en"", ""mt"")"),"Meta ġiet irreġistrata l-verżjoni Franċiża tal-kelma Norman?")</f>
        <v>Meta ġiet irreġistrata l-verżjoni Franċiża tal-kelma Norman?</v>
      </c>
    </row>
    <row r="20416" ht="15.75" customHeight="1">
      <c r="A20416" s="2" t="s">
        <v>20416</v>
      </c>
      <c r="B20416" s="2" t="str">
        <f>IFERROR(__xludf.DUMMYFUNCTION("GOOGLETRANSLATE(A20416, ""en"", ""mt"")"),"Fejn huma wħud mill-aqwa skejjel fl-Ewropa tal-Lvant-Ċentrali?")</f>
        <v>Fejn huma wħud mill-aqwa skejjel fl-Ewropa tal-Lvant-Ċentrali?</v>
      </c>
    </row>
    <row r="20417" ht="15.75" customHeight="1">
      <c r="A20417" s="2" t="s">
        <v>20417</v>
      </c>
      <c r="B20417" s="2" t="str">
        <f>IFERROR(__xludf.DUMMYFUNCTION("GOOGLETRANSLATE(A20417, ""en"", ""mt"")"),"Garrisons")</f>
        <v>Garrisons</v>
      </c>
    </row>
    <row r="20418" ht="15.75" customHeight="1">
      <c r="A20418" s="2" t="s">
        <v>20418</v>
      </c>
      <c r="B20418" s="2" t="str">
        <f>IFERROR(__xludf.DUMMYFUNCTION("GOOGLETRANSLATE(A20418, ""en"", ""mt"")"),"L-iktar metodu bażiku biex tiġi ċċekkjata l-primalità ta 'numru sħiħ partikolari huwa msejjaħ diviżjoni ta' prova. Din ir-rutina tikkonsisti f'diviżjoni N minn kull numru sħiħ li huwa akbar minn 1 u inqas minn jew daqs l-għerq kwadru ta 'n. Jekk ir-riżult"&amp;"at ta 'xi waħda minn dawn id-diviżjonijiet huwa numru sħiħ, allura N mhuwiex prim, inkella huwa prim. Tassew, jekk huwa kompost (b'A u B ≠ 1) allura wieħed mill-fatturi A jew B huwa neċessarjament fil-biċċa l-kbira. Pereżempju, għal, id-diviżjonijiet tal-"&amp;"prova huma minn M = 2, 3, 4, 5, u 6. L-ebda wieħed minn dawn in-numri ma jaqsam 37, u għalhekk 37 huwa prim. Din ir-rutina tista 'tiġi implimentata b'mod aktar effiċjenti jekk tkun magħrufa lista kompluta ta' primes - allura d-diviżjonijiet ta 'prova jeħt"&amp;"ieġ li jiġu kkontrollati biss għal dawk m li huma ewlenin. Pereżempju, biex tivverifika l-primalità ta '37, huma meħtieġa tliet diviżjonijiet biss (M = 2, 3, u 5), minħabba li 4 u 6 huma komposti.")</f>
        <v>L-iktar metodu bażiku biex tiġi ċċekkjata l-primalità ta 'numru sħiħ partikolari huwa msejjaħ diviżjoni ta' prova. Din ir-rutina tikkonsisti f'diviżjoni N minn kull numru sħiħ li huwa akbar minn 1 u inqas minn jew daqs l-għerq kwadru ta 'n. Jekk ir-riżultat ta 'xi waħda minn dawn id-diviżjonijiet huwa numru sħiħ, allura N mhuwiex prim, inkella huwa prim. Tassew, jekk huwa kompost (b'A u B ≠ 1) allura wieħed mill-fatturi A jew B huwa neċessarjament fil-biċċa l-kbira. Pereżempju, għal, id-diviżjonijiet tal-prova huma minn M = 2, 3, 4, 5, u 6. L-ebda wieħed minn dawn in-numri ma jaqsam 37, u għalhekk 37 huwa prim. Din ir-rutina tista 'tiġi implimentata b'mod aktar effiċjenti jekk tkun magħrufa lista kompluta ta' primes - allura d-diviżjonijiet ta 'prova jeħtieġ li jiġu kkontrollati biss għal dawk m li huma ewlenin. Pereżempju, biex tivverifika l-primalità ta '37, huma meħtieġa tliet diviżjonijiet biss (M = 2, 3, u 5), minħabba li 4 u 6 huma komposti.</v>
      </c>
    </row>
    <row r="20419" ht="15.75" customHeight="1">
      <c r="A20419" s="2" t="s">
        <v>20419</v>
      </c>
      <c r="B20419" s="2" t="str">
        <f>IFERROR(__xludf.DUMMYFUNCTION("GOOGLETRANSLATE(A20419, ""en"", ""mt"")"),"Lil min issottometti l-mappa William MacLure?")</f>
        <v>Lil min issottometti l-mappa William MacLure?</v>
      </c>
    </row>
    <row r="20420" ht="15.75" customHeight="1">
      <c r="A20420" s="2" t="s">
        <v>20420</v>
      </c>
      <c r="B20420" s="2" t="str">
        <f>IFERROR(__xludf.DUMMYFUNCTION("GOOGLETRANSLATE(A20420, ""en"", ""mt"")"),"Amerikani")</f>
        <v>Amerikani</v>
      </c>
    </row>
    <row r="20421" ht="15.75" customHeight="1">
      <c r="A20421" s="2" t="s">
        <v>20421</v>
      </c>
      <c r="B20421" s="2" t="str">
        <f>IFERROR(__xludf.DUMMYFUNCTION("GOOGLETRANSLATE(A20421, ""en"", ""mt"")"),"Ma 'xiex għandhom jikkonformaw ir-regolamenti lokali?")</f>
        <v>Ma 'xiex għandhom jikkonformaw ir-regolamenti lokali?</v>
      </c>
    </row>
    <row r="20422" ht="15.75" customHeight="1">
      <c r="A20422" s="2" t="s">
        <v>20422</v>
      </c>
      <c r="B20422" s="2" t="str">
        <f>IFERROR(__xludf.DUMMYFUNCTION("GOOGLETRANSLATE(A20422, ""en"", ""mt"")"),"It-tim tad-disinn huwa l-iktar użat minn min?")</f>
        <v>It-tim tad-disinn huwa l-iktar użat minn min?</v>
      </c>
    </row>
    <row r="20423" ht="15.75" customHeight="1">
      <c r="A20423" s="2" t="s">
        <v>20423</v>
      </c>
      <c r="B20423" s="2" t="str">
        <f>IFERROR(__xludf.DUMMYFUNCTION("GOOGLETRANSLATE(A20423, ""en"", ""mt"")"),"Liema titli doppji żamm Frederick William?")</f>
        <v>Liema titli doppji żamm Frederick William?</v>
      </c>
    </row>
    <row r="20424" ht="15.75" customHeight="1">
      <c r="A20424" s="2" t="s">
        <v>20424</v>
      </c>
      <c r="B20424" s="2" t="str">
        <f>IFERROR(__xludf.DUMMYFUNCTION("GOOGLETRANSLATE(A20424, ""en"", ""mt"")"),"Il-forza tat-tensjoni fuq tagħbija tista 'tiġi mmultiplikata")</f>
        <v>Il-forza tat-tensjoni fuq tagħbija tista 'tiġi mmultiplikata</v>
      </c>
    </row>
    <row r="20425" ht="15.75" customHeight="1">
      <c r="A20425" s="2" t="s">
        <v>20425</v>
      </c>
      <c r="B20425" s="2" t="str">
        <f>IFERROR(__xludf.DUMMYFUNCTION("GOOGLETRANSLATE(A20425, ""en"", ""mt"")"),"Skola Normali Fresno")</f>
        <v>Skola Normali Fresno</v>
      </c>
    </row>
    <row r="20426" ht="15.75" customHeight="1">
      <c r="A20426" s="2" t="s">
        <v>20426</v>
      </c>
      <c r="B20426" s="2" t="str">
        <f>IFERROR(__xludf.DUMMYFUNCTION("GOOGLETRANSLATE(A20426, ""en"", ""mt"")"),"Ċelloli dendritiċi")</f>
        <v>Ċelloli dendritiċi</v>
      </c>
    </row>
    <row r="20427" ht="15.75" customHeight="1">
      <c r="A20427" s="2" t="s">
        <v>20427</v>
      </c>
      <c r="B20427" s="2" t="str">
        <f>IFERROR(__xludf.DUMMYFUNCTION("GOOGLETRANSLATE(A20427, ""en"", ""mt"")"),"karatteristiċi")</f>
        <v>karatteristiċi</v>
      </c>
    </row>
    <row r="20428" ht="15.75" customHeight="1">
      <c r="A20428" s="2" t="s">
        <v>20428</v>
      </c>
      <c r="B20428" s="2" t="str">
        <f>IFERROR(__xludf.DUMMYFUNCTION("GOOGLETRANSLATE(A20428, ""en"", ""mt"")"),"X'tip ta 'nightclubs għandu Fresno?")</f>
        <v>X'tip ta 'nightclubs għandu Fresno?</v>
      </c>
    </row>
    <row r="20429" ht="15.75" customHeight="1">
      <c r="A20429" s="2" t="s">
        <v>20429</v>
      </c>
      <c r="B20429" s="2" t="str">
        <f>IFERROR(__xludf.DUMMYFUNCTION("GOOGLETRANSLATE(A20429, ""en"", ""mt"")"),"Xi jaħsbu li xi nies jaħsbu li jaġixxu d-dmir għandu jkun meta jinqabad?")</f>
        <v>Xi jaħsbu li xi nies jaħsbu li jaġixxu d-dmir għandu jkun meta jinqabad?</v>
      </c>
    </row>
    <row r="20430" ht="15.75" customHeight="1">
      <c r="A20430" s="2" t="s">
        <v>20430</v>
      </c>
      <c r="B20430" s="2" t="str">
        <f>IFERROR(__xludf.DUMMYFUNCTION("GOOGLETRANSLATE(A20430, ""en"", ""mt"")"),"Liema raġuni oħra kkawżat provvista tajba ta 'Franza ġdida minn xitwa diffiċli?")</f>
        <v>Liema raġuni oħra kkawżat provvista tajba ta 'Franza ġdida minn xitwa diffiċli?</v>
      </c>
    </row>
    <row r="20431" ht="15.75" customHeight="1">
      <c r="A20431" s="2" t="s">
        <v>20431</v>
      </c>
      <c r="B20431" s="2" t="str">
        <f>IFERROR(__xludf.DUMMYFUNCTION("GOOGLETRANSLATE(A20431, ""en"", ""mt"")"),"Forest Kabaty")</f>
        <v>Forest Kabaty</v>
      </c>
    </row>
    <row r="20432" ht="15.75" customHeight="1">
      <c r="A20432" s="2" t="s">
        <v>20432</v>
      </c>
      <c r="B20432" s="2" t="str">
        <f>IFERROR(__xludf.DUMMYFUNCTION("GOOGLETRANSLATE(A20432, ""en"", ""mt"")"),"X'għandu jipproduċi spiss klassijiet ta 'kumplessità li għandhom il-konkrit li jillimita l-ħin tal-komputazzjoni?")</f>
        <v>X'għandu jipproduċi spiss klassijiet ta 'kumplessità li għandhom il-konkrit li jillimita l-ħin tal-komputazzjoni?</v>
      </c>
    </row>
    <row r="20433" ht="15.75" customHeight="1">
      <c r="A20433" s="2" t="s">
        <v>20433</v>
      </c>
      <c r="B20433" s="2" t="str">
        <f>IFERROR(__xludf.DUMMYFUNCTION("GOOGLETRANSLATE(A20433, ""en"", ""mt"")"),"X'tip ta 'blat jinstab fil-Grand Canyon?")</f>
        <v>X'tip ta 'blat jinstab fil-Grand Canyon?</v>
      </c>
    </row>
    <row r="20434" ht="15.75" customHeight="1">
      <c r="A20434" s="2" t="s">
        <v>20434</v>
      </c>
      <c r="B20434" s="2" t="str">
        <f>IFERROR(__xludf.DUMMYFUNCTION("GOOGLETRANSLATE(A20434, ""en"", ""mt"")"),"Liema aspett tal-mediċina tal-Punent ma jħobbx?")</f>
        <v>Liema aspett tal-mediċina tal-Punent ma jħobbx?</v>
      </c>
    </row>
    <row r="20435" ht="15.75" customHeight="1">
      <c r="A20435" s="2" t="s">
        <v>20435</v>
      </c>
      <c r="B20435" s="2" t="str">
        <f>IFERROR(__xludf.DUMMYFUNCTION("GOOGLETRANSLATE(A20435, ""en"", ""mt"")"),"X'inhuma r-responsabbiltajiet ġodda li issa qed jittrattaw it-tekniċi tal-ispiżerija?")</f>
        <v>X'inhuma r-responsabbiltajiet ġodda li issa qed jittrattaw it-tekniċi tal-ispiżerija?</v>
      </c>
    </row>
    <row r="20436" ht="15.75" customHeight="1">
      <c r="A20436" s="2" t="s">
        <v>20436</v>
      </c>
      <c r="B20436" s="2" t="str">
        <f>IFERROR(__xludf.DUMMYFUNCTION("GOOGLETRANSLATE(A20436, ""en"", ""mt"")"),"Kif tiżviluppa l-larva?")</f>
        <v>Kif tiżviluppa l-larva?</v>
      </c>
    </row>
    <row r="20437" ht="15.75" customHeight="1">
      <c r="A20437" s="2" t="s">
        <v>20437</v>
      </c>
      <c r="B20437" s="2" t="str">
        <f>IFERROR(__xludf.DUMMYFUNCTION("GOOGLETRANSLATE(A20437, ""en"", ""mt"")"),"barra mill-kosta ta 'Brest,")</f>
        <v>barra mill-kosta ta 'Brest,</v>
      </c>
    </row>
    <row r="20438" ht="15.75" customHeight="1">
      <c r="A20438" s="2" t="s">
        <v>20438</v>
      </c>
      <c r="B20438" s="2" t="str">
        <f>IFERROR(__xludf.DUMMYFUNCTION("GOOGLETRANSLATE(A20438, ""en"", ""mt"")"),"Infinit")</f>
        <v>Infinit</v>
      </c>
    </row>
    <row r="20439" ht="15.75" customHeight="1">
      <c r="A20439" s="2" t="s">
        <v>20439</v>
      </c>
      <c r="B20439" s="2" t="str">
        <f>IFERROR(__xludf.DUMMYFUNCTION("GOOGLETRANSLATE(A20439, ""en"", ""mt"")"),"Xi teħtieġ trasmissjoni orjentata mingħajr konnessjoni?")</f>
        <v>Xi teħtieġ trasmissjoni orjentata mingħajr konnessjoni?</v>
      </c>
    </row>
    <row r="20440" ht="15.75" customHeight="1">
      <c r="A20440" s="2" t="s">
        <v>20440</v>
      </c>
      <c r="B20440" s="2" t="str">
        <f>IFERROR(__xludf.DUMMYFUNCTION("GOOGLETRANSLATE(A20440, ""en"", ""mt"")"),"Meta nbena t-teatru tat-torri?")</f>
        <v>Meta nbena t-teatru tat-torri?</v>
      </c>
    </row>
    <row r="20441" ht="15.75" customHeight="1">
      <c r="A20441" s="2" t="s">
        <v>20441</v>
      </c>
      <c r="B20441" s="2" t="str">
        <f>IFERROR(__xludf.DUMMYFUNCTION("GOOGLETRANSLATE(A20441, ""en"", ""mt"")"),"1060s")</f>
        <v>1060s</v>
      </c>
    </row>
    <row r="20442" ht="15.75" customHeight="1">
      <c r="A20442" s="2" t="s">
        <v>20442</v>
      </c>
      <c r="B20442" s="2" t="str">
        <f>IFERROR(__xludf.DUMMYFUNCTION("GOOGLETRANSLATE(A20442, ""en"", ""mt"")"),"Solventi")</f>
        <v>Solventi</v>
      </c>
    </row>
    <row r="20443" ht="15.75" customHeight="1">
      <c r="A20443" s="2" t="s">
        <v>20443</v>
      </c>
      <c r="B20443" s="2" t="str">
        <f>IFERROR(__xludf.DUMMYFUNCTION("GOOGLETRANSLATE(A20443, ""en"", ""mt"")"),"in-nofsinhar")</f>
        <v>in-nofsinhar</v>
      </c>
    </row>
    <row r="20444" ht="15.75" customHeight="1">
      <c r="A20444" s="2" t="s">
        <v>20444</v>
      </c>
      <c r="B20444" s="2" t="str">
        <f>IFERROR(__xludf.DUMMYFUNCTION("GOOGLETRANSLATE(A20444, ""en"", ""mt"")"),"Elimina l-multipli kollha ta '1")</f>
        <v>Elimina l-multipli kollha ta '1</v>
      </c>
    </row>
    <row r="20445" ht="15.75" customHeight="1">
      <c r="A20445" s="2" t="s">
        <v>20445</v>
      </c>
      <c r="B20445" s="2" t="str">
        <f>IFERROR(__xludf.DUMMYFUNCTION("GOOGLETRANSLATE(A20445, ""en"", ""mt"")"),"Bliet Reġjonali")</f>
        <v>Bliet Reġjonali</v>
      </c>
    </row>
    <row r="20446" ht="15.75" customHeight="1">
      <c r="A20446" s="2" t="s">
        <v>20446</v>
      </c>
      <c r="B20446" s="2" t="str">
        <f>IFERROR(__xludf.DUMMYFUNCTION("GOOGLETRANSLATE(A20446, ""en"", ""mt"")"),"Is-sistema tal-librerija tal-Università ta ’Chicago għandha kemm-il libreriji b’kollox?")</f>
        <v>Is-sistema tal-librerija tal-Università ta ’Chicago għandha kemm-il libreriji b’kollox?</v>
      </c>
    </row>
    <row r="20447" ht="15.75" customHeight="1">
      <c r="A20447" s="2" t="s">
        <v>20447</v>
      </c>
      <c r="B20447" s="2" t="str">
        <f>IFERROR(__xludf.DUMMYFUNCTION("GOOGLETRANSLATE(A20447, ""en"", ""mt"")"),"Min ikkonkluda li l-mozzjoni f'veloċità kostanti kienet kompletament ekwivalenti għall-moviment?")</f>
        <v>Min ikkonkluda li l-mozzjoni f'veloċità kostanti kienet kompletament ekwivalenti għall-moviment?</v>
      </c>
    </row>
    <row r="20448" ht="15.75" customHeight="1">
      <c r="A20448" s="2" t="s">
        <v>20448</v>
      </c>
      <c r="B20448" s="2" t="str">
        <f>IFERROR(__xludf.DUMMYFUNCTION("GOOGLETRANSLATE(A20448, ""en"", ""mt"")"),"Minn dakinhar, u s’issa, ir-Relatività Ġenerali ġiet rikonoxxuta bħala t-teorija li tispjega l-aħjar il-gravità. Fil-GR, il-gravitazzjoni mhix meqjusa bħala forza, iżda pjuttost, oġġetti li jiċċaqilqu liberament fl-għelieqi gravitazzjonali jivvjaġġaw taħt"&amp;" l-inerzja tagħhom stess f'linji dritti permezz ta 'spazju mgħawweġ - definit bħala l-iqsar triq spazjali-ħin bejn żewġ avvenimenti spazjali-ħin. Mill-perspettiva tal-oġġett, il-moviment kollu jseħħ daqs li kieku ma kien hemm l-ebda gravitazzjoni. Huwa bi"&amp;"ss meta tosserva l-moviment f'sens globali li l-kurvatura ta 'l-ispazju-ħin tista' tiġi osservata u l-forza tiġi dedotta mill-passaġġ mgħawweġ tal-oġġett. Għalhekk, it-triq tal-linja dritta fl-ispazju-ħin hija meqjusa bħala linja mgħawġa fl-ispazju, u tis"&amp;"sejjaħ it-trajettorja ballistika tal-oġġett. Pereżempju, basketball mitfugħ mill-art jiċċaqlaq f'parabola, kif inhu f'qasam gravitazzjonali uniformi. It-trajettorja spazjali-ħin tagħha (meta tiġi miżjuda d-dimensjoni CT żejda) hija kważi linja dritta, kem"&amp;"mxejn mgħawġa (bir-raġġ tal-kurvatura ta 'l-ordni ta' ftit snin ta 'dawl). Id-derivattiv tal-ħin tal-momentum li jinbidel tal-oġġett huwa dak li aħna tikketta bħala ""forza gravitazzjonali"".")</f>
        <v>Minn dakinhar, u s’issa, ir-Relatività Ġenerali ġiet rikonoxxuta bħala t-teorija li tispjega l-aħjar il-gravità. Fil-GR, il-gravitazzjoni mhix meqjusa bħala forza, iżda pjuttost, oġġetti li jiċċaqilqu liberament fl-għelieqi gravitazzjonali jivvjaġġaw taħt l-inerzja tagħhom stess f'linji dritti permezz ta 'spazju mgħawweġ - definit bħala l-iqsar triq spazjali-ħin bejn żewġ avvenimenti spazjali-ħin. Mill-perspettiva tal-oġġett, il-moviment kollu jseħħ daqs li kieku ma kien hemm l-ebda gravitazzjoni. Huwa biss meta tosserva l-moviment f'sens globali li l-kurvatura ta 'l-ispazju-ħin tista' tiġi osservata u l-forza tiġi dedotta mill-passaġġ mgħawweġ tal-oġġett. Għalhekk, it-triq tal-linja dritta fl-ispazju-ħin hija meqjusa bħala linja mgħawġa fl-ispazju, u tissejjaħ it-trajettorja ballistika tal-oġġett. Pereżempju, basketball mitfugħ mill-art jiċċaqlaq f'parabola, kif inhu f'qasam gravitazzjonali uniformi. It-trajettorja spazjali-ħin tagħha (meta tiġi miżjuda d-dimensjoni CT żejda) hija kważi linja dritta, kemmxejn mgħawġa (bir-raġġ tal-kurvatura ta 'l-ordni ta' ftit snin ta 'dawl). Id-derivattiv tal-ħin tal-momentum li jinbidel tal-oġġett huwa dak li aħna tikketta bħala "forza gravitazzjonali".</v>
      </c>
    </row>
    <row r="20449" ht="15.75" customHeight="1">
      <c r="A20449" s="2" t="s">
        <v>20449</v>
      </c>
      <c r="B20449" s="2" t="str">
        <f>IFERROR(__xludf.DUMMYFUNCTION("GOOGLETRANSLATE(A20449, ""en"", ""mt"")"),"X'kienet il-biża 'Iqbal kienet issaħħaħ il-pedamenti spiritwali tal-Iżlam u tas-soċjetà Musulmana?")</f>
        <v>X'kienet il-biża 'Iqbal kienet issaħħaħ il-pedamenti spiritwali tal-Iżlam u tas-soċjetà Musulmana?</v>
      </c>
    </row>
    <row r="20450" ht="15.75" customHeight="1">
      <c r="A20450" s="2" t="s">
        <v>20450</v>
      </c>
      <c r="B20450" s="2" t="str">
        <f>IFERROR(__xludf.DUMMYFUNCTION("GOOGLETRANSLATE(A20450, ""en"", ""mt"")"),"Università ta ’Chicago Press")</f>
        <v>Università ta ’Chicago Press</v>
      </c>
    </row>
    <row r="20451" ht="15.75" customHeight="1">
      <c r="A20451" s="2" t="s">
        <v>20451</v>
      </c>
      <c r="B20451" s="2" t="str">
        <f>IFERROR(__xludf.DUMMYFUNCTION("GOOGLETRANSLATE(A20451, ""en"", ""mt"")"),"L-ossiġnu jeżisti fl-atmosfera permezz ta 'xiex?")</f>
        <v>L-ossiġnu jeżisti fl-atmosfera permezz ta 'xiex?</v>
      </c>
    </row>
    <row r="20452" ht="15.75" customHeight="1">
      <c r="A20452" s="2" t="s">
        <v>20452</v>
      </c>
      <c r="B20452" s="2" t="str">
        <f>IFERROR(__xludf.DUMMYFUNCTION("GOOGLETRANSLATE(A20452, ""en"", ""mt"")"),"Konsumentombudsmannen v de agostini")</f>
        <v>Konsumentombudsmannen v de agostini</v>
      </c>
    </row>
    <row r="20453" ht="15.75" customHeight="1">
      <c r="A20453" s="2" t="s">
        <v>20453</v>
      </c>
      <c r="B20453" s="2" t="str">
        <f>IFERROR(__xludf.DUMMYFUNCTION("GOOGLETRANSLATE(A20453, ""en"", ""mt"")"),"Wijk Bij Duurstede")</f>
        <v>Wijk Bij Duurstede</v>
      </c>
    </row>
    <row r="20454" ht="15.75" customHeight="1">
      <c r="A20454" s="2" t="s">
        <v>20454</v>
      </c>
      <c r="B20454" s="2" t="str">
        <f>IFERROR(__xludf.DUMMYFUNCTION("GOOGLETRANSLATE(A20454, ""en"", ""mt"")"),"Imperu Etjopjan")</f>
        <v>Imperu Etjopjan</v>
      </c>
    </row>
    <row r="20455" ht="15.75" customHeight="1">
      <c r="A20455" s="2" t="s">
        <v>20455</v>
      </c>
      <c r="B20455" s="2" t="str">
        <f>IFERROR(__xludf.DUMMYFUNCTION("GOOGLETRANSLATE(A20455, ""en"", ""mt"")"),"(n - 1)!")</f>
        <v>(n - 1)!</v>
      </c>
    </row>
    <row r="20456" ht="15.75" customHeight="1">
      <c r="A20456" s="2" t="s">
        <v>20456</v>
      </c>
      <c r="B20456" s="2" t="str">
        <f>IFERROR(__xludf.DUMMYFUNCTION("GOOGLETRANSLATE(A20456, ""en"", ""mt"")"),"il-WMO")</f>
        <v>il-WMO</v>
      </c>
    </row>
    <row r="20457" ht="15.75" customHeight="1">
      <c r="A20457" s="2" t="s">
        <v>20457</v>
      </c>
      <c r="B20457" s="2" t="str">
        <f>IFERROR(__xludf.DUMMYFUNCTION("GOOGLETRANSLATE(A20457, ""en"", ""mt"")"),"Proteina a")</f>
        <v>Proteina a</v>
      </c>
    </row>
    <row r="20458" ht="15.75" customHeight="1">
      <c r="A20458" s="2" t="s">
        <v>20458</v>
      </c>
      <c r="B20458" s="2" t="str">
        <f>IFERROR(__xludf.DUMMYFUNCTION("GOOGLETRANSLATE(A20458, ""en"", ""mt"")"),"Louisiana Franċiża")</f>
        <v>Louisiana Franċiża</v>
      </c>
    </row>
    <row r="20459" ht="15.75" customHeight="1">
      <c r="A20459" s="2" t="s">
        <v>20459</v>
      </c>
      <c r="B20459" s="2" t="str">
        <f>IFERROR(__xludf.DUMMYFUNCTION("GOOGLETRANSLATE(A20459, ""en"", ""mt"")"),"Anwar Sadat")</f>
        <v>Anwar Sadat</v>
      </c>
    </row>
    <row r="20460" ht="15.75" customHeight="1">
      <c r="A20460" s="2" t="s">
        <v>20460</v>
      </c>
      <c r="B20460" s="2" t="str">
        <f>IFERROR(__xludf.DUMMYFUNCTION("GOOGLETRANSLATE(A20460, ""en"", ""mt"")"),"X'jiġri f'dan il-liwja fir-Renu?")</f>
        <v>X'jiġri f'dan il-liwja fir-Renu?</v>
      </c>
    </row>
    <row r="20461" ht="15.75" customHeight="1">
      <c r="A20461" s="2" t="s">
        <v>20461</v>
      </c>
      <c r="B20461" s="2" t="str">
        <f>IFERROR(__xludf.DUMMYFUNCTION("GOOGLETRANSLATE(A20461, ""en"", ""mt"")"),"X'kien ir-rwol ta 'William Johnson fil-militar Franċiż?")</f>
        <v>X'kien ir-rwol ta 'William Johnson fil-militar Franċiż?</v>
      </c>
    </row>
    <row r="20462" ht="15.75" customHeight="1">
      <c r="A20462" s="2" t="s">
        <v>20462</v>
      </c>
      <c r="B20462" s="2" t="str">
        <f>IFERROR(__xludf.DUMMYFUNCTION("GOOGLETRANSLATE(A20462, ""en"", ""mt"")"),"Dixxiplini akkademiċi varji")</f>
        <v>Dixxiplini akkademiċi varji</v>
      </c>
    </row>
    <row r="20463" ht="15.75" customHeight="1">
      <c r="A20463" s="2" t="s">
        <v>20463</v>
      </c>
      <c r="B20463" s="2" t="str">
        <f>IFERROR(__xludf.DUMMYFUNCTION("GOOGLETRANSLATE(A20463, ""en"", ""mt"")"),"B'liema isem ġew magħrufa l-""allegatament riformati""?")</f>
        <v>B'liema isem ġew magħrufa l-"allegatament riformati"?</v>
      </c>
    </row>
    <row r="20464" ht="15.75" customHeight="1">
      <c r="A20464" s="2" t="s">
        <v>20464</v>
      </c>
      <c r="B20464" s="2" t="str">
        <f>IFERROR(__xludf.DUMMYFUNCTION("GOOGLETRANSLATE(A20464, ""en"", ""mt"")"),"Ma ntwera li r-rata tal-kriminalità mhix korrelata f'soċjetà?")</f>
        <v>Ma ntwera li r-rata tal-kriminalità mhix korrelata f'soċjetà?</v>
      </c>
    </row>
    <row r="20465" ht="15.75" customHeight="1">
      <c r="A20465" s="2" t="s">
        <v>20465</v>
      </c>
      <c r="B20465" s="2" t="str">
        <f>IFERROR(__xludf.DUMMYFUNCTION("GOOGLETRANSLATE(A20465, ""en"", ""mt"")"),"Xi jipprotestaw xi nies?")</f>
        <v>Xi jipprotestaw xi nies?</v>
      </c>
    </row>
    <row r="20466" ht="15.75" customHeight="1">
      <c r="A20466" s="2" t="s">
        <v>20466</v>
      </c>
      <c r="B20466" s="2" t="str">
        <f>IFERROR(__xludf.DUMMYFUNCTION("GOOGLETRANSLATE(A20466, ""en"", ""mt"")"),"difiża u ġustifikazzjoni tal-bini tal-imperu bbażati fuq raġunijiet apparentement razzjonali")</f>
        <v>difiża u ġustifikazzjoni tal-bini tal-imperu bbażati fuq raġunijiet apparentement razzjonali</v>
      </c>
    </row>
    <row r="20467" ht="15.75" customHeight="1">
      <c r="A20467" s="2" t="s">
        <v>20467</v>
      </c>
      <c r="B20467" s="2" t="str">
        <f>IFERROR(__xludf.DUMMYFUNCTION("GOOGLETRANSLATE(A20467, ""en"", ""mt"")"),"negattiv")</f>
        <v>negattiv</v>
      </c>
    </row>
    <row r="20468" ht="15.75" customHeight="1">
      <c r="A20468" s="2" t="s">
        <v>20468</v>
      </c>
      <c r="B20468" s="2" t="str">
        <f>IFERROR(__xludf.DUMMYFUNCTION("GOOGLETRANSLATE(A20468, ""en"", ""mt"")"),"Meta ġie mwaqqa 'al-nimeiry?")</f>
        <v>Meta ġie mwaqqa 'al-nimeiry?</v>
      </c>
    </row>
    <row r="20469" ht="15.75" customHeight="1">
      <c r="A20469" s="2" t="s">
        <v>20469</v>
      </c>
      <c r="B20469" s="2" t="str">
        <f>IFERROR(__xludf.DUMMYFUNCTION("GOOGLETRANSLATE(A20469, ""en"", ""mt"")"),"akkomodazzjoni")</f>
        <v>akkomodazzjoni</v>
      </c>
    </row>
    <row r="20470" ht="15.75" customHeight="1">
      <c r="A20470" s="2" t="s">
        <v>20470</v>
      </c>
      <c r="B20470" s="2" t="str">
        <f>IFERROR(__xludf.DUMMYFUNCTION("GOOGLETRANSLATE(A20470, ""en"", ""mt"")"),"Nies li jagħtu servizzi ""għar-remunerazzjoni"", speċjalment attività kummerċjali jew professjonali")</f>
        <v>Nies li jagħtu servizzi "għar-remunerazzjoni", speċjalment attività kummerċjali jew professjonali</v>
      </c>
    </row>
    <row r="20471" ht="15.75" customHeight="1">
      <c r="A20471" s="2" t="s">
        <v>20471</v>
      </c>
      <c r="B20471" s="2" t="str">
        <f>IFERROR(__xludf.DUMMYFUNCTION("GOOGLETRANSLATE(A20471, ""en"", ""mt"")"),"gravità")</f>
        <v>gravità</v>
      </c>
    </row>
    <row r="20472" ht="15.75" customHeight="1">
      <c r="A20472" s="2" t="s">
        <v>20472</v>
      </c>
      <c r="B20472" s="2" t="str">
        <f>IFERROR(__xludf.DUMMYFUNCTION("GOOGLETRANSLATE(A20472, ""en"", ""mt"")"),"X'kienu msejħa xfar tal-oċeani u reġjuni għoljin ta 'karatteristiċi ġeoloġiċi?")</f>
        <v>X'kienu msejħa xfar tal-oċeani u reġjuni għoljin ta 'karatteristiċi ġeoloġiċi?</v>
      </c>
    </row>
    <row r="20473" ht="15.75" customHeight="1">
      <c r="A20473" s="2" t="s">
        <v>20473</v>
      </c>
      <c r="B20473" s="2" t="str">
        <f>IFERROR(__xludf.DUMMYFUNCTION("GOOGLETRANSLATE(A20473, ""en"", ""mt"")"),"X'inhuma s-sorsi sekondarji tal-liġi primarja?")</f>
        <v>X'inhuma s-sorsi sekondarji tal-liġi primarja?</v>
      </c>
    </row>
    <row r="20474" ht="15.75" customHeight="1">
      <c r="A20474" s="2" t="s">
        <v>20474</v>
      </c>
      <c r="B20474" s="2" t="str">
        <f>IFERROR(__xludf.DUMMYFUNCTION("GOOGLETRANSLATE(A20474, ""en"", ""mt"")"),"X'jiġri l-pagi f'xogħol ma 'ħafna ħaddiema lesti li jaħdmu ħafna?")</f>
        <v>X'jiġri l-pagi f'xogħol ma 'ħafna ħaddiema lesti li jaħdmu ħafna?</v>
      </c>
    </row>
    <row r="20475" ht="15.75" customHeight="1">
      <c r="A20475" s="2" t="s">
        <v>20475</v>
      </c>
      <c r="B20475" s="2" t="str">
        <f>IFERROR(__xludf.DUMMYFUNCTION("GOOGLETRANSLATE(A20475, ""en"", ""mt"")"),"L-informazzjoni dwar l-indirizz tista 'tinbidel wara l-fażi stabbilita?")</f>
        <v>L-informazzjoni dwar l-indirizz tista 'tinbidel wara l-fażi stabbilita?</v>
      </c>
    </row>
    <row r="20476" ht="15.75" customHeight="1">
      <c r="A20476" s="2" t="s">
        <v>20476</v>
      </c>
      <c r="B20476" s="2" t="str">
        <f>IFERROR(__xludf.DUMMYFUNCTION("GOOGLETRANSLATE(A20476, ""en"", ""mt"")"),"Liema grad għandu l-programm ta 'azzjoni bikrija fost l-oħrajn kollha?")</f>
        <v>Liema grad għandu l-programm ta 'azzjoni bikrija fost l-oħrajn kollha?</v>
      </c>
    </row>
    <row r="20477" ht="15.75" customHeight="1">
      <c r="A20477" s="2" t="s">
        <v>20477</v>
      </c>
      <c r="B20477" s="2" t="str">
        <f>IFERROR(__xludf.DUMMYFUNCTION("GOOGLETRANSLATE(A20477, ""en"", ""mt"")"),"il-milizja tagħhom stess")</f>
        <v>il-milizja tagħhom stess</v>
      </c>
    </row>
    <row r="20478" ht="15.75" customHeight="1">
      <c r="A20478" s="2" t="s">
        <v>20478</v>
      </c>
      <c r="B20478" s="2" t="str">
        <f>IFERROR(__xludf.DUMMYFUNCTION("GOOGLETRANSLATE(A20478, ""en"", ""mt"")"),"restorant")</f>
        <v>restorant</v>
      </c>
    </row>
    <row r="20479" ht="15.75" customHeight="1">
      <c r="A20479" s="2" t="s">
        <v>20479</v>
      </c>
      <c r="B20479" s="2" t="str">
        <f>IFERROR(__xludf.DUMMYFUNCTION("GOOGLETRANSLATE(A20479, ""en"", ""mt"")"),"Kemm ġew rikonoxxuti skejjel tal-mediċina fil-Ġappun?")</f>
        <v>Kemm ġew rikonoxxuti skejjel tal-mediċina fil-Ġappun?</v>
      </c>
    </row>
    <row r="20480" ht="15.75" customHeight="1">
      <c r="A20480" s="2" t="s">
        <v>20480</v>
      </c>
      <c r="B20480" s="2" t="str">
        <f>IFERROR(__xludf.DUMMYFUNCTION("GOOGLETRANSLATE(A20480, ""en"", ""mt"")"),"Sema Attiva")</f>
        <v>Sema Attiva</v>
      </c>
    </row>
    <row r="20481" ht="15.75" customHeight="1">
      <c r="A20481" s="2" t="s">
        <v>20481</v>
      </c>
      <c r="B20481" s="2" t="str">
        <f>IFERROR(__xludf.DUMMYFUNCTION("GOOGLETRANSLATE(A20481, ""en"", ""mt"")"),"X’għamlet il-Korporazzjoni Rand?")</f>
        <v>X’għamlet il-Korporazzjoni Rand?</v>
      </c>
    </row>
    <row r="20482" ht="15.75" customHeight="1">
      <c r="A20482" s="2" t="s">
        <v>20482</v>
      </c>
      <c r="B20482" s="2" t="str">
        <f>IFERROR(__xludf.DUMMYFUNCTION("GOOGLETRANSLATE(A20482, ""en"", ""mt"")"),"Min patronizza l-patrijiet fl-Italja?")</f>
        <v>Min patronizza l-patrijiet fl-Italja?</v>
      </c>
    </row>
    <row r="20483" ht="15.75" customHeight="1">
      <c r="A20483" s="2" t="s">
        <v>20483</v>
      </c>
      <c r="B20483" s="2" t="str">
        <f>IFERROR(__xludf.DUMMYFUNCTION("GOOGLETRANSLATE(A20483, ""en"", ""mt"")"),"Min imexxi l-Konsorzju QWest?")</f>
        <v>Min imexxi l-Konsorzju QWest?</v>
      </c>
    </row>
    <row r="20484" ht="15.75" customHeight="1">
      <c r="A20484" s="2" t="s">
        <v>20484</v>
      </c>
      <c r="B20484" s="2" t="str">
        <f>IFERROR(__xludf.DUMMYFUNCTION("GOOGLETRANSLATE(A20484, ""en"", ""mt"")"),"Trio")</f>
        <v>Trio</v>
      </c>
    </row>
    <row r="20485" ht="15.75" customHeight="1">
      <c r="A20485" s="2" t="s">
        <v>20485</v>
      </c>
      <c r="B20485" s="2" t="str">
        <f>IFERROR(__xludf.DUMMYFUNCTION("GOOGLETRANSLATE(A20485, ""en"", ""mt"")"),"f'nofs is-snin 2000")</f>
        <v>f'nofs is-snin 2000</v>
      </c>
    </row>
    <row r="20486" ht="15.75" customHeight="1">
      <c r="A20486" s="2" t="s">
        <v>20486</v>
      </c>
      <c r="B20486" s="2" t="str">
        <f>IFERROR(__xludf.DUMMYFUNCTION("GOOGLETRANSLATE(A20486, ""en"", ""mt"")"),"Tape burokratiku eċċessiv mhix waħda mir-raġunijiet għal liema tip ta 'sjieda?")</f>
        <v>Tape burokratiku eċċessiv mhix waħda mir-raġunijiet għal liema tip ta 'sjieda?</v>
      </c>
    </row>
    <row r="20487" ht="15.75" customHeight="1">
      <c r="A20487" s="2" t="s">
        <v>20487</v>
      </c>
      <c r="B20487" s="2" t="str">
        <f>IFERROR(__xludf.DUMMYFUNCTION("GOOGLETRANSLATE(A20487, ""en"", ""mt"")"),"Xi jeħtieġu biex jaraw xi xandiriet kriptati?")</f>
        <v>Xi jeħtieġu biex jaraw xi xandiriet kriptati?</v>
      </c>
    </row>
    <row r="20488" ht="15.75" customHeight="1">
      <c r="A20488" s="2" t="s">
        <v>20488</v>
      </c>
      <c r="B20488" s="2" t="str">
        <f>IFERROR(__xludf.DUMMYFUNCTION("GOOGLETRANSLATE(A20488, ""en"", ""mt"")")," X'jifilqu li jisseparaw il-moderati progressivi tal-Iżlam?")</f>
        <v> X'jifilqu li jisseparaw il-moderati progressivi tal-Iżlam?</v>
      </c>
    </row>
    <row r="20489" ht="15.75" customHeight="1">
      <c r="A20489" s="2" t="s">
        <v>20489</v>
      </c>
      <c r="B20489" s="2" t="str">
        <f>IFERROR(__xludf.DUMMYFUNCTION("GOOGLETRANSLATE(A20489, ""en"", ""mt"")"),"Il-knisja Franċiża f'Portarlington inbniet meta?")</f>
        <v>Il-knisja Franċiża f'Portarlington inbniet meta?</v>
      </c>
    </row>
    <row r="20490" ht="15.75" customHeight="1">
      <c r="A20490" s="2" t="s">
        <v>20490</v>
      </c>
      <c r="B20490" s="2" t="str">
        <f>IFERROR(__xludf.DUMMYFUNCTION("GOOGLETRANSLATE(A20490, ""en"", ""mt"")"),"X'inhu wieħed mill-10 megaregions fl-Istati Uniti?")</f>
        <v>X'inhu wieħed mill-10 megaregions fl-Istati Uniti?</v>
      </c>
    </row>
    <row r="20491" ht="15.75" customHeight="1">
      <c r="A20491" s="2" t="s">
        <v>20491</v>
      </c>
      <c r="B20491" s="2" t="str">
        <f>IFERROR(__xludf.DUMMYFUNCTION("GOOGLETRANSLATE(A20491, ""en"", ""mt"")"),"Xmara San Ġwann")</f>
        <v>Xmara San Ġwann</v>
      </c>
    </row>
    <row r="20492" ht="15.75" customHeight="1">
      <c r="A20492" s="2" t="s">
        <v>20492</v>
      </c>
      <c r="B20492" s="2" t="str">
        <f>IFERROR(__xludf.DUMMYFUNCTION("GOOGLETRANSLATE(A20492, ""en"", ""mt"")"),"Min jiddeċiedi kif l-art jew il-propjetà titħalla tintuża?")</f>
        <v>Min jiddeċiedi kif l-art jew il-propjetà titħalla tintuża?</v>
      </c>
    </row>
    <row r="20493" ht="15.75" customHeight="1">
      <c r="A20493" s="2" t="s">
        <v>20493</v>
      </c>
      <c r="B20493" s="2" t="str">
        <f>IFERROR(__xludf.DUMMYFUNCTION("GOOGLETRANSLATE(A20493, ""en"", ""mt"")"),"L-Università ta ’Chicago ġiet maħluqa u inkorporata bħala istituzzjoni koeducazzjonali u sekulari fl-1890 mill-American Baptist Education Society u donazzjoni mill-magnate taż-żejt u l-filantropista John D. Rockefeller fuq art mogħtija minn Marshall Field"&amp;". Filwaqt li d-donazzjoni ta 'Rockefeller ipprovdiet flus għal operazzjonijiet akkademiċi u dotazzjoni fit-tul, ġie stipulat li tali flus ma jistgħux jintużaw għall-bini. Il-kampus fiżiku oriġinali kien iffinanzjat minn donazzjonijiet minn Chicagoans għon"&amp;"ja bħal Silas B. Cobb li pprovda l-fondi għall-ewwel bini tal-kampus, Cobb Lecture Hall, u l-wegħda ta 'Marshall Field ta' $ 100,000. Benefatturi bikrija oħra kienu jinkludu n-negozjanti Charles L. Hutchinson (trustee, teżorier u donatur ta 'Hutchinson Co"&amp;"mmons), Martin A. Ryerson (president tal-Bord tal-Fiduċjarji u donatur tal-Laboratorju Fiżiku Ryerson) Adolphus Clay Bartlett u Leon Mandel, li ffinanzjaw il-kostruzzjoni tal-ġinnasju u s-sala tal-assemblea, u George C. Walker tal-Mużew Walker, qarib ta '"&amp;"Cobb li ħeġġeġ id-donazzjoni inawgurali tiegħu għall-faċilitajiet.")</f>
        <v>L-Università ta ’Chicago ġiet maħluqa u inkorporata bħala istituzzjoni koeducazzjonali u sekulari fl-1890 mill-American Baptist Education Society u donazzjoni mill-magnate taż-żejt u l-filantropista John D. Rockefeller fuq art mogħtija minn Marshall Field. Filwaqt li d-donazzjoni ta 'Rockefeller ipprovdiet flus għal operazzjonijiet akkademiċi u dotazzjoni fit-tul, ġie stipulat li tali flus ma jistgħux jintużaw għall-bini. Il-kampus fiżiku oriġinali kien iffinanzjat minn donazzjonijiet minn Chicagoans għonja bħal Silas B. Cobb li pprovda l-fondi għall-ewwel bini tal-kampus, Cobb Lecture Hall, u l-wegħda ta 'Marshall Field ta' $ 100,000. Benefatturi bikrija oħra kienu jinkludu n-negozjanti Charles L. Hutchinson (trustee, teżorier u donatur ta 'Hutchinson Commons), Martin A. Ryerson (president tal-Bord tal-Fiduċjarji u donatur tal-Laboratorju Fiżiku Ryerson) Adolphus Clay Bartlett u Leon Mandel, li ffinanzjaw il-kostruzzjoni tal-ġinnasju u s-sala tal-assemblea, u George C. Walker tal-Mużew Walker, qarib ta 'Cobb li ħeġġeġ id-donazzjoni inawgurali tiegħu għall-faċilitajiet.</v>
      </c>
    </row>
    <row r="20494" ht="15.75" customHeight="1">
      <c r="A20494" s="2" t="s">
        <v>20494</v>
      </c>
      <c r="B20494" s="2" t="str">
        <f>IFERROR(__xludf.DUMMYFUNCTION("GOOGLETRANSLATE(A20494, ""en"", ""mt"")"),"Han Ċiniż u Khitans")</f>
        <v>Han Ċiniż u Khitans</v>
      </c>
    </row>
    <row r="20495" ht="15.75" customHeight="1">
      <c r="A20495" s="2" t="s">
        <v>20495</v>
      </c>
      <c r="B20495" s="2" t="str">
        <f>IFERROR(__xludf.DUMMYFUNCTION("GOOGLETRANSLATE(A20495, ""en"", ""mt"")"),"Nifs pur o
2 F'applikazzjonijiet spazjali, bħal f'xi ilbiesi spazjali moderni, jew f'inġenji spazjali bikrija bħal Apollo, ma jikkawża l-ebda ħsara minħabba l-pressjonijiet totali baxxi użati. Fil-każ ta 'spazewiits, l-o
2 Pressjoni parzjali fil-gass tan-"&amp;"nifs hija, ġeneralment, madwar 30 kPa (1.4 darbiet normali), u l-o li tirriżulta
2 pressjoni parzjali fid-demm arterjali tal-astronawt hija biss marġinalment aktar mil-livell tal-baħar normali o
2 Pressjoni parzjali (għal aktar informazzjoni dwar dan, ara"&amp;" l-libsa spazjali u l-gass tad-demm arterjali).")</f>
        <v>Nifs pur o
2 F'applikazzjonijiet spazjali, bħal f'xi ilbiesi spazjali moderni, jew f'inġenji spazjali bikrija bħal Apollo, ma jikkawża l-ebda ħsara minħabba l-pressjonijiet totali baxxi użati. Fil-każ ta 'spazewiits, l-o
2 Pressjoni parzjali fil-gass tan-nifs hija, ġeneralment, madwar 30 kPa (1.4 darbiet normali), u l-o li tirriżulta
2 pressjoni parzjali fid-demm arterjali tal-astronawt hija biss marġinalment aktar mil-livell tal-baħar normali o
2 Pressjoni parzjali (għal aktar informazzjoni dwar dan, ara l-libsa spazjali u l-gass tad-demm arterjali).</v>
      </c>
    </row>
    <row r="20496" ht="15.75" customHeight="1">
      <c r="A20496" s="2" t="s">
        <v>20496</v>
      </c>
      <c r="B20496" s="2" t="str">
        <f>IFERROR(__xludf.DUMMYFUNCTION("GOOGLETRANSLATE(A20496, ""en"", ""mt"")"),"16,000 speċi")</f>
        <v>16,000 speċi</v>
      </c>
    </row>
    <row r="20497" ht="15.75" customHeight="1">
      <c r="A20497" s="2" t="s">
        <v>20497</v>
      </c>
      <c r="B20497" s="2" t="str">
        <f>IFERROR(__xludf.DUMMYFUNCTION("GOOGLETRANSLATE(A20497, ""en"", ""mt"")"),"Algoritmu tal-Ħin Polinomjali")</f>
        <v>Algoritmu tal-Ħin Polinomjali</v>
      </c>
    </row>
    <row r="20498" ht="15.75" customHeight="1">
      <c r="A20498" s="2" t="s">
        <v>20498</v>
      </c>
      <c r="B20498" s="2" t="str">
        <f>IFERROR(__xludf.DUMMYFUNCTION("GOOGLETRANSLATE(A20498, ""en"", ""mt"")"),"Iċ-ċelloli T Delta Gamma jirranġaw il-ġeni TCR biex jipproduċu xiex?")</f>
        <v>Iċ-ċelloli T Delta Gamma jirranġaw il-ġeni TCR biex jipproduċu xiex?</v>
      </c>
    </row>
    <row r="20499" ht="15.75" customHeight="1">
      <c r="A20499" s="2" t="s">
        <v>20499</v>
      </c>
      <c r="B20499" s="2" t="str">
        <f>IFERROR(__xludf.DUMMYFUNCTION("GOOGLETRANSLATE(A20499, ""en"", ""mt"")"),"Reġjun tal-Fruntiera tan-Nofsinhar")</f>
        <v>Reġjun tal-Fruntiera tan-Nofsinhar</v>
      </c>
    </row>
    <row r="20500" ht="15.75" customHeight="1">
      <c r="A20500" s="2" t="s">
        <v>20500</v>
      </c>
      <c r="B20500" s="2" t="str">
        <f>IFERROR(__xludf.DUMMYFUNCTION("GOOGLETRANSLATE(A20500, ""en"", ""mt"")"),"Liema qrati għandhom id-dmir li jinterpretaw il-liġi domestika kemm jista 'jkun?")</f>
        <v>Liema qrati għandhom id-dmir li jinterpretaw il-liġi domestika kemm jista 'jkun?</v>
      </c>
    </row>
    <row r="20501" ht="15.75" customHeight="1">
      <c r="A20501" s="2" t="s">
        <v>20501</v>
      </c>
      <c r="B20501" s="2" t="str">
        <f>IFERROR(__xludf.DUMMYFUNCTION("GOOGLETRANSLATE(A20501, ""en"", ""mt"")"),"Eicosanoids")</f>
        <v>Eicosanoids</v>
      </c>
    </row>
    <row r="20502" ht="15.75" customHeight="1">
      <c r="A20502" s="2" t="s">
        <v>20502</v>
      </c>
      <c r="B20502" s="2" t="str">
        <f>IFERROR(__xludf.DUMMYFUNCTION("GOOGLETRANSLATE(A20502, ""en"", ""mt"")"),"Biex iġġiegħel lill-Ġappun ikun aktar involut fil-kriżi, x’għamlu l-gvern Sawdi u Kuwajt?")</f>
        <v>Biex iġġiegħel lill-Ġappun ikun aktar involut fil-kriżi, x’għamlu l-gvern Sawdi u Kuwajt?</v>
      </c>
    </row>
    <row r="20503" ht="15.75" customHeight="1">
      <c r="A20503" s="2" t="s">
        <v>20503</v>
      </c>
      <c r="B20503" s="2" t="str">
        <f>IFERROR(__xludf.DUMMYFUNCTION("GOOGLETRANSLATE(A20503, ""en"", ""mt"")"),"Id-Diviżjoni u l-Amministrazzjoni tat-Territorju li għadu kif ġie maħkuma")</f>
        <v>Id-Diviżjoni u l-Amministrazzjoni tat-Territorju li għadu kif ġie maħkuma</v>
      </c>
    </row>
    <row r="20504" ht="15.75" customHeight="1">
      <c r="A20504" s="2" t="s">
        <v>20504</v>
      </c>
      <c r="B20504" s="2" t="str">
        <f>IFERROR(__xludf.DUMMYFUNCTION("GOOGLETRANSLATE(A20504, ""en"", ""mt"")"),"bejn wieħed u ieħor ħamsin fil-mija")</f>
        <v>bejn wieħed u ieħor ħamsin fil-mija</v>
      </c>
    </row>
    <row r="20505" ht="15.75" customHeight="1">
      <c r="A20505" s="2" t="s">
        <v>20505</v>
      </c>
      <c r="B20505" s="2" t="str">
        <f>IFERROR(__xludf.DUMMYFUNCTION("GOOGLETRANSLATE(A20505, ""en"", ""mt"")"),"Nestorianism u Kattoliċiżmu Ruman")</f>
        <v>Nestorianism u Kattoliċiżmu Ruman</v>
      </c>
    </row>
    <row r="20506" ht="15.75" customHeight="1">
      <c r="A20506" s="2" t="s">
        <v>20506</v>
      </c>
      <c r="B20506" s="2" t="str">
        <f>IFERROR(__xludf.DUMMYFUNCTION("GOOGLETRANSLATE(A20506, ""en"", ""mt"")"),"Liema sistema immuni hija attivata mir-rispons intrinsiku?")</f>
        <v>Liema sistema immuni hija attivata mir-rispons intrinsiku?</v>
      </c>
    </row>
    <row r="20507" ht="15.75" customHeight="1">
      <c r="A20507" s="2" t="s">
        <v>20507</v>
      </c>
      <c r="B20507" s="2" t="str">
        <f>IFERROR(__xludf.DUMMYFUNCTION("GOOGLETRANSLATE(A20507, ""en"", ""mt"")"),"Min kiteb dwar id-distillazzjoni tal-ilma tal-baħar mill-ilma tax-xorb?")</f>
        <v>Min kiteb dwar id-distillazzjoni tal-ilma tal-baħar mill-ilma tax-xorb?</v>
      </c>
    </row>
    <row r="20508" ht="15.75" customHeight="1">
      <c r="A20508" s="2" t="s">
        <v>20508</v>
      </c>
      <c r="B20508" s="2" t="str">
        <f>IFERROR(__xludf.DUMMYFUNCTION("GOOGLETRANSLATE(A20508, ""en"", ""mt"")"),"Ilma tal-għalf tal-bojler bi pressjoni baxxa")</f>
        <v>Ilma tal-għalf tal-bojler bi pressjoni baxxa</v>
      </c>
    </row>
    <row r="20509" ht="15.75" customHeight="1">
      <c r="A20509" s="2" t="s">
        <v>20509</v>
      </c>
      <c r="B20509" s="2" t="str">
        <f>IFERROR(__xludf.DUMMYFUNCTION("GOOGLETRANSLATE(A20509, ""en"", ""mt"")"),"Ħu evidenza minn xhieda, twettaq inkjesti u tifli l-leġiżlazzjoni")</f>
        <v>Ħu evidenza minn xhieda, twettaq inkjesti u tifli l-leġiżlazzjoni</v>
      </c>
    </row>
    <row r="20510" ht="15.75" customHeight="1">
      <c r="A20510" s="2" t="s">
        <v>20510</v>
      </c>
      <c r="B20510" s="2" t="str">
        <f>IFERROR(__xludf.DUMMYFUNCTION("GOOGLETRANSLATE(A20510, ""en"", ""mt"")"),"X'inhu terminu ieħor għat-turbini?")</f>
        <v>X'inhu terminu ieħor għat-turbini?</v>
      </c>
    </row>
    <row r="20511" ht="15.75" customHeight="1">
      <c r="A20511" s="2" t="s">
        <v>20511</v>
      </c>
      <c r="B20511" s="2" t="str">
        <f>IFERROR(__xludf.DUMMYFUNCTION("GOOGLETRANSLATE(A20511, ""en"", ""mt"")"),"Kemm fatturi ta 'problemi tas-saħħa u soċjali ma identifikawx Wilkinson u Pickett?")</f>
        <v>Kemm fatturi ta 'problemi tas-saħħa u soċjali ma identifikawx Wilkinson u Pickett?</v>
      </c>
    </row>
    <row r="20512" ht="15.75" customHeight="1">
      <c r="A20512" s="2" t="s">
        <v>20512</v>
      </c>
      <c r="B20512" s="2" t="str">
        <f>IFERROR(__xludf.DUMMYFUNCTION("GOOGLETRANSLATE(A20512, ""en"", ""mt"")"),"X'kienu l-bidliet ċentrifugali fit-tagħbija li ma jistgħux jagħmlu?")</f>
        <v>X'kienu l-bidliet ċentrifugali fit-tagħbija li ma jistgħux jagħmlu?</v>
      </c>
    </row>
    <row r="20513" ht="15.75" customHeight="1">
      <c r="A20513" s="2" t="s">
        <v>20513</v>
      </c>
      <c r="B20513" s="2" t="str">
        <f>IFERROR(__xludf.DUMMYFUNCTION("GOOGLETRANSLATE(A20513, ""en"", ""mt"")"),"Ix-Xmara Trout")</f>
        <v>Ix-Xmara Trout</v>
      </c>
    </row>
    <row r="20514" ht="15.75" customHeight="1">
      <c r="A20514" s="2" t="s">
        <v>20514</v>
      </c>
      <c r="B20514" s="2" t="str">
        <f>IFERROR(__xludf.DUMMYFUNCTION("GOOGLETRANSLATE(A20514, ""en"", ""mt"")"),"Iż-żieda fil-livell tal-baħar attwali kienet 'il fuq mill-parti ta' fuq tal-firxa")</f>
        <v>Iż-żieda fil-livell tal-baħar attwali kienet 'il fuq mill-parti ta' fuq tal-firxa</v>
      </c>
    </row>
    <row r="20515" ht="15.75" customHeight="1">
      <c r="A20515" s="2" t="s">
        <v>20515</v>
      </c>
      <c r="B20515" s="2" t="str">
        <f>IFERROR(__xludf.DUMMYFUNCTION("GOOGLETRANSLATE(A20515, ""en"", ""mt"")"),"Mekkaniżmi ta 'tqassim mill-ġdid")</f>
        <v>Mekkaniżmi ta 'tqassim mill-ġdid</v>
      </c>
    </row>
    <row r="20516" ht="15.75" customHeight="1">
      <c r="A20516" s="2" t="s">
        <v>20516</v>
      </c>
      <c r="B20516" s="2" t="str">
        <f>IFERROR(__xludf.DUMMYFUNCTION("GOOGLETRANSLATE(A20516, ""en"", ""mt"")"),"Kostruzzjoni tal-Kumpless tax-Xjenza Allston $ 1.2 biljun")</f>
        <v>Kostruzzjoni tal-Kumpless tax-Xjenza Allston $ 1.2 biljun</v>
      </c>
    </row>
    <row r="20517" ht="15.75" customHeight="1">
      <c r="A20517" s="2" t="s">
        <v>20517</v>
      </c>
      <c r="B20517" s="2" t="str">
        <f>IFERROR(__xludf.DUMMYFUNCTION("GOOGLETRANSLATE(A20517, ""en"", ""mt"")"),"marġinalment aktar biss")</f>
        <v>marġinalment aktar biss</v>
      </c>
    </row>
    <row r="20518" ht="15.75" customHeight="1">
      <c r="A20518" s="2" t="s">
        <v>20518</v>
      </c>
      <c r="B20518" s="2" t="str">
        <f>IFERROR(__xludf.DUMMYFUNCTION("GOOGLETRANSLATE(A20518, ""en"", ""mt"")"),"Problemi semantiċi")</f>
        <v>Problemi semantiċi</v>
      </c>
    </row>
    <row r="20519" ht="15.75" customHeight="1">
      <c r="A20519" s="2" t="s">
        <v>20519</v>
      </c>
      <c r="B20519" s="2" t="str">
        <f>IFERROR(__xludf.DUMMYFUNCTION("GOOGLETRANSLATE(A20519, ""en"", ""mt"")"),"Kemm għandu fluss ta 'lava wara li jiksaħ?")</f>
        <v>Kemm għandu fluss ta 'lava wara li jiksaħ?</v>
      </c>
    </row>
    <row r="20520" ht="15.75" customHeight="1">
      <c r="A20520" s="2" t="s">
        <v>20520</v>
      </c>
      <c r="B20520" s="2" t="str">
        <f>IFERROR(__xludf.DUMMYFUNCTION("GOOGLETRANSLATE(A20520, ""en"", ""mt"")"),"Fuq liema bażi l-organizzazzjonijiet Iżlamiċi radikali jmexxu l-attakki tagħhom?")</f>
        <v>Fuq liema bażi l-organizzazzjonijiet Iżlamiċi radikali jmexxu l-attakki tagħhom?</v>
      </c>
    </row>
    <row r="20521" ht="15.75" customHeight="1">
      <c r="A20521" s="2" t="s">
        <v>20521</v>
      </c>
      <c r="B20521" s="2" t="str">
        <f>IFERROR(__xludf.DUMMYFUNCTION("GOOGLETRANSLATE(A20521, ""en"", ""mt"")"),"Jista 'jkollhom infinitament ħafna primes biss meta A u Q huma koprime, i.e., l-akbar divisor komuni tagħhom huwa wieħed. Jekk din il-kundizzjoni meħtieġa tkun sodisfatta, it-teorema ta 'Dirichlet fuq il-progressjonijiet aritmetiċi tafferma li l-progressj"&amp;"oni fiha ħafna primes infinitament. L-istampa hawn taħt turi dan bi q = 9: in-numri huma ""mgeżwra"" malli jiġi mgħoddi multiplu ta '9. Il-primes huma enfasizzati bl-aħmar. Ir-ringieli (= progressjonijiet) li jibdew b '= 3, 6, jew 9 fihom l-aktar numru ew"&amp;"lieni. Fir-ringieli l-oħra kollha (a = 1, 2, 4, 5, 7, u 8) hemm ħafna numri ewlenin. Barra minn hekk, il-primes huma mqassma bl-istess mod bejn dawk ir-ringieli fit-tul - id-densità tal-primes kollha kongruwenti Modulo 9 hija 1/6.")</f>
        <v>Jista 'jkollhom infinitament ħafna primes biss meta A u Q huma koprime, i.e., l-akbar divisor komuni tagħhom huwa wieħed. Jekk din il-kundizzjoni meħtieġa tkun sodisfatta, it-teorema ta 'Dirichlet fuq il-progressjonijiet aritmetiċi tafferma li l-progressjoni fiha ħafna primes infinitament. L-istampa hawn taħt turi dan bi q = 9: in-numri huma "mgeżwra" malli jiġi mgħoddi multiplu ta '9. Il-primes huma enfasizzati bl-aħmar. Ir-ringieli (= progressjonijiet) li jibdew b '= 3, 6, jew 9 fihom l-aktar numru ewlieni. Fir-ringieli l-oħra kollha (a = 1, 2, 4, 5, 7, u 8) hemm ħafna numri ewlenin. Barra minn hekk, il-primes huma mqassma bl-istess mod bejn dawk ir-ringieli fit-tul - id-densità tal-primes kollha kongruwenti Modulo 9 hija 1/6.</v>
      </c>
    </row>
    <row r="20522" ht="15.75" customHeight="1">
      <c r="A20522" s="2" t="s">
        <v>20522</v>
      </c>
      <c r="B20522" s="2" t="str">
        <f>IFERROR(__xludf.DUMMYFUNCTION("GOOGLETRANSLATE(A20522, ""en"", ""mt"")"),"X'tip ta 'skola qed isir inqas komuni fl-Iskozja?")</f>
        <v>X'tip ta 'skola qed isir inqas komuni fl-Iskozja?</v>
      </c>
    </row>
    <row r="20523" ht="15.75" customHeight="1">
      <c r="A20523" s="2" t="s">
        <v>20523</v>
      </c>
      <c r="B20523" s="2" t="str">
        <f>IFERROR(__xludf.DUMMYFUNCTION("GOOGLETRANSLATE(A20523, ""en"", ""mt"")"),"il-metodu ewlieni tagħhom ta 'lokomozzjoni")</f>
        <v>il-metodu ewlieni tagħhom ta 'lokomozzjoni</v>
      </c>
    </row>
    <row r="20524" ht="15.75" customHeight="1">
      <c r="A20524" s="2" t="s">
        <v>20524</v>
      </c>
      <c r="B20524" s="2" t="str">
        <f>IFERROR(__xludf.DUMMYFUNCTION("GOOGLETRANSLATE(A20524, ""en"", ""mt"")"),"X'inhi 'letteratura griża'?")</f>
        <v>X'inhi 'letteratura griża'?</v>
      </c>
    </row>
    <row r="20525" ht="15.75" customHeight="1">
      <c r="A20525" s="2" t="s">
        <v>20525</v>
      </c>
      <c r="B20525" s="2" t="str">
        <f>IFERROR(__xludf.DUMMYFUNCTION("GOOGLETRANSLATE(A20525, ""en"", ""mt"")"),"1629")</f>
        <v>1629</v>
      </c>
    </row>
    <row r="20526" ht="15.75" customHeight="1">
      <c r="A20526" s="2" t="s">
        <v>20526</v>
      </c>
      <c r="B20526" s="2" t="str">
        <f>IFERROR(__xludf.DUMMYFUNCTION("GOOGLETRANSLATE(A20526, ""en"", ""mt"")"),"Estrazzjoni ta 'ilma, faħam u idrokarburi")</f>
        <v>Estrazzjoni ta 'ilma, faħam u idrokarburi</v>
      </c>
    </row>
    <row r="20527" ht="15.75" customHeight="1">
      <c r="A20527" s="2" t="s">
        <v>20527</v>
      </c>
      <c r="B20527" s="2" t="str">
        <f>IFERROR(__xludf.DUMMYFUNCTION("GOOGLETRANSLATE(A20527, ""en"", ""mt"")"),"fehim intuwittiv")</f>
        <v>fehim intuwittiv</v>
      </c>
    </row>
    <row r="20528" ht="15.75" customHeight="1">
      <c r="A20528" s="2" t="s">
        <v>20528</v>
      </c>
      <c r="B20528" s="2" t="str">
        <f>IFERROR(__xludf.DUMMYFUNCTION("GOOGLETRANSLATE(A20528, ""en"", ""mt"")"),"Daidu")</f>
        <v>Daidu</v>
      </c>
    </row>
    <row r="20529" ht="15.75" customHeight="1">
      <c r="A20529" s="2" t="s">
        <v>20529</v>
      </c>
      <c r="B20529" s="2" t="str">
        <f>IFERROR(__xludf.DUMMYFUNCTION("GOOGLETRANSLATE(A20529, ""en"", ""mt"")"),"It-Torri Mitchell huwa ddisinjat biex jidher bħal dak it-Torri ta 'Oxford?")</f>
        <v>It-Torri Mitchell huwa ddisinjat biex jidher bħal dak it-Torri ta 'Oxford?</v>
      </c>
    </row>
    <row r="20530" ht="15.75" customHeight="1">
      <c r="A20530" s="2" t="s">
        <v>20530</v>
      </c>
      <c r="B20530" s="2" t="str">
        <f>IFERROR(__xludf.DUMMYFUNCTION("GOOGLETRANSLATE(A20530, ""en"", ""mt"")"),"Il-bord tal-IPCC huwa magħmul minn rappreżentanti maħtura minn gvernijiet u organizzazzjonijiet. Il-parteċipazzjoni ta 'delegati b'kompetenza xierqa hija mħeġġa. Is-sessjonijiet plenarji tal-gruppi ta 'ħidma tal-IPCC u tal-IPCC huma miżmuma fil-livell tar"&amp;"-rappreżentanti tal-gvern. Organizzazzjonijiet mhux governattivi u intergovernattivi jistgħu jitħallew jattendu bħala osservaturi. Is-sessjonijiet tal-Uffiċċju tal-IPCC, workshops, esperti u laqgħat tal-awturi ewlenin huma bi stedina biss. L-attendenza fi"&amp;"l-laqgħa tal-2003 kienet tinkludi 350 uffiċjal tal-gvern u esperti fil-bidla fil-klima. Wara ċ-ċerimonji tal-ftuħ, saru sessjonijiet plenarji magħluqa. Ir-rapport tal-laqgħa jiddikjara li kien hemm 322 persuna li attendew f’sessjonijiet b’madwar sebgħa u "&amp;"tmienja tal-parteċipanti li huma minn organizzazzjonijiet governattivi.")</f>
        <v>Il-bord tal-IPCC huwa magħmul minn rappreżentanti maħtura minn gvernijiet u organizzazzjonijiet. Il-parteċipazzjoni ta 'delegati b'kompetenza xierqa hija mħeġġa. Is-sessjonijiet plenarji tal-gruppi ta 'ħidma tal-IPCC u tal-IPCC huma miżmuma fil-livell tar-rappreżentanti tal-gvern. Organizzazzjonijiet mhux governattivi u intergovernattivi jistgħu jitħallew jattendu bħala osservaturi. Is-sessjonijiet tal-Uffiċċju tal-IPCC, workshops, esperti u laqgħat tal-awturi ewlenin huma bi stedina biss. L-attendenza fil-laqgħa tal-2003 kienet tinkludi 350 uffiċjal tal-gvern u esperti fil-bidla fil-klima. Wara ċ-ċerimonji tal-ftuħ, saru sessjonijiet plenarji magħluqa. Ir-rapport tal-laqgħa jiddikjara li kien hemm 322 persuna li attendew f’sessjonijiet b’madwar sebgħa u tmienja tal-parteċipanti li huma minn organizzazzjonijiet governattivi.</v>
      </c>
    </row>
    <row r="20531" ht="15.75" customHeight="1">
      <c r="A20531" s="2" t="s">
        <v>20531</v>
      </c>
      <c r="B20531" s="2" t="str">
        <f>IFERROR(__xludf.DUMMYFUNCTION("GOOGLETRANSLATE(A20531, ""en"", ""mt"")"),"Għalkemm mhux karburant ___ huwa l-kompost kimiku, jiġġenera l-iktar okkorrenza ta 'splużjonijiet.")</f>
        <v>Għalkemm mhux karburant ___ huwa l-kompost kimiku, jiġġenera l-iktar okkorrenza ta 'splużjonijiet.</v>
      </c>
    </row>
    <row r="20532" ht="15.75" customHeight="1">
      <c r="A20532" s="2" t="s">
        <v>20532</v>
      </c>
      <c r="B20532" s="2" t="str">
        <f>IFERROR(__xludf.DUMMYFUNCTION("GOOGLETRANSLATE(A20532, ""en"", ""mt"")"),"F'liema sena ħa r-raba 'president, Robert Maynard Hutchins ħa l-kariga?")</f>
        <v>F'liema sena ħa r-raba 'president, Robert Maynard Hutchins ħa l-kariga?</v>
      </c>
    </row>
    <row r="20533" ht="15.75" customHeight="1">
      <c r="A20533" s="2" t="s">
        <v>20533</v>
      </c>
      <c r="B20533" s="2" t="str">
        <f>IFERROR(__xludf.DUMMYFUNCTION("GOOGLETRANSLATE(A20533, ""en"", ""mt"")"),"Il-prinċipji ta 'l-imperjalizmu huma ta' spiss ġeneralizzati għall-politiki u l-prattiki ta 'l-Imperu Brittaniku ""matul l-aħħar ġenerazzjoni, u jipproċedu pjuttost b'dijanjosi milli b'deskrizzjoni storika"". L-imperjalizmu Brittaniku spiss uża l-kunċett "&amp;"ta 'terra nullius (espressjoni Latina li toħroġ mil-liġi Rumana li tfisser ""art vojta""). Il-pajjiż ta 'l-Awstralja jservi bħala studju ta' każ b'relazzjoni mal-ftehim Brittaniku u l-ħakma kolonjali tal-kontinent fis-seklu tmintax, kif kien ippremjat fuq"&amp;" Terra Nullius, u l-kolonizzaturi tiegħu qiesu li ma ntużawx mill-abitanti aboriġini skarsa tagħha.")</f>
        <v>Il-prinċipji ta 'l-imperjalizmu huma ta' spiss ġeneralizzati għall-politiki u l-prattiki ta 'l-Imperu Brittaniku "matul l-aħħar ġenerazzjoni, u jipproċedu pjuttost b'dijanjosi milli b'deskrizzjoni storika". L-imperjalizmu Brittaniku spiss uża l-kunċett ta 'terra nullius (espressjoni Latina li toħroġ mil-liġi Rumana li tfisser "art vojta"). Il-pajjiż ta 'l-Awstralja jservi bħala studju ta' każ b'relazzjoni mal-ftehim Brittaniku u l-ħakma kolonjali tal-kontinent fis-seklu tmintax, kif kien ippremjat fuq Terra Nullius, u l-kolonizzaturi tiegħu qiesu li ma ntużawx mill-abitanti aboriġini skarsa tagħha.</v>
      </c>
    </row>
    <row r="20534" ht="15.75" customHeight="1">
      <c r="A20534" s="2" t="s">
        <v>20534</v>
      </c>
      <c r="B20534" s="2" t="str">
        <f>IFERROR(__xludf.DUMMYFUNCTION("GOOGLETRANSLATE(A20534, ""en"", ""mt"")"),"Min ħabb lil Varsavja tant li baqa 'jpoġġih fil-poeżiji tiegħu?")</f>
        <v>Min ħabb lil Varsavja tant li baqa 'jpoġġih fil-poeżiji tiegħu?</v>
      </c>
    </row>
    <row r="20535" ht="15.75" customHeight="1">
      <c r="A20535" s="2" t="s">
        <v>20535</v>
      </c>
      <c r="B20535" s="2" t="str">
        <f>IFERROR(__xludf.DUMMYFUNCTION("GOOGLETRANSLATE(A20535, ""en"", ""mt"")"),"Kemm idum ir-Renu?")</f>
        <v>Kemm idum ir-Renu?</v>
      </c>
    </row>
    <row r="20536" ht="15.75" customHeight="1">
      <c r="A20536" s="2" t="s">
        <v>20536</v>
      </c>
      <c r="B20536" s="2" t="str">
        <f>IFERROR(__xludf.DUMMYFUNCTION("GOOGLETRANSLATE(A20536, ""en"", ""mt"")"),"Sky UK Limited (li qabel kienet British Sky Broadcasting jew BSKYB) hija kumpanija Ingliża tat-telekomunikazzjoni li sservi r-Renju Unit. Sky jipprovdi servizzi tal-internet tat-televiżjoni u tal-broadband u servizzi tat-telefon tal-linja fissa lill-konsu"&amp;"maturi u n-negozji fir-Renju Unit. Huwa l-ikbar xandar tat-TV Pay tar-Renju Unit bi 11-il miljun klijent mill-2015. Kien is-servizz tat-TV diġitali l-aktar popolari tar-Renju Unit sakemm inqabeż minn Freeview f'April 2007. Il-kwartieri ġenerali korporatti"&amp;"vi tiegħu huma bbażati f'Isleworth.")</f>
        <v>Sky UK Limited (li qabel kienet British Sky Broadcasting jew BSKYB) hija kumpanija Ingliża tat-telekomunikazzjoni li sservi r-Renju Unit. Sky jipprovdi servizzi tal-internet tat-televiżjoni u tal-broadband u servizzi tat-telefon tal-linja fissa lill-konsumaturi u n-negozji fir-Renju Unit. Huwa l-ikbar xandar tat-TV Pay tar-Renju Unit bi 11-il miljun klijent mill-2015. Kien is-servizz tat-TV diġitali l-aktar popolari tar-Renju Unit sakemm inqabeż minn Freeview f'April 2007. Il-kwartieri ġenerali korporattivi tiegħu huma bbażati f'Isleworth.</v>
      </c>
    </row>
    <row r="20537" ht="15.75" customHeight="1">
      <c r="A20537" s="2" t="s">
        <v>20537</v>
      </c>
      <c r="B20537" s="2" t="str">
        <f>IFERROR(__xludf.DUMMYFUNCTION("GOOGLETRANSLATE(A20537, ""en"", ""mt"")"),"Assent Royal: Wara li jkun għadda l-abbozz, l-uffiċjal li jippresiedi jissottomettih lill-Monarka għall-Assent Royal u jsir att tal-Parlament Skoċċiż. Madankollu huwa ma jistax jagħmel hekk sakemm ikun għadda perjodu ta '4 ġimgħat, li matulu l-uffiċjali t"&amp;"al-liġi tal-gvern Skoċċiż jew tal-gvern tar-Renju Unit jistgħu jirreferu l-abbozz lill-Qorti Suprema tar-Renju Unit għal deċiżjoni dwar jekk hux fil-poteri ta' Parlament. Atti tal-Parlament Skoċċiż ma jibdewx bi formula konvenzjonali li tippromwovi. Minfl"&amp;"ok jibdew bi frażi li tgħid: ""L-abbozz għal dan l-att tal-Parlament Skoċċiż ġie mgħoddi mill-Parlament fid-data [data] u rċieva kunsens irjali fid-data [data]"".")</f>
        <v>Assent Royal: Wara li jkun għadda l-abbozz, l-uffiċjal li jippresiedi jissottomettih lill-Monarka għall-Assent Royal u jsir att tal-Parlament Skoċċiż. Madankollu huwa ma jistax jagħmel hekk sakemm ikun għadda perjodu ta '4 ġimgħat, li matulu l-uffiċjali tal-liġi tal-gvern Skoċċiż jew tal-gvern tar-Renju Unit jistgħu jirreferu l-abbozz lill-Qorti Suprema tar-Renju Unit għal deċiżjoni dwar jekk hux fil-poteri ta' Parlament. Atti tal-Parlament Skoċċiż ma jibdewx bi formula konvenzjonali li tippromwovi. Minflok jibdew bi frażi li tgħid: "L-abbozz għal dan l-att tal-Parlament Skoċċiż ġie mgħoddi mill-Parlament fid-data [data] u rċieva kunsens irjali fid-data [data]".</v>
      </c>
    </row>
    <row r="20538" ht="15.75" customHeight="1">
      <c r="A20538" s="2" t="s">
        <v>20538</v>
      </c>
      <c r="B20538" s="2" t="str">
        <f>IFERROR(__xludf.DUMMYFUNCTION("GOOGLETRANSLATE(A20538, ""en"", ""mt"")"),"X'inhu s-soltu l-għan li tieħu bargain ta 'motiv?")</f>
        <v>X'inhu s-soltu l-għan li tieħu bargain ta 'motiv?</v>
      </c>
    </row>
    <row r="20539" ht="15.75" customHeight="1">
      <c r="A20539" s="2" t="s">
        <v>20539</v>
      </c>
      <c r="B20539" s="2" t="str">
        <f>IFERROR(__xludf.DUMMYFUNCTION("GOOGLETRANSLATE(A20539, ""en"", ""mt"")"),"Iż-żewġ timijiet elenkati jilagħbu għal liema grupp NCAA?")</f>
        <v>Iż-żewġ timijiet elenkati jilagħbu għal liema grupp NCAA?</v>
      </c>
    </row>
    <row r="20540" ht="15.75" customHeight="1">
      <c r="A20540" s="2" t="s">
        <v>20540</v>
      </c>
      <c r="B20540" s="2" t="str">
        <f>IFERROR(__xludf.DUMMYFUNCTION("GOOGLETRANSLATE(A20540, ""en"", ""mt"")"),"L-Artikolu 66 għal xiex ma jagħmilx dispożizzjonijiet?")</f>
        <v>L-Artikolu 66 għal xiex ma jagħmilx dispożizzjonijiet?</v>
      </c>
    </row>
    <row r="20541" ht="15.75" customHeight="1">
      <c r="A20541" s="2" t="s">
        <v>20541</v>
      </c>
      <c r="B20541" s="2" t="str">
        <f>IFERROR(__xludf.DUMMYFUNCTION("GOOGLETRANSLATE(A20541, ""en"", ""mt"")"),"Moviment tad-Drittijiet Ċivili Amerikani")</f>
        <v>Moviment tad-Drittijiet Ċivili Amerikani</v>
      </c>
    </row>
    <row r="20542" ht="15.75" customHeight="1">
      <c r="A20542" s="2" t="s">
        <v>20542</v>
      </c>
      <c r="B20542" s="2" t="str">
        <f>IFERROR(__xludf.DUMMYFUNCTION("GOOGLETRANSLATE(A20542, ""en"", ""mt"")"),"900,000")</f>
        <v>900,000</v>
      </c>
    </row>
    <row r="20543" ht="15.75" customHeight="1">
      <c r="A20543" s="2" t="s">
        <v>20543</v>
      </c>
      <c r="B20543" s="2" t="str">
        <f>IFERROR(__xludf.DUMMYFUNCTION("GOOGLETRANSLATE(A20543, ""en"", ""mt"")"),"Il-kulleġġ jagħti baċellerat fix-xjenza / l-arti gradi fi 28 maġġuri u kemm minorenni?")</f>
        <v>Il-kulleġġ jagħti baċellerat fix-xjenza / l-arti gradi fi 28 maġġuri u kemm minorenni?</v>
      </c>
    </row>
    <row r="20544" ht="15.75" customHeight="1">
      <c r="A20544" s="2" t="s">
        <v>20544</v>
      </c>
      <c r="B20544" s="2" t="str">
        <f>IFERROR(__xludf.DUMMYFUNCTION("GOOGLETRANSLATE(A20544, ""en"", ""mt"")"),"Xi jfisser mudell analogu li mudell numeriku ma jagħmilx?")</f>
        <v>Xi jfisser mudell analogu li mudell numeriku ma jagħmilx?</v>
      </c>
    </row>
    <row r="20545" ht="15.75" customHeight="1">
      <c r="A20545" s="2" t="s">
        <v>20545</v>
      </c>
      <c r="B20545" s="2" t="str">
        <f>IFERROR(__xludf.DUMMYFUNCTION("GOOGLETRANSLATE(A20545, ""en"", ""mt"")"),"Ddejjaqhom għar-reliġjon tagħhom")</f>
        <v>Ddejjaqhom għar-reliġjon tagħhom</v>
      </c>
    </row>
    <row r="20546" ht="15.75" customHeight="1">
      <c r="A20546" s="2" t="s">
        <v>20546</v>
      </c>
      <c r="B20546" s="2" t="str">
        <f>IFERROR(__xludf.DUMMYFUNCTION("GOOGLETRANSLATE(A20546, ""en"", ""mt"")"),"X'inhi l-iktar klassi qawwija ta 'mediċini anti-infjammatorji?")</f>
        <v>X'inhi l-iktar klassi qawwija ta 'mediċini anti-infjammatorji?</v>
      </c>
    </row>
    <row r="20547" ht="15.75" customHeight="1">
      <c r="A20547" s="2" t="s">
        <v>20547</v>
      </c>
      <c r="B20547" s="2" t="str">
        <f>IFERROR(__xludf.DUMMYFUNCTION("GOOGLETRANSLATE(A20547, ""en"", ""mt"")"),"Għal xiex il-lek tbiddel isimha?")</f>
        <v>Għal xiex il-lek tbiddel isimha?</v>
      </c>
    </row>
    <row r="20548" ht="15.75" customHeight="1">
      <c r="A20548" s="2" t="s">
        <v>20548</v>
      </c>
      <c r="B20548" s="2" t="str">
        <f>IFERROR(__xludf.DUMMYFUNCTION("GOOGLETRANSLATE(A20548, ""en"", ""mt"")"),"Min imexxi s-Sonderungsverbot?")</f>
        <v>Min imexxi s-Sonderungsverbot?</v>
      </c>
    </row>
    <row r="20549" ht="15.75" customHeight="1">
      <c r="A20549" s="2" t="s">
        <v>20549</v>
      </c>
      <c r="B20549" s="2" t="str">
        <f>IFERROR(__xludf.DUMMYFUNCTION("GOOGLETRANSLATE(A20549, ""en"", ""mt"")"),"Is-sistema immuni intrinsika tirrispondi b'mod ġeneriku, fis-sens li hu?")</f>
        <v>Is-sistema immuni intrinsika tirrispondi b'mod ġeneriku, fis-sens li hu?</v>
      </c>
    </row>
    <row r="20550" ht="15.75" customHeight="1">
      <c r="A20550" s="2" t="s">
        <v>20550</v>
      </c>
      <c r="B20550" s="2" t="str">
        <f>IFERROR(__xludf.DUMMYFUNCTION("GOOGLETRANSLATE(A20550, ""en"", ""mt"")"),"Xmara Noord")</f>
        <v>Xmara Noord</v>
      </c>
    </row>
    <row r="20551" ht="15.75" customHeight="1">
      <c r="A20551" s="2" t="s">
        <v>20551</v>
      </c>
      <c r="B20551" s="2" t="str">
        <f>IFERROR(__xludf.DUMMYFUNCTION("GOOGLETRANSLATE(A20551, ""en"", ""mt"")"),"Pjan aħjar ta 'Jacksonville")</f>
        <v>Pjan aħjar ta 'Jacksonville</v>
      </c>
    </row>
    <row r="20552" ht="15.75" customHeight="1">
      <c r="A20552" s="2" t="s">
        <v>20552</v>
      </c>
      <c r="B20552" s="2" t="str">
        <f>IFERROR(__xludf.DUMMYFUNCTION("GOOGLETRANSLATE(A20552, ""en"", ""mt"")"),"Kemm tista 'tapplika self għall-istudenti f'erba' snin f'Harvard?")</f>
        <v>Kemm tista 'tapplika self għall-istudenti f'erba' snin f'Harvard?</v>
      </c>
    </row>
    <row r="20553" ht="15.75" customHeight="1">
      <c r="A20553" s="2" t="s">
        <v>20553</v>
      </c>
      <c r="B20553" s="2" t="str">
        <f>IFERROR(__xludf.DUMMYFUNCTION("GOOGLETRANSLATE(A20553, ""en"", ""mt"")"),"Iskejjel magħluqa Huguenot")</f>
        <v>Iskejjel magħluqa Huguenot</v>
      </c>
    </row>
    <row r="20554" ht="15.75" customHeight="1">
      <c r="A20554" s="2" t="s">
        <v>20554</v>
      </c>
      <c r="B20554" s="2" t="str">
        <f>IFERROR(__xludf.DUMMYFUNCTION("GOOGLETRANSLATE(A20554, ""en"", ""mt"")"),"'Bucks Point'")</f>
        <v>'Bucks Point'</v>
      </c>
    </row>
    <row r="20555" ht="15.75" customHeight="1">
      <c r="A20555" s="2" t="s">
        <v>20555</v>
      </c>
      <c r="B20555" s="2" t="str">
        <f>IFERROR(__xludf.DUMMYFUNCTION("GOOGLETRANSLATE(A20555, ""en"", ""mt"")"),"Għal xiex huma applikati sekwenzi fossili?")</f>
        <v>Għal xiex huma applikati sekwenzi fossili?</v>
      </c>
    </row>
    <row r="20556" ht="15.75" customHeight="1">
      <c r="A20556" s="2" t="s">
        <v>20556</v>
      </c>
      <c r="B20556" s="2" t="str">
        <f>IFERROR(__xludf.DUMMYFUNCTION("GOOGLETRANSLATE(A20556, ""en"", ""mt"")"),"X'jattivaw il-proteini li jikkumplimentaw qabel ma jorbtu mal-mikrobi?")</f>
        <v>X'jattivaw il-proteini li jikkumplimentaw qabel ma jorbtu mal-mikrobi?</v>
      </c>
    </row>
    <row r="20557" ht="15.75" customHeight="1">
      <c r="A20557" s="2" t="s">
        <v>20557</v>
      </c>
      <c r="B20557" s="2" t="str">
        <f>IFERROR(__xludf.DUMMYFUNCTION("GOOGLETRANSLATE(A20557, ""en"", ""mt"")"),"150 Laureates Nobel")</f>
        <v>150 Laureates Nobel</v>
      </c>
    </row>
    <row r="20558" ht="15.75" customHeight="1">
      <c r="A20558" s="2" t="s">
        <v>20558</v>
      </c>
      <c r="B20558" s="2" t="str">
        <f>IFERROR(__xludf.DUMMYFUNCTION("GOOGLETRANSLATE(A20558, ""en"", ""mt"")"),"Uchicago jiddikjara li għandu x'tip ta 'esperjenza ta' tagħlim meta mqabbel ma 'universitajiet oħra?")</f>
        <v>Uchicago jiddikjara li għandu x'tip ta 'esperjenza ta' tagħlim meta mqabbel ma 'universitajiet oħra?</v>
      </c>
    </row>
    <row r="20559" ht="15.75" customHeight="1">
      <c r="A20559" s="2" t="s">
        <v>20559</v>
      </c>
      <c r="B20559" s="2" t="str">
        <f>IFERROR(__xludf.DUMMYFUNCTION("GOOGLETRANSLATE(A20559, ""en"", ""mt"")"),"Indirizz tad-Destinazzjoni, Indirizz tas-Sors, ​​u Numri tal-Port")</f>
        <v>Indirizz tad-Destinazzjoni, Indirizz tas-Sors, ​​u Numri tal-Port</v>
      </c>
    </row>
    <row r="20560" ht="15.75" customHeight="1">
      <c r="A20560" s="2" t="s">
        <v>20560</v>
      </c>
      <c r="B20560" s="2" t="str">
        <f>IFERROR(__xludf.DUMMYFUNCTION("GOOGLETRANSLATE(A20560, ""en"", ""mt"")"),"Minħabba l-fatt li l-burokrazija kienet iddominata minn El Temür, Tugh Temür huwa magħruf għall-kontribut kulturali tiegħu minflok. Huwa adotta bosta miżuri li jonoraw il-Confucianism u jippromwovu l-valuri kulturali Ċiniżi. L-isforz l-iktar konkret tiegħ"&amp;"u biex jippresonizza t-tagħlim Ċiniż kien li jwaqqaf l-Akkademja tal-Padiljun tal-Istilla tal-Letteratura (Ċiniż: 奎章閣學士院), l-ewwel stabbilit fir-rebbiegħa tal-1329 u ddisinjat biex iwettaq ""numru ta 'kompiti relatati mat-trasmissjoni ta 'kultura għolja C"&amp;"onfucian għall-istabbiliment imperjali Mongoljan "". L-akkademja kienet responsabbli biex tiġbor u tippubblika numru ta 'kotba, iżda l-iktar kisba importanti tagħha kienet il-kumpilazzjoni tagħha ta' kompendju istituzzjonali vast bl-isem ta 'Jingshi Dadia"&amp;"n (Ċiniż: 經世 經世 大典 大典 大典 經世 經世 經世 經世 經世 經世Tugh Temür appoġġa n-neo-konfuċjaniżmu ta 'Zhu Xi u ddedika ruħu wkoll fil-Buddiżmu.")</f>
        <v>Minħabba l-fatt li l-burokrazija kienet iddominata minn El Temür, Tugh Temür huwa magħruf għall-kontribut kulturali tiegħu minflok. Huwa adotta bosta miżuri li jonoraw il-Confucianism u jippromwovu l-valuri kulturali Ċiniżi. L-isforz l-iktar konkret tiegħu biex jippresonizza t-tagħlim Ċiniż kien li jwaqqaf l-Akkademja tal-Padiljun tal-Istilla tal-Letteratura (Ċiniż: 奎章閣學士院), l-ewwel stabbilit fir-rebbiegħa tal-1329 u ddisinjat biex iwettaq "numru ta 'kompiti relatati mat-trasmissjoni ta 'kultura għolja Confucian għall-istabbiliment imperjali Mongoljan ". L-akkademja kienet responsabbli biex tiġbor u tippubblika numru ta 'kotba, iżda l-iktar kisba importanti tagħha kienet il-kumpilazzjoni tagħha ta' kompendju istituzzjonali vast bl-isem ta 'Jingshi Dadian (Ċiniż: 經世 經世 大典 大典 大典 經世 經世 經世 經世 經世 經世Tugh Temür appoġġa n-neo-konfuċjaniżmu ta 'Zhu Xi u ddedika ruħu wkoll fil-Buddiżmu.</v>
      </c>
    </row>
    <row r="20561" ht="15.75" customHeight="1">
      <c r="A20561" s="2" t="s">
        <v>20561</v>
      </c>
      <c r="B20561" s="2" t="str">
        <f>IFERROR(__xludf.DUMMYFUNCTION("GOOGLETRANSLATE(A20561, ""en"", ""mt"")"),"Liema organizzazzjoni l-Ġeneral Gaafar al-Nimeiry skoraġġixxa lill-membri ta 'biex iservu fil-gvern tiegħu?")</f>
        <v>Liema organizzazzjoni l-Ġeneral Gaafar al-Nimeiry skoraġġixxa lill-membri ta 'biex iservu fil-gvern tiegħu?</v>
      </c>
    </row>
    <row r="20562" ht="15.75" customHeight="1">
      <c r="A20562" s="2" t="s">
        <v>20562</v>
      </c>
      <c r="B20562" s="2" t="str">
        <f>IFERROR(__xludf.DUMMYFUNCTION("GOOGLETRANSLATE(A20562, ""en"", ""mt"")"),"1303")</f>
        <v>1303</v>
      </c>
    </row>
    <row r="20563" ht="15.75" customHeight="1">
      <c r="A20563" s="2" t="s">
        <v>20563</v>
      </c>
      <c r="B20563" s="2" t="str">
        <f>IFERROR(__xludf.DUMMYFUNCTION("GOOGLETRANSLATE(A20563, ""en"", ""mt"")"),"Oneida Carry")</f>
        <v>Oneida Carry</v>
      </c>
    </row>
    <row r="20564" ht="15.75" customHeight="1">
      <c r="A20564" s="2" t="s">
        <v>20564</v>
      </c>
      <c r="B20564" s="2" t="str">
        <f>IFERROR(__xludf.DUMMYFUNCTION("GOOGLETRANSLATE(A20564, ""en"", ""mt"")"),"Mużew")</f>
        <v>Mużew</v>
      </c>
    </row>
    <row r="20565" ht="15.75" customHeight="1">
      <c r="A20565" s="2" t="s">
        <v>20565</v>
      </c>
      <c r="B20565" s="2" t="str">
        <f>IFERROR(__xludf.DUMMYFUNCTION("GOOGLETRANSLATE(A20565, ""en"", ""mt"")"),"Kristjaneżmu")</f>
        <v>Kristjaneżmu</v>
      </c>
    </row>
    <row r="20566" ht="15.75" customHeight="1">
      <c r="A20566" s="2" t="s">
        <v>20566</v>
      </c>
      <c r="B20566" s="2" t="str">
        <f>IFERROR(__xludf.DUMMYFUNCTION("GOOGLETRANSLATE(A20566, ""en"", ""mt"")"),"Wales")</f>
        <v>Wales</v>
      </c>
    </row>
    <row r="20567" ht="15.75" customHeight="1">
      <c r="A20567" s="2" t="s">
        <v>20567</v>
      </c>
      <c r="B20567" s="2" t="str">
        <f>IFERROR(__xludf.DUMMYFUNCTION("GOOGLETRANSLATE(A20567, ""en"", ""mt"")"),"Skond l-ipoteżi tal-funzjoni, iż-żero kollha tal-funzjoni ζ għandhom parti reali daqs 1/2 ħlief għal liema valuri ta 'S?")</f>
        <v>Skond l-ipoteżi tal-funzjoni, iż-żero kollha tal-funzjoni ζ għandhom parti reali daqs 1/2 ħlief għal liema valuri ta 'S?</v>
      </c>
    </row>
    <row r="20568" ht="15.75" customHeight="1">
      <c r="A20568" s="2" t="s">
        <v>20568</v>
      </c>
      <c r="B20568" s="2" t="str">
        <f>IFERROR(__xludf.DUMMYFUNCTION("GOOGLETRANSLATE(A20568, ""en"", ""mt"")"),"Ħafna anzjani issa qed jieħdu bosta mediċini iżda jkomplu jgħixu barra minn settings istituzzjonali")</f>
        <v>Ħafna anzjani issa qed jieħdu bosta mediċini iżda jkomplu jgħixu barra minn settings istituzzjonali</v>
      </c>
    </row>
    <row r="20569" ht="15.75" customHeight="1">
      <c r="A20569" s="2" t="s">
        <v>20569</v>
      </c>
      <c r="B20569" s="2" t="str">
        <f>IFERROR(__xludf.DUMMYFUNCTION("GOOGLETRANSLATE(A20569, ""en"", ""mt"")"),"X'inhi s-sistema nervuża protetta minnha?")</f>
        <v>X'inhi s-sistema nervuża protetta minnha?</v>
      </c>
    </row>
    <row r="20570" ht="15.75" customHeight="1">
      <c r="A20570" s="2" t="s">
        <v>20570</v>
      </c>
      <c r="B20570" s="2" t="str">
        <f>IFERROR(__xludf.DUMMYFUNCTION("GOOGLETRANSLATE(A20570, ""en"", ""mt"")"),"Minn liema reġjun tal-Ġappun huwa parti minn Hebei?")</f>
        <v>Minn liema reġjun tal-Ġappun huwa parti minn Hebei?</v>
      </c>
    </row>
    <row r="20571" ht="15.75" customHeight="1">
      <c r="A20571" s="2" t="s">
        <v>20571</v>
      </c>
      <c r="B20571" s="2" t="str">
        <f>IFERROR(__xludf.DUMMYFUNCTION("GOOGLETRANSLATE(A20571, ""en"", ""mt"")"),"X'jeżisti ma jeżistix taħt il-liġi tal-UE?")</f>
        <v>X'jeżisti ma jeżistix taħt il-liġi tal-UE?</v>
      </c>
    </row>
    <row r="20572" ht="15.75" customHeight="1">
      <c r="A20572" s="2" t="s">
        <v>20572</v>
      </c>
      <c r="B20572" s="2" t="str">
        <f>IFERROR(__xludf.DUMMYFUNCTION("GOOGLETRANSLATE(A20572, ""en"", ""mt"")"),"Duisburg")</f>
        <v>Duisburg</v>
      </c>
    </row>
    <row r="20573" ht="15.75" customHeight="1">
      <c r="A20573" s="2" t="s">
        <v>20573</v>
      </c>
      <c r="B20573" s="2" t="str">
        <f>IFERROR(__xludf.DUMMYFUNCTION("GOOGLETRANSLATE(A20573, ""en"", ""mt"")"),"N2 + 1.")</f>
        <v>N2 + 1.</v>
      </c>
    </row>
    <row r="20574" ht="15.75" customHeight="1">
      <c r="A20574" s="2" t="s">
        <v>20574</v>
      </c>
      <c r="B20574" s="2" t="str">
        <f>IFERROR(__xludf.DUMMYFUNCTION("GOOGLETRANSLATE(A20574, ""en"", ""mt"")"),"Lindau")</f>
        <v>Lindau</v>
      </c>
    </row>
    <row r="20575" ht="15.75" customHeight="1">
      <c r="A20575" s="2" t="s">
        <v>20575</v>
      </c>
      <c r="B20575" s="2" t="str">
        <f>IFERROR(__xludf.DUMMYFUNCTION("GOOGLETRANSLATE(A20575, ""en"", ""mt"")")," Kif ir-reġimi ma jiġġieldux kontra l-imperjalizmu kulturali?")</f>
        <v> Kif ir-reġimi ma jiġġieldux kontra l-imperjalizmu kulturali?</v>
      </c>
    </row>
    <row r="20576" ht="15.75" customHeight="1">
      <c r="A20576" s="2" t="s">
        <v>20576</v>
      </c>
      <c r="B20576" s="2" t="str">
        <f>IFERROR(__xludf.DUMMYFUNCTION("GOOGLETRANSLATE(A20576, ""en"", ""mt"")"),"F'liema direzzjoni kardinali minn Los Angeles huwa San Diego?")</f>
        <v>F'liema direzzjoni kardinali minn Los Angeles huwa San Diego?</v>
      </c>
    </row>
    <row r="20577" ht="15.75" customHeight="1">
      <c r="A20577" s="2" t="s">
        <v>20577</v>
      </c>
      <c r="B20577" s="2" t="str">
        <f>IFERROR(__xludf.DUMMYFUNCTION("GOOGLETRANSLATE(A20577, ""en"", ""mt"")"),"Kif kienet tipikament l-effiċjenza ta 'magna tal-fwar?")</f>
        <v>Kif kienet tipikament l-effiċjenza ta 'magna tal-fwar?</v>
      </c>
    </row>
    <row r="20578" ht="15.75" customHeight="1">
      <c r="A20578" s="2" t="s">
        <v>20578</v>
      </c>
      <c r="B20578" s="2" t="str">
        <f>IFERROR(__xludf.DUMMYFUNCTION("GOOGLETRANSLATE(A20578, ""en"", ""mt"")"),"Liema tliet affarijiet huma meħtieġa biex isseħħ il-kostruzzjoni?")</f>
        <v>Liema tliet affarijiet huma meħtieġa biex isseħħ il-kostruzzjoni?</v>
      </c>
    </row>
    <row r="20579" ht="15.75" customHeight="1">
      <c r="A20579" s="2" t="s">
        <v>20579</v>
      </c>
      <c r="B20579" s="2" t="str">
        <f>IFERROR(__xludf.DUMMYFUNCTION("GOOGLETRANSLATE(A20579, ""en"", ""mt"")"),"X'inhu dak li jirrikjedi kollaborazzjoni fir-rekwiżiti taż-żoni?")</f>
        <v>X'inhu dak li jirrikjedi kollaborazzjoni fir-rekwiżiti taż-żoni?</v>
      </c>
    </row>
    <row r="20580" ht="15.75" customHeight="1">
      <c r="A20580" s="2" t="s">
        <v>20580</v>
      </c>
      <c r="B20580" s="2" t="str">
        <f>IFERROR(__xludf.DUMMYFUNCTION("GOOGLETRANSLATE(A20580, ""en"", ""mt"")"),"Il-prinċipju tas-suċċessjoni faunal")</f>
        <v>Il-prinċipju tas-suċċessjoni faunal</v>
      </c>
    </row>
    <row r="20581" ht="15.75" customHeight="1">
      <c r="A20581" s="2" t="s">
        <v>20581</v>
      </c>
      <c r="B20581" s="2" t="str">
        <f>IFERROR(__xludf.DUMMYFUNCTION("GOOGLETRANSLATE(A20581, ""en"", ""mt"")"),"Liema persentaġġ ta 'għajnuna finanzjarja totali għal dawk li għadhom ma ggradwawx minn Harvard kien fil-forma ta' għotjiet?")</f>
        <v>Liema persentaġġ ta 'għajnuna finanzjarja totali għal dawk li għadhom ma ggradwawx minn Harvard kien fil-forma ta' għotjiet?</v>
      </c>
    </row>
    <row r="20582" ht="15.75" customHeight="1">
      <c r="A20582" s="2" t="s">
        <v>20582</v>
      </c>
      <c r="B20582" s="2" t="str">
        <f>IFERROR(__xludf.DUMMYFUNCTION("GOOGLETRANSLATE(A20582, ""en"", ""mt"")"),"Wara r-revoka tal-editt ta 'Nantes, ir-Repubblika Olandiża rċeviet l-akbar grupp ta' refuġjati Huguenot, total stmat ta '75,000 sa 100,000 persuna. Fost dawn kien hemm 200 kleru. Ħafna ġew mir-reġjun ta 'Cévennes, pereżempju, il-villaġġ ta' Fraissinet-de-"&amp;"Lozère. Dan kien influss enormi peress li l-popolazzjoni kollha tar-repubblika Olandiża kienet tammonta għal ca. 2 miljun dak iż-żmien. Madwar l-1700, huwa stmat li kważi 25% tal-popolazzjoni ta 'Amsterdam kienet Huguenot. [Ċitazzjoni meħtieġa] fl-1705, A"&amp;"msterdam u ż-żona ta' West Frisia kienu l-ewwel żoni li pprovdew drittijiet sħaħ liċ-ċittadini għall-immigranti Huguenot, segwiti mir-Repubblika Olandiża fi 1715. Huguenots żarmat mal-Olandiż mill-bidu.")</f>
        <v>Wara r-revoka tal-editt ta 'Nantes, ir-Repubblika Olandiża rċeviet l-akbar grupp ta' refuġjati Huguenot, total stmat ta '75,000 sa 100,000 persuna. Fost dawn kien hemm 200 kleru. Ħafna ġew mir-reġjun ta 'Cévennes, pereżempju, il-villaġġ ta' Fraissinet-de-Lozère. Dan kien influss enormi peress li l-popolazzjoni kollha tar-repubblika Olandiża kienet tammonta għal ca. 2 miljun dak iż-żmien. Madwar l-1700, huwa stmat li kważi 25% tal-popolazzjoni ta 'Amsterdam kienet Huguenot. [Ċitazzjoni meħtieġa] fl-1705, Amsterdam u ż-żona ta' West Frisia kienu l-ewwel żoni li pprovdew drittijiet sħaħ liċ-ċittadini għall-immigranti Huguenot, segwiti mir-Repubblika Olandiża fi 1715. Huguenots żarmat mal-Olandiż mill-bidu.</v>
      </c>
    </row>
    <row r="20583" ht="15.75" customHeight="1">
      <c r="A20583" s="2" t="s">
        <v>20583</v>
      </c>
      <c r="B20583" s="2" t="str">
        <f>IFERROR(__xludf.DUMMYFUNCTION("GOOGLETRANSLATE(A20583, ""en"", ""mt"")"),"Liema ċelloli jintużaw biex jimmultiplikaw iċ-ċelloli anormali?")</f>
        <v>Liema ċelloli jintużaw biex jimmultiplikaw iċ-ċelloli anormali?</v>
      </c>
    </row>
    <row r="20584" ht="15.75" customHeight="1">
      <c r="A20584" s="2" t="s">
        <v>20584</v>
      </c>
      <c r="B20584" s="2" t="str">
        <f>IFERROR(__xludf.DUMMYFUNCTION("GOOGLETRANSLATE(A20584, ""en"", ""mt"")"),"l-elettroni mhux imqabbla tagħha")</f>
        <v>l-elettroni mhux imqabbla tagħha</v>
      </c>
    </row>
    <row r="20585" ht="15.75" customHeight="1">
      <c r="A20585" s="2" t="s">
        <v>20585</v>
      </c>
      <c r="B20585" s="2" t="str">
        <f>IFERROR(__xludf.DUMMYFUNCTION("GOOGLETRANSLATE(A20585, ""en"", ""mt"")"),"le")</f>
        <v>le</v>
      </c>
    </row>
    <row r="20586" ht="15.75" customHeight="1">
      <c r="A20586" s="2" t="s">
        <v>20586</v>
      </c>
      <c r="B20586" s="2" t="str">
        <f>IFERROR(__xludf.DUMMYFUNCTION("GOOGLETRANSLATE(A20586, ""en"", ""mt"")"),"Komunista")</f>
        <v>Komunista</v>
      </c>
    </row>
    <row r="20587" ht="15.75" customHeight="1">
      <c r="A20587" s="2" t="s">
        <v>20587</v>
      </c>
      <c r="B20587" s="2" t="str">
        <f>IFERROR(__xludf.DUMMYFUNCTION("GOOGLETRANSLATE(A20587, ""en"", ""mt"")"),"Immunosoppressivi")</f>
        <v>Immunosoppressivi</v>
      </c>
    </row>
    <row r="20588" ht="15.75" customHeight="1">
      <c r="A20588" s="2" t="s">
        <v>20588</v>
      </c>
      <c r="B20588" s="2" t="str">
        <f>IFERROR(__xludf.DUMMYFUNCTION("GOOGLETRANSLATE(A20588, ""en"", ""mt"")"),"Operazzjoni ewlenija waħda")</f>
        <v>Operazzjoni ewlenija waħda</v>
      </c>
    </row>
    <row r="20589" ht="15.75" customHeight="1">
      <c r="A20589" s="2" t="s">
        <v>20589</v>
      </c>
      <c r="B20589" s="2" t="str">
        <f>IFERROR(__xludf.DUMMYFUNCTION("GOOGLETRANSLATE(A20589, ""en"", ""mt"")"),"X'tip ta 'żoni forestali jistgħu jinstabu fuq l-ogħla fosos?")</f>
        <v>X'tip ta 'żoni forestali jistgħu jinstabu fuq l-ogħla fosos?</v>
      </c>
    </row>
    <row r="20590" ht="15.75" customHeight="1">
      <c r="A20590" s="2" t="s">
        <v>20590</v>
      </c>
      <c r="B20590" s="2" t="str">
        <f>IFERROR(__xludf.DUMMYFUNCTION("GOOGLETRANSLATE(A20590, ""en"", ""mt"")"),"Kif huwa manifestat il-Priciple Esklużjoni Pauli fid-dinja makro?")</f>
        <v>Kif huwa manifestat il-Priciple Esklużjoni Pauli fid-dinja makro?</v>
      </c>
    </row>
    <row r="20591" ht="15.75" customHeight="1">
      <c r="A20591" s="2" t="s">
        <v>20591</v>
      </c>
      <c r="B20591" s="2" t="str">
        <f>IFERROR(__xludf.DUMMYFUNCTION("GOOGLETRANSLATE(A20591, ""en"", ""mt"")"),"Kif tissejjaħ meta r-rata tat-taxxa u l-ammont tal-bażi jonqsu fl-istess ħin?")</f>
        <v>Kif tissejjaħ meta r-rata tat-taxxa u l-ammont tal-bażi jonqsu fl-istess ħin?</v>
      </c>
    </row>
    <row r="20592" ht="15.75" customHeight="1">
      <c r="A20592" s="2" t="s">
        <v>20592</v>
      </c>
      <c r="B20592" s="2" t="str">
        <f>IFERROR(__xludf.DUMMYFUNCTION("GOOGLETRANSLATE(A20592, ""en"", ""mt"")"),"Inġinerija tal-Aħbarijiet-Record (ENR)")</f>
        <v>Inġinerija tal-Aħbarijiet-Record (ENR)</v>
      </c>
    </row>
    <row r="20593" ht="15.75" customHeight="1">
      <c r="A20593" s="2" t="s">
        <v>20593</v>
      </c>
      <c r="B20593" s="2" t="str">
        <f>IFERROR(__xludf.DUMMYFUNCTION("GOOGLETRANSLATE(A20593, ""en"", ""mt"")"),"Min għamel kejl sperimentali fuq ċiklu ta 'mudell ta' Rankine?")</f>
        <v>Min għamel kejl sperimentali fuq ċiklu ta 'mudell ta' Rankine?</v>
      </c>
    </row>
    <row r="20594" ht="15.75" customHeight="1">
      <c r="A20594" s="2" t="s">
        <v>20594</v>
      </c>
      <c r="B20594" s="2" t="str">
        <f>IFERROR(__xludf.DUMMYFUNCTION("GOOGLETRANSLATE(A20594, ""en"", ""mt"")"),"Ġibiltà u l-Gżejjer Åland")</f>
        <v>Ġibiltà u l-Gżejjer Åland</v>
      </c>
    </row>
    <row r="20595" ht="15.75" customHeight="1">
      <c r="A20595" s="2" t="s">
        <v>20595</v>
      </c>
      <c r="B20595" s="2" t="str">
        <f>IFERROR(__xludf.DUMMYFUNCTION("GOOGLETRANSLATE(A20595, ""en"", ""mt"")"),"X'tip ta 'kurrent elettriku huwa meħtieġ għall-elettroliżi?")</f>
        <v>X'tip ta 'kurrent elettriku huwa meħtieġ għall-elettroliżi?</v>
      </c>
    </row>
    <row r="20596" ht="15.75" customHeight="1">
      <c r="A20596" s="2" t="s">
        <v>20596</v>
      </c>
      <c r="B20596" s="2" t="str">
        <f>IFERROR(__xludf.DUMMYFUNCTION("GOOGLETRANSLATE(A20596, ""en"", ""mt"")"),"Liema riċerkatur wera li l-arja hija neċessità għall-kombustjoni?")</f>
        <v>Liema riċerkatur wera li l-arja hija neċessità għall-kombustjoni?</v>
      </c>
    </row>
    <row r="20597" ht="15.75" customHeight="1">
      <c r="A20597" s="2" t="s">
        <v>20597</v>
      </c>
      <c r="B20597" s="2" t="str">
        <f>IFERROR(__xludf.DUMMYFUNCTION("GOOGLETRANSLATE(A20597, ""en"", ""mt"")"),"Qorti Ewropea tal-Ġustizzja")</f>
        <v>Qorti Ewropea tal-Ġustizzja</v>
      </c>
    </row>
    <row r="20598" ht="15.75" customHeight="1">
      <c r="A20598" s="2" t="s">
        <v>20598</v>
      </c>
      <c r="B20598" s="2" t="str">
        <f>IFERROR(__xludf.DUMMYFUNCTION("GOOGLETRANSLATE(A20598, ""en"", ""mt"")"),"1933")</f>
        <v>1933</v>
      </c>
    </row>
    <row r="20599" ht="15.75" customHeight="1">
      <c r="A20599" s="2" t="s">
        <v>20599</v>
      </c>
      <c r="B20599" s="2" t="str">
        <f>IFERROR(__xludf.DUMMYFUNCTION("GOOGLETRANSLATE(A20599, ""en"", ""mt"")"),"X'ġara fir-Renju Unit jekk użajt iktar mir-razzjon ta 'l-elettriku tiegħek?")</f>
        <v>X'ġara fir-Renju Unit jekk użajt iktar mir-razzjon ta 'l-elettriku tiegħek?</v>
      </c>
    </row>
    <row r="20600" ht="15.75" customHeight="1">
      <c r="A20600" s="2" t="s">
        <v>20600</v>
      </c>
      <c r="B20600" s="2" t="str">
        <f>IFERROR(__xludf.DUMMYFUNCTION("GOOGLETRANSLATE(A20600, ""en"", ""mt"")"),"Il-moviment liberu tal-merkanzija fl-Unjoni Ewropea jinkiseb minn unjoni doganali, u l-prinċipju tan-nondiskriminazzjoni. L-UE timmaniġġja importazzjonijiet minn stati mhux membri, id-dmirijiet bejn l-istati membri huma pprojbiti, u l-importazzjonijiet ji"&amp;"ċċirkolaw liberament. Barra minn hekk taħt it-trattat dwar il-funzjonament tal-Artikolu 34 tal-Unjoni Ewropea, ""restrizzjonijiet kwantitattivi fuq l-importazzjonijiet u l-miżuri kollha li għandhom effett ekwivalenti għandhom ikunu pprojbiti bejn l-Istati"&amp;" Membri"". Fl-Actureur du Roi vsonville, il-Qorti tal-Ġustizzja ddeċidiet li din ir-regola kienet tfisser ir- ""regoli tal-kummerċ"" kollha li huma ""promulgati mill-istati membri"" li jistgħu jxekklu l-kummerċ ""direttament jew indirettament, fil-fatt je"&amp;"w potenzjalment"" jinqabdu mill-Artikolu 34. Li liġi Belġjana li tirrikjedi l-importazzjonijiet tal-whisky Skoċċiż li jkollu ċertifikat ta 'oriġini x'aktarx ma jkunx legali. Huwa diskriminat kontra importaturi paralleli bħas-Sur Dassonville, li ma setgħux"&amp;" jiksbu ċertifikati mill-awtoritajiet fi Franza, fejn xtraw l-Iskoċċi. Dan it- ""test wiesa '"", biex jiddetermina dak li potenzjalment jista' jkun restrizzjoni illegali fuq il-kummerċ, japplika bl-istess mod għal azzjonijiet minn korpi kważi-governattivi"&amp;", bħall-eks kumpanija ""Buy Irish"" li kellha maħtura tal-gvern. Dan ifisser ukoll li l-istati jistgħu jkunu responsabbli għall-atturi privati. Pereżempju, fil-kummissjoni v Franza l-viġilanti tal-bidwi Franċiż kienu kontinwament sabotaging vjeġġi ta 'fra"&amp;"wli Spanjoli, u anke importazzjonijiet tat-tadam Belġjani. Franza kienet responsabbli għal dawn il-bidu li jinnegozjaw minħabba li l-awtoritajiet ""manifestament u persistenti astjenew"" milli jipprevjenu s-sabotaġġ. B'mod ġenerali, jekk Stat Membru jkoll"&amp;"u liġijiet jew prattiki li jiddiskriminaw direttament kontra l-importazzjonijiet (jew l-esportazzjonijiet taħt l-Artikolu 35 tat-TFEU) allura għandu jkun iġġustifikat skont l-Artikolu 36. Il-ġustifikazzjonijiet jinkludu moralità pubblika, politika jew sig"&amp;"urtà, ""protezzjoni tas-saħħa u l-ħajja ta ' bnedmin, annimali jew pjanti "","" teżori nazzjonali ""ta '"" valur artistiku, storiku jew arkeoloġiku ""u"" proprjetà industrijali u kummerċjali. "" Barra minn hekk, għalkemm mhux elenkata b'mod ċar, il-protez"&amp;"zjoni ambjentali tista 'tiġġustifika restrizzjonijiet fuq il-kummerċ bħala rekwiżit importanti derivat mill-Artikolu 11 tat-TFEU 11. B'mod aktar ġenerali, ġie rikonoxxut dejjem aktar li d-drittijiet fundamentali tal-bniedem għandhom jieħdu prijorità fuq i"&amp;"r-regoli kummerċjali kollha. Allura, fi Schmidberger vs l-Awstrija, il-Qorti tal-Ġustizzja ddeċidiet li l-Awstrija ma kinitx kisret l-Artikolu 34 billi naqset milli tipprojbixxi protesta li imblukkat traffiku qawwi li jgħaddi minn fuq l-A13, Brenner Autob"&amp;"ahn, fi triqthom lejn l-Italja. Għalkemm ħafna kumpaniji, inkluża l-impriża Ġermaniża tas-Sur Schmidberger, ġew evitati milli jinnegozjaw, il-Qorti tal-Ġustizzja rraġunaw li l-libertà ta 'assoċjazzjoni hija waħda mill- ""pilastri fundamentali ta' soċjetà "&amp;"demokratika"", li kontriha l-moviment liberu tal-merkanzija kellu jkun ibbilanċjat, u probabbilment kien subordinat. Jekk Stat Membru jappella għall-ġustifikazzjoni tal-Artikolu 36, il-miżuri li tieħu għandhom jiġu applikati proporzjonalment. Dan ifisser "&amp;"li r-regola għandha tkun segwita għan leġittimu u (1) tkun adattata biex jinkiseb l-għan, (2) ikun meħtieġ, sabiex miżura inqas restrittiva ma tistax tikseb l-istess riżultat, u (3) tkun raġonevoli fl-ibbilanċjar tal-interessi ta 'kummerċ ħieles b'interes"&amp;"si fl-Artikolu 36.")</f>
        <v>Il-moviment liberu tal-merkanzija fl-Unjoni Ewropea jinkiseb minn unjoni doganali, u l-prinċipju tan-nondiskriminazzjoni. L-UE timmaniġġja importazzjonijiet minn stati mhux membri, id-dmirijiet bejn l-istati membri huma pprojbiti, u l-importazzjonijiet jiċċirkolaw liberament. Barra minn hekk taħt it-trattat dwar il-funzjonament tal-Artikolu 34 tal-Unjoni Ewropea, "restrizzjonijiet kwantitattivi fuq l-importazzjonijiet u l-miżuri kollha li għandhom effett ekwivalenti għandhom ikunu pprojbiti bejn l-Istati Membri". Fl-Actureur du Roi vsonville, il-Qorti tal-Ġustizzja ddeċidiet li din ir-regola kienet tfisser ir- "regoli tal-kummerċ" kollha li huma "promulgati mill-istati membri" li jistgħu jxekklu l-kummerċ "direttament jew indirettament, fil-fatt jew potenzjalment" jinqabdu mill-Artikolu 34. Li liġi Belġjana li tirrikjedi l-importazzjonijiet tal-whisky Skoċċiż li jkollu ċertifikat ta 'oriġini x'aktarx ma jkunx legali. Huwa diskriminat kontra importaturi paralleli bħas-Sur Dassonville, li ma setgħux jiksbu ċertifikati mill-awtoritajiet fi Franza, fejn xtraw l-Iskoċċi. Dan it- "test wiesa '", biex jiddetermina dak li potenzjalment jista' jkun restrizzjoni illegali fuq il-kummerċ, japplika bl-istess mod għal azzjonijiet minn korpi kważi-governattivi, bħall-eks kumpanija "Buy Irish" li kellha maħtura tal-gvern. Dan ifisser ukoll li l-istati jistgħu jkunu responsabbli għall-atturi privati. Pereżempju, fil-kummissjoni v Franza l-viġilanti tal-bidwi Franċiż kienu kontinwament sabotaging vjeġġi ta 'frawli Spanjoli, u anke importazzjonijiet tat-tadam Belġjani. Franza kienet responsabbli għal dawn il-bidu li jinnegozjaw minħabba li l-awtoritajiet "manifestament u persistenti astjenew" milli jipprevjenu s-sabotaġġ. B'mod ġenerali, jekk Stat Membru jkollu liġijiet jew prattiki li jiddiskriminaw direttament kontra l-importazzjonijiet (jew l-esportazzjonijiet taħt l-Artikolu 35 tat-TFEU) allura għandu jkun iġġustifikat skont l-Artikolu 36. Il-ġustifikazzjonijiet jinkludu moralità pubblika, politika jew sigurtà, "protezzjoni tas-saħħa u l-ħajja ta ' bnedmin, annimali jew pjanti "," teżori nazzjonali "ta '" valur artistiku, storiku jew arkeoloġiku "u" proprjetà industrijali u kummerċjali. " Barra minn hekk, għalkemm mhux elenkata b'mod ċar, il-protezzjoni ambjentali tista 'tiġġustifika restrizzjonijiet fuq il-kummerċ bħala rekwiżit importanti derivat mill-Artikolu 11 tat-TFEU 11. B'mod aktar ġenerali, ġie rikonoxxut dejjem aktar li d-drittijiet fundamentali tal-bniedem għandhom jieħdu prijorità fuq ir-regoli kummerċjali kollha. Allura, fi Schmidberger vs l-Awstrija, il-Qorti tal-Ġustizzja ddeċidiet li l-Awstrija ma kinitx kisret l-Artikolu 34 billi naqset milli tipprojbixxi protesta li imblukkat traffiku qawwi li jgħaddi minn fuq l-A13, Brenner Autobahn, fi triqthom lejn l-Italja. Għalkemm ħafna kumpaniji, inkluża l-impriża Ġermaniża tas-Sur Schmidberger, ġew evitati milli jinnegozjaw, il-Qorti tal-Ġustizzja rraġunaw li l-libertà ta 'assoċjazzjoni hija waħda mill- "pilastri fundamentali ta' soċjetà demokratika", li kontriha l-moviment liberu tal-merkanzija kellu jkun ibbilanċjat, u probabbilment kien subordinat. Jekk Stat Membru jappella għall-ġustifikazzjoni tal-Artikolu 36, il-miżuri li tieħu għandhom jiġu applikati proporzjonalment. Dan ifisser li r-regola għandha tkun segwita għan leġittimu u (1) tkun adattata biex jinkiseb l-għan, (2) ikun meħtieġ, sabiex miżura inqas restrittiva ma tistax tikseb l-istess riżultat, u (3) tkun raġonevoli fl-ibbilanċjar tal-interessi ta 'kummerċ ħieles b'interessi fl-Artikolu 36.</v>
      </c>
    </row>
    <row r="20601" ht="15.75" customHeight="1">
      <c r="A20601" s="2" t="s">
        <v>20601</v>
      </c>
      <c r="B20601" s="2" t="str">
        <f>IFERROR(__xludf.DUMMYFUNCTION("GOOGLETRANSLATE(A20601, ""en"", ""mt"")"),"kien preżenti x'imkien fl-Ewropa kull sena bejn l-1346 u l-1671")</f>
        <v>kien preżenti x'imkien fl-Ewropa kull sena bejn l-1346 u l-1671</v>
      </c>
    </row>
    <row r="20602" ht="15.75" customHeight="1">
      <c r="A20602" s="2" t="s">
        <v>20602</v>
      </c>
      <c r="B20602" s="2" t="str">
        <f>IFERROR(__xludf.DUMMYFUNCTION("GOOGLETRANSLATE(A20602, ""en"", ""mt"")"),"Meta spiċċat l-ewwel pandemija?")</f>
        <v>Meta spiċċat l-ewwel pandemija?</v>
      </c>
    </row>
    <row r="20603" ht="15.75" customHeight="1">
      <c r="A20603" s="2" t="s">
        <v>20603</v>
      </c>
      <c r="B20603" s="2" t="str">
        <f>IFERROR(__xludf.DUMMYFUNCTION("GOOGLETRANSLATE(A20603, ""en"", ""mt"")"),"Punent")</f>
        <v>Punent</v>
      </c>
    </row>
    <row r="20604" ht="15.75" customHeight="1">
      <c r="A20604" s="2" t="s">
        <v>20604</v>
      </c>
      <c r="B20604" s="2" t="str">
        <f>IFERROR(__xludf.DUMMYFUNCTION("GOOGLETRANSLATE(A20604, ""en"", ""mt"")"),"Rumani")</f>
        <v>Rumani</v>
      </c>
    </row>
    <row r="20605" ht="15.75" customHeight="1">
      <c r="A20605" s="2" t="s">
        <v>20605</v>
      </c>
      <c r="B20605" s="2" t="str">
        <f>IFERROR(__xludf.DUMMYFUNCTION("GOOGLETRANSLATE(A20605, ""en"", ""mt"")"),"Liema rata ta 'taxxa għandha relazzjoni indiretta mal-inugwaljanza tad-dħul?")</f>
        <v>Liema rata ta 'taxxa għandha relazzjoni indiretta mal-inugwaljanza tad-dħul?</v>
      </c>
    </row>
    <row r="20606" ht="15.75" customHeight="1">
      <c r="A20606" s="2" t="s">
        <v>20606</v>
      </c>
      <c r="B20606" s="2" t="str">
        <f>IFERROR(__xludf.DUMMYFUNCTION("GOOGLETRANSLATE(A20606, ""en"", ""mt"")"),"il-ħin meħud")</f>
        <v>il-ħin meħud</v>
      </c>
    </row>
    <row r="20607" ht="15.75" customHeight="1">
      <c r="A20607" s="2" t="s">
        <v>20607</v>
      </c>
      <c r="B20607" s="2" t="str">
        <f>IFERROR(__xludf.DUMMYFUNCTION("GOOGLETRANSLATE(A20607, ""en"", ""mt"")"),"Kemm ma ddumx il-ġlied f'seba 'snin gwerra")</f>
        <v>Kemm ma ddumx il-ġlied f'seba 'snin gwerra</v>
      </c>
    </row>
    <row r="20608" ht="15.75" customHeight="1">
      <c r="A20608" s="2" t="s">
        <v>20608</v>
      </c>
      <c r="B20608" s="2" t="str">
        <f>IFERROR(__xludf.DUMMYFUNCTION("GOOGLETRANSLATE(A20608, ""en"", ""mt"")"),"Liema kumpanija qatt ma espandiet il-pjattaforma tagħhom?")</f>
        <v>Liema kumpanija qatt ma espandiet il-pjattaforma tagħhom?</v>
      </c>
    </row>
    <row r="20609" ht="15.75" customHeight="1">
      <c r="A20609" s="2" t="s">
        <v>20609</v>
      </c>
      <c r="B20609" s="2" t="str">
        <f>IFERROR(__xludf.DUMMYFUNCTION("GOOGLETRANSLATE(A20609, ""en"", ""mt"")"),"X'inhu d-Distrett tan-Negozju Ċentrali ta 'San Diego?")</f>
        <v>X'inhu d-Distrett tan-Negozju Ċentrali ta 'San Diego?</v>
      </c>
    </row>
    <row r="20610" ht="15.75" customHeight="1">
      <c r="A20610" s="2" t="s">
        <v>20610</v>
      </c>
      <c r="B20610" s="2" t="str">
        <f>IFERROR(__xludf.DUMMYFUNCTION("GOOGLETRANSLATE(A20610, ""en"", ""mt"")"),"Il-Kastell Royal Ujazdów tas-seklu 17 bħalissa fih iċ-Ċentru għall-Arti Kontemporanja, b'xi wirjiet permanenti u temporanji, kunċerti, wirjiet u workshops kreattivi. Iċ-ċentru bħalissa jirrealizza madwar 500 proġett fis-sena. Zachęta National Gallery of A"&amp;"rt, l-eqdem sit tal-wirja f'Varsavja, bi tradizzjoni li tiġbed lura lejn nofs is-seklu 19 jorganizza esibizzjonijiet ta 'arti moderna minn artisti Pollakki u internazzjonali u tippromwovi l-arti f'ħafna modi oħra. Mill-2011 Weekend tal-Gallerija ta ’Varsa"&amp;"vja sar fil-weekend li għadda ta’ Settembru.")</f>
        <v>Il-Kastell Royal Ujazdów tas-seklu 17 bħalissa fih iċ-Ċentru għall-Arti Kontemporanja, b'xi wirjiet permanenti u temporanji, kunċerti, wirjiet u workshops kreattivi. Iċ-ċentru bħalissa jirrealizza madwar 500 proġett fis-sena. Zachęta National Gallery of Art, l-eqdem sit tal-wirja f'Varsavja, bi tradizzjoni li tiġbed lura lejn nofs is-seklu 19 jorganizza esibizzjonijiet ta 'arti moderna minn artisti Pollakki u internazzjonali u tippromwovi l-arti f'ħafna modi oħra. Mill-2011 Weekend tal-Gallerija ta ’Varsavja sar fil-weekend li għadda ta’ Settembru.</v>
      </c>
    </row>
    <row r="20611" ht="15.75" customHeight="1">
      <c r="A20611" s="2" t="s">
        <v>20611</v>
      </c>
      <c r="B20611" s="2" t="str">
        <f>IFERROR(__xludf.DUMMYFUNCTION("GOOGLETRANSLATE(A20611, ""en"", ""mt"")"),"Is-sistema immunitarja tipproduċi wkoll liema molekuli sabiex tippermetti l-qerda tat-tumur mis-sistema tal-komplement?")</f>
        <v>Is-sistema immunitarja tipproduċi wkoll liema molekuli sabiex tippermetti l-qerda tat-tumur mis-sistema tal-komplement?</v>
      </c>
    </row>
    <row r="20612" ht="15.75" customHeight="1">
      <c r="A20612" s="2" t="s">
        <v>20612</v>
      </c>
      <c r="B20612" s="2" t="str">
        <f>IFERROR(__xludf.DUMMYFUNCTION("GOOGLETRANSLATE(A20612, ""en"", ""mt"")"),"Ir-realiżmu tas-sens komun ta 'dak il-filosfi Skoċċiżi Agassiz inkorpora fil-fehma doppja tiegħu ta' Knowedge?")</f>
        <v>Ir-realiżmu tas-sens komun ta 'dak il-filosfi Skoċċiżi Agassiz inkorpora fil-fehma doppja tiegħu ta' Knowedge?</v>
      </c>
    </row>
    <row r="20613" ht="15.75" customHeight="1">
      <c r="A20613" s="2" t="s">
        <v>20613</v>
      </c>
      <c r="B20613" s="2" t="str">
        <f>IFERROR(__xludf.DUMMYFUNCTION("GOOGLETRANSLATE(A20613, ""en"", ""mt"")"),"Liema sena kienet 366,273 persuna f'Jacksonville?")</f>
        <v>Liema sena kienet 366,273 persuna f'Jacksonville?</v>
      </c>
    </row>
    <row r="20614" ht="15.75" customHeight="1">
      <c r="A20614" s="2" t="s">
        <v>20614</v>
      </c>
      <c r="B20614" s="2" t="str">
        <f>IFERROR(__xludf.DUMMYFUNCTION("GOOGLETRANSLATE(A20614, ""en"", ""mt"")"),"Minn liema konsorzju ġie eskluż BSKYB?")</f>
        <v>Minn liema konsorzju ġie eskluż BSKYB?</v>
      </c>
    </row>
    <row r="20615" ht="15.75" customHeight="1">
      <c r="A20615" s="2" t="s">
        <v>20615</v>
      </c>
      <c r="B20615" s="2" t="str">
        <f>IFERROR(__xludf.DUMMYFUNCTION("GOOGLETRANSLATE(A20615, ""en"", ""mt"")"),"X’kien il-prezz tad-dinja tal-quċċata taż-żejt fl-1973?")</f>
        <v>X’kien il-prezz tad-dinja tal-quċċata taż-żejt fl-1973?</v>
      </c>
    </row>
    <row r="20616" ht="15.75" customHeight="1">
      <c r="A20616" s="2" t="s">
        <v>20616</v>
      </c>
      <c r="B20616" s="2" t="str">
        <f>IFERROR(__xludf.DUMMYFUNCTION("GOOGLETRANSLATE(A20616, ""en"", ""mt"")"),"Meta twieled Garrison?")</f>
        <v>Meta twieled Garrison?</v>
      </c>
    </row>
    <row r="20617" ht="15.75" customHeight="1">
      <c r="A20617" s="2" t="s">
        <v>20617</v>
      </c>
      <c r="B20617" s="2" t="str">
        <f>IFERROR(__xludf.DUMMYFUNCTION("GOOGLETRANSLATE(A20617, ""en"", ""mt"")"),"Għaliex inħoloq NSFBNS?")</f>
        <v>Għaliex inħoloq NSFBNS?</v>
      </c>
    </row>
    <row r="20618" ht="15.75" customHeight="1">
      <c r="A20618" s="2" t="s">
        <v>20618</v>
      </c>
      <c r="B20618" s="2" t="str">
        <f>IFERROR(__xludf.DUMMYFUNCTION("GOOGLETRANSLATE(A20618, ""en"", ""mt"")"),"agħar każ")</f>
        <v>agħar każ</v>
      </c>
    </row>
    <row r="20619" ht="15.75" customHeight="1">
      <c r="A20619" s="2" t="s">
        <v>20619</v>
      </c>
      <c r="B20619" s="2" t="str">
        <f>IFERROR(__xludf.DUMMYFUNCTION("GOOGLETRANSLATE(A20619, ""en"", ""mt"")"),"X'kienet l-importanza tal-Kungress?")</f>
        <v>X'kienet l-importanza tal-Kungress?</v>
      </c>
    </row>
    <row r="20620" ht="15.75" customHeight="1">
      <c r="A20620" s="2" t="s">
        <v>20620</v>
      </c>
      <c r="B20620" s="2" t="str">
        <f>IFERROR(__xludf.DUMMYFUNCTION("GOOGLETRANSLATE(A20620, ""en"", ""mt"")"),"It-Taliban")</f>
        <v>It-Taliban</v>
      </c>
    </row>
    <row r="20621" ht="15.75" customHeight="1">
      <c r="A20621" s="2" t="s">
        <v>20621</v>
      </c>
      <c r="B20621" s="2" t="str">
        <f>IFERROR(__xludf.DUMMYFUNCTION("GOOGLETRANSLATE(A20621, ""en"", ""mt"")"),"Liema fortifikazzjoni nbniet fis-seklu 19 wara t-telfa tar-rewwixta ta 'Novembru?")</f>
        <v>Liema fortifikazzjoni nbniet fis-seklu 19 wara t-telfa tar-rewwixta ta 'Novembru?</v>
      </c>
    </row>
    <row r="20622" ht="15.75" customHeight="1">
      <c r="A20622" s="2" t="s">
        <v>20622</v>
      </c>
      <c r="B20622" s="2" t="str">
        <f>IFERROR(__xludf.DUMMYFUNCTION("GOOGLETRANSLATE(A20622, ""en"", ""mt"")"),"Xi speċi ta 'beroe għandhom par ta' strixxi ta 'ċelloli li jwaħħlu fuq il-ħajt tal-istonku. X'tagħmel?")</f>
        <v>Xi speċi ta 'beroe għandhom par ta' strixxi ta 'ċelloli li jwaħħlu fuq il-ħajt tal-istonku. X'tagħmel?</v>
      </c>
    </row>
    <row r="20623" ht="15.75" customHeight="1">
      <c r="A20623" s="2" t="s">
        <v>20623</v>
      </c>
      <c r="B20623" s="2" t="str">
        <f>IFERROR(__xludf.DUMMYFUNCTION("GOOGLETRANSLATE(A20623, ""en"", ""mt"")"),"Allokati minn qabel")</f>
        <v>Allokati minn qabel</v>
      </c>
    </row>
    <row r="20624" ht="15.75" customHeight="1">
      <c r="A20624" s="2" t="s">
        <v>20624</v>
      </c>
      <c r="B20624" s="2" t="str">
        <f>IFERROR(__xludf.DUMMYFUNCTION("GOOGLETRANSLATE(A20624, ""en"", ""mt"")"),"Teorija ġdida ta 'dak li ġie żviluppat bl-użu ta' partiċelli kwantistiċi?")</f>
        <v>Teorija ġdida ta 'dak li ġie żviluppat bl-użu ta' partiċelli kwantistiċi?</v>
      </c>
    </row>
    <row r="20625" ht="15.75" customHeight="1">
      <c r="A20625" s="2" t="s">
        <v>20625</v>
      </c>
      <c r="B20625" s="2" t="str">
        <f>IFERROR(__xludf.DUMMYFUNCTION("GOOGLETRANSLATE(A20625, ""en"", ""mt"")"),"bi ħlas għal kull unità ta 'ħin ta' konnessjoni, anke meta ma tiġi trasferita l-ebda dejta")</f>
        <v>bi ħlas għal kull unità ta 'ħin ta' konnessjoni, anke meta ma tiġi trasferita l-ebda dejta</v>
      </c>
    </row>
    <row r="20626" ht="15.75" customHeight="1">
      <c r="A20626" s="2" t="s">
        <v>20626</v>
      </c>
      <c r="B20626" s="2" t="str">
        <f>IFERROR(__xludf.DUMMYFUNCTION("GOOGLETRANSLATE(A20626, ""en"", ""mt"")"),"Kif kienu jissejħu l-gwerer ċivili kkawżati mill-Huguenots?")</f>
        <v>Kif kienu jissejħu l-gwerer ċivili kkawżati mill-Huguenots?</v>
      </c>
    </row>
    <row r="20627" ht="15.75" customHeight="1">
      <c r="A20627" s="2" t="s">
        <v>20627</v>
      </c>
      <c r="B20627" s="2" t="str">
        <f>IFERROR(__xludf.DUMMYFUNCTION("GOOGLETRANSLATE(A20627, ""en"", ""mt"")"),"id-deżert ta 'Mojave")</f>
        <v>id-deżert ta 'Mojave</v>
      </c>
    </row>
    <row r="20628" ht="15.75" customHeight="1">
      <c r="A20628" s="2" t="s">
        <v>20628</v>
      </c>
      <c r="B20628" s="2" t="str">
        <f>IFERROR(__xludf.DUMMYFUNCTION("GOOGLETRANSLATE(A20628, ""en"", ""mt"")"),"żewġ terzi")</f>
        <v>żewġ terzi</v>
      </c>
    </row>
    <row r="20629" ht="15.75" customHeight="1">
      <c r="A20629" s="2" t="s">
        <v>20629</v>
      </c>
      <c r="B20629" s="2" t="str">
        <f>IFERROR(__xludf.DUMMYFUNCTION("GOOGLETRANSLATE(A20629, ""en"", ""mt"")"),"Iżlamiżmu")</f>
        <v>Iżlamiżmu</v>
      </c>
    </row>
    <row r="20630" ht="15.75" customHeight="1">
      <c r="A20630" s="2" t="s">
        <v>20630</v>
      </c>
      <c r="B20630" s="2" t="str">
        <f>IFERROR(__xludf.DUMMYFUNCTION("GOOGLETRANSLATE(A20630, ""en"", ""mt"")"),"Huwa stmat 25 miljun")</f>
        <v>Huwa stmat 25 miljun</v>
      </c>
    </row>
    <row r="20631" ht="15.75" customHeight="1">
      <c r="A20631" s="2" t="s">
        <v>20631</v>
      </c>
      <c r="B20631" s="2" t="str">
        <f>IFERROR(__xludf.DUMMYFUNCTION("GOOGLETRANSLATE(A20631, ""en"", ""mt"")"),"L-ambjentalisti huma mħassba dwar it-telf tal-bijodiversità li jirriżulta mill-qerda tal-foresta, u wkoll dwar ir-rilaxx tal-karbonju li jinsab fil-veġetazzjoni, li tista 'tħaffef it-tisħin globali. Il-foresti dejjem tħaddar tal-Amazonian jammontaw għal m"&amp;"adwar 10% tal-produttività primarja terrestri tad-dinja u 10% tal-ħwienet tal-karbonju fl-ekosistemi - ta 'l-ordni ta' 1.1 × 1011 tunnellata metrika ta 'karbonju. Il-foresti tal-Amażonja huma stmati li akkumulaw 0.62 ± 0.37 tunnellata ta 'karbonju għal ku"&amp;"ll ettaru fis-sena bejn l-1975 u l-1996.")</f>
        <v>L-ambjentalisti huma mħassba dwar it-telf tal-bijodiversità li jirriżulta mill-qerda tal-foresta, u wkoll dwar ir-rilaxx tal-karbonju li jinsab fil-veġetazzjoni, li tista 'tħaffef it-tisħin globali. Il-foresti dejjem tħaddar tal-Amazonian jammontaw għal madwar 10% tal-produttività primarja terrestri tad-dinja u 10% tal-ħwienet tal-karbonju fl-ekosistemi - ta 'l-ordni ta' 1.1 × 1011 tunnellata metrika ta 'karbonju. Il-foresti tal-Amażonja huma stmati li akkumulaw 0.62 ± 0.37 tunnellata ta 'karbonju għal kull ettaru fis-sena bejn l-1975 u l-1996.</v>
      </c>
    </row>
    <row r="20632" ht="15.75" customHeight="1">
      <c r="A20632" s="2" t="s">
        <v>20632</v>
      </c>
      <c r="B20632" s="2" t="str">
        <f>IFERROR(__xludf.DUMMYFUNCTION("GOOGLETRANSLATE(A20632, ""en"", ""mt"")"),"X'impatt għandhom il-produttività ogħla tal-ħaddiem u l-paga livellata fuq dawk li jaqilgħu aktar baxxi?")</f>
        <v>X'impatt għandhom il-produttività ogħla tal-ħaddiem u l-paga livellata fuq dawk li jaqilgħu aktar baxxi?</v>
      </c>
    </row>
    <row r="20633" ht="15.75" customHeight="1">
      <c r="A20633" s="2" t="s">
        <v>20633</v>
      </c>
      <c r="B20633" s="2" t="str">
        <f>IFERROR(__xludf.DUMMYFUNCTION("GOOGLETRANSLATE(A20633, ""en"", ""mt"")"),"Immunità passiva")</f>
        <v>Immunità passiva</v>
      </c>
    </row>
    <row r="20634" ht="15.75" customHeight="1">
      <c r="A20634" s="2" t="s">
        <v>20634</v>
      </c>
      <c r="B20634" s="2" t="str">
        <f>IFERROR(__xludf.DUMMYFUNCTION("GOOGLETRANSLATE(A20634, ""en"", ""mt"")"),"Fil-kwart tal-ħarifa tal-2014, kemm studenti ffirmaw għall-erba 'diviżjonijiet tal-gradwati tal-università?")</f>
        <v>Fil-kwart tal-ħarifa tal-2014, kemm studenti ffirmaw għall-erba 'diviżjonijiet tal-gradwati tal-università?</v>
      </c>
    </row>
    <row r="20635" ht="15.75" customHeight="1">
      <c r="A20635" s="2" t="s">
        <v>20635</v>
      </c>
      <c r="B20635" s="2" t="str">
        <f>IFERROR(__xludf.DUMMYFUNCTION("GOOGLETRANSLATE(A20635, ""en"", ""mt"")"),"Min naqas ir-riżorsi militari Ingliżi fil-kolonji?")</f>
        <v>Min naqas ir-riżorsi militari Ingliżi fil-kolonji?</v>
      </c>
    </row>
    <row r="20636" ht="15.75" customHeight="1">
      <c r="A20636" s="2" t="s">
        <v>20636</v>
      </c>
      <c r="B20636" s="2" t="str">
        <f>IFERROR(__xludf.DUMMYFUNCTION("GOOGLETRANSLATE(A20636, ""en"", ""mt"")"),"Lbiċ ta ’Franza")</f>
        <v>Lbiċ ta ’Franza</v>
      </c>
    </row>
    <row r="20637" ht="15.75" customHeight="1">
      <c r="A20637" s="2" t="s">
        <v>20637</v>
      </c>
      <c r="B20637" s="2" t="str">
        <f>IFERROR(__xludf.DUMMYFUNCTION("GOOGLETRANSLATE(A20637, ""en"", ""mt"")"),"F'liema grad huma l-pistuni ta 'kompost b'żewġ ċilindri konnessi mal-pistuni?")</f>
        <v>F'liema grad huma l-pistuni ta 'kompost b'żewġ ċilindri konnessi mal-pistuni?</v>
      </c>
    </row>
    <row r="20638" ht="15.75" customHeight="1">
      <c r="A20638" s="2" t="s">
        <v>20638</v>
      </c>
      <c r="B20638" s="2" t="str">
        <f>IFERROR(__xludf.DUMMYFUNCTION("GOOGLETRANSLATE(A20638, ""en"", ""mt"")"),"Kemm għamlet ix-xita fl-1962?")</f>
        <v>Kemm għamlet ix-xita fl-1962?</v>
      </c>
    </row>
    <row r="20639" ht="15.75" customHeight="1">
      <c r="A20639" s="2" t="s">
        <v>20639</v>
      </c>
      <c r="B20639" s="2" t="str">
        <f>IFERROR(__xludf.DUMMYFUNCTION("GOOGLETRANSLATE(A20639, ""en"", ""mt"")"),"Min m’għandu l-ebda poter li jgħaddi liġijiet?")</f>
        <v>Min m’għandu l-ebda poter li jgħaddi liġijiet?</v>
      </c>
    </row>
    <row r="20640" ht="15.75" customHeight="1">
      <c r="A20640" s="2" t="s">
        <v>20640</v>
      </c>
      <c r="B20640" s="2" t="str">
        <f>IFERROR(__xludf.DUMMYFUNCTION("GOOGLETRANSLATE(A20640, ""en"", ""mt"")"),"Huguenots individwali stabbilixxew fil-Kap tat-Tama Tajba mill-1671 bil-wasla ta 'François Villion (Viljoen). L-ewwel Huguenot li tasal fil-Kap ta 'Good Hope kienet madankollu Maria de la Queillerie, il-mara tal-Kmandant Jan Van Riebeeck (u bint ministru "&amp;"tal-knisja tal-walloon), li waslet fis-6 ta' April 1652 biex tistabbilixxi ftehim dwar dak li hu llum Cape Town - Il-koppja telqet għal-Lvant Imbiegħed għaxar snin wara. Fil-31 ta 'Diċembru 1687 l-ewwel grupp organizzat ta' Huguenots waqqaf mill-Olanda sa"&amp;"l-Post tal-Kumpanija tal-Indja tal-Lvant Olandiża fil-Kap ta 'Good Hope. L-akbar porzjon tal-Huguenots li joqgħod fil-Kap wasal bejn l-1688 u l-1689 f'seba 'vapuri bħala parti mill-migrazzjoni organizzata, iżda ftit waslu ftit sa l-1700; Wara dan, in-numr"&amp;"i naqsu u l-gruppi żgħar biss waslu kull darba.")</f>
        <v>Huguenots individwali stabbilixxew fil-Kap tat-Tama Tajba mill-1671 bil-wasla ta 'François Villion (Viljoen). L-ewwel Huguenot li tasal fil-Kap ta 'Good Hope kienet madankollu Maria de la Queillerie, il-mara tal-Kmandant Jan Van Riebeeck (u bint ministru tal-knisja tal-walloon), li waslet fis-6 ta' April 1652 biex tistabbilixxi ftehim dwar dak li hu llum Cape Town - Il-koppja telqet għal-Lvant Imbiegħed għaxar snin wara. Fil-31 ta 'Diċembru 1687 l-ewwel grupp organizzat ta' Huguenots waqqaf mill-Olanda sal-Post tal-Kumpanija tal-Indja tal-Lvant Olandiża fil-Kap ta 'Good Hope. L-akbar porzjon tal-Huguenots li joqgħod fil-Kap wasal bejn l-1688 u l-1689 f'seba 'vapuri bħala parti mill-migrazzjoni organizzata, iżda ftit waslu ftit sa l-1700; Wara dan, in-numri naqsu u l-gruppi żgħar biss waslu kull darba.</v>
      </c>
    </row>
    <row r="20641" ht="15.75" customHeight="1">
      <c r="A20641" s="2" t="s">
        <v>20641</v>
      </c>
      <c r="B20641" s="2" t="str">
        <f>IFERROR(__xludf.DUMMYFUNCTION("GOOGLETRANSLATE(A20641, ""en"", ""mt"")"),"Alter Rhein")</f>
        <v>Alter Rhein</v>
      </c>
    </row>
    <row r="20642" ht="15.75" customHeight="1">
      <c r="A20642" s="2" t="s">
        <v>20642</v>
      </c>
      <c r="B20642" s="2" t="str">
        <f>IFERROR(__xludf.DUMMYFUNCTION("GOOGLETRANSLATE(A20642, ""en"", ""mt"")"),"nisa")</f>
        <v>nisa</v>
      </c>
    </row>
    <row r="20643" ht="15.75" customHeight="1">
      <c r="A20643" s="2" t="s">
        <v>20643</v>
      </c>
      <c r="B20643" s="2" t="str">
        <f>IFERROR(__xludf.DUMMYFUNCTION("GOOGLETRANSLATE(A20643, ""en"", ""mt"")"),"Minn liema natura matematika hija l-problema ewlenija?")</f>
        <v>Minn liema natura matematika hija l-problema ewlenija?</v>
      </c>
    </row>
    <row r="20644" ht="15.75" customHeight="1">
      <c r="A20644" s="2" t="s">
        <v>20644</v>
      </c>
      <c r="B20644" s="2" t="str">
        <f>IFERROR(__xludf.DUMMYFUNCTION("GOOGLETRANSLATE(A20644, ""en"", ""mt"")"),"L-ewwel liġi tal-moviment tagħha tgħid li sakemm ma tkunx aġita fuq il-forzi, l-oġġetti jibqgħu jiċċaqalqu b'veloċità kostanti?")</f>
        <v>L-ewwel liġi tal-moviment tagħha tgħid li sakemm ma tkunx aġita fuq il-forzi, l-oġġetti jibqgħu jiċċaqalqu b'veloċità kostanti?</v>
      </c>
    </row>
    <row r="20645" ht="15.75" customHeight="1">
      <c r="A20645" s="2" t="s">
        <v>20645</v>
      </c>
      <c r="B20645" s="2" t="str">
        <f>IFERROR(__xludf.DUMMYFUNCTION("GOOGLETRANSLATE(A20645, ""en"", ""mt"")"),"depożiti tas-sedimenti")</f>
        <v>depożiti tas-sedimenti</v>
      </c>
    </row>
    <row r="20646" ht="15.75" customHeight="1">
      <c r="A20646" s="2" t="s">
        <v>20646</v>
      </c>
      <c r="B20646" s="2" t="str">
        <f>IFERROR(__xludf.DUMMYFUNCTION("GOOGLETRANSLATE(A20646, ""en"", ""mt"")"),"Sa liema sena kien ibiegħ it-tfal fl-iskjavitù mhux komuni fost il-Mongoli?")</f>
        <v>Sa liema sena kien ibiegħ it-tfal fl-iskjavitù mhux komuni fost il-Mongoli?</v>
      </c>
    </row>
    <row r="20647" ht="15.75" customHeight="1">
      <c r="A20647" s="2" t="s">
        <v>20647</v>
      </c>
      <c r="B20647" s="2" t="str">
        <f>IFERROR(__xludf.DUMMYFUNCTION("GOOGLETRANSLATE(A20647, ""en"", ""mt"")"),"Liema isem jintuża biss għal nixxigħat ikbar 'il bogħod lejn it-tramuntana?")</f>
        <v>Liema isem jintuża biss għal nixxigħat ikbar 'il bogħod lejn it-tramuntana?</v>
      </c>
    </row>
    <row r="20648" ht="15.75" customHeight="1">
      <c r="A20648" s="2" t="s">
        <v>20648</v>
      </c>
      <c r="B20648" s="2" t="str">
        <f>IFERROR(__xludf.DUMMYFUNCTION("GOOGLETRANSLATE(A20648, ""en"", ""mt"")"),"Parallel mar-Renu Kanalizzat")</f>
        <v>Parallel mar-Renu Kanalizzat</v>
      </c>
    </row>
    <row r="20649" ht="15.75" customHeight="1">
      <c r="A20649" s="2" t="s">
        <v>20649</v>
      </c>
      <c r="B20649" s="2" t="str">
        <f>IFERROR(__xludf.DUMMYFUNCTION("GOOGLETRANSLATE(A20649, ""en"", ""mt"")"),"Min notevolment tejjeb il-pompa tal-ilma tas-salvataġġ?")</f>
        <v>Min notevolment tejjeb il-pompa tal-ilma tas-salvataġġ?</v>
      </c>
    </row>
    <row r="20650" ht="15.75" customHeight="1">
      <c r="A20650" s="2" t="s">
        <v>20650</v>
      </c>
      <c r="B20650" s="2" t="str">
        <f>IFERROR(__xludf.DUMMYFUNCTION("GOOGLETRANSLATE(A20650, ""en"", ""mt"")"),"statistiku")</f>
        <v>statistiku</v>
      </c>
    </row>
    <row r="20651" ht="15.75" customHeight="1">
      <c r="A20651" s="2" t="s">
        <v>20651</v>
      </c>
      <c r="B20651" s="2" t="str">
        <f>IFERROR(__xludf.DUMMYFUNCTION("GOOGLETRANSLATE(A20651, ""en"", ""mt"")"),"Meta kienet l-ewwel referenza storika magħrufa għall-immunità?")</f>
        <v>Meta kienet l-ewwel referenza storika magħrufa għall-immunità?</v>
      </c>
    </row>
    <row r="20652" ht="15.75" customHeight="1">
      <c r="A20652" s="2" t="s">
        <v>20652</v>
      </c>
      <c r="B20652" s="2" t="str">
        <f>IFERROR(__xludf.DUMMYFUNCTION("GOOGLETRANSLATE(A20652, ""en"", ""mt"")"),"Meta BSKYB saret l-akbar kumpanija tat-televiżjoni Amerikana?")</f>
        <v>Meta BSKYB saret l-akbar kumpanija tat-televiżjoni Amerikana?</v>
      </c>
    </row>
    <row r="20653" ht="15.75" customHeight="1">
      <c r="A20653" s="2" t="s">
        <v>20653</v>
      </c>
      <c r="B20653" s="2" t="str">
        <f>IFERROR(__xludf.DUMMYFUNCTION("GOOGLETRANSLATE(A20653, ""en"", ""mt"")"),"X'inhi l-istima ta 'kemm tobba jagħtu d-droga waħedhom?")</f>
        <v>X'inhi l-istima ta 'kemm tobba jagħtu d-droga waħedhom?</v>
      </c>
    </row>
    <row r="20654" ht="15.75" customHeight="1">
      <c r="A20654" s="2" t="s">
        <v>20654</v>
      </c>
      <c r="B20654" s="2" t="str">
        <f>IFERROR(__xludf.DUMMYFUNCTION("GOOGLETRANSLATE(A20654, ""en"", ""mt"")"),"Kemm-il darba jinżammu l-elezzjonijiet mill-membri tal-Upper House?")</f>
        <v>Kemm-il darba jinżammu l-elezzjonijiet mill-membri tal-Upper House?</v>
      </c>
    </row>
    <row r="20655" ht="15.75" customHeight="1">
      <c r="A20655" s="2" t="s">
        <v>20655</v>
      </c>
      <c r="B20655" s="2" t="str">
        <f>IFERROR(__xludf.DUMMYFUNCTION("GOOGLETRANSLATE(A20655, ""en"", ""mt"")"),"tripartite")</f>
        <v>tripartite</v>
      </c>
    </row>
    <row r="20656" ht="15.75" customHeight="1">
      <c r="A20656" s="2" t="s">
        <v>20656</v>
      </c>
      <c r="B20656" s="2" t="str">
        <f>IFERROR(__xludf.DUMMYFUNCTION("GOOGLETRANSLATE(A20656, ""en"", ""mt"")"),"Kif jittieħdu d-deċiżjonijiet dwar kif iġibu ruħhom mill-UE?")</f>
        <v>Kif jittieħdu d-deċiżjonijiet dwar kif iġibu ruħhom mill-UE?</v>
      </c>
    </row>
    <row r="20657" ht="15.75" customHeight="1">
      <c r="A20657" s="2" t="s">
        <v>20657</v>
      </c>
      <c r="B20657" s="2" t="str">
        <f>IFERROR(__xludf.DUMMYFUNCTION("GOOGLETRANSLATE(A20657, ""en"", ""mt"")"),"Liema reġjun ivvinta l-mitralla?")</f>
        <v>Liema reġjun ivvinta l-mitralla?</v>
      </c>
    </row>
    <row r="20658" ht="15.75" customHeight="1">
      <c r="A20658" s="2" t="s">
        <v>20658</v>
      </c>
      <c r="B20658" s="2" t="str">
        <f>IFERROR(__xludf.DUMMYFUNCTION("GOOGLETRANSLATE(A20658, ""en"", ""mt"")"),"Billi tonqos ir-reżistenza għall-fluss tad-demm fil-pulmuni, liema ammont ta 'xogħol ta' organu jista 'jitnaqqas?")</f>
        <v>Billi tonqos ir-reżistenza għall-fluss tad-demm fil-pulmuni, liema ammont ta 'xogħol ta' organu jista 'jitnaqqas?</v>
      </c>
    </row>
    <row r="20659" ht="15.75" customHeight="1">
      <c r="A20659" s="2" t="s">
        <v>20659</v>
      </c>
      <c r="B20659" s="2" t="str">
        <f>IFERROR(__xludf.DUMMYFUNCTION("GOOGLETRANSLATE(A20659, ""en"", ""mt"")"),"X'ġara mill-blat fil-Grand Canyon li huwa l-eqdem blat fid-dinja?")</f>
        <v>X'ġara mill-blat fil-Grand Canyon li huwa l-eqdem blat fid-dinja?</v>
      </c>
    </row>
    <row r="20660" ht="15.75" customHeight="1">
      <c r="A20660" s="2" t="s">
        <v>20660</v>
      </c>
      <c r="B20660" s="2" t="str">
        <f>IFERROR(__xludf.DUMMYFUNCTION("GOOGLETRANSLATE(A20660, ""en"", ""mt"")"),"Xi jfisser li t-TEU ma jippermettix li l-Kunsill Ewropew jagħmel?")</f>
        <v>Xi jfisser li t-TEU ma jippermettix li l-Kunsill Ewropew jagħmel?</v>
      </c>
    </row>
    <row r="20661" ht="15.75" customHeight="1">
      <c r="A20661" s="2" t="s">
        <v>20661</v>
      </c>
      <c r="B20661" s="2" t="str">
        <f>IFERROR(__xludf.DUMMYFUNCTION("GOOGLETRANSLATE(A20661, ""en"", ""mt"")"),"Liema dipartiment fl-Istati Uniti mexxa l-isforzi kontra l-Iżlamiżmu?")</f>
        <v>Liema dipartiment fl-Istati Uniti mexxa l-isforzi kontra l-Iżlamiżmu?</v>
      </c>
    </row>
    <row r="20662" ht="15.75" customHeight="1">
      <c r="A20662" s="2" t="s">
        <v>20662</v>
      </c>
      <c r="B20662" s="2" t="str">
        <f>IFERROR(__xludf.DUMMYFUNCTION("GOOGLETRANSLATE(A20662, ""en"", ""mt"")"),"X'tip ta 'fondi ta' tassazzjoni skejjel privati?")</f>
        <v>X'tip ta 'fondi ta' tassazzjoni skejjel privati?</v>
      </c>
    </row>
    <row r="20663" ht="15.75" customHeight="1">
      <c r="A20663" s="2" t="s">
        <v>20663</v>
      </c>
      <c r="B20663" s="2" t="str">
        <f>IFERROR(__xludf.DUMMYFUNCTION("GOOGLETRANSLATE(A20663, ""en"", ""mt"")"),"X'inhi l-forma tas-soltu tar-ridistribuzzjoni tal-ġid tal-gvern?")</f>
        <v>X'inhi l-forma tas-soltu tar-ridistribuzzjoni tal-ġid tal-gvern?</v>
      </c>
    </row>
    <row r="20664" ht="15.75" customHeight="1">
      <c r="A20664" s="2" t="s">
        <v>20664</v>
      </c>
      <c r="B20664" s="2" t="str">
        <f>IFERROR(__xludf.DUMMYFUNCTION("GOOGLETRANSLATE(A20664, ""en"", ""mt"")"),"L-università stabbilixxiet ċentru f'Beijing f'liema sena?")</f>
        <v>L-università stabbilixxiet ċentru f'Beijing f'liema sena?</v>
      </c>
    </row>
    <row r="20665" ht="15.75" customHeight="1">
      <c r="A20665" s="2" t="s">
        <v>20665</v>
      </c>
      <c r="B20665" s="2" t="str">
        <f>IFERROR(__xludf.DUMMYFUNCTION("GOOGLETRANSLATE(A20665, ""en"", ""mt"")"),"X'għandu jaderixxi avukat?")</f>
        <v>X'għandu jaderixxi avukat?</v>
      </c>
    </row>
    <row r="20666" ht="15.75" customHeight="1">
      <c r="A20666" s="2" t="s">
        <v>20666</v>
      </c>
      <c r="B20666" s="2" t="str">
        <f>IFERROR(__xludf.DUMMYFUNCTION("GOOGLETRANSLATE(A20666, ""en"", ""mt"")"),"Magni ta 'kombustjoni interna")</f>
        <v>Magni ta 'kombustjoni interna</v>
      </c>
    </row>
    <row r="20667" ht="15.75" customHeight="1">
      <c r="A20667" s="2" t="s">
        <v>20667</v>
      </c>
      <c r="B20667" s="2" t="str">
        <f>IFERROR(__xludf.DUMMYFUNCTION("GOOGLETRANSLATE(A20667, ""en"", ""mt"")"),"Għal xiex kien magħruf id-distrett tat-torri qabel it-tiġdid?")</f>
        <v>Għal xiex kien magħruf id-distrett tat-torri qabel it-tiġdid?</v>
      </c>
    </row>
    <row r="20668" ht="15.75" customHeight="1">
      <c r="A20668" s="2" t="s">
        <v>20668</v>
      </c>
      <c r="B20668" s="2" t="str">
        <f>IFERROR(__xludf.DUMMYFUNCTION("GOOGLETRANSLATE(A20668, ""en"", ""mt"")"),"Xi jfisser l-ogħla livell tal-Vistula Plateau?")</f>
        <v>Xi jfisser l-ogħla livell tal-Vistula Plateau?</v>
      </c>
    </row>
    <row r="20669" ht="15.75" customHeight="1">
      <c r="A20669" s="2" t="s">
        <v>20669</v>
      </c>
      <c r="B20669" s="2" t="str">
        <f>IFERROR(__xludf.DUMMYFUNCTION("GOOGLETRANSLATE(A20669, ""en"", ""mt"")"),"L-irkapti tal-valv l-aktar sempliċi jagħtu avvenimenti ta 'tul fiss matul iċ-ċiklu tal-magna u ħafna drabi jagħmlu l-magna ddur f'direzzjoni waħda biss. Madankollu l-biċċa l-kbira għandhom mekkaniżmu ta 'treġġigħ lura li barra minn hekk jista' jipprovdi m"&amp;"ezzi għall-iffrankar tal-fwar hekk kif il-veloċità u l-momentum jinkisbu billi ""tqassar il-cutoff"" jew pjuttost, tqassar l-avveniment ta 'ammissjoni; Dan imbagħad ittawwal proporzjonalment il-perjodu ta 'espansjoni. Madankollu, hekk kif wieħed u l-istes"&amp;"s valv ġeneralment jikkontrolla ż-żewġ flussi tal-fwar, qtugħ qasir fl-ammissjoni jaffettwa ħażin l-egżost u l-perjodi ta 'kompressjoni li idealment għandhom dejjem jinżammu pjuttost kostanti; Jekk l-avveniment tal-egżost huwa qasir wisq, it-totalità tal-"&amp;"fwar tal-egżost ma tistax tevakwa ċ-ċilindru, tifgah u tagħti kompressjoni eċċessiva (""kick lura""). [Ċitazzjoni meħtieġa]")</f>
        <v>L-irkapti tal-valv l-aktar sempliċi jagħtu avvenimenti ta 'tul fiss matul iċ-ċiklu tal-magna u ħafna drabi jagħmlu l-magna ddur f'direzzjoni waħda biss. Madankollu l-biċċa l-kbira għandhom mekkaniżmu ta 'treġġigħ lura li barra minn hekk jista' jipprovdi mezzi għall-iffrankar tal-fwar hekk kif il-veloċità u l-momentum jinkisbu billi "tqassar il-cutoff" jew pjuttost, tqassar l-avveniment ta 'ammissjoni; Dan imbagħad ittawwal proporzjonalment il-perjodu ta 'espansjoni. Madankollu, hekk kif wieħed u l-istess valv ġeneralment jikkontrolla ż-żewġ flussi tal-fwar, qtugħ qasir fl-ammissjoni jaffettwa ħażin l-egżost u l-perjodi ta 'kompressjoni li idealment għandhom dejjem jinżammu pjuttost kostanti; Jekk l-avveniment tal-egżost huwa qasir wisq, it-totalità tal-fwar tal-egżost ma tistax tevakwa ċ-ċilindru, tifgah u tagħti kompressjoni eċċessiva ("kick lura"). [Ċitazzjoni meħtieġa]</v>
      </c>
    </row>
    <row r="20670" ht="15.75" customHeight="1">
      <c r="A20670" s="2" t="s">
        <v>20670</v>
      </c>
      <c r="B20670" s="2" t="str">
        <f>IFERROR(__xludf.DUMMYFUNCTION("GOOGLETRANSLATE(A20670, ""en"", ""mt"")"),"X'qed isir malajr fir-rugby ma 'skejjel għolja?")</f>
        <v>X'qed isir malajr fir-rugby ma 'skejjel għolja?</v>
      </c>
    </row>
    <row r="20671" ht="15.75" customHeight="1">
      <c r="A20671" s="2" t="s">
        <v>20671</v>
      </c>
      <c r="B20671" s="2" t="str">
        <f>IFERROR(__xludf.DUMMYFUNCTION("GOOGLETRANSLATE(A20671, ""en"", ""mt"")"),"X'inhuma l-inqas setturi ekonomiċi dominanti fiż-żona tar-Renu Nofsani?")</f>
        <v>X'inhuma l-inqas setturi ekonomiċi dominanti fiż-żona tar-Renu Nofsani?</v>
      </c>
    </row>
    <row r="20672" ht="15.75" customHeight="1">
      <c r="A20672" s="2" t="s">
        <v>20672</v>
      </c>
      <c r="B20672" s="2" t="str">
        <f>IFERROR(__xludf.DUMMYFUNCTION("GOOGLETRANSLATE(A20672, ""en"", ""mt"")"),"Alpi")</f>
        <v>Alpi</v>
      </c>
    </row>
    <row r="20673" ht="15.75" customHeight="1">
      <c r="A20673" s="2" t="s">
        <v>20673</v>
      </c>
      <c r="B20673" s="2" t="str">
        <f>IFERROR(__xludf.DUMMYFUNCTION("GOOGLETRANSLATE(A20673, ""en"", ""mt"")"),"Nażisti Ġermaniżi")</f>
        <v>Nażisti Ġermaniżi</v>
      </c>
    </row>
    <row r="20674" ht="15.75" customHeight="1">
      <c r="A20674" s="2" t="s">
        <v>20674</v>
      </c>
      <c r="B20674" s="2" t="str">
        <f>IFERROR(__xludf.DUMMYFUNCTION("GOOGLETRANSLATE(A20674, ""en"", ""mt"")"),"Fejn kienet il-kapitali Mongoljana qabel ma Kublai ressaqha?")</f>
        <v>Fejn kienet il-kapitali Mongoljana qabel ma Kublai ressaqha?</v>
      </c>
    </row>
    <row r="20675" ht="15.75" customHeight="1">
      <c r="A20675" s="2" t="s">
        <v>20675</v>
      </c>
      <c r="B20675" s="2" t="str">
        <f>IFERROR(__xludf.DUMMYFUNCTION("GOOGLETRANSLATE(A20675, ""en"", ""mt"")"),"Fluke storiku")</f>
        <v>Fluke storiku</v>
      </c>
    </row>
    <row r="20676" ht="15.75" customHeight="1">
      <c r="A20676" s="2" t="s">
        <v>20676</v>
      </c>
      <c r="B20676" s="2" t="str">
        <f>IFERROR(__xludf.DUMMYFUNCTION("GOOGLETRANSLATE(A20676, ""en"", ""mt"")"),"Ġerarkija tal-ħin polinomjali")</f>
        <v>Ġerarkija tal-ħin polinomjali</v>
      </c>
    </row>
    <row r="20677" ht="15.75" customHeight="1">
      <c r="A20677" s="2" t="s">
        <v>20677</v>
      </c>
      <c r="B20677" s="2" t="str">
        <f>IFERROR(__xludf.DUMMYFUNCTION("GOOGLETRANSLATE(A20677, ""en"", ""mt"")"),"bħala li għandhom x'jaqsmu mar-relazzjoni taċ-ċittadin mal-istat u l-liġijiet tiegħu")</f>
        <v>bħala li għandhom x'jaqsmu mar-relazzjoni taċ-ċittadin mal-istat u l-liġijiet tiegħu</v>
      </c>
    </row>
    <row r="20678" ht="15.75" customHeight="1">
      <c r="A20678" s="2" t="s">
        <v>20678</v>
      </c>
      <c r="B20678" s="2" t="str">
        <f>IFERROR(__xludf.DUMMYFUNCTION("GOOGLETRANSLATE(A20678, ""en"", ""mt"")"),"Min inħatar bħala s-sostitut għad-Duka Yansheng Kong Duanyou?")</f>
        <v>Min inħatar bħala s-sostitut għad-Duka Yansheng Kong Duanyou?</v>
      </c>
    </row>
    <row r="20679" ht="15.75" customHeight="1">
      <c r="A20679" s="2" t="s">
        <v>20679</v>
      </c>
      <c r="B20679" s="2" t="str">
        <f>IFERROR(__xludf.DUMMYFUNCTION("GOOGLETRANSLATE(A20679, ""en"", ""mt"")"),"Liema tweġiba tindika li algoritmu aċċetta sekwenza ta 'input?")</f>
        <v>Liema tweġiba tindika li algoritmu aċċetta sekwenza ta 'input?</v>
      </c>
    </row>
    <row r="20680" ht="15.75" customHeight="1">
      <c r="A20680" s="2" t="s">
        <v>20680</v>
      </c>
      <c r="B20680" s="2" t="str">
        <f>IFERROR(__xludf.DUMMYFUNCTION("GOOGLETRANSLATE(A20680, ""en"", ""mt"")"),"Liema Indjan famuż ħa motiv u poġġa lilu nnifsu fil-ħniena tal-qrati?")</f>
        <v>Liema Indjan famuż ħa motiv u poġġa lilu nnifsu fil-ħniena tal-qrati?</v>
      </c>
    </row>
    <row r="20681" ht="15.75" customHeight="1">
      <c r="A20681" s="2" t="s">
        <v>20681</v>
      </c>
      <c r="B20681" s="2" t="str">
        <f>IFERROR(__xludf.DUMMYFUNCTION("GOOGLETRANSLATE(A20681, ""en"", ""mt"")"),"Kemm it-trab tal-windblown iħalli s-Saħara kull sena?")</f>
        <v>Kemm it-trab tal-windblown iħalli s-Saħara kull sena?</v>
      </c>
    </row>
    <row r="20682" ht="15.75" customHeight="1">
      <c r="A20682" s="2" t="s">
        <v>20682</v>
      </c>
      <c r="B20682" s="2" t="str">
        <f>IFERROR(__xludf.DUMMYFUNCTION("GOOGLETRANSLATE(A20682, ""en"", ""mt"")"),"X'inhu l-Grand Canyon mhux eżempju ta '?")</f>
        <v>X'inhu l-Grand Canyon mhux eżempju ta '?</v>
      </c>
    </row>
    <row r="20683" ht="15.75" customHeight="1">
      <c r="A20683" s="2" t="s">
        <v>20683</v>
      </c>
      <c r="B20683" s="2" t="str">
        <f>IFERROR(__xludf.DUMMYFUNCTION("GOOGLETRANSLATE(A20683, ""en"", ""mt"")"),"Ko-President tal-Tar WGI")</f>
        <v>Ko-President tal-Tar WGI</v>
      </c>
    </row>
    <row r="20684" ht="15.75" customHeight="1">
      <c r="A20684" s="2" t="s">
        <v>20684</v>
      </c>
      <c r="B20684" s="2" t="str">
        <f>IFERROR(__xludf.DUMMYFUNCTION("GOOGLETRANSLATE(A20684, ""en"", ""mt"")"),"X'inhu l-Ajruport tal-Avjazzjoni Ġenerali tat-Tieni l-Aktar?")</f>
        <v>X'inhu l-Ajruport tal-Avjazzjoni Ġenerali tat-Tieni l-Aktar?</v>
      </c>
    </row>
    <row r="20685" ht="15.75" customHeight="1">
      <c r="A20685" s="2" t="s">
        <v>20685</v>
      </c>
      <c r="B20685" s="2" t="str">
        <f>IFERROR(__xludf.DUMMYFUNCTION("GOOGLETRANSLATE(A20685, ""en"", ""mt"")"),"Liema kumpanija kummerċjali għenet biex tissetilja Huguenots ħdejn il-Kap?")</f>
        <v>Liema kumpanija kummerċjali għenet biex tissetilja Huguenots ħdejn il-Kap?</v>
      </c>
    </row>
    <row r="20686" ht="15.75" customHeight="1">
      <c r="A20686" s="2" t="s">
        <v>20686</v>
      </c>
      <c r="B20686" s="2" t="str">
        <f>IFERROR(__xludf.DUMMYFUNCTION("GOOGLETRANSLATE(A20686, ""en"", ""mt"")"),"Liema infrastruttura se titjieb fid-Drive Storor?")</f>
        <v>Liema infrastruttura se titjieb fid-Drive Storor?</v>
      </c>
    </row>
    <row r="20687" ht="15.75" customHeight="1">
      <c r="A20687" s="2" t="s">
        <v>20687</v>
      </c>
      <c r="B20687" s="2" t="str">
        <f>IFERROR(__xludf.DUMMYFUNCTION("GOOGLETRANSLATE(A20687, ""en"", ""mt"")"),"63")</f>
        <v>63</v>
      </c>
    </row>
    <row r="20688" ht="15.75" customHeight="1">
      <c r="A20688" s="2" t="s">
        <v>20688</v>
      </c>
      <c r="B20688" s="2" t="str">
        <f>IFERROR(__xludf.DUMMYFUNCTION("GOOGLETRANSLATE(A20688, ""en"", ""mt"")"),"Meta ħabbret Microsoft OneDrive dalwaqt se ssir SkyDrive?")</f>
        <v>Meta ħabbret Microsoft OneDrive dalwaqt se ssir SkyDrive?</v>
      </c>
    </row>
    <row r="20689" ht="15.75" customHeight="1">
      <c r="A20689" s="2" t="s">
        <v>20689</v>
      </c>
      <c r="B20689" s="2" t="str">
        <f>IFERROR(__xludf.DUMMYFUNCTION("GOOGLETRANSLATE(A20689, ""en"", ""mt"")")," Fejn faqqgħet gwerra ċivili mhux imdawra?")</f>
        <v> Fejn faqqgħet gwerra ċivili mhux imdawra?</v>
      </c>
    </row>
    <row r="20690" ht="15.75" customHeight="1">
      <c r="A20690" s="2" t="s">
        <v>20690</v>
      </c>
      <c r="B20690" s="2" t="str">
        <f>IFERROR(__xludf.DUMMYFUNCTION("GOOGLETRANSLATE(A20690, ""en"", ""mt"")"),"X'kien l-ewwel vakwu veru li kien suċċess kummerċjalment?")</f>
        <v>X'kien l-ewwel vakwu veru li kien suċċess kummerċjalment?</v>
      </c>
    </row>
    <row r="20691" ht="15.75" customHeight="1">
      <c r="A20691" s="2" t="s">
        <v>20691</v>
      </c>
      <c r="B20691" s="2" t="str">
        <f>IFERROR(__xludf.DUMMYFUNCTION("GOOGLETRANSLATE(A20691, ""en"", ""mt"")"),"Ir-riżultat kien wieħed mill-iżviluppi l-aktar sinifikanti f'seklu ta 'kunflitt Anglo-Franċiż. Franza ċediet it-territorju tagħha fil-lvant tal-Mississippi lill-Gran Brittanja. Huwa ċedew il-Louisiana Franċiża fil-punent tax-Xmara Mississippi (inkluż New "&amp;"Orleans) lill-alleat tagħha Spanja, bħala kumpens għat-telfa ta ’Spanja kontra l-Gran Brittanja ta’ Florida (Spanja kienet ċediet dan lill-Gran Brittanja bi skambju għar-ritorn ta ’Havana, Kuba). Il-preżenza kolonjali ta 'Franza fit-tramuntana tal-Karibew"&amp;" tnaqqset għall-gżejjer ta' San Pierre u Miquelon, li kkonfermat il-pożizzjoni tal-Gran Brittanja bħala l-poter kolonjali dominanti fil-Lvant ta 'l-Amerika ta' Fuq.")</f>
        <v>Ir-riżultat kien wieħed mill-iżviluppi l-aktar sinifikanti f'seklu ta 'kunflitt Anglo-Franċiż. Franza ċediet it-territorju tagħha fil-lvant tal-Mississippi lill-Gran Brittanja. Huwa ċedew il-Louisiana Franċiża fil-punent tax-Xmara Mississippi (inkluż New Orleans) lill-alleat tagħha Spanja, bħala kumpens għat-telfa ta ’Spanja kontra l-Gran Brittanja ta’ Florida (Spanja kienet ċediet dan lill-Gran Brittanja bi skambju għar-ritorn ta ’Havana, Kuba). Il-preżenza kolonjali ta 'Franza fit-tramuntana tal-Karibew tnaqqset għall-gżejjer ta' San Pierre u Miquelon, li kkonfermat il-pożizzjoni tal-Gran Brittanja bħala l-poter kolonjali dominanti fil-Lvant ta 'l-Amerika ta' Fuq.</v>
      </c>
    </row>
    <row r="20692" ht="15.75" customHeight="1">
      <c r="A20692" s="2" t="s">
        <v>20692</v>
      </c>
      <c r="B20692" s="2" t="str">
        <f>IFERROR(__xludf.DUMMYFUNCTION("GOOGLETRANSLATE(A20692, ""en"", ""mt"")"),"il-valur tal-ispin")</f>
        <v>il-valur tal-ispin</v>
      </c>
    </row>
    <row r="20693" ht="15.75" customHeight="1">
      <c r="A20693" s="2" t="s">
        <v>20693</v>
      </c>
      <c r="B20693" s="2" t="str">
        <f>IFERROR(__xludf.DUMMYFUNCTION("GOOGLETRANSLATE(A20693, ""en"", ""mt"")"),"Norm isir iżgħar")</f>
        <v>Norm isir iżgħar</v>
      </c>
    </row>
    <row r="20694" ht="15.75" customHeight="1">
      <c r="A20694" s="2" t="s">
        <v>20694</v>
      </c>
      <c r="B20694" s="2" t="str">
        <f>IFERROR(__xludf.DUMMYFUNCTION("GOOGLETRANSLATE(A20694, ""en"", ""mt"")"),"X’wassal lill-pubbliku Amerikan jikkundanna l-okkupazzjoni tal-Filippini?")</f>
        <v>X’wassal lill-pubbliku Amerikan jikkundanna l-okkupazzjoni tal-Filippini?</v>
      </c>
    </row>
    <row r="20695" ht="15.75" customHeight="1">
      <c r="A20695" s="2" t="s">
        <v>20695</v>
      </c>
      <c r="B20695" s="2" t="str">
        <f>IFERROR(__xludf.DUMMYFUNCTION("GOOGLETRANSLATE(A20695, ""en"", ""mt"")"),"Sakya")</f>
        <v>Sakya</v>
      </c>
    </row>
    <row r="20696" ht="15.75" customHeight="1">
      <c r="A20696" s="2" t="s">
        <v>20696</v>
      </c>
      <c r="B20696" s="2" t="str">
        <f>IFERROR(__xludf.DUMMYFUNCTION("GOOGLETRANSLATE(A20696, ""en"", ""mt"")"),"X'jista 'xi kultant jieħu sa 41 sena biex ikollok permess biex tibni?")</f>
        <v>X'jista 'xi kultant jieħu sa 41 sena biex ikollok permess biex tibni?</v>
      </c>
    </row>
    <row r="20697" ht="15.75" customHeight="1">
      <c r="A20697" s="2" t="s">
        <v>20697</v>
      </c>
      <c r="B20697" s="2" t="str">
        <f>IFERROR(__xludf.DUMMYFUNCTION("GOOGLETRANSLATE(A20697, ""en"", ""mt"")")," Sa meta t-tribujiet Ġermaniċi ma kinux jirbħu l-popli Ċeltiċi?")</f>
        <v> Sa meta t-tribujiet Ġermaniċi ma kinux jirbħu l-popli Ċeltiċi?</v>
      </c>
    </row>
    <row r="20698" ht="15.75" customHeight="1">
      <c r="A20698" s="2" t="s">
        <v>20698</v>
      </c>
      <c r="B20698" s="2" t="str">
        <f>IFERROR(__xludf.DUMMYFUNCTION("GOOGLETRANSLATE(A20698, ""en"", ""mt"")"),"Liema dar kienet is-sit ta 'skola tal-insiġ f'Canterbury?")</f>
        <v>Liema dar kienet is-sit ta 'skola tal-insiġ f'Canterbury?</v>
      </c>
    </row>
    <row r="20699" ht="15.75" customHeight="1">
      <c r="A20699" s="2" t="s">
        <v>20699</v>
      </c>
      <c r="B20699" s="2" t="str">
        <f>IFERROR(__xludf.DUMMYFUNCTION("GOOGLETRANSLATE(A20699, ""en"", ""mt"")"),"Kurrikulu")</f>
        <v>Kurrikulu</v>
      </c>
    </row>
    <row r="20700" ht="15.75" customHeight="1">
      <c r="A20700" s="2" t="s">
        <v>20700</v>
      </c>
      <c r="B20700" s="2" t="str">
        <f>IFERROR(__xludf.DUMMYFUNCTION("GOOGLETRANSLATE(A20700, ""en"", ""mt"")"),"da Vinci")</f>
        <v>da Vinci</v>
      </c>
    </row>
    <row r="20701" ht="15.75" customHeight="1">
      <c r="A20701" s="2" t="s">
        <v>20701</v>
      </c>
      <c r="B20701" s="2" t="str">
        <f>IFERROR(__xludf.DUMMYFUNCTION("GOOGLETRANSLATE(A20701, ""en"", ""mt"")"),"Meta Galor u Zeria wrew informazzjoni antika dwar l-inugwaljanza?")</f>
        <v>Meta Galor u Zeria wrew informazzjoni antika dwar l-inugwaljanza?</v>
      </c>
    </row>
    <row r="20702" ht="15.75" customHeight="1">
      <c r="A20702" s="2" t="s">
        <v>20702</v>
      </c>
      <c r="B20702" s="2" t="str">
        <f>IFERROR(__xludf.DUMMYFUNCTION("GOOGLETRANSLATE(A20702, ""en"", ""mt"")"),"Min-naħa l-oħra, fl-aħħar tas-snin 1980, il-Punent tal-Atlantiku Ctenophore Mnemiopsis Leidyi ġie introdott aċċidentalment fil-Baħar l-Iswed u l-Baħar ta 'Azov permezz tat-tankijiet tas-saborra tal-vapuri, u ġie akkużat li kkawża qtar qawwi fil-qabdiet ta"&amp;"l-ħut billi tiekol iż-żewġ larva tal-ħut u Krustaċji żgħar li altrimenti jitimgħu l-ħut adult. Mnemiopsis huwa mgħammar tajjeb biex jinvadi territorji ġodda (għalkemm dan ma kienx imbassar sa wara li kkolonizza b'suċċess il-Baħar l-Iswed), peress li jista"&amp;" 'jitrabba malajr ħafna u jittollera firxa wiesgħa ta' temperaturi u salinitajiet tal-ilma. L-impatt żdied permezz ta 'sajd żejjed kroniku, u permezz ta' ewtrofikazzjoni li tat lill-ekosistema kollha spinta għal żmien qasir, li kkawżat il-popolazzjoni ta "&amp;"'mnemiopsis biex tiżdied saħansitra aktar malajr min-normal - u fuq kollox bin-nuqqas ta' predaturi effiċjenti fuq dawn il-ctenophores introdotti. Il-popolazzjonijiet ta 'Mnemiopsis f'dawk iż-żoni eventwalment ingħataw taħt kontroll mill-introduzzjoni aċċ"&amp;"identali tal-mnemiopsis li jieklu l-Amerika ta' Fuq Ctenophore Beroe ovata, u permezz ta 'tkessiħ tal-klima lokali mill-1991 sal-1993, li naqqas b'mod sinifikanti l-metaboliżmu tal-annimal. Madankollu l-abbundanza ta 'plankton fiż-żona jidher li x'aktarx "&amp;"ma tiġix restawrata għal-livelli ta' qabel il-mnemiopsis.")</f>
        <v>Min-naħa l-oħra, fl-aħħar tas-snin 1980, il-Punent tal-Atlantiku Ctenophore Mnemiopsis Leidyi ġie introdott aċċidentalment fil-Baħar l-Iswed u l-Baħar ta 'Azov permezz tat-tankijiet tas-saborra tal-vapuri, u ġie akkużat li kkawża qtar qawwi fil-qabdiet tal-ħut billi tiekol iż-żewġ larva tal-ħut u Krustaċji żgħar li altrimenti jitimgħu l-ħut adult. Mnemiopsis huwa mgħammar tajjeb biex jinvadi territorji ġodda (għalkemm dan ma kienx imbassar sa wara li kkolonizza b'suċċess il-Baħar l-Iswed), peress li jista 'jitrabba malajr ħafna u jittollera firxa wiesgħa ta' temperaturi u salinitajiet tal-ilma. L-impatt żdied permezz ta 'sajd żejjed kroniku, u permezz ta' ewtrofikazzjoni li tat lill-ekosistema kollha spinta għal żmien qasir, li kkawżat il-popolazzjoni ta 'mnemiopsis biex tiżdied saħansitra aktar malajr min-normal - u fuq kollox bin-nuqqas ta' predaturi effiċjenti fuq dawn il-ctenophores introdotti. Il-popolazzjonijiet ta 'Mnemiopsis f'dawk iż-żoni eventwalment ingħataw taħt kontroll mill-introduzzjoni aċċidentali tal-mnemiopsis li jieklu l-Amerika ta' Fuq Ctenophore Beroe ovata, u permezz ta 'tkessiħ tal-klima lokali mill-1991 sal-1993, li naqqas b'mod sinifikanti l-metaboliżmu tal-annimal. Madankollu l-abbundanza ta 'plankton fiż-żona jidher li x'aktarx ma tiġix restawrata għal-livelli ta' qabel il-mnemiopsis.</v>
      </c>
    </row>
    <row r="20703" ht="15.75" customHeight="1">
      <c r="A20703" s="2" t="s">
        <v>20703</v>
      </c>
      <c r="B20703" s="2" t="str">
        <f>IFERROR(__xludf.DUMMYFUNCTION("GOOGLETRANSLATE(A20703, ""en"", ""mt"")"),"X'jista 'ma jiġix imbassar l-aktar minn qabel?")</f>
        <v>X'jista 'ma jiġix imbassar l-aktar minn qabel?</v>
      </c>
    </row>
    <row r="20704" ht="15.75" customHeight="1">
      <c r="A20704" s="2" t="s">
        <v>20704</v>
      </c>
      <c r="B20704" s="2" t="str">
        <f>IFERROR(__xludf.DUMMYFUNCTION("GOOGLETRANSLATE(A20704, ""en"", ""mt"")"),"ċelloli infettati bil-patoġeni")</f>
        <v>ċelloli infettati bil-patoġeni</v>
      </c>
    </row>
    <row r="20705" ht="15.75" customHeight="1">
      <c r="A20705" s="2" t="s">
        <v>20705</v>
      </c>
      <c r="B20705" s="2" t="str">
        <f>IFERROR(__xludf.DUMMYFUNCTION("GOOGLETRANSLATE(A20705, ""en"", ""mt"")"),"Intraprenditorija bbażata fuq il-ħtieġa")</f>
        <v>Intraprenditorija bbażata fuq il-ħtieġa</v>
      </c>
    </row>
    <row r="20706" ht="15.75" customHeight="1">
      <c r="A20706" s="2" t="s">
        <v>20706</v>
      </c>
      <c r="B20706" s="2" t="str">
        <f>IFERROR(__xludf.DUMMYFUNCTION("GOOGLETRANSLATE(A20706, ""en"", ""mt"")"),"teħid tal-ħġieġ")</f>
        <v>teħid tal-ħġieġ</v>
      </c>
    </row>
    <row r="20707" ht="15.75" customHeight="1">
      <c r="A20707" s="2" t="s">
        <v>20707</v>
      </c>
      <c r="B20707" s="2" t="str">
        <f>IFERROR(__xludf.DUMMYFUNCTION("GOOGLETRANSLATE(A20707, ""en"", ""mt"")"),"Kosher biċċier")</f>
        <v>Kosher biċċier</v>
      </c>
    </row>
    <row r="20708" ht="15.75" customHeight="1">
      <c r="A20708" s="2" t="s">
        <v>20708</v>
      </c>
      <c r="B20708" s="2" t="str">
        <f>IFERROR(__xludf.DUMMYFUNCTION("GOOGLETRANSLATE(A20708, ""en"", ""mt"")"),"Min kienu Otachi?")</f>
        <v>Min kienu Otachi?</v>
      </c>
    </row>
    <row r="20709" ht="15.75" customHeight="1">
      <c r="A20709" s="2" t="s">
        <v>20709</v>
      </c>
      <c r="B20709" s="2" t="str">
        <f>IFERROR(__xludf.DUMMYFUNCTION("GOOGLETRANSLATE(A20709, ""en"", ""mt"")"),"Deforestazzjoni")</f>
        <v>Deforestazzjoni</v>
      </c>
    </row>
    <row r="20710" ht="15.75" customHeight="1">
      <c r="A20710" s="2" t="s">
        <v>20710</v>
      </c>
      <c r="B20710" s="2" t="str">
        <f>IFERROR(__xludf.DUMMYFUNCTION("GOOGLETRANSLATE(A20710, ""en"", ""mt"")"),"Meta l-Ġermanja bdiet tibni tagħha stess")</f>
        <v>Meta l-Ġermanja bdiet tibni tagħha stess</v>
      </c>
    </row>
    <row r="20711" ht="15.75" customHeight="1">
      <c r="A20711" s="2" t="s">
        <v>20711</v>
      </c>
      <c r="B20711" s="2" t="str">
        <f>IFERROR(__xludf.DUMMYFUNCTION("GOOGLETRANSLATE(A20711, ""en"", ""mt"")"),"1949")</f>
        <v>1949</v>
      </c>
    </row>
    <row r="20712" ht="15.75" customHeight="1">
      <c r="A20712" s="2" t="s">
        <v>20712</v>
      </c>
      <c r="B20712" s="2" t="str">
        <f>IFERROR(__xludf.DUMMYFUNCTION("GOOGLETRANSLATE(A20712, ""en"", ""mt"")"),"Liema ġlied ieħor kien involut fit-teħid ta 'Louisbourg?")</f>
        <v>Liema ġlied ieħor kien involut fit-teħid ta 'Louisbourg?</v>
      </c>
    </row>
    <row r="20713" ht="15.75" customHeight="1">
      <c r="A20713" s="2" t="s">
        <v>20713</v>
      </c>
      <c r="B20713" s="2" t="str">
        <f>IFERROR(__xludf.DUMMYFUNCTION("GOOGLETRANSLATE(A20713, ""en"", ""mt"")"),"Meta Sky Digital tnediet fl-1998 is-servizz il-ġdid uża s-satellita Astra 2A li kienet tinsab fil-pożizzjoni orbitali ta '28 .5 ° E, b'differenza mis-servizz analogu li ġie mxandar minn 19.2 ° E. Sussegwentement ġie segwit minn aktar satelliti Astra kif u"&amp;"koll minn Euutelsat's Eurobind 1 (issa Eutelsat 33C) fi 28.5 ° E), ippermetta lill-kumpanija tniedi servizz ġdid diġitali kollu, Sky, bil-potenzjal li ġġorr mijiet ta 'kanali tat-televiżjoni u tar-radju - Il-pożizzjoni l-qadima kienet maqsuma ma 'xandara "&amp;"minn diversi pajjiżi Ewropej, filwaqt li l-pożizzjoni l-ġdida ta '28 .5 ° E waslet kważi esklussivament għal kanali li xxandru lir-Renju Unit.")</f>
        <v>Meta Sky Digital tnediet fl-1998 is-servizz il-ġdid uża s-satellita Astra 2A li kienet tinsab fil-pożizzjoni orbitali ta '28 .5 ° E, b'differenza mis-servizz analogu li ġie mxandar minn 19.2 ° E. Sussegwentement ġie segwit minn aktar satelliti Astra kif ukoll minn Euutelsat's Eurobind 1 (issa Eutelsat 33C) fi 28.5 ° E), ippermetta lill-kumpanija tniedi servizz ġdid diġitali kollu, Sky, bil-potenzjal li ġġorr mijiet ta 'kanali tat-televiżjoni u tar-radju - Il-pożizzjoni l-qadima kienet maqsuma ma 'xandara minn diversi pajjiżi Ewropej, filwaqt li l-pożizzjoni l-ġdida ta '28 .5 ° E waslet kważi esklussivament għal kanali li xxandru lir-Renju Unit.</v>
      </c>
    </row>
    <row r="20714" ht="15.75" customHeight="1">
      <c r="A20714" s="2" t="s">
        <v>20714</v>
      </c>
      <c r="B20714" s="2" t="str">
        <f>IFERROR(__xludf.DUMMYFUNCTION("GOOGLETRANSLATE(A20714, ""en"", ""mt"")"),"Kif kien l-embargo fl-Iżrael?")</f>
        <v>Kif kien l-embargo fl-Iżrael?</v>
      </c>
    </row>
    <row r="20715" ht="15.75" customHeight="1">
      <c r="A20715" s="2" t="s">
        <v>20715</v>
      </c>
      <c r="B20715" s="2" t="str">
        <f>IFERROR(__xludf.DUMMYFUNCTION("GOOGLETRANSLATE(A20715, ""en"", ""mt"")"),"Minbarra l-argumentazzjoni li l-popolazzjoni tal-firien ma kinitx biżżejjed biex tagħti kont ta 'pandemija tal-pesta bubonika, ix-xettiċi tat-teorija tal-pesta bubonika jindikaw li s-sintomi tal-mewt sewda mhumiex uniċi (u bla dubju f'xi kontijiet jistgħu"&amp;" jvarjaw mill-pesta bubonika); Dik it-trasferiment permezz ta 'briegħed fil-merkanzija x'aktarx li tkun ta' sinifikat marġinali; u li r-riżultati tad-DNA jistgħu jkunu difetti u forsi ma ġewx ripetuti x'imkien ieħor, minkejja kampjuni estensivi minn oqbra"&amp;" tal-massa oħra. Argumenti oħra jinkludu n-nuqqas ta ’kontijiet tal-mewt tal-firien qabel it-tifqigħ tal-pesta bejn is-sekli 14 u 17; temperaturi li huma kesħin wisq fl-Ewropa tat-Tramuntana għas-sopravivenza tal-briegħed; Dan, minkejja sistemi ta 'traspo"&amp;"rt primittivi, it-tixrid tal-mewt l-Iswed kien ferm aktar mgħaġġel minn dak tal-pesta bubonika moderna; Dik ir-rati ta 'mortalità tal-mewt l-Iswed jidhru li huma għoljin ħafna; Dan, filwaqt li l-pesta bubonika moderna hija fil-biċċa l-kbira endemika bħala"&amp;" marda rurali, il-Mewt l-Iswed laqtitha b'mod indiskriminat żoni urbani u rurali; u li x-xejra tal-mewt sewda, bi tifqigħat kbar fl-istess żoni separati minn 5 sa 15-il sena, hija differenti mill-pesta bubonika moderna - li ħafna drabi ssir endemika għal "&amp;"għexieren ta 'snin bi flare-ups annwali.")</f>
        <v>Minbarra l-argumentazzjoni li l-popolazzjoni tal-firien ma kinitx biżżejjed biex tagħti kont ta 'pandemija tal-pesta bubonika, ix-xettiċi tat-teorija tal-pesta bubonika jindikaw li s-sintomi tal-mewt sewda mhumiex uniċi (u bla dubju f'xi kontijiet jistgħu jvarjaw mill-pesta bubonika); Dik it-trasferiment permezz ta 'briegħed fil-merkanzija x'aktarx li tkun ta' sinifikat marġinali; u li r-riżultati tad-DNA jistgħu jkunu difetti u forsi ma ġewx ripetuti x'imkien ieħor, minkejja kampjuni estensivi minn oqbra tal-massa oħra. Argumenti oħra jinkludu n-nuqqas ta ’kontijiet tal-mewt tal-firien qabel it-tifqigħ tal-pesta bejn is-sekli 14 u 17; temperaturi li huma kesħin wisq fl-Ewropa tat-Tramuntana għas-sopravivenza tal-briegħed; Dan, minkejja sistemi ta 'trasport primittivi, it-tixrid tal-mewt l-Iswed kien ferm aktar mgħaġġel minn dak tal-pesta bubonika moderna; Dik ir-rati ta 'mortalità tal-mewt l-Iswed jidhru li huma għoljin ħafna; Dan, filwaqt li l-pesta bubonika moderna hija fil-biċċa l-kbira endemika bħala marda rurali, il-Mewt l-Iswed laqtitha b'mod indiskriminat żoni urbani u rurali; u li x-xejra tal-mewt sewda, bi tifqigħat kbar fl-istess żoni separati minn 5 sa 15-il sena, hija differenti mill-pesta bubonika moderna - li ħafna drabi ssir endemika għal għexieren ta 'snin bi flare-ups annwali.</v>
      </c>
    </row>
    <row r="20716" ht="15.75" customHeight="1">
      <c r="A20716" s="2" t="s">
        <v>20716</v>
      </c>
      <c r="B20716" s="2" t="str">
        <f>IFERROR(__xludf.DUMMYFUNCTION("GOOGLETRANSLATE(A20716, ""en"", ""mt"")"),"Mao Zedong")</f>
        <v>Mao Zedong</v>
      </c>
    </row>
    <row r="20717" ht="15.75" customHeight="1">
      <c r="A20717" s="2" t="s">
        <v>20717</v>
      </c>
      <c r="B20717" s="2" t="str">
        <f>IFERROR(__xludf.DUMMYFUNCTION("GOOGLETRANSLATE(A20717, ""en"", ""mt"")"),"Ix-xmajjar u n-nixxigħat tal-Amazon fihom kemm rettili?")</f>
        <v>Ix-xmajjar u n-nixxigħat tal-Amazon fihom kemm rettili?</v>
      </c>
    </row>
    <row r="20718" ht="15.75" customHeight="1">
      <c r="A20718" s="2" t="s">
        <v>20718</v>
      </c>
      <c r="B20718" s="2" t="str">
        <f>IFERROR(__xludf.DUMMYFUNCTION("GOOGLETRANSLATE(A20718, ""en"", ""mt"")"),"Kemm ħsara tikkawża l-ossiġnu tan-nifs fil-kundizzjonijiet spazjali?")</f>
        <v>Kemm ħsara tikkawża l-ossiġnu tan-nifs fil-kundizzjonijiet spazjali?</v>
      </c>
    </row>
    <row r="20719" ht="15.75" customHeight="1">
      <c r="A20719" s="2" t="s">
        <v>20719</v>
      </c>
      <c r="B20719" s="2" t="str">
        <f>IFERROR(__xludf.DUMMYFUNCTION("GOOGLETRANSLATE(A20719, ""en"", ""mt"")"),"Liema sena ġiet mgħallma l-ewwel klassi fl-Università ta 'Chicago?")</f>
        <v>Liema sena ġiet mgħallma l-ewwel klassi fl-Università ta 'Chicago?</v>
      </c>
    </row>
    <row r="20720" ht="15.75" customHeight="1">
      <c r="A20720" s="2" t="s">
        <v>20720</v>
      </c>
      <c r="B20720" s="2" t="str">
        <f>IFERROR(__xludf.DUMMYFUNCTION("GOOGLETRANSLATE(A20720, ""en"", ""mt"")"),"It-teorija tal-kumplessità tfittex li tiddefinixxi r-relazzjoni bejn l-iskala ta 'algoritmi fir-rigward ta' liema varjabbli oħra?")</f>
        <v>It-teorija tal-kumplessità tfittex li tiddefinixxi r-relazzjoni bejn l-iskala ta 'algoritmi fir-rigward ta' liema varjabbli oħra?</v>
      </c>
    </row>
    <row r="20721" ht="15.75" customHeight="1">
      <c r="A20721" s="2" t="s">
        <v>20721</v>
      </c>
      <c r="B20721" s="2" t="str">
        <f>IFERROR(__xludf.DUMMYFUNCTION("GOOGLETRANSLATE(A20721, ""en"", ""mt"")"),"28 jum")</f>
        <v>28 jum</v>
      </c>
    </row>
    <row r="20722" ht="15.75" customHeight="1">
      <c r="A20722" s="2" t="s">
        <v>20722</v>
      </c>
      <c r="B20722" s="2" t="str">
        <f>IFERROR(__xludf.DUMMYFUNCTION("GOOGLETRANSLATE(A20722, ""en"", ""mt"")"),"fost il-plankton")</f>
        <v>fost il-plankton</v>
      </c>
    </row>
    <row r="20723" ht="15.75" customHeight="1">
      <c r="A20723" s="2" t="s">
        <v>20723</v>
      </c>
      <c r="B20723" s="2" t="str">
        <f>IFERROR(__xludf.DUMMYFUNCTION("GOOGLETRANSLATE(A20723, ""en"", ""mt"")"),"Liema sena l-flotta ta 'Richards evitat maltempata?")</f>
        <v>Liema sena l-flotta ta 'Richards evitat maltempata?</v>
      </c>
    </row>
    <row r="20724" ht="15.75" customHeight="1">
      <c r="A20724" s="2" t="s">
        <v>20724</v>
      </c>
      <c r="B20724" s="2" t="str">
        <f>IFERROR(__xludf.DUMMYFUNCTION("GOOGLETRANSLATE(A20724, ""en"", ""mt"")"),"Kemm trattati oriġinali li jistabbilixxu l-UE ma pproteġux id-drittijiet fundamentali /")</f>
        <v>Kemm trattati oriġinali li jistabbilixxu l-UE ma pproteġux id-drittijiet fundamentali /</v>
      </c>
    </row>
    <row r="20725" ht="15.75" customHeight="1">
      <c r="A20725" s="2" t="s">
        <v>20725</v>
      </c>
      <c r="B20725" s="2" t="str">
        <f>IFERROR(__xludf.DUMMYFUNCTION("GOOGLETRANSLATE(A20725, ""en"", ""mt"")"),"Il-proprjetà li tkun prim (jew le) tissejjaħ primalità. Metodu sempliċi imma bil-mod tal-verifika tal-primalità ta 'numru partikolari n huwa magħruf bħala diviżjoni ta' prova. Tikkonsisti fl-ittestjar jekk N huwiex multiplu minn kwalunkwe numru sħiħ bejn "&amp;"2 u. Algoritmi ferm aktar effiċjenti mid-diviżjoni tal-prova ġew iddisinjati biex jittestjaw il-primalità ta 'numri kbar. Dawn jinkludu t-test tal-primalità Miller-Rabin, li huwa mgħaġġel iżda għandu probabbiltà żgħira ta 'żball, u t-test tal-primalità AK"&amp;"S, li dejjem jipproduċi t-tweġiba t-tajba fi żmien polinomjali iżda huwa bil-mod wisq biex ikun prattiku. Metodi partikolarment veloċi huma disponibbli għal numri ta 'forom speċjali, bħal numri ta' mersenne. Minn Jannar 2016 [aġġornament], l-akbar numru e"&amp;"wlieni magħruf għandu 22,338,618 ċifri deċimali.")</f>
        <v>Il-proprjetà li tkun prim (jew le) tissejjaħ primalità. Metodu sempliċi imma bil-mod tal-verifika tal-primalità ta 'numru partikolari n huwa magħruf bħala diviżjoni ta' prova. Tikkonsisti fl-ittestjar jekk N huwiex multiplu minn kwalunkwe numru sħiħ bejn 2 u. Algoritmi ferm aktar effiċjenti mid-diviżjoni tal-prova ġew iddisinjati biex jittestjaw il-primalità ta 'numri kbar. Dawn jinkludu t-test tal-primalità Miller-Rabin, li huwa mgħaġġel iżda għandu probabbiltà żgħira ta 'żball, u t-test tal-primalità AKS, li dejjem jipproduċi t-tweġiba t-tajba fi żmien polinomjali iżda huwa bil-mod wisq biex ikun prattiku. Metodi partikolarment veloċi huma disponibbli għal numri ta 'forom speċjali, bħal numri ta' mersenne. Minn Jannar 2016 [aġġornament], l-akbar numru ewlieni magħruf għandu 22,338,618 ċifri deċimali.</v>
      </c>
    </row>
    <row r="20726" ht="15.75" customHeight="1">
      <c r="A20726" s="2" t="s">
        <v>20726</v>
      </c>
      <c r="B20726" s="2" t="str">
        <f>IFERROR(__xludf.DUMMYFUNCTION("GOOGLETRANSLATE(A20726, ""en"", ""mt"")"),"F'liema sena ġie vvintat l-ewwel apparat tat-tessuti kummerċjali?")</f>
        <v>F'liema sena ġie vvintat l-ewwel apparat tat-tessuti kummerċjali?</v>
      </c>
    </row>
    <row r="20727" ht="15.75" customHeight="1">
      <c r="A20727" s="2" t="s">
        <v>20727</v>
      </c>
      <c r="B20727" s="2" t="str">
        <f>IFERROR(__xludf.DUMMYFUNCTION("GOOGLETRANSLATE(A20727, ""en"", ""mt"")"),"Il-leġiżlazzjoni tista 'tiġi mblukkata b'maġġoranza fil-Parlament, minoranza fil-kunsill, u maġġoranza fil-kummissjoni")</f>
        <v>Il-leġiżlazzjoni tista 'tiġi mblukkata b'maġġoranza fil-Parlament, minoranza fil-kunsill, u maġġoranza fil-kummissjoni</v>
      </c>
    </row>
    <row r="20728" ht="15.75" customHeight="1">
      <c r="A20728" s="2" t="s">
        <v>20728</v>
      </c>
      <c r="B20728" s="2" t="str">
        <f>IFERROR(__xludf.DUMMYFUNCTION("GOOGLETRANSLATE(A20728, ""en"", ""mt"")"),"Min huma l-liġijiet tal-AID kontra l-importazzjoni ta 'mediċini mmirati?")</f>
        <v>Min huma l-liġijiet tal-AID kontra l-importazzjoni ta 'mediċini mmirati?</v>
      </c>
    </row>
    <row r="20729" ht="15.75" customHeight="1">
      <c r="A20729" s="2" t="s">
        <v>20729</v>
      </c>
      <c r="B20729" s="2" t="str">
        <f>IFERROR(__xludf.DUMMYFUNCTION("GOOGLETRANSLATE(A20729, ""en"", ""mt"")")," X'kien l-isem Ingliż tal-matematika ta 'Gou?")</f>
        <v> X'kien l-isem Ingliż tal-matematika ta 'Gou?</v>
      </c>
    </row>
    <row r="20730" ht="15.75" customHeight="1">
      <c r="A20730" s="2" t="s">
        <v>20730</v>
      </c>
      <c r="B20730" s="2" t="str">
        <f>IFERROR(__xludf.DUMMYFUNCTION("GOOGLETRANSLATE(A20730, ""en"", ""mt"")"),"Kemm huguenots inqatlu f'Toulouse?")</f>
        <v>Kemm huguenots inqatlu f'Toulouse?</v>
      </c>
    </row>
    <row r="20731" ht="15.75" customHeight="1">
      <c r="A20731" s="2" t="s">
        <v>20731</v>
      </c>
      <c r="B20731" s="2" t="str">
        <f>IFERROR(__xludf.DUMMYFUNCTION("GOOGLETRANSLATE(A20731, ""en"", ""mt"")"),"X'kien użat terminu ieħor għall-kriżi taż-żejt?")</f>
        <v>X'kien użat terminu ieħor għall-kriżi taż-żejt?</v>
      </c>
    </row>
    <row r="20732" ht="15.75" customHeight="1">
      <c r="A20732" s="2" t="s">
        <v>20732</v>
      </c>
      <c r="B20732" s="2" t="str">
        <f>IFERROR(__xludf.DUMMYFUNCTION("GOOGLETRANSLATE(A20732, ""en"", ""mt"")"),"Bedau jinnota li protesti illegali lejn il-politika pubblika jistgħu jservu bħala liema skop?")</f>
        <v>Bedau jinnota li protesti illegali lejn il-politika pubblika jistgħu jservu bħala liema skop?</v>
      </c>
    </row>
    <row r="20733" ht="15.75" customHeight="1">
      <c r="A20733" s="2" t="s">
        <v>20733</v>
      </c>
      <c r="B20733" s="2" t="str">
        <f>IFERROR(__xludf.DUMMYFUNCTION("GOOGLETRANSLATE(A20733, ""en"", ""mt"")"),"1974")</f>
        <v>1974</v>
      </c>
    </row>
    <row r="20734" ht="15.75" customHeight="1">
      <c r="A20734" s="2" t="s">
        <v>20734</v>
      </c>
      <c r="B20734" s="2" t="str">
        <f>IFERROR(__xludf.DUMMYFUNCTION("GOOGLETRANSLATE(A20734, ""en"", ""mt"")"),"X'jagħmel David Castlles-Quintana u Vicente Royuela għal għajxien?")</f>
        <v>X'jagħmel David Castlles-Quintana u Vicente Royuela għal għajxien?</v>
      </c>
    </row>
    <row r="20735" ht="15.75" customHeight="1">
      <c r="A20735" s="2" t="s">
        <v>20735</v>
      </c>
      <c r="B20735" s="2" t="str">
        <f>IFERROR(__xludf.DUMMYFUNCTION("GOOGLETRANSLATE(A20735, ""en"", ""mt"")")," Min waqqaf id-dinastija Ding?")</f>
        <v> Min waqqaf id-dinastija Ding?</v>
      </c>
    </row>
    <row r="20736" ht="15.75" customHeight="1">
      <c r="A20736" s="2" t="s">
        <v>20736</v>
      </c>
      <c r="B20736" s="2" t="str">
        <f>IFERROR(__xludf.DUMMYFUNCTION("GOOGLETRANSLATE(A20736, ""en"", ""mt"")"),"Riżorsi tal-Kumplessità")</f>
        <v>Riżorsi tal-Kumplessità</v>
      </c>
    </row>
    <row r="20737" ht="15.75" customHeight="1">
      <c r="A20737" s="2" t="s">
        <v>20737</v>
      </c>
      <c r="B20737" s="2" t="str">
        <f>IFERROR(__xludf.DUMMYFUNCTION("GOOGLETRANSLATE(A20737, ""en"", ""mt"")"),"X'inhi funzjoni waħda li n-numri ewlenin għandhom dak 1?")</f>
        <v>X'inhi funzjoni waħda li n-numri ewlenin għandhom dak 1?</v>
      </c>
    </row>
    <row r="20738" ht="15.75" customHeight="1">
      <c r="A20738" s="2" t="s">
        <v>20738</v>
      </c>
      <c r="B20738" s="2" t="str">
        <f>IFERROR(__xludf.DUMMYFUNCTION("GOOGLETRANSLATE(A20738, ""en"", ""mt"")"),"tridimensjonali")</f>
        <v>tridimensjonali</v>
      </c>
    </row>
    <row r="20739" ht="15.75" customHeight="1">
      <c r="A20739" s="2" t="s">
        <v>20739</v>
      </c>
      <c r="B20739" s="2" t="str">
        <f>IFERROR(__xludf.DUMMYFUNCTION("GOOGLETRANSLATE(A20739, ""en"", ""mt"")"),"Xi jfisser meta serje ta 'Basel tbiegħed?")</f>
        <v>Xi jfisser meta serje ta 'Basel tbiegħed?</v>
      </c>
    </row>
    <row r="20740" ht="15.75" customHeight="1">
      <c r="A20740" s="2" t="s">
        <v>20740</v>
      </c>
      <c r="B20740" s="2" t="str">
        <f>IFERROR(__xludf.DUMMYFUNCTION("GOOGLETRANSLATE(A20740, ""en"", ""mt"")"),"Il-premier huwa l-wiċċ pubbliku tal-gvern u, bil-kabinett")</f>
        <v>Il-premier huwa l-wiċċ pubbliku tal-gvern u, bil-kabinett</v>
      </c>
    </row>
    <row r="20741" ht="15.75" customHeight="1">
      <c r="A20741" s="2" t="s">
        <v>20741</v>
      </c>
      <c r="B20741" s="2" t="str">
        <f>IFERROR(__xludf.DUMMYFUNCTION("GOOGLETRANSLATE(A20741, ""en"", ""mt"")"),"Meta l-Ingliżi ma bdewx jibnu Fort taħt William Trent?")</f>
        <v>Meta l-Ingliżi ma bdewx jibnu Fort taħt William Trent?</v>
      </c>
    </row>
    <row r="20742" ht="15.75" customHeight="1">
      <c r="A20742" s="2" t="s">
        <v>20742</v>
      </c>
      <c r="B20742" s="2" t="str">
        <f>IFERROR(__xludf.DUMMYFUNCTION("GOOGLETRANSLATE(A20742, ""en"", ""mt"")"),"Liema president Eġizzjan ħabs mijiet ta 'membri tal-fratellanza?")</f>
        <v>Liema president Eġizzjan ħabs mijiet ta 'membri tal-fratellanza?</v>
      </c>
    </row>
    <row r="20743" ht="15.75" customHeight="1">
      <c r="A20743" s="2" t="s">
        <v>20743</v>
      </c>
      <c r="B20743" s="2" t="str">
        <f>IFERROR(__xludf.DUMMYFUNCTION("GOOGLETRANSLATE(A20743, ""en"", ""mt"")"),"Taxxi inġusti")</f>
        <v>Taxxi inġusti</v>
      </c>
    </row>
    <row r="20744" ht="15.75" customHeight="1">
      <c r="A20744" s="2" t="s">
        <v>20744</v>
      </c>
      <c r="B20744" s="2" t="str">
        <f>IFERROR(__xludf.DUMMYFUNCTION("GOOGLETRANSLATE(A20744, ""en"", ""mt"")"),"aġenziji pubbliċi")</f>
        <v>aġenziji pubbliċi</v>
      </c>
    </row>
    <row r="20745" ht="15.75" customHeight="1">
      <c r="A20745" s="2" t="s">
        <v>20745</v>
      </c>
      <c r="B20745" s="2" t="str">
        <f>IFERROR(__xludf.DUMMYFUNCTION("GOOGLETRANSLATE(A20745, ""en"", ""mt"")"),"X'kien it-total ta 'Harvard Dotament fl-2011?")</f>
        <v>X'kien it-total ta 'Harvard Dotament fl-2011?</v>
      </c>
    </row>
    <row r="20746" ht="15.75" customHeight="1">
      <c r="A20746" s="2" t="s">
        <v>20746</v>
      </c>
      <c r="B20746" s="2" t="str">
        <f>IFERROR(__xludf.DUMMYFUNCTION("GOOGLETRANSLATE(A20746, ""en"", ""mt"")"),"Meta l-Fratellanza appoġġjat il-vjolenza bħala mezz biex tilħaq l-għanijiet tagħha?")</f>
        <v>Meta l-Fratellanza appoġġjat il-vjolenza bħala mezz biex tilħaq l-għanijiet tagħha?</v>
      </c>
    </row>
    <row r="20747" ht="15.75" customHeight="1">
      <c r="A20747" s="2" t="s">
        <v>20747</v>
      </c>
      <c r="B20747" s="2" t="str">
        <f>IFERROR(__xludf.DUMMYFUNCTION("GOOGLETRANSLATE(A20747, ""en"", ""mt"")"),"Kif irrisponda r-Re Louis X għall-pjanijiet Ingliżi?")</f>
        <v>Kif irrisponda r-Re Louis X għall-pjanijiet Ingliżi?</v>
      </c>
    </row>
    <row r="20748" ht="15.75" customHeight="1">
      <c r="A20748" s="2" t="s">
        <v>20748</v>
      </c>
      <c r="B20748" s="2" t="str">
        <f>IFERROR(__xludf.DUMMYFUNCTION("GOOGLETRANSLATE(A20748, ""en"", ""mt"")"),"Protezzjoni tal-kreditur, drittijiet tax-xogħol biex jipparteċipaw fix-xogħol, jew l-interess pubbliku fil-ġbir tat-taxxi")</f>
        <v>Protezzjoni tal-kreditur, drittijiet tax-xogħol biex jipparteċipaw fix-xogħol, jew l-interess pubbliku fil-ġbir tat-taxxi</v>
      </c>
    </row>
    <row r="20749" ht="15.75" customHeight="1">
      <c r="A20749" s="2" t="s">
        <v>20749</v>
      </c>
      <c r="B20749" s="2" t="str">
        <f>IFERROR(__xludf.DUMMYFUNCTION("GOOGLETRANSLATE(A20749, ""en"", ""mt"")"),"X'inhu l-isem tal-President tal-Bord tal-Fiduċjarji?")</f>
        <v>X'inhu l-isem tal-President tal-Bord tal-Fiduċjarji?</v>
      </c>
    </row>
    <row r="20750" ht="15.75" customHeight="1">
      <c r="A20750" s="2" t="s">
        <v>20750</v>
      </c>
      <c r="B20750" s="2" t="str">
        <f>IFERROR(__xludf.DUMMYFUNCTION("GOOGLETRANSLATE(A20750, ""en"", ""mt"")"),"Liema president tal-Columbia mar Harvard?")</f>
        <v>Liema president tal-Columbia mar Harvard?</v>
      </c>
    </row>
    <row r="20751" ht="15.75" customHeight="1">
      <c r="A20751" s="2" t="s">
        <v>20751</v>
      </c>
      <c r="B20751" s="2" t="str">
        <f>IFERROR(__xludf.DUMMYFUNCTION("GOOGLETRANSLATE(A20751, ""en"", ""mt"")"),"Liema amministrazzjoni kienet Ludwig Mies van der Rohe designa Buiding?")</f>
        <v>Liema amministrazzjoni kienet Ludwig Mies van der Rohe designa Buiding?</v>
      </c>
    </row>
    <row r="20752" ht="15.75" customHeight="1">
      <c r="A20752" s="2" t="s">
        <v>20752</v>
      </c>
      <c r="B20752" s="2" t="str">
        <f>IFERROR(__xludf.DUMMYFUNCTION("GOOGLETRANSLATE(A20752, ""en"", ""mt"")"),"X'inhu eżempju ta 'problema intermedjata ta' NP mhux magħrufa li teżisti f'P jew NP-Complete?")</f>
        <v>X'inhu eżempju ta 'problema intermedjata ta' NP mhux magħrufa li teżisti f'P jew NP-Complete?</v>
      </c>
    </row>
    <row r="20753" ht="15.75" customHeight="1">
      <c r="A20753" s="2" t="s">
        <v>20753</v>
      </c>
      <c r="B20753" s="2" t="str">
        <f>IFERROR(__xludf.DUMMYFUNCTION("GOOGLETRANSLATE(A20753, ""en"", ""mt"")"),"Ma 'Emma żżewweġ?")</f>
        <v>Ma 'Emma żżewweġ?</v>
      </c>
    </row>
    <row r="20754" ht="15.75" customHeight="1">
      <c r="A20754" s="2" t="s">
        <v>20754</v>
      </c>
      <c r="B20754" s="2" t="str">
        <f>IFERROR(__xludf.DUMMYFUNCTION("GOOGLETRANSLATE(A20754, ""en"", ""mt"")"),"Il-kelma imperjalizmu għandha l-oriġini tagħha li fiha lingwa antika?")</f>
        <v>Il-kelma imperjalizmu għandha l-oriġini tagħha li fiha lingwa antika?</v>
      </c>
    </row>
    <row r="20755" ht="15.75" customHeight="1">
      <c r="A20755" s="2" t="s">
        <v>20755</v>
      </c>
      <c r="B20755" s="2" t="str">
        <f>IFERROR(__xludf.DUMMYFUNCTION("GOOGLETRANSLATE(A20755, ""en"", ""mt"")"),"il-qamar")</f>
        <v>il-qamar</v>
      </c>
    </row>
    <row r="20756" ht="15.75" customHeight="1">
      <c r="A20756" s="2" t="s">
        <v>20756</v>
      </c>
      <c r="B20756" s="2" t="str">
        <f>IFERROR(__xludf.DUMMYFUNCTION("GOOGLETRANSLATE(A20756, ""en"", ""mt"")"),"L-erba 'skedi ta' żmien li ġejjin juru l-iskala tal-ħin ġeoloġiku. L-ewwel juri l-ħin kollu mill-formazzjoni tad-dinja sal-preżent, iżda dan jikkompressa l-iktar eon riċenti. Għalhekk, it-tieni skala turi l-aktar EON riċenti bi skala estiża. It-tieni skal"&amp;"a tikkompressa l-iktar era riċenti, u għalhekk l-iktar era riċenti hija estiża fit-tielet skala. Peress li l-kwaternarju huwa perjodu qasir ħafna b'epoki qosra, dan jitwessa 'aktar fir-raba' skala. It-tieni, it-tielet, u r-raba 'skedi ta' żmien huma għalh"&amp;"ekk kull subartikolu tal-iskeda ta 'żmien preċedenti kif indikat mill-asteriski. L-Oloken (l-aħħar epoka) huwa żgħir wisq biex jintwera b'mod ċar fuq it-tielet skeda ta 'żmien fuq il-lemin, raġuni oħra għall-espansjoni tar-raba' skala. L-epoka tal-Pleisto"&amp;"cene (P). Q tfisser il-perjodu kwaternarju.")</f>
        <v>L-erba 'skedi ta' żmien li ġejjin juru l-iskala tal-ħin ġeoloġiku. L-ewwel juri l-ħin kollu mill-formazzjoni tad-dinja sal-preżent, iżda dan jikkompressa l-iktar eon riċenti. Għalhekk, it-tieni skala turi l-aktar EON riċenti bi skala estiża. It-tieni skala tikkompressa l-iktar era riċenti, u għalhekk l-iktar era riċenti hija estiża fit-tielet skala. Peress li l-kwaternarju huwa perjodu qasir ħafna b'epoki qosra, dan jitwessa 'aktar fir-raba' skala. It-tieni, it-tielet, u r-raba 'skedi ta' żmien huma għalhekk kull subartikolu tal-iskeda ta 'żmien preċedenti kif indikat mill-asteriski. L-Oloken (l-aħħar epoka) huwa żgħir wisq biex jintwera b'mod ċar fuq it-tielet skeda ta 'żmien fuq il-lemin, raġuni oħra għall-espansjoni tar-raba' skala. L-epoka tal-Pleistocene (P). Q tfisser il-perjodu kwaternarju.</v>
      </c>
    </row>
    <row r="20757" ht="15.75" customHeight="1">
      <c r="A20757" s="2" t="s">
        <v>20757</v>
      </c>
      <c r="B20757" s="2" t="str">
        <f>IFERROR(__xludf.DUMMYFUNCTION("GOOGLETRANSLATE(A20757, ""en"", ""mt"")"),"Politika ta 'importazzjoni maqbudin")</f>
        <v>Politika ta 'importazzjoni maqbudin</v>
      </c>
    </row>
    <row r="20758" ht="15.75" customHeight="1">
      <c r="A20758" s="2" t="s">
        <v>20758</v>
      </c>
      <c r="B20758" s="2" t="str">
        <f>IFERROR(__xludf.DUMMYFUNCTION("GOOGLETRANSLATE(A20758, ""en"", ""mt"")"),"Jekk id-daqs tal-input huwa ugwali għal N, x'jista 'jassumi rispettivament il-funzjoni ta' n?")</f>
        <v>Jekk id-daqs tal-input huwa ugwali għal N, x'jista 'jassumi rispettivament il-funzjoni ta' n?</v>
      </c>
    </row>
    <row r="20759" ht="15.75" customHeight="1">
      <c r="A20759" s="2" t="s">
        <v>20759</v>
      </c>
      <c r="B20759" s="2" t="str">
        <f>IFERROR(__xludf.DUMMYFUNCTION("GOOGLETRANSLATE(A20759, ""en"", ""mt"")"),"mija")</f>
        <v>mija</v>
      </c>
    </row>
    <row r="20760" ht="15.75" customHeight="1">
      <c r="A20760" s="2" t="s">
        <v>20760</v>
      </c>
      <c r="B20760" s="2" t="str">
        <f>IFERROR(__xludf.DUMMYFUNCTION("GOOGLETRANSLATE(A20760, ""en"", ""mt"")"),"15-il kilometru")</f>
        <v>15-il kilometru</v>
      </c>
    </row>
    <row r="20761" ht="15.75" customHeight="1">
      <c r="A20761" s="2" t="s">
        <v>20761</v>
      </c>
      <c r="B20761" s="2" t="str">
        <f>IFERROR(__xludf.DUMMYFUNCTION("GOOGLETRANSLATE(A20761, ""en"", ""mt"")"),"Kanal Ingliż")</f>
        <v>Kanal Ingliż</v>
      </c>
    </row>
    <row r="20762" ht="15.75" customHeight="1">
      <c r="A20762" s="2" t="s">
        <v>20762</v>
      </c>
      <c r="B20762" s="2" t="str">
        <f>IFERROR(__xludf.DUMMYFUNCTION("GOOGLETRANSLATE(A20762, ""en"", ""mt"")"),"Għal liema tip ta 'universitajiet huwa famuż ir-reġjun?")</f>
        <v>Għal liema tip ta 'universitajiet huwa famuż ir-reġjun?</v>
      </c>
    </row>
    <row r="20763" ht="15.75" customHeight="1">
      <c r="A20763" s="2" t="s">
        <v>20763</v>
      </c>
      <c r="B20763" s="2" t="str">
        <f>IFERROR(__xludf.DUMMYFUNCTION("GOOGLETRANSLATE(A20763, ""en"", ""mt"")"),"ħafif u xemxi.")</f>
        <v>ħafif u xemxi.</v>
      </c>
    </row>
    <row r="20764" ht="15.75" customHeight="1">
      <c r="A20764" s="2" t="s">
        <v>20764</v>
      </c>
      <c r="B20764" s="2" t="str">
        <f>IFERROR(__xludf.DUMMYFUNCTION("GOOGLETRANSLATE(A20764, ""en"", ""mt"")"),"Fejn hi r-Regolament tal-Kanal tal-Lvant tar-Renu?")</f>
        <v>Fejn hi r-Regolament tal-Kanal tal-Lvant tar-Renu?</v>
      </c>
    </row>
    <row r="20765" ht="15.75" customHeight="1">
      <c r="A20765" s="2" t="s">
        <v>20765</v>
      </c>
      <c r="B20765" s="2" t="str">
        <f>IFERROR(__xludf.DUMMYFUNCTION("GOOGLETRANSLATE(A20765, ""en"", ""mt"")"),"Il-gvern ta 'l-Istati Uniti involva sforzi biex jiġġieled l-Iżlamiżmu, jew l-Iżlamiżmu vjolenti, mill-2001. Dawn l-isforzi kienu ċċentrati fl-Istati Uniti madwar programmi ta' diplomazija pubblika mmexxija mid-Dipartiment ta 'l-Istat. Kien hemm sejħiet bi"&amp;"ex tinħoloq aġenzija indipendenti fl-Istati Uniti b'missjoni speċifika li ddgħajjef l-Iżlamiżmu u l-Ġiħadiżmu. Christian Whiton, uffiċjal fl-amministrazzjoni ta 'George W. Bush, talab għal aġenzija ġdida ffokata fuq il-prattika mhux vjolenti ta' ""gwerra "&amp;"politika"" immirata biex timmina l-ideoloġija. Is-Segretarju tad-Difiża ta 'l-Istati Uniti Robert Gates appella biex jistabbilixxi xi ħaġa simili għall-Aġenzija ta' l-Informazzjoni ta 'l-Istati Uniti li ma tħaddimx, li ġiet akkużata li ddgħajjef l-ideoloġ"&amp;"ija Komunista matul il-Gwerra Bierda.")</f>
        <v>Il-gvern ta 'l-Istati Uniti involva sforzi biex jiġġieled l-Iżlamiżmu, jew l-Iżlamiżmu vjolenti, mill-2001. Dawn l-isforzi kienu ċċentrati fl-Istati Uniti madwar programmi ta' diplomazija pubblika mmexxija mid-Dipartiment ta 'l-Istat. Kien hemm sejħiet biex tinħoloq aġenzija indipendenti fl-Istati Uniti b'missjoni speċifika li ddgħajjef l-Iżlamiżmu u l-Ġiħadiżmu. Christian Whiton, uffiċjal fl-amministrazzjoni ta 'George W. Bush, talab għal aġenzija ġdida ffokata fuq il-prattika mhux vjolenti ta' "gwerra politika" immirata biex timmina l-ideoloġija. Is-Segretarju tad-Difiża ta 'l-Istati Uniti Robert Gates appella biex jistabbilixxi xi ħaġa simili għall-Aġenzija ta' l-Informazzjoni ta 'l-Istati Uniti li ma tħaddimx, li ġiet akkużata li ddgħajjef l-ideoloġija Komunista matul il-Gwerra Bierda.</v>
      </c>
    </row>
    <row r="20766" ht="15.75" customHeight="1">
      <c r="A20766" s="2" t="s">
        <v>20766</v>
      </c>
      <c r="B20766" s="2" t="str">
        <f>IFERROR(__xludf.DUMMYFUNCTION("GOOGLETRANSLATE(A20766, ""en"", ""mt"")"),"militari")</f>
        <v>militari</v>
      </c>
    </row>
    <row r="20767" ht="15.75" customHeight="1">
      <c r="A20767" s="2" t="s">
        <v>20767</v>
      </c>
      <c r="B20767" s="2" t="str">
        <f>IFERROR(__xludf.DUMMYFUNCTION("GOOGLETRANSLATE(A20767, ""en"", ""mt"")"),"ewforika ħafifa suppost")</f>
        <v>ewforika ħafifa suppost</v>
      </c>
    </row>
    <row r="20768" ht="15.75" customHeight="1">
      <c r="A20768" s="2" t="s">
        <v>20768</v>
      </c>
      <c r="B20768" s="2" t="str">
        <f>IFERROR(__xludf.DUMMYFUNCTION("GOOGLETRANSLATE(A20768, ""en"", ""mt"")"),"X'jista 'ma jistax jiġi distint minn sustanzi barranin mis-sistema immunitarja?")</f>
        <v>X'jista 'ma jistax jiġi distint minn sustanzi barranin mis-sistema immunitarja?</v>
      </c>
    </row>
    <row r="20769" ht="15.75" customHeight="1">
      <c r="A20769" s="2" t="s">
        <v>20769</v>
      </c>
      <c r="B20769" s="2" t="str">
        <f>IFERROR(__xludf.DUMMYFUNCTION("GOOGLETRANSLATE(A20769, ""en"", ""mt"")"),"Madwar l-1685, ir-refuġjati Huguenot sabu kenn fil-Luterani u stati riformati fil-Ġermanja u fl-Iskandinavja. Kważi 50,000 Huguenots stabbilixxew ruħhom fil-Ġermanja, li 20,000 minnhom ġew milqugħa fi Brandenburg-Prussja, fejn ingħataw privileġġi speċjali"&amp;" (editt ta 'Potsdam) u knejjes li fihom għandhom jaduraw (bħalma huma l-Knisja ta' San Pietru u San Pawl, Angermünde ) minn Frederick William, l-Elettur ta 'Brandenburg u Duka tal-Prussja. Il-Huguenots ipprovda żewġ reġimenti ġodda tal-armata tiegħu: ir-r"&amp;"eġimenti tal-infanterija Altpreußische Nru 13 (Reġiment fuq Foot Varenne) u 15 (Regiment fuq Foot Wylich). 4,000 Huguenots oħra stabbilixxew fit-territorji Ġermaniżi ta 'Baden, Franconia (il-Prinċipat ta' Bayreuth, il-Prinċipat ta 'Ansbach), Landgraviate "&amp;"ta' Hesse-Kassel, Dukat ta 'Württemberg, fl-Assoċjazzjoni ta' Wetterau ta 'l-Imperjali, fil-Palatinat u Palatinat-Zweibrücken, Rhine-Main-Area (Frankfurt), fis-Saarland tal-ġurnata moderna; u 1,500 sabu kenn f'Hamburg, Bremen u Sassonja t'Isfel. Tliet mit"&amp;"t refuġjat ingħataw ażil fil-qorti ta ’George William, Duka ta’ Brunswick-Lüneburg f’Celle.")</f>
        <v>Madwar l-1685, ir-refuġjati Huguenot sabu kenn fil-Luterani u stati riformati fil-Ġermanja u fl-Iskandinavja. Kważi 50,000 Huguenots stabbilixxew ruħhom fil-Ġermanja, li 20,000 minnhom ġew milqugħa fi Brandenburg-Prussja, fejn ingħataw privileġġi speċjali (editt ta 'Potsdam) u knejjes li fihom għandhom jaduraw (bħalma huma l-Knisja ta' San Pietru u San Pawl, Angermünde ) minn Frederick William, l-Elettur ta 'Brandenburg u Duka tal-Prussja. Il-Huguenots ipprovda żewġ reġimenti ġodda tal-armata tiegħu: ir-reġimenti tal-infanterija Altpreußische Nru 13 (Reġiment fuq Foot Varenne) u 15 (Regiment fuq Foot Wylich). 4,000 Huguenots oħra stabbilixxew fit-territorji Ġermaniżi ta 'Baden, Franconia (il-Prinċipat ta' Bayreuth, il-Prinċipat ta 'Ansbach), Landgraviate ta' Hesse-Kassel, Dukat ta 'Württemberg, fl-Assoċjazzjoni ta' Wetterau ta 'l-Imperjali, fil-Palatinat u Palatinat-Zweibrücken, Rhine-Main-Area (Frankfurt), fis-Saarland tal-ġurnata moderna; u 1,500 sabu kenn f'Hamburg, Bremen u Sassonja t'Isfel. Tliet mitt refuġjat ingħataw ażil fil-qorti ta ’George William, Duka ta’ Brunswick-Lüneburg f’Celle.</v>
      </c>
    </row>
    <row r="20770" ht="15.75" customHeight="1">
      <c r="A20770" s="2" t="s">
        <v>20770</v>
      </c>
      <c r="B20770" s="2" t="str">
        <f>IFERROR(__xludf.DUMMYFUNCTION("GOOGLETRANSLATE(A20770, ""en"", ""mt"")"),"Franza")</f>
        <v>Franza</v>
      </c>
    </row>
    <row r="20771" ht="15.75" customHeight="1">
      <c r="A20771" s="2" t="s">
        <v>20771</v>
      </c>
      <c r="B20771" s="2" t="str">
        <f>IFERROR(__xludf.DUMMYFUNCTION("GOOGLETRANSLATE(A20771, ""en"", ""mt"")"),"James Hutton ħafna drabi huwa meqjus bħala l-ewwel ġeologu modern. Fl-1785 huwa ppreżenta dokument intitolat Teorija tad-Dinja lis-Soċjetà Rjali ta 'Edinburgu. Fil-karta tiegħu, huwa spjega t-teorija tiegħu li d-dinja trid tkun ferm ixjeħ milli suppost ki"&amp;"enet suppost biex tippermetti ħin biżżejjed biex il-muntanji jitnaqqru u għas-sedimenti jiffurmaw blat ġodda fil-qiegħ tal-baħar, li mbagħad tqajmu sa art niexfa. Hutton ippubblika verżjoni b'żewġ volumi ta 'l-ideat tiegħu fl-1795 (Vol. 1, vol. 2).")</f>
        <v>James Hutton ħafna drabi huwa meqjus bħala l-ewwel ġeologu modern. Fl-1785 huwa ppreżenta dokument intitolat Teorija tad-Dinja lis-Soċjetà Rjali ta 'Edinburgu. Fil-karta tiegħu, huwa spjega t-teorija tiegħu li d-dinja trid tkun ferm ixjeħ milli suppost kienet suppost biex tippermetti ħin biżżejjed biex il-muntanji jitnaqqru u għas-sedimenti jiffurmaw blat ġodda fil-qiegħ tal-baħar, li mbagħad tqajmu sa art niexfa. Hutton ippubblika verżjoni b'żewġ volumi ta 'l-ideat tiegħu fl-1795 (Vol. 1, vol. 2).</v>
      </c>
    </row>
    <row r="20772" ht="15.75" customHeight="1">
      <c r="A20772" s="2" t="s">
        <v>20772</v>
      </c>
      <c r="B20772" s="2" t="str">
        <f>IFERROR(__xludf.DUMMYFUNCTION("GOOGLETRANSLATE(A20772, ""en"", ""mt"")"),"Liema belt fil-fatt ingħatat lill-Huguenots mal-wasla?")</f>
        <v>Liema belt fil-fatt ingħatat lill-Huguenots mal-wasla?</v>
      </c>
    </row>
    <row r="20773" ht="15.75" customHeight="1">
      <c r="A20773" s="2" t="s">
        <v>20773</v>
      </c>
      <c r="B20773" s="2" t="str">
        <f>IFERROR(__xludf.DUMMYFUNCTION("GOOGLETRANSLATE(A20773, ""en"", ""mt"")"),"Fejn tinsab Galaxy Public School?")</f>
        <v>Fejn tinsab Galaxy Public School?</v>
      </c>
    </row>
    <row r="20774" ht="15.75" customHeight="1">
      <c r="A20774" s="2" t="s">
        <v>20774</v>
      </c>
      <c r="B20774" s="2" t="str">
        <f>IFERROR(__xludf.DUMMYFUNCTION("GOOGLETRANSLATE(A20774, ""en"", ""mt"")"),"X'inhu Decnet")</f>
        <v>X'inhu Decnet</v>
      </c>
    </row>
    <row r="20775" ht="15.75" customHeight="1">
      <c r="A20775" s="2" t="s">
        <v>20775</v>
      </c>
      <c r="B20775" s="2" t="str">
        <f>IFERROR(__xludf.DUMMYFUNCTION("GOOGLETRANSLATE(A20775, ""en"", ""mt"")"),"It-Trattat ta 'Lisbona huwa wieħed li jbiddel it-trattati eżistenti jew jibdilhom?")</f>
        <v>It-Trattat ta 'Lisbona huwa wieħed li jbiddel it-trattati eżistenti jew jibdilhom?</v>
      </c>
    </row>
    <row r="20776" ht="15.75" customHeight="1">
      <c r="A20776" s="2" t="s">
        <v>20776</v>
      </c>
      <c r="B20776" s="2" t="str">
        <f>IFERROR(__xludf.DUMMYFUNCTION("GOOGLETRANSLATE(A20776, ""en"", ""mt"")"),"18-il miljun")</f>
        <v>18-il miljun</v>
      </c>
    </row>
    <row r="20777" ht="15.75" customHeight="1">
      <c r="A20777" s="2" t="s">
        <v>20777</v>
      </c>
      <c r="B20777" s="2" t="str">
        <f>IFERROR(__xludf.DUMMYFUNCTION("GOOGLETRANSLATE(A20777, ""en"", ""mt"")"),"Xmara Vistula")</f>
        <v>Xmara Vistula</v>
      </c>
    </row>
    <row r="20778" ht="15.75" customHeight="1">
      <c r="A20778" s="2" t="s">
        <v>20778</v>
      </c>
      <c r="B20778" s="2" t="str">
        <f>IFERROR(__xludf.DUMMYFUNCTION("GOOGLETRANSLATE(A20778, ""en"", ""mt"")"),"Matul is-sekli 14 sa 17")</f>
        <v>Matul is-sekli 14 sa 17</v>
      </c>
    </row>
    <row r="20779" ht="15.75" customHeight="1">
      <c r="A20779" s="2" t="s">
        <v>20779</v>
      </c>
      <c r="B20779" s="2" t="str">
        <f>IFERROR(__xludf.DUMMYFUNCTION("GOOGLETRANSLATE(A20779, ""en"", ""mt"")"),"Il-kunċett distribwit blokka ta 'messaġġi ta' swiċċjar")</f>
        <v>Il-kunċett distribwit blokka ta 'messaġġi ta' swiċċjar</v>
      </c>
    </row>
    <row r="20780" ht="15.75" customHeight="1">
      <c r="A20780" s="2" t="s">
        <v>20780</v>
      </c>
      <c r="B20780" s="2" t="str">
        <f>IFERROR(__xludf.DUMMYFUNCTION("GOOGLETRANSLATE(A20780, ""en"", ""mt"")"),"Informatika tal-ispiżerija hija l-kombinazzjoni ta 'xjenza tal-prattika tal-ispiżerija u xjenza ta' informazzjoni applikata. L-informatiċi tal-ispiżerija jaħdmu f'ħafna oqsma ta 'prattika tal-ispiżerija, madankollu, jistgħu jaħdmu wkoll fid-dipartimenti t"&amp;"at-teknoloġija tal-informazzjoni jew għal kumpaniji tal-bejjiegħ tat-teknoloġija tal-informazzjoni dwar il-kura tas-saħħa. Bħala qasam ta 'prattika u dominju speċjalizzat, l-informatika tal-ispiżerija qed tikber malajr biex tissodisfa l-bżonnijiet ta' pro"&amp;"ġetti ta 'informazzjoni nazzjonali u internazzjonali ewlenin u għanijiet ta' interoperabilità tas-sistema tas-saħħa. L-ispiżjara f'dan il-qasam huma mħarrġa biex jipparteċipaw fl-iżvilupp, l-iskjerament u l-ottimizzazzjoni tas-sistema tal-ġestjoni tal-med"&amp;"ikazzjoni.")</f>
        <v>Informatika tal-ispiżerija hija l-kombinazzjoni ta 'xjenza tal-prattika tal-ispiżerija u xjenza ta' informazzjoni applikata. L-informatiċi tal-ispiżerija jaħdmu f'ħafna oqsma ta 'prattika tal-ispiżerija, madankollu, jistgħu jaħdmu wkoll fid-dipartimenti tat-teknoloġija tal-informazzjoni jew għal kumpaniji tal-bejjiegħ tat-teknoloġija tal-informazzjoni dwar il-kura tas-saħħa. Bħala qasam ta 'prattika u dominju speċjalizzat, l-informatika tal-ispiżerija qed tikber malajr biex tissodisfa l-bżonnijiet ta' proġetti ta 'informazzjoni nazzjonali u internazzjonali ewlenin u għanijiet ta' interoperabilità tas-sistema tas-saħħa. L-ispiżjara f'dan il-qasam huma mħarrġa biex jipparteċipaw fl-iżvilupp, l-iskjerament u l-ottimizzazzjoni tas-sistema tal-ġestjoni tal-medikazzjoni.</v>
      </c>
    </row>
    <row r="20781" ht="15.75" customHeight="1">
      <c r="A20781" s="2" t="s">
        <v>20781</v>
      </c>
      <c r="B20781" s="2" t="str">
        <f>IFERROR(__xludf.DUMMYFUNCTION("GOOGLETRANSLATE(A20781, ""en"", ""mt"")"),"X'inhuma ż-żewġ eżempji ta 'entitajiet mhux ta' entitajiet skond it-teorija ta 'Frank Burnet?")</f>
        <v>X'inhuma ż-żewġ eżempji ta 'entitajiet mhux ta' entitajiet skond it-teorija ta 'Frank Burnet?</v>
      </c>
    </row>
    <row r="20782" ht="15.75" customHeight="1">
      <c r="A20782" s="2" t="s">
        <v>20782</v>
      </c>
      <c r="B20782" s="2" t="str">
        <f>IFERROR(__xludf.DUMMYFUNCTION("GOOGLETRANSLATE(A20782, ""en"", ""mt"")"),"qalba ta 'barra u qalba ta' ġewwa")</f>
        <v>qalba ta 'barra u qalba ta' ġewwa</v>
      </c>
    </row>
    <row r="20783" ht="15.75" customHeight="1">
      <c r="A20783" s="2" t="s">
        <v>20783</v>
      </c>
      <c r="B20783" s="2" t="str">
        <f>IFERROR(__xludf.DUMMYFUNCTION("GOOGLETRANSLATE(A20783, ""en"", ""mt"")"),"Saint-Girard Kif wieġeb għal Washington?")</f>
        <v>Saint-Girard Kif wieġeb għal Washington?</v>
      </c>
    </row>
    <row r="20784" ht="15.75" customHeight="1">
      <c r="A20784" s="2" t="s">
        <v>20784</v>
      </c>
      <c r="B20784" s="2" t="str">
        <f>IFERROR(__xludf.DUMMYFUNCTION("GOOGLETRANSLATE(A20784, ""en"", ""mt"")"),"F’soluzzjoni fil-korpi tal-ilma tad-dinja")</f>
        <v>F’soluzzjoni fil-korpi tal-ilma tad-dinja</v>
      </c>
    </row>
    <row r="20785" ht="15.75" customHeight="1">
      <c r="A20785" s="2" t="s">
        <v>20785</v>
      </c>
      <c r="B20785" s="2" t="str">
        <f>IFERROR(__xludf.DUMMYFUNCTION("GOOGLETRANSLATE(A20785, ""en"", ""mt"")"),"Kemm mill-Iraq ħa t-Taliban?")</f>
        <v>Kemm mill-Iraq ħa t-Taliban?</v>
      </c>
    </row>
    <row r="20786" ht="15.75" customHeight="1">
      <c r="A20786" s="2" t="s">
        <v>20786</v>
      </c>
      <c r="B20786" s="2" t="str">
        <f>IFERROR(__xludf.DUMMYFUNCTION("GOOGLETRANSLATE(A20786, ""en"", ""mt"")"),"Presbiterjan")</f>
        <v>Presbiterjan</v>
      </c>
    </row>
    <row r="20787" ht="15.75" customHeight="1">
      <c r="A20787" s="2" t="s">
        <v>20787</v>
      </c>
      <c r="B20787" s="2" t="str">
        <f>IFERROR(__xludf.DUMMYFUNCTION("GOOGLETRANSLATE(A20787, ""en"", ""mt"")"),"Pawiak")</f>
        <v>Pawiak</v>
      </c>
    </row>
    <row r="20788" ht="15.75" customHeight="1">
      <c r="A20788" s="2" t="s">
        <v>20788</v>
      </c>
      <c r="B20788" s="2" t="str">
        <f>IFERROR(__xludf.DUMMYFUNCTION("GOOGLETRANSLATE(A20788, ""en"", ""mt"")"),"X'għamlu l-bankini u l-faċilitajiet tas-sanità ta 'Bloc?")</f>
        <v>X'għamlu l-bankini u l-faċilitajiet tas-sanità ta 'Bloc?</v>
      </c>
    </row>
    <row r="20789" ht="15.75" customHeight="1">
      <c r="A20789" s="2" t="s">
        <v>20789</v>
      </c>
      <c r="B20789" s="2" t="str">
        <f>IFERROR(__xludf.DUMMYFUNCTION("GOOGLETRANSLATE(A20789, ""en"", ""mt"")"),"l-awtorità aħħarija tal-istati membri, l-impenn fattwali tagħha għad-drittijiet tal-bniedem, u r-rieda demokratika tal-poplu")</f>
        <v>l-awtorità aħħarija tal-istati membri, l-impenn fattwali tagħha għad-drittijiet tal-bniedem, u r-rieda demokratika tal-poplu</v>
      </c>
    </row>
    <row r="20790" ht="15.75" customHeight="1">
      <c r="A20790" s="2" t="s">
        <v>20790</v>
      </c>
      <c r="B20790" s="2" t="str">
        <f>IFERROR(__xludf.DUMMYFUNCTION("GOOGLETRANSLATE(A20790, ""en"", ""mt"")"),"90 ° lil xulxin")</f>
        <v>90 ° lil xulxin</v>
      </c>
    </row>
    <row r="20791" ht="15.75" customHeight="1">
      <c r="A20791" s="2" t="s">
        <v>20791</v>
      </c>
      <c r="B20791" s="2" t="str">
        <f>IFERROR(__xludf.DUMMYFUNCTION("GOOGLETRANSLATE(A20791, ""en"", ""mt"")"),"Iċ-Ċensiment tal-Istati Uniti tal-2010 irrapporta li Fresno kellu popolazzjoni ta ’494,665. Id-densità tal-popolazzjoni kienet ta ’4,404.5 persuni kull mil kwadru (1,700.6 / km²). L-għamla razzjali ta 'Fresno kienet 245,306 (49.6%) bajda, 40.960 (8,3%) Af"&amp;"rikana Amerikana, 8,525 (1.7%) Native American, 62,528 (12,6%) Ażjatiċi (3.6% hmong, 1.7% Indjan, 1.2% Filippin, 1.2% Laotian, 1.0% Tajlandiż, 0.8% Kambodjan, 0.7% Ċiniż, 0.5% Ġappuniż, 0.4% Vjetnamiż, 0.2% Korean), 849 (0.2%) Pacific Islander, 111.984 (2"&amp;"2,6%) minn razez oħra, u 24,513 (5.0%) (5.0%) minn żewġ tiġrijiet jew aktar. Hispanic jew Latino ta 'kwalunkwe razza kienu 232,055 persuna (46.9%). Fost il-popolazzjoni Ispanika, 42.7% tal-popolazzjoni totali huma Messikani, 0.4% Salvadoran, u 0.4% Puerto"&amp;" Rican. L-abjad mhux Spanjoli kienu 30.0% tal-popolazzjoni fl-2010, 'l isfel minn 72.6% fl-1970.")</f>
        <v>Iċ-Ċensiment tal-Istati Uniti tal-2010 irrapporta li Fresno kellu popolazzjoni ta ’494,665. Id-densità tal-popolazzjoni kienet ta ’4,404.5 persuni kull mil kwadru (1,700.6 / km²). L-għamla razzjali ta 'Fresno kienet 245,306 (49.6%) bajda, 40.960 (8,3%) Afrikana Amerikana, 8,525 (1.7%) Native American, 62,528 (12,6%) Ażjatiċi (3.6% hmong, 1.7% Indjan, 1.2% Filippin, 1.2% Laotian, 1.0% Tajlandiż, 0.8% Kambodjan, 0.7% Ċiniż, 0.5% Ġappuniż, 0.4% Vjetnamiż, 0.2% Korean), 849 (0.2%) Pacific Islander, 111.984 (22,6%) minn razez oħra, u 24,513 (5.0%) (5.0%) minn żewġ tiġrijiet jew aktar. Hispanic jew Latino ta 'kwalunkwe razza kienu 232,055 persuna (46.9%). Fost il-popolazzjoni Ispanika, 42.7% tal-popolazzjoni totali huma Messikani, 0.4% Salvadoran, u 0.4% Puerto Rican. L-abjad mhux Spanjoli kienu 30.0% tal-popolazzjoni fl-2010, 'l isfel minn 72.6% fl-1970.</v>
      </c>
    </row>
    <row r="20792" ht="15.75" customHeight="1">
      <c r="A20792" s="2" t="s">
        <v>20792</v>
      </c>
      <c r="B20792" s="2" t="str">
        <f>IFERROR(__xludf.DUMMYFUNCTION("GOOGLETRANSLATE(A20792, ""en"", ""mt"")"),"X’għamel Guo Shoujing għall-kalendarji?")</f>
        <v>X’għamel Guo Shoujing għall-kalendarji?</v>
      </c>
    </row>
    <row r="20793" ht="15.75" customHeight="1">
      <c r="A20793" s="2" t="s">
        <v>20793</v>
      </c>
      <c r="B20793" s="2" t="str">
        <f>IFERROR(__xludf.DUMMYFUNCTION("GOOGLETRANSLATE(A20793, ""en"", ""mt"")"),"Filwaqt li ħafna djar fil-viċinat imorru lura għas-snin tletin jew qabel, il-viċinat huwa wkoll dar għal diversi żviluppi ta 'akkomodazzjoni pubblika mibnija bejn is-snin 1960 u 1990 mill-Awtorità tad-Djar ta' Fresno. Id-Dipartiment tad-Djar u l-Iżvilupp "&amp;"Urban tal-Istati Uniti bena wkoll suddiviżjonijiet żgħar ta 'djar ta' familja waħda fiż-żona għax-xiri minn familji li jaħdmu bi dħul baxx. Kien hemm bosta tentattivi biex terġa 'titqajjem il-viċinat, inkluż il-kostruzzjoni ta' ċentru tax-xiri modern fil-"&amp;"kantuniera tat-toroq ta 'Fresno u B, attentat abort biex jibnu djar ta' lussu u korsa tal-golf fit-tarf tal-punent tal-viċinat, u xi sezzjoni ġdida 8 appartamenti nbnew tul il-knisja fil-punent ta 'Elm St. Cargill Meat Solutions u Foster Farms it-tnejn għ"&amp;"andhom faċilitajiet kbar ta' pproċessar fil-viċinat, u l-intiena minn dawn (u faċilitajiet industrijali żgħar oħra) ilha residenti fiż-żona. L-Ajruport Eżekuttiv ta 'Fresno Chandler jinsab ukoll fuq in-naħa tal-punent. Minħabba l-pożizzjoni tagħha fit-tar"&amp;"f tal-belt u s-snin ta 'negliġenza mill-iżviluppaturi, mhix viċinat veru ta' ""belt ta 'ġewwa"", u hemm ħafna lottijiet battala, għelieqi tal-frawli u dwieli fil-viċinat kollu. Il-viċinat għandu ftit attività bl-imnut, apparti miż-żona qrib Triq Fresno u "&amp;"l-Freeway tar-Rotta 99 tal-Istat (Ċentru tax-Xiri tal-Palm Kearney, mibni fl-aħħar tad-disgħinijiet) u swieq żgħar tal-kantuniera mxerrdin madwarhom.")</f>
        <v>Filwaqt li ħafna djar fil-viċinat imorru lura għas-snin tletin jew qabel, il-viċinat huwa wkoll dar għal diversi żviluppi ta 'akkomodazzjoni pubblika mibnija bejn is-snin 1960 u 1990 mill-Awtorità tad-Djar ta' Fresno. Id-Dipartiment tad-Djar u l-Iżvilupp Urban tal-Istati Uniti bena wkoll suddiviżjonijiet żgħar ta 'djar ta' familja waħda fiż-żona għax-xiri minn familji li jaħdmu bi dħul baxx. Kien hemm bosta tentattivi biex terġa 'titqajjem il-viċinat, inkluż il-kostruzzjoni ta' ċentru tax-xiri modern fil-kantuniera tat-toroq ta 'Fresno u B, attentat abort biex jibnu djar ta' lussu u korsa tal-golf fit-tarf tal-punent tal-viċinat, u xi sezzjoni ġdida 8 appartamenti nbnew tul il-knisja fil-punent ta 'Elm St. Cargill Meat Solutions u Foster Farms it-tnejn għandhom faċilitajiet kbar ta' pproċessar fil-viċinat, u l-intiena minn dawn (u faċilitajiet industrijali żgħar oħra) ilha residenti fiż-żona. L-Ajruport Eżekuttiv ta 'Fresno Chandler jinsab ukoll fuq in-naħa tal-punent. Minħabba l-pożizzjoni tagħha fit-tarf tal-belt u s-snin ta 'negliġenza mill-iżviluppaturi, mhix viċinat veru ta' "belt ta 'ġewwa", u hemm ħafna lottijiet battala, għelieqi tal-frawli u dwieli fil-viċinat kollu. Il-viċinat għandu ftit attività bl-imnut, apparti miż-żona qrib Triq Fresno u l-Freeway tar-Rotta 99 tal-Istat (Ċentru tax-Xiri tal-Palm Kearney, mibni fl-aħħar tad-disgħinijiet) u swieq żgħar tal-kantuniera mxerrdin madwarhom.</v>
      </c>
    </row>
    <row r="20794" ht="15.75" customHeight="1">
      <c r="A20794" s="2" t="s">
        <v>20794</v>
      </c>
      <c r="B20794" s="2" t="str">
        <f>IFERROR(__xludf.DUMMYFUNCTION("GOOGLETRANSLATE(A20794, ""en"", ""mt"")"),"Meta kienet l-aħħar tifqigħa tal-pesta?")</f>
        <v>Meta kienet l-aħħar tifqigħa tal-pesta?</v>
      </c>
    </row>
    <row r="20795" ht="15.75" customHeight="1">
      <c r="A20795" s="2" t="s">
        <v>20795</v>
      </c>
      <c r="B20795" s="2" t="str">
        <f>IFERROR(__xludf.DUMMYFUNCTION("GOOGLETRANSLATE(A20795, ""en"", ""mt"")"),"X'inhuma tliet eżempji ta 'kejl li huma marbuta fl-algoritmi biex jistabbilixxu klassijiet ta' kumplessità?")</f>
        <v>X'inhuma tliet eżempji ta 'kejl li huma marbuta fl-algoritmi biex jistabbilixxu klassijiet ta' kumplessità?</v>
      </c>
    </row>
    <row r="20796" ht="15.75" customHeight="1">
      <c r="A20796" s="2" t="s">
        <v>20796</v>
      </c>
      <c r="B20796" s="2" t="str">
        <f>IFERROR(__xludf.DUMMYFUNCTION("GOOGLETRANSLATE(A20796, ""en"", ""mt"")"),"Fejn jinsabu l-gonadi?")</f>
        <v>Fejn jinsabu l-gonadi?</v>
      </c>
    </row>
    <row r="20797" ht="15.75" customHeight="1">
      <c r="A20797" s="2" t="s">
        <v>20797</v>
      </c>
      <c r="B20797" s="2" t="str">
        <f>IFERROR(__xludf.DUMMYFUNCTION("GOOGLETRANSLATE(A20797, ""en"", ""mt"")"),"Mill-inqas 55 fil-mija tal-membri tal-kunsill (mhux voti) li jirrappreżentaw 65 fil-mija tal-popolazzjoni tal-UE")</f>
        <v>Mill-inqas 55 fil-mija tal-membri tal-kunsill (mhux voti) li jirrappreżentaw 65 fil-mija tal-popolazzjoni tal-UE</v>
      </c>
    </row>
    <row r="20798" ht="15.75" customHeight="1">
      <c r="A20798" s="2" t="s">
        <v>20798</v>
      </c>
      <c r="B20798" s="2" t="str">
        <f>IFERROR(__xludf.DUMMYFUNCTION("GOOGLETRANSLATE(A20798, ""en"", ""mt"")"),"Dinosawri")</f>
        <v>Dinosawri</v>
      </c>
    </row>
    <row r="20799" ht="15.75" customHeight="1">
      <c r="A20799" s="2" t="s">
        <v>20799</v>
      </c>
      <c r="B20799" s="2" t="str">
        <f>IFERROR(__xludf.DUMMYFUNCTION("GOOGLETRANSLATE(A20799, ""en"", ""mt"")"),"L-ilma minn għadda minn u ngħaqad mal-fluss tal-punent lejn il-Paċifiku?")</f>
        <v>L-ilma minn għadda minn u ngħaqad mal-fluss tal-punent lejn il-Paċifiku?</v>
      </c>
    </row>
    <row r="20800" ht="15.75" customHeight="1">
      <c r="A20800" s="2" t="s">
        <v>20800</v>
      </c>
      <c r="B20800" s="2" t="str">
        <f>IFERROR(__xludf.DUMMYFUNCTION("GOOGLETRANSLATE(A20800, ""en"", ""mt"")"),"Il-Mużew Nazzjonali ta 'Varsavja huwa wieħed mill-iktar?")</f>
        <v>Il-Mużew Nazzjonali ta 'Varsavja huwa wieħed mill-iktar?</v>
      </c>
    </row>
    <row r="20801" ht="15.75" customHeight="1">
      <c r="A20801" s="2" t="s">
        <v>20801</v>
      </c>
      <c r="B20801" s="2" t="str">
        <f>IFERROR(__xludf.DUMMYFUNCTION("GOOGLETRANSLATE(A20801, ""en"", ""mt"")"),"il-forza tal-gravità")</f>
        <v>il-forza tal-gravità</v>
      </c>
    </row>
    <row r="20802" ht="15.75" customHeight="1">
      <c r="A20802" s="2" t="s">
        <v>20802</v>
      </c>
      <c r="B20802" s="2" t="str">
        <f>IFERROR(__xludf.DUMMYFUNCTION("GOOGLETRANSLATE(A20802, ""en"", ""mt"")"),"huwa akbar minn 1 u inqas minn jew daqs l-għerq kwadru ta 'n")</f>
        <v>huwa akbar minn 1 u inqas minn jew daqs l-għerq kwadru ta 'n</v>
      </c>
    </row>
    <row r="20803" ht="15.75" customHeight="1">
      <c r="A20803" s="2" t="s">
        <v>20803</v>
      </c>
      <c r="B20803" s="2" t="str">
        <f>IFERROR(__xludf.DUMMYFUNCTION("GOOGLETRANSLATE(A20803, ""en"", ""mt"")"),"Rüdesheim Am Rhein")</f>
        <v>Rüdesheim Am Rhein</v>
      </c>
    </row>
    <row r="20804" ht="15.75" customHeight="1">
      <c r="A20804" s="2" t="s">
        <v>20804</v>
      </c>
      <c r="B20804" s="2" t="str">
        <f>IFERROR(__xludf.DUMMYFUNCTION("GOOGLETRANSLATE(A20804, ""en"", ""mt"")"),"Brownlee jargumenta li d-diżubbidjenza tista 'tkun iġġustifikata lejn liema istituzzjonijiet?")</f>
        <v>Brownlee jargumenta li d-diżubbidjenza tista 'tkun iġġustifikata lejn liema istituzzjonijiet?</v>
      </c>
    </row>
    <row r="20805" ht="15.75" customHeight="1">
      <c r="A20805" s="2" t="s">
        <v>20805</v>
      </c>
      <c r="B20805" s="2" t="str">
        <f>IFERROR(__xludf.DUMMYFUNCTION("GOOGLETRANSLATE(A20805, ""en"", ""mt"")"),"L-Orjentaliżmu jirreferi għal kif in-Nofsinhar żviluppa xi mit-Tramuntana?")</f>
        <v>L-Orjentaliżmu jirreferi għal kif in-Nofsinhar żviluppa xi mit-Tramuntana?</v>
      </c>
    </row>
    <row r="20806" ht="15.75" customHeight="1">
      <c r="A20806" s="2" t="s">
        <v>20806</v>
      </c>
      <c r="B20806" s="2" t="str">
        <f>IFERROR(__xludf.DUMMYFUNCTION("GOOGLETRANSLATE(A20806, ""en"", ""mt"")"),"L-IPCC jirċievi fondi permezz tal-Fond Fiduċjarju tal-IPCC, stabbilit fl-1989 mill-Programm tal-Ambjent tan-Nazzjonijiet Uniti (UNEP) u l-Organizzazzjoni Meteoroloġika Dinjija (WMO), l-ispejjeż tas-Segretarju u tad-Djar tas-Segretarjat huma pprovduti mill"&amp;"-WMO, filwaqt li l-UNEP tissodisfa Spiża tas-Segretarju tad-Deputat. Il-kontribuzzjonijiet annwali tal-flus kontanti għall-fond fiduċjarju huma magħmula mill-WMO, mill-UNEP, u mill-membri tal-IPCC; L-iskala tal-pagamenti hija ddeterminata mill-bord tal-IP"&amp;"CC, li huwa wkoll responsabbli biex jikkunsidra u jadotta b'kunsens tal-baġit annwali. L-organizzazzjoni hija meħtieġa tikkonforma mar-regolamenti finanzjarji u r-regoli tal-WMO.")</f>
        <v>L-IPCC jirċievi fondi permezz tal-Fond Fiduċjarju tal-IPCC, stabbilit fl-1989 mill-Programm tal-Ambjent tan-Nazzjonijiet Uniti (UNEP) u l-Organizzazzjoni Meteoroloġika Dinjija (WMO), l-ispejjeż tas-Segretarju u tad-Djar tas-Segretarjat huma pprovduti mill-WMO, filwaqt li l-UNEP tissodisfa Spiża tas-Segretarju tad-Deputat. Il-kontribuzzjonijiet annwali tal-flus kontanti għall-fond fiduċjarju huma magħmula mill-WMO, mill-UNEP, u mill-membri tal-IPCC; L-iskala tal-pagamenti hija ddeterminata mill-bord tal-IPCC, li huwa wkoll responsabbli biex jikkunsidra u jadotta b'kunsens tal-baġit annwali. L-organizzazzjoni hija meħtieġa tikkonforma mar-regolamenti finanzjarji u r-regoli tal-WMO.</v>
      </c>
    </row>
    <row r="20807" ht="15.75" customHeight="1">
      <c r="A20807" s="2" t="s">
        <v>20807</v>
      </c>
      <c r="B20807" s="2" t="str">
        <f>IFERROR(__xludf.DUMMYFUNCTION("GOOGLETRANSLATE(A20807, ""en"", ""mt"")"),"Monatomic")</f>
        <v>Monatomic</v>
      </c>
    </row>
    <row r="20808" ht="15.75" customHeight="1">
      <c r="A20808" s="2" t="s">
        <v>20808</v>
      </c>
      <c r="B20808" s="2" t="str">
        <f>IFERROR(__xludf.DUMMYFUNCTION("GOOGLETRANSLATE(A20808, ""en"", ""mt"")"),"Il-batterji spiss inixxu x'tip ta 'proteini jinġerixxu barriera fiżika?")</f>
        <v>Il-batterji spiss inixxu x'tip ta 'proteini jinġerixxu barriera fiżika?</v>
      </c>
    </row>
    <row r="20809" ht="15.75" customHeight="1">
      <c r="A20809" s="2" t="s">
        <v>20809</v>
      </c>
      <c r="B20809" s="2" t="str">
        <f>IFERROR(__xludf.DUMMYFUNCTION("GOOGLETRANSLATE(A20809, ""en"", ""mt"")")," Terra Nullius hija espressjoni Franċiża li tfisser dak bl-Ingliż?")</f>
        <v> Terra Nullius hija espressjoni Franċiża li tfisser dak bl-Ingliż?</v>
      </c>
    </row>
    <row r="20810" ht="15.75" customHeight="1">
      <c r="A20810" s="2" t="s">
        <v>20810</v>
      </c>
      <c r="B20810" s="2" t="str">
        <f>IFERROR(__xludf.DUMMYFUNCTION("GOOGLETRANSLATE(A20810, ""en"", ""mt"")"),"X'implikazzjoni tista 'tiġi derivata għal P u NP jekk P u CO-NP huma stabbiliti li mhumiex ugwali?")</f>
        <v>X'implikazzjoni tista 'tiġi derivata għal P u NP jekk P u CO-NP huma stabbiliti li mhumiex ugwali?</v>
      </c>
    </row>
    <row r="20811" ht="15.75" customHeight="1">
      <c r="A20811" s="2" t="s">
        <v>20811</v>
      </c>
      <c r="B20811" s="2" t="str">
        <f>IFERROR(__xludf.DUMMYFUNCTION("GOOGLETRANSLATE(A20811, ""en"", ""mt"")"),"Kif kienet mifruxa l-Mewt l-Iswed fl-Ewropa?")</f>
        <v>Kif kienet mifruxa l-Mewt l-Iswed fl-Ewropa?</v>
      </c>
    </row>
    <row r="20812" ht="15.75" customHeight="1">
      <c r="A20812" s="2" t="s">
        <v>20812</v>
      </c>
      <c r="B20812" s="2" t="str">
        <f>IFERROR(__xludf.DUMMYFUNCTION("GOOGLETRANSLATE(A20812, ""en"", ""mt"")"),"Fejn tikkonċentra l-ġid maħluq ġdid?")</f>
        <v>Fejn tikkonċentra l-ġid maħluq ġdid?</v>
      </c>
    </row>
    <row r="20813" ht="15.75" customHeight="1">
      <c r="A20813" s="2" t="s">
        <v>20813</v>
      </c>
      <c r="B20813" s="2" t="str">
        <f>IFERROR(__xludf.DUMMYFUNCTION("GOOGLETRANSLATE(A20813, ""en"", ""mt"")"),"Organizzazzjonijiet tal-istudenti rikonoxxuti")</f>
        <v>Organizzazzjonijiet tal-istudenti rikonoxxuti</v>
      </c>
    </row>
    <row r="20814" ht="15.75" customHeight="1">
      <c r="A20814" s="2" t="s">
        <v>20814</v>
      </c>
      <c r="B20814" s="2" t="str">
        <f>IFERROR(__xludf.DUMMYFUNCTION("GOOGLETRANSLATE(A20814, ""en"", ""mt"")"),"Asintotiku")</f>
        <v>Asintotiku</v>
      </c>
    </row>
    <row r="20815" ht="15.75" customHeight="1">
      <c r="A20815" s="2" t="s">
        <v>20815</v>
      </c>
      <c r="B20815" s="2" t="str">
        <f>IFERROR(__xludf.DUMMYFUNCTION("GOOGLETRANSLATE(A20815, ""en"", ""mt"")"),"Galileo Galilei,")</f>
        <v>Galileo Galilei,</v>
      </c>
    </row>
    <row r="20816" ht="15.75" customHeight="1">
      <c r="A20816" s="2" t="s">
        <v>20816</v>
      </c>
      <c r="B20816" s="2" t="str">
        <f>IFERROR(__xludf.DUMMYFUNCTION("GOOGLETRANSLATE(A20816, ""en"", ""mt"")"),"in-nuqqas ta ’statistika affidabbli")</f>
        <v>in-nuqqas ta ’statistika affidabbli</v>
      </c>
    </row>
    <row r="20817" ht="15.75" customHeight="1">
      <c r="A20817" s="2" t="s">
        <v>20817</v>
      </c>
      <c r="B20817" s="2" t="str">
        <f>IFERROR(__xludf.DUMMYFUNCTION("GOOGLETRANSLATE(A20817, ""en"", ""mt"")"),"Min kien l-iktar riċerkatur influwenti fost dawk it-tlugħ bid-defiċit ta 'xogħol li jdawwar il-kumplessità maħluqa minn problemi algoritmiċi?")</f>
        <v>Min kien l-iktar riċerkatur influwenti fost dawk it-tlugħ bid-defiċit ta 'xogħol li jdawwar il-kumplessità maħluqa minn problemi algoritmiċi?</v>
      </c>
    </row>
    <row r="20818" ht="15.75" customHeight="1">
      <c r="A20818" s="2" t="s">
        <v>20818</v>
      </c>
      <c r="B20818" s="2" t="str">
        <f>IFERROR(__xludf.DUMMYFUNCTION("GOOGLETRANSLATE(A20818, ""en"", ""mt"")"),"Shimer University tinsab f'liema belt ta 'Illinois?")</f>
        <v>Shimer University tinsab f'liema belt ta 'Illinois?</v>
      </c>
    </row>
    <row r="20819" ht="15.75" customHeight="1">
      <c r="A20819" s="2" t="s">
        <v>20819</v>
      </c>
      <c r="B20819" s="2" t="str">
        <f>IFERROR(__xludf.DUMMYFUNCTION("GOOGLETRANSLATE(A20819, ""en"", ""mt"")")," Liema huwa iżgħar l-Imperu Franċiż jew l-Imperu Etjopjan?")</f>
        <v> Liema huwa iżgħar l-Imperu Franċiż jew l-Imperu Etjopjan?</v>
      </c>
    </row>
    <row r="20820" ht="15.75" customHeight="1">
      <c r="A20820" s="2" t="s">
        <v>20820</v>
      </c>
      <c r="B20820" s="2" t="str">
        <f>IFERROR(__xludf.DUMMYFUNCTION("GOOGLETRANSLATE(A20820, ""en"", ""mt"")"),"iterattivament")</f>
        <v>iterattivament</v>
      </c>
    </row>
    <row r="20821" ht="15.75" customHeight="1">
      <c r="A20821" s="2" t="s">
        <v>20821</v>
      </c>
      <c r="B20821" s="2" t="str">
        <f>IFERROR(__xludf.DUMMYFUNCTION("GOOGLETRANSLATE(A20821, ""en"", ""mt"")"),"George Washington")</f>
        <v>George Washington</v>
      </c>
    </row>
    <row r="20822" ht="15.75" customHeight="1">
      <c r="A20822" s="2" t="s">
        <v>20822</v>
      </c>
      <c r="B20822" s="2" t="str">
        <f>IFERROR(__xludf.DUMMYFUNCTION("GOOGLETRANSLATE(A20822, ""en"", ""mt"")"),"X'għandha l-Beroida minflok ma titma 'l-appendiċi?")</f>
        <v>X'għandha l-Beroida minflok ma titma 'l-appendiċi?</v>
      </c>
    </row>
    <row r="20823" ht="15.75" customHeight="1">
      <c r="A20823" s="2" t="s">
        <v>20823</v>
      </c>
      <c r="B20823" s="2" t="str">
        <f>IFERROR(__xludf.DUMMYFUNCTION("GOOGLETRANSLATE(A20823, ""en"", ""mt"")"),"Forzi irregolari Franċiżi (Scouts Kanadiżi u Indjani) ffastidjaw lil Fort William Henry matul l-ewwel nofs tal-1757. F'Jannar huma ħarbu lill-gwardjani Ingliżi qrib Ticonderoga. Fi Frar nedew rejd qalbiena kontra l-pożizzjoni madwar il-Lag Frozen George, "&amp;"li jeqirdu l-imħażen u l-bini barra l-fortifikazzjoni ewlenija. Fil-bidu ta ’Awwissu, Montcalm u 7,000 truppa assedjaw il-forti, li kapitulaw bi ftehim biex jirtiraw taħt il-parole. Meta beda l-irtirar, uħud mill-alleati Indjani ta 'Montcalm, irrabjaw fl-"&amp;"opportunità mitlufa għal Loot, attakkaw il-kolonna Ingliża, qatlu u qabdu diversi mijiet ta' rġiel, nisa, tfal, u skjavi. Il-konsegwenzi ta 'l-assedju setgħu kkontribwew għat-trasmissjoni ta' ġidri f'popolazzjonijiet Indjani remoti; Peress li xi Indjani k"&amp;"ienu rrappurtati li vvjaġġaw minn lil hinn mill-Mississippi biex jipparteċipaw fil-kampanja u rritornaw wara li ġew esposti għal trasportaturi Ewropej.")</f>
        <v>Forzi irregolari Franċiżi (Scouts Kanadiżi u Indjani) ffastidjaw lil Fort William Henry matul l-ewwel nofs tal-1757. F'Jannar huma ħarbu lill-gwardjani Ingliżi qrib Ticonderoga. Fi Frar nedew rejd qalbiena kontra l-pożizzjoni madwar il-Lag Frozen George, li jeqirdu l-imħażen u l-bini barra l-fortifikazzjoni ewlenija. Fil-bidu ta ’Awwissu, Montcalm u 7,000 truppa assedjaw il-forti, li kapitulaw bi ftehim biex jirtiraw taħt il-parole. Meta beda l-irtirar, uħud mill-alleati Indjani ta 'Montcalm, irrabjaw fl-opportunità mitlufa għal Loot, attakkaw il-kolonna Ingliża, qatlu u qabdu diversi mijiet ta' rġiel, nisa, tfal, u skjavi. Il-konsegwenzi ta 'l-assedju setgħu kkontribwew għat-trasmissjoni ta' ġidri f'popolazzjonijiet Indjani remoti; Peress li xi Indjani kienu rrappurtati li vvjaġġaw minn lil hinn mill-Mississippi biex jipparteċipaw fil-kampanja u rritornaw wara li ġew esposti għal trasportaturi Ewropej.</v>
      </c>
    </row>
    <row r="20824" ht="15.75" customHeight="1">
      <c r="A20824" s="2" t="s">
        <v>20824</v>
      </c>
      <c r="B20824" s="2" t="str">
        <f>IFERROR(__xludf.DUMMYFUNCTION("GOOGLETRANSLATE(A20824, ""en"", ""mt"")"),"Skala tal-Kejl Standard")</f>
        <v>Skala tal-Kejl Standard</v>
      </c>
    </row>
    <row r="20825" ht="15.75" customHeight="1">
      <c r="A20825" s="2" t="s">
        <v>20825</v>
      </c>
      <c r="B20825" s="2" t="str">
        <f>IFERROR(__xludf.DUMMYFUNCTION("GOOGLETRANSLATE(A20825, ""en"", ""mt"")"),"b'aktar minn 100%")</f>
        <v>b'aktar minn 100%</v>
      </c>
    </row>
    <row r="20826" ht="15.75" customHeight="1">
      <c r="A20826" s="2" t="s">
        <v>20826</v>
      </c>
      <c r="B20826" s="2" t="str">
        <f>IFERROR(__xludf.DUMMYFUNCTION("GOOGLETRANSLATE(A20826, ""en"", ""mt"")"),"Il-funzjoni ta 'ċelloli tal-memorja b'ħajja twila hija eżempju ta' x'tip ta 'rispons immuni?")</f>
        <v>Il-funzjoni ta 'ċelloli tal-memorja b'ħajja twila hija eżempju ta' x'tip ta 'rispons immuni?</v>
      </c>
    </row>
    <row r="20827" ht="15.75" customHeight="1">
      <c r="A20827" s="2" t="s">
        <v>20827</v>
      </c>
      <c r="B20827" s="2" t="str">
        <f>IFERROR(__xludf.DUMMYFUNCTION("GOOGLETRANSLATE(A20827, ""en"", ""mt"")"),"Rosettes ciliary jippompjaw l-ilma f'liema tikkontrolla l-galleġġjatura?")</f>
        <v>Rosettes ciliary jippompjaw l-ilma f'liema tikkontrolla l-galleġġjatura?</v>
      </c>
    </row>
    <row r="20828" ht="15.75" customHeight="1">
      <c r="A20828" s="2" t="s">
        <v>20828</v>
      </c>
      <c r="B20828" s="2" t="str">
        <f>IFERROR(__xludf.DUMMYFUNCTION("GOOGLETRANSLATE(A20828, ""en"", ""mt"")"),"Ossiġnu likwidu")</f>
        <v>Ossiġnu likwidu</v>
      </c>
    </row>
    <row r="20829" ht="15.75" customHeight="1">
      <c r="A20829" s="2" t="s">
        <v>20829</v>
      </c>
      <c r="B20829" s="2" t="str">
        <f>IFERROR(__xludf.DUMMYFUNCTION("GOOGLETRANSLATE(A20829, ""en"", ""mt"")"),"Liema sena ġew iffinalizzati żewġ rapporti ta 'stima?")</f>
        <v>Liema sena ġew iffinalizzati żewġ rapporti ta 'stima?</v>
      </c>
    </row>
    <row r="20830" ht="15.75" customHeight="1">
      <c r="A20830" s="2" t="s">
        <v>20830</v>
      </c>
      <c r="B20830" s="2" t="str">
        <f>IFERROR(__xludf.DUMMYFUNCTION("GOOGLETRANSLATE(A20830, ""en"", ""mt"")"),"1908")</f>
        <v>1908</v>
      </c>
    </row>
    <row r="20831" ht="15.75" customHeight="1">
      <c r="A20831" s="2" t="s">
        <v>20831</v>
      </c>
      <c r="B20831" s="2" t="str">
        <f>IFERROR(__xludf.DUMMYFUNCTION("GOOGLETRANSLATE(A20831, ""en"", ""mt"")"),"Kumitati tas-suġġetti attwali")</f>
        <v>Kumitati tas-suġġetti attwali</v>
      </c>
    </row>
    <row r="20832" ht="15.75" customHeight="1">
      <c r="A20832" s="2" t="s">
        <v>20832</v>
      </c>
      <c r="B20832" s="2" t="str">
        <f>IFERROR(__xludf.DUMMYFUNCTION("GOOGLETRANSLATE(A20832, ""en"", ""mt"")"),"X'inhuma dawk bi dħul aktar baxx aktar probabbli li jkollhom biex jippreparaw għall-futur?")</f>
        <v>X'inhuma dawk bi dħul aktar baxx aktar probabbli li jkollhom biex jippreparaw għall-futur?</v>
      </c>
    </row>
    <row r="20833" ht="15.75" customHeight="1">
      <c r="A20833" s="2" t="s">
        <v>20833</v>
      </c>
      <c r="B20833" s="2" t="str">
        <f>IFERROR(__xludf.DUMMYFUNCTION("GOOGLETRANSLATE(A20833, ""en"", ""mt"")"),"kmieni fid-disgħinijiet")</f>
        <v>kmieni fid-disgħinijiet</v>
      </c>
    </row>
    <row r="20834" ht="15.75" customHeight="1">
      <c r="A20834" s="2" t="s">
        <v>20834</v>
      </c>
      <c r="B20834" s="2" t="str">
        <f>IFERROR(__xludf.DUMMYFUNCTION("GOOGLETRANSLATE(A20834, ""en"", ""mt"")"),"Jacksonville jinsab fl-ewwel reġjun tal-kosta tal-Grigal ta ’Florida u huwa ċċentrat fuq il-banek tax-Xmara San Ġwann, madwar 25 mil (40 km) fin-nofsinhar tal-linja tal-istat tal-Ġeorġja u madwar 340 mil (550 km) fit-tramuntana ta’ Miami. Il-komunitajiet "&amp;"tal-bajjiet ta 'Jacksonville huma tul il-kosta ta' l-Atlantiku li jmissu magħhom. Iż-żona kienet oriġinarjament abitata mill-poplu ta 'Timucua, u fl-1564 kien is-sit tal-kolonja Franċiża ta' Fort Caroline, wieħed mill-ewwel insedjamenti Ewropej f'dak li i"&amp;"ssa huwa l-Istati Uniti kontinentali. Taħt il-ħakma Ingliża, is-soluzzjoni kibret fil-punt dejjaq fix-xmara fejn il-baqar qasmu, magħrufa bħala Wacca Pilatka għas-Seminole u l-baqra Ford lill-Ingliżi. Ġiet stabbilita belt imqabbda hemmhekk fl-1822, sena w"&amp;"ara li l-Istati Uniti kisbu Florida minn Spanja; Ġie msemmi wara Andrew Jackson, l-ewwel gvernatur militari tat-Territorju ta ’Florida u s-Seba’ President tal-Istati Uniti.")</f>
        <v>Jacksonville jinsab fl-ewwel reġjun tal-kosta tal-Grigal ta ’Florida u huwa ċċentrat fuq il-banek tax-Xmara San Ġwann, madwar 25 mil (40 km) fin-nofsinhar tal-linja tal-istat tal-Ġeorġja u madwar 340 mil (550 km) fit-tramuntana ta’ Miami. Il-komunitajiet tal-bajjiet ta 'Jacksonville huma tul il-kosta ta' l-Atlantiku li jmissu magħhom. Iż-żona kienet oriġinarjament abitata mill-poplu ta 'Timucua, u fl-1564 kien is-sit tal-kolonja Franċiża ta' Fort Caroline, wieħed mill-ewwel insedjamenti Ewropej f'dak li issa huwa l-Istati Uniti kontinentali. Taħt il-ħakma Ingliża, is-soluzzjoni kibret fil-punt dejjaq fix-xmara fejn il-baqar qasmu, magħrufa bħala Wacca Pilatka għas-Seminole u l-baqra Ford lill-Ingliżi. Ġiet stabbilita belt imqabbda hemmhekk fl-1822, sena wara li l-Istati Uniti kisbu Florida minn Spanja; Ġie msemmi wara Andrew Jackson, l-ewwel gvernatur militari tat-Territorju ta ’Florida u s-Seba’ President tal-Istati Uniti.</v>
      </c>
    </row>
    <row r="20835" ht="15.75" customHeight="1">
      <c r="A20835" s="2" t="s">
        <v>20835</v>
      </c>
      <c r="B20835" s="2" t="str">
        <f>IFERROR(__xludf.DUMMYFUNCTION("GOOGLETRANSLATE(A20835, ""en"", ""mt"")"),"In-numru totali ta 'siġġijiet fil-Parlament huma allokati lill-partijiet proporzjonalment man-numru ta' voti riċevuti fit-tieni vot tal-votazzjoni bl-użu tal-metodu D'Hondt. Pereżempju, biex jiġi ddeterminat min jingħata l-ewwel sedil tal-lista, in-numru "&amp;"ta 'voti tal-lista mitfugħa għal kull parti huwa maqsum minn wieħed flimkien mal-għadd ta' siġġijiet li l-partit rebaħ fir-reġjun (f'dan il-punt biss siġġijiet ta 'kostitwenza). Il-partit bl-ogħla kwozjent jingħata s-sedil, li mbagħad jiġi miżjud mas-siġġ"&amp;"ijiet tal-kostitwenza tiegħu fl-allokazzjoni tat-tieni siġġu. Dan huwa ripetut b'mod iterattiv sakemm is-siġġijiet kollha tal-lista disponibbli jiġu allokati.")</f>
        <v>In-numru totali ta 'siġġijiet fil-Parlament huma allokati lill-partijiet proporzjonalment man-numru ta' voti riċevuti fit-tieni vot tal-votazzjoni bl-użu tal-metodu D'Hondt. Pereżempju, biex jiġi ddeterminat min jingħata l-ewwel sedil tal-lista, in-numru ta 'voti tal-lista mitfugħa għal kull parti huwa maqsum minn wieħed flimkien mal-għadd ta' siġġijiet li l-partit rebaħ fir-reġjun (f'dan il-punt biss siġġijiet ta 'kostitwenza). Il-partit bl-ogħla kwozjent jingħata s-sedil, li mbagħad jiġi miżjud mas-siġġijiet tal-kostitwenza tiegħu fl-allokazzjoni tat-tieni siġġu. Dan huwa ripetut b'mod iterattiv sakemm is-siġġijiet kollha tal-lista disponibbli jiġu allokati.</v>
      </c>
    </row>
    <row r="20836" ht="15.75" customHeight="1">
      <c r="A20836" s="2" t="s">
        <v>20836</v>
      </c>
      <c r="B20836" s="2" t="str">
        <f>IFERROR(__xludf.DUMMYFUNCTION("GOOGLETRANSLATE(A20836, ""en"", ""mt"")"),"Diviżjoni tal-Prova")</f>
        <v>Diviżjoni tal-Prova</v>
      </c>
    </row>
    <row r="20837" ht="15.75" customHeight="1">
      <c r="A20837" s="2" t="s">
        <v>20837</v>
      </c>
      <c r="B20837" s="2" t="str">
        <f>IFERROR(__xludf.DUMMYFUNCTION("GOOGLETRANSLATE(A20837, ""en"", ""mt"")"),"Liema pajjiż juża l-iskutella ta 'l-igieia bħala simbolu tal-ispiżerija?")</f>
        <v>Liema pajjiż juża l-iskutella ta 'l-igieia bħala simbolu tal-ispiżerija?</v>
      </c>
    </row>
    <row r="20838" ht="15.75" customHeight="1">
      <c r="A20838" s="2" t="s">
        <v>20838</v>
      </c>
      <c r="B20838" s="2" t="str">
        <f>IFERROR(__xludf.DUMMYFUNCTION("GOOGLETRANSLATE(A20838, ""en"", ""mt"")"),"2.7%")</f>
        <v>2.7%</v>
      </c>
    </row>
    <row r="20839" ht="15.75" customHeight="1">
      <c r="A20839" s="2" t="s">
        <v>20839</v>
      </c>
      <c r="B20839" s="2" t="str">
        <f>IFERROR(__xludf.DUMMYFUNCTION("GOOGLETRANSLATE(A20839, ""en"", ""mt"")"),"Robert Koch")</f>
        <v>Robert Koch</v>
      </c>
    </row>
    <row r="20840" ht="15.75" customHeight="1">
      <c r="A20840" s="2" t="s">
        <v>20840</v>
      </c>
      <c r="B20840" s="2" t="str">
        <f>IFERROR(__xludf.DUMMYFUNCTION("GOOGLETRANSLATE(A20840, ""en"", ""mt"")")," Friedrich Ratzel ħaseb li l-imperjalizmu ma kienx dak għall-pajjiż?")</f>
        <v> Friedrich Ratzel ħaseb li l-imperjalizmu ma kienx dak għall-pajjiż?</v>
      </c>
    </row>
    <row r="20841" ht="15.75" customHeight="1">
      <c r="A20841" s="2" t="s">
        <v>20841</v>
      </c>
      <c r="B20841" s="2" t="str">
        <f>IFERROR(__xludf.DUMMYFUNCTION("GOOGLETRANSLATE(A20841, ""en"", ""mt"")"),"Min huma Rob Curran u Tim Machado?")</f>
        <v>Min huma Rob Curran u Tim Machado?</v>
      </c>
    </row>
    <row r="20842" ht="15.75" customHeight="1">
      <c r="A20842" s="2" t="s">
        <v>20842</v>
      </c>
      <c r="B20842" s="2" t="str">
        <f>IFERROR(__xludf.DUMMYFUNCTION("GOOGLETRANSLATE(A20842, ""en"", ""mt"")"),"Ħdejn Chur, liema direzzjoni jdur ir-Rhine?")</f>
        <v>Ħdejn Chur, liema direzzjoni jdur ir-Rhine?</v>
      </c>
    </row>
    <row r="20843" ht="15.75" customHeight="1">
      <c r="A20843" s="2" t="s">
        <v>20843</v>
      </c>
      <c r="B20843" s="2" t="str">
        <f>IFERROR(__xludf.DUMMYFUNCTION("GOOGLETRANSLATE(A20843, ""en"", ""mt"")"),"Metodu Cascade")</f>
        <v>Metodu Cascade</v>
      </c>
    </row>
    <row r="20844" ht="15.75" customHeight="1">
      <c r="A20844" s="2" t="s">
        <v>20844</v>
      </c>
      <c r="B20844" s="2" t="str">
        <f>IFERROR(__xludf.DUMMYFUNCTION("GOOGLETRANSLATE(A20844, ""en"", ""mt"")"),"Il-ġurnata preżenti upstate New York u l-pajjiż Ohio")</f>
        <v>Il-ġurnata preżenti upstate New York u l-pajjiż Ohio</v>
      </c>
    </row>
    <row r="20845" ht="15.75" customHeight="1">
      <c r="A20845" s="2" t="s">
        <v>20845</v>
      </c>
      <c r="B20845" s="2" t="str">
        <f>IFERROR(__xludf.DUMMYFUNCTION("GOOGLETRANSLATE(A20845, ""en"", ""mt"")"),"Separazzjoni Ekonomika")</f>
        <v>Separazzjoni Ekonomika</v>
      </c>
    </row>
    <row r="20846" ht="15.75" customHeight="1">
      <c r="A20846" s="2" t="s">
        <v>20846</v>
      </c>
      <c r="B20846" s="2" t="str">
        <f>IFERROR(__xludf.DUMMYFUNCTION("GOOGLETRANSLATE(A20846, ""en"", ""mt"")"),"Il-Belt kienet klima tropikali?")</f>
        <v>Il-Belt kienet klima tropikali?</v>
      </c>
    </row>
    <row r="20847" ht="15.75" customHeight="1">
      <c r="A20847" s="2" t="s">
        <v>20847</v>
      </c>
      <c r="B20847" s="2" t="str">
        <f>IFERROR(__xludf.DUMMYFUNCTION("GOOGLETRANSLATE(A20847, ""en"", ""mt"")"),"Meta nħoloq l-Att dwar il-Komunitajiet Ewropej?")</f>
        <v>Meta nħoloq l-Att dwar il-Komunitajiet Ewropej?</v>
      </c>
    </row>
    <row r="20848" ht="15.75" customHeight="1">
      <c r="A20848" s="2" t="s">
        <v>20848</v>
      </c>
      <c r="B20848" s="2" t="str">
        <f>IFERROR(__xludf.DUMMYFUNCTION("GOOGLETRANSLATE(A20848, ""en"", ""mt"")"),"X'inhi raġuni waħda li pazjent jista 'jagħżel farmaċija fuq l-internet?")</f>
        <v>X'inhi raġuni waħda li pazjent jista 'jagħżel farmaċija fuq l-internet?</v>
      </c>
    </row>
    <row r="20849" ht="15.75" customHeight="1">
      <c r="A20849" s="2" t="s">
        <v>20849</v>
      </c>
      <c r="B20849" s="2" t="str">
        <f>IFERROR(__xludf.DUMMYFUNCTION("GOOGLETRANSLATE(A20849, ""en"", ""mt"")"),"Kombustjoni interna")</f>
        <v>Kombustjoni interna</v>
      </c>
    </row>
    <row r="20850" ht="15.75" customHeight="1">
      <c r="A20850" s="2" t="s">
        <v>20850</v>
      </c>
      <c r="B20850" s="2" t="str">
        <f>IFERROR(__xludf.DUMMYFUNCTION("GOOGLETRANSLATE(A20850, ""en"", ""mt"")"),"L-uffiċjal li jippresiedi jista 'jżid il-ħin tat-taħdit jekk xiex?")</f>
        <v>L-uffiċjal li jippresiedi jista 'jżid il-ħin tat-taħdit jekk xiex?</v>
      </c>
    </row>
    <row r="20851" ht="15.75" customHeight="1">
      <c r="A20851" s="2" t="s">
        <v>20851</v>
      </c>
      <c r="B20851" s="2" t="str">
        <f>IFERROR(__xludf.DUMMYFUNCTION("GOOGLETRANSLATE(A20851, ""en"", ""mt"")"),"Kemm hemm mużewijiet f'Varsavja?")</f>
        <v>Kemm hemm mużewijiet f'Varsavja?</v>
      </c>
    </row>
    <row r="20852" ht="15.75" customHeight="1">
      <c r="A20852" s="2" t="s">
        <v>20852</v>
      </c>
      <c r="B20852" s="2" t="str">
        <f>IFERROR(__xludf.DUMMYFUNCTION("GOOGLETRANSLATE(A20852, ""en"", ""mt"")"),"Fejn hu l-ogħla punt tal-Baċin tar-Renu?")</f>
        <v>Fejn hu l-ogħla punt tal-Baċin tar-Renu?</v>
      </c>
    </row>
    <row r="20853" ht="15.75" customHeight="1">
      <c r="A20853" s="2" t="s">
        <v>20853</v>
      </c>
      <c r="B20853" s="2" t="str">
        <f>IFERROR(__xludf.DUMMYFUNCTION("GOOGLETRANSLATE(A20853, ""en"", ""mt"")"),"Kif jissejħu t-tmien ringieli tal-moxt fuq il-wiċċ ta 'barra?")</f>
        <v>Kif jissejħu t-tmien ringieli tal-moxt fuq il-wiċċ ta 'barra?</v>
      </c>
    </row>
    <row r="20854" ht="15.75" customHeight="1">
      <c r="A20854" s="2" t="s">
        <v>20854</v>
      </c>
      <c r="B20854" s="2" t="str">
        <f>IFERROR(__xludf.DUMMYFUNCTION("GOOGLETRANSLATE(A20854, ""en"", ""mt"")"),"F’liema sena 12-il akkademji tax-xjenza nazzjonali ħarġu dikjarazzjoni konġunta dwar it-tibdil fil-klima?")</f>
        <v>F’liema sena 12-il akkademji tax-xjenza nazzjonali ħarġu dikjarazzjoni konġunta dwar it-tibdil fil-klima?</v>
      </c>
    </row>
    <row r="20855" ht="15.75" customHeight="1">
      <c r="A20855" s="2" t="s">
        <v>20855</v>
      </c>
      <c r="B20855" s="2" t="str">
        <f>IFERROR(__xludf.DUMMYFUNCTION("GOOGLETRANSLATE(A20855, ""en"", ""mt"")"),"Meta kien it-tim tan-Nazzjonijiet RSO l-aqwa kklassifikat fl-Amerika ta ’Fuq?")</f>
        <v>Meta kien it-tim tan-Nazzjonijiet RSO l-aqwa kklassifikat fl-Amerika ta ’Fuq?</v>
      </c>
    </row>
    <row r="20856" ht="15.75" customHeight="1">
      <c r="A20856" s="2" t="s">
        <v>20856</v>
      </c>
      <c r="B20856" s="2" t="str">
        <f>IFERROR(__xludf.DUMMYFUNCTION("GOOGLETRANSLATE(A20856, ""en"", ""mt"")"),"874.3 mil kwadru")</f>
        <v>874.3 mil kwadru</v>
      </c>
    </row>
    <row r="20857" ht="15.75" customHeight="1">
      <c r="A20857" s="2" t="s">
        <v>20857</v>
      </c>
      <c r="B20857" s="2" t="str">
        <f>IFERROR(__xludf.DUMMYFUNCTION("GOOGLETRANSLATE(A20857, ""en"", ""mt"")"),"Mermaid waqfet tistrieħ fuq il-bajja bir-ramel minn liema raħal?")</f>
        <v>Mermaid waqfet tistrieħ fuq il-bajja bir-ramel minn liema raħal?</v>
      </c>
    </row>
    <row r="20858" ht="15.75" customHeight="1">
      <c r="A20858" s="2" t="s">
        <v>20858</v>
      </c>
      <c r="B20858" s="2" t="str">
        <f>IFERROR(__xludf.DUMMYFUNCTION("GOOGLETRANSLATE(A20858, ""en"", ""mt"")"),"Rivoluzzjonarju")</f>
        <v>Rivoluzzjonarju</v>
      </c>
    </row>
    <row r="20859" ht="15.75" customHeight="1">
      <c r="A20859" s="2" t="s">
        <v>20859</v>
      </c>
      <c r="B20859" s="2" t="str">
        <f>IFERROR(__xludf.DUMMYFUNCTION("GOOGLETRANSLATE(A20859, ""en"", ""mt"")"),"Fejn Kublai estenda l-Grand Canal?")</f>
        <v>Fejn Kublai estenda l-Grand Canal?</v>
      </c>
    </row>
    <row r="20860" ht="15.75" customHeight="1">
      <c r="A20860" s="2" t="s">
        <v>20860</v>
      </c>
      <c r="B20860" s="2" t="str">
        <f>IFERROR(__xludf.DUMMYFUNCTION("GOOGLETRANSLATE(A20860, ""en"", ""mt"")"),"Liema perċentwali ta 'assi globali għandu l-aktar sinjur 1% tan-nies?")</f>
        <v>Liema perċentwali ta 'assi globali għandu l-aktar sinjur 1% tan-nies?</v>
      </c>
    </row>
    <row r="20861" ht="15.75" customHeight="1">
      <c r="A20861" s="2" t="s">
        <v>20861</v>
      </c>
      <c r="B20861" s="2" t="str">
        <f>IFERROR(__xludf.DUMMYFUNCTION("GOOGLETRANSLATE(A20861, ""en"", ""mt"")"),"Liema bajd tal-ispeċi huma fertilizzati u miżmuma ġewwa l-ġisem tal-ġenituri sakemm jitfaqqsu?")</f>
        <v>Liema bajd tal-ispeċi huma fertilizzati u miżmuma ġewwa l-ġisem tal-ġenituri sakemm jitfaqqsu?</v>
      </c>
    </row>
    <row r="20862" ht="15.75" customHeight="1">
      <c r="A20862" s="2" t="s">
        <v>20862</v>
      </c>
      <c r="B20862" s="2" t="str">
        <f>IFERROR(__xludf.DUMMYFUNCTION("GOOGLETRANSLATE(A20862, ""en"", ""mt"")"),"Viċi President Agnew")</f>
        <v>Viċi President Agnew</v>
      </c>
    </row>
    <row r="20863" ht="15.75" customHeight="1">
      <c r="A20863" s="2" t="s">
        <v>20863</v>
      </c>
      <c r="B20863" s="2" t="str">
        <f>IFERROR(__xludf.DUMMYFUNCTION("GOOGLETRANSLATE(A20863, ""en"", ""mt"")"),"malajr")</f>
        <v>malajr</v>
      </c>
    </row>
    <row r="20864" ht="15.75" customHeight="1">
      <c r="A20864" s="2" t="s">
        <v>20864</v>
      </c>
      <c r="B20864" s="2" t="str">
        <f>IFERROR(__xludf.DUMMYFUNCTION("GOOGLETRANSLATE(A20864, ""en"", ""mt"")"),"il-qrati tal-istati membri")</f>
        <v>il-qrati tal-istati membri</v>
      </c>
    </row>
    <row r="20865" ht="15.75" customHeight="1">
      <c r="A20865" s="2" t="s">
        <v>20865</v>
      </c>
      <c r="B20865" s="2" t="str">
        <f>IFERROR(__xludf.DUMMYFUNCTION("GOOGLETRANSLATE(A20865, ""en"", ""mt"")"),"L-ispiżjara biss jistgħu jfornu farmaċewtiċi skedati lill-pubbliku")</f>
        <v>L-ispiżjara biss jistgħu jfornu farmaċewtiċi skedati lill-pubbliku</v>
      </c>
    </row>
    <row r="20866" ht="15.75" customHeight="1">
      <c r="A20866" s="2" t="s">
        <v>20866</v>
      </c>
      <c r="B20866" s="2" t="str">
        <f>IFERROR(__xludf.DUMMYFUNCTION("GOOGLETRANSLATE(A20866, ""en"", ""mt"")"),"X'inhu l-Ajruport ta 'l-Avjazzjoni Ġenerali l-aktar traffikuż fid-dinja?")</f>
        <v>X'inhu l-Ajruport ta 'l-Avjazzjoni Ġenerali l-aktar traffikuż fid-dinja?</v>
      </c>
    </row>
    <row r="20867" ht="15.75" customHeight="1">
      <c r="A20867" s="2" t="s">
        <v>20867</v>
      </c>
      <c r="B20867" s="2" t="str">
        <f>IFERROR(__xludf.DUMMYFUNCTION("GOOGLETRANSLATE(A20867, ""en"", ""mt"")"),"Kemm ġew rikonoxxuti skejjel tal-mediċina fiċ-Ċina?")</f>
        <v>Kemm ġew rikonoxxuti skejjel tal-mediċina fiċ-Ċina?</v>
      </c>
    </row>
    <row r="20868" ht="15.75" customHeight="1">
      <c r="A20868" s="2" t="s">
        <v>20868</v>
      </c>
      <c r="B20868" s="2" t="str">
        <f>IFERROR(__xludf.DUMMYFUNCTION("GOOGLETRANSLATE(A20868, ""en"", ""mt"")"),"Liema viċinat stabbilixxa Huguenots fi Stokkolma?")</f>
        <v>Liema viċinat stabbilixxa Huguenots fi Stokkolma?</v>
      </c>
    </row>
    <row r="20869" ht="15.75" customHeight="1">
      <c r="A20869" s="2" t="s">
        <v>20869</v>
      </c>
      <c r="B20869" s="2" t="str">
        <f>IFERROR(__xludf.DUMMYFUNCTION("GOOGLETRANSLATE(A20869, ""en"", ""mt"")"),"California")</f>
        <v>California</v>
      </c>
    </row>
    <row r="20870" ht="15.75" customHeight="1">
      <c r="A20870" s="2" t="s">
        <v>20870</v>
      </c>
      <c r="B20870" s="2" t="str">
        <f>IFERROR(__xludf.DUMMYFUNCTION("GOOGLETRANSLATE(A20870, ""en"", ""mt"")"),"Min jispezzjona l-bini perjodikament biex jiżgura li l-kostruzzjoni taderixxi mal-pjanijiet approvati u l-kodiċi tal-bini lokali?")</f>
        <v>Min jispezzjona l-bini perjodikament biex jiżgura li l-kostruzzjoni taderixxi mal-pjanijiet approvati u l-kodiċi tal-bini lokali?</v>
      </c>
    </row>
    <row r="20871" ht="15.75" customHeight="1">
      <c r="A20871" s="2" t="s">
        <v>20871</v>
      </c>
      <c r="B20871" s="2" t="str">
        <f>IFERROR(__xludf.DUMMYFUNCTION("GOOGLETRANSLATE(A20871, ""en"", ""mt"")"),"1500 ° C.")</f>
        <v>1500 ° C.</v>
      </c>
    </row>
    <row r="20872" ht="15.75" customHeight="1">
      <c r="A20872" s="2" t="s">
        <v>20872</v>
      </c>
      <c r="B20872" s="2" t="str">
        <f>IFERROR(__xludf.DUMMYFUNCTION("GOOGLETRANSLATE(A20872, ""en"", ""mt"")"),"servizz")</f>
        <v>servizz</v>
      </c>
    </row>
    <row r="20873" ht="15.75" customHeight="1">
      <c r="A20873" s="2" t="s">
        <v>20873</v>
      </c>
      <c r="B20873" s="2" t="str">
        <f>IFERROR(__xludf.DUMMYFUNCTION("GOOGLETRANSLATE(A20873, ""en"", ""mt"")"),"Liema akkademja sabet Tugh Temur?")</f>
        <v>Liema akkademja sabet Tugh Temur?</v>
      </c>
    </row>
    <row r="20874" ht="15.75" customHeight="1">
      <c r="A20874" s="2" t="s">
        <v>20874</v>
      </c>
      <c r="B20874" s="2" t="str">
        <f>IFERROR(__xludf.DUMMYFUNCTION("GOOGLETRANSLATE(A20874, ""en"", ""mt"")"),"Ċelloli tal-qattiel naturali, jew ċelloli NK, huma komponent tas-sistema immuni innata li ma tattakkax direttament il-mikrobi li jinvadu. Anzi, iċ-ċelloli NK jeqirdu ċelloli ospitanti kompromessi, bħal ċelloli tat-tumur jew ċelloli infettati bil-virus, li"&amp;" jirrikonoxxu ċelloli bħal dawn b'kundizzjoni magħrufa bħala ""self nieqes."" Dan it-terminu jiddeskrivi ċelloli b'livelli baxxi ta 'markatur tal-wiċċ taċ-ċellula msejjaħ MHC I (kumpless maġġuri ta' istokompatibilità) - sitwazzjoni li tista 'tinqala' f'in"&amp;"fezzjonijiet virali taċ-ċelloli ospitanti. Huma ġew imsemmija ""Killer Naturali"" minħabba l-kunċett inizjali li ma jeħtiġux attivazzjoni sabiex joqtlu ċelloli li huma ""nieqsa minn rashom."" Għal ħafna snin ma kienx ċar kif iċ-ċelloli NK jirrikonoxxu ċel"&amp;"loli tat-tumur u ċelloli infettati. Issa huwa magħruf li l-għamla MHC fuq il-wiċċ ta 'dawk iċ-ċelloli hija mibdula u ċ-ċelloli NK isiru attivati ​​permezz tar-rikonoxximent ta' ""self nieqes"". Iċ-ċelloli normali tal-ġisem mhumiex rikonoxxuti u attakkati "&amp;"minn ċelloli NK minħabba li jesprimu antiġeni ta 'awto MHC intatti. Dawk l-antiġeni MHC huma rikonoxxuti minn riċetturi ta 'immunoglobulina taċ-ċelloli qattiel (KIR) li essenzjalment ipoġġu l-brejkijiet fuq iċ-ċelloli NK.")</f>
        <v>Ċelloli tal-qattiel naturali, jew ċelloli NK, huma komponent tas-sistema immuni innata li ma tattakkax direttament il-mikrobi li jinvadu. Anzi, iċ-ċelloli NK jeqirdu ċelloli ospitanti kompromessi, bħal ċelloli tat-tumur jew ċelloli infettati bil-virus, li jirrikonoxxu ċelloli bħal dawn b'kundizzjoni magħrufa bħala "self nieqes." Dan it-terminu jiddeskrivi ċelloli b'livelli baxxi ta 'markatur tal-wiċċ taċ-ċellula msejjaħ MHC I (kumpless maġġuri ta' istokompatibilità) - sitwazzjoni li tista 'tinqala' f'infezzjonijiet virali taċ-ċelloli ospitanti. Huma ġew imsemmija "Killer Naturali" minħabba l-kunċett inizjali li ma jeħtiġux attivazzjoni sabiex joqtlu ċelloli li huma "nieqsa minn rashom." Għal ħafna snin ma kienx ċar kif iċ-ċelloli NK jirrikonoxxu ċelloli tat-tumur u ċelloli infettati. Issa huwa magħruf li l-għamla MHC fuq il-wiċċ ta 'dawk iċ-ċelloli hija mibdula u ċ-ċelloli NK isiru attivati ​​permezz tar-rikonoxximent ta' "self nieqes". Iċ-ċelloli normali tal-ġisem mhumiex rikonoxxuti u attakkati minn ċelloli NK minħabba li jesprimu antiġeni ta 'awto MHC intatti. Dawk l-antiġeni MHC huma rikonoxxuti minn riċetturi ta 'immunoglobulina taċ-ċelloli qattiel (KIR) li essenzjalment ipoġġu l-brejkijiet fuq iċ-ċelloli NK.</v>
      </c>
    </row>
    <row r="20875" ht="15.75" customHeight="1">
      <c r="A20875" s="2" t="s">
        <v>20875</v>
      </c>
      <c r="B20875" s="2" t="str">
        <f>IFERROR(__xludf.DUMMYFUNCTION("GOOGLETRANSLATE(A20875, ""en"", ""mt"")"),"X'inhi l-inugwaljanza tad-dħul mhux attribwita?")</f>
        <v>X'inhi l-inugwaljanza tad-dħul mhux attribwita?</v>
      </c>
    </row>
    <row r="20876" ht="15.75" customHeight="1">
      <c r="A20876" s="2" t="s">
        <v>20876</v>
      </c>
      <c r="B20876" s="2" t="str">
        <f>IFERROR(__xludf.DUMMYFUNCTION("GOOGLETRANSLATE(A20876, ""en"", ""mt"")"),"Wara l-1850")</f>
        <v>Wara l-1850</v>
      </c>
    </row>
    <row r="20877" ht="15.75" customHeight="1">
      <c r="A20877" s="2" t="s">
        <v>20877</v>
      </c>
      <c r="B20877" s="2" t="str">
        <f>IFERROR(__xludf.DUMMYFUNCTION("GOOGLETRANSLATE(A20877, ""en"", ""mt"")"),"£ 34m")</f>
        <v>£ 34m</v>
      </c>
    </row>
    <row r="20878" ht="15.75" customHeight="1">
      <c r="A20878" s="2" t="s">
        <v>20878</v>
      </c>
      <c r="B20878" s="2" t="str">
        <f>IFERROR(__xludf.DUMMYFUNCTION("GOOGLETRANSLATE(A20878, ""en"", ""mt"")"),"Galileo Galilei")</f>
        <v>Galileo Galilei</v>
      </c>
    </row>
    <row r="20879" ht="15.75" customHeight="1">
      <c r="A20879" s="2" t="s">
        <v>20879</v>
      </c>
      <c r="B20879" s="2" t="str">
        <f>IFERROR(__xludf.DUMMYFUNCTION("GOOGLETRANSLATE(A20879, ""en"", ""mt"")"),"Perossidi, nitrati u dikromati huma eżempji ta 'liema tip ta' komposti?")</f>
        <v>Perossidi, nitrati u dikromati huma eżempji ta 'liema tip ta' komposti?</v>
      </c>
    </row>
    <row r="20880" ht="15.75" customHeight="1">
      <c r="A20880" s="2" t="s">
        <v>20880</v>
      </c>
      <c r="B20880" s="2" t="str">
        <f>IFERROR(__xludf.DUMMYFUNCTION("GOOGLETRANSLATE(A20880, ""en"", ""mt"")"),"Sekwenzi CRISPR")</f>
        <v>Sekwenzi CRISPR</v>
      </c>
    </row>
    <row r="20881" ht="15.75" customHeight="1">
      <c r="A20881" s="2" t="s">
        <v>20881</v>
      </c>
      <c r="B20881" s="2" t="str">
        <f>IFERROR(__xludf.DUMMYFUNCTION("GOOGLETRANSLATE(A20881, ""en"", ""mt"")"),"Għaliex ir-riċerkaturi qed jitħabtu biex jidentifikaw l-istorja tal-pesta?")</f>
        <v>Għaliex ir-riċerkaturi qed jitħabtu biex jidentifikaw l-istorja tal-pesta?</v>
      </c>
    </row>
    <row r="20882" ht="15.75" customHeight="1">
      <c r="A20882" s="2" t="s">
        <v>20882</v>
      </c>
      <c r="B20882" s="2" t="str">
        <f>IFERROR(__xludf.DUMMYFUNCTION("GOOGLETRANSLATE(A20882, ""en"", ""mt"")"),"X'tip ta 'ċelloli jonqsu milli jibagħtu sinjali ta' allarm?")</f>
        <v>X'tip ta 'ċelloli jonqsu milli jibagħtu sinjali ta' allarm?</v>
      </c>
    </row>
    <row r="20883" ht="15.75" customHeight="1">
      <c r="A20883" s="2" t="s">
        <v>20883</v>
      </c>
      <c r="B20883" s="2" t="str">
        <f>IFERROR(__xludf.DUMMYFUNCTION("GOOGLETRANSLATE(A20883, ""en"", ""mt"")"),"X'kienet ikkunsidrata r-Rhine għall-invażuri fid-WWII?")</f>
        <v>X'kienet ikkunsidrata r-Rhine għall-invażuri fid-WWII?</v>
      </c>
    </row>
    <row r="20884" ht="15.75" customHeight="1">
      <c r="A20884" s="2" t="s">
        <v>20884</v>
      </c>
      <c r="B20884" s="2" t="str">
        <f>IFERROR(__xludf.DUMMYFUNCTION("GOOGLETRANSLATE(A20884, ""en"", ""mt"")"),"fin-nofsinhar")</f>
        <v>fin-nofsinhar</v>
      </c>
    </row>
    <row r="20885" ht="15.75" customHeight="1">
      <c r="A20885" s="2" t="s">
        <v>20885</v>
      </c>
      <c r="B20885" s="2" t="str">
        <f>IFERROR(__xludf.DUMMYFUNCTION("GOOGLETRANSLATE(A20885, ""en"", ""mt"")"),"Madwar 1294")</f>
        <v>Madwar 1294</v>
      </c>
    </row>
    <row r="20886" ht="15.75" customHeight="1">
      <c r="A20886" s="2" t="s">
        <v>20886</v>
      </c>
      <c r="B20886" s="2" t="str">
        <f>IFERROR(__xludf.DUMMYFUNCTION("GOOGLETRANSLATE(A20886, ""en"", ""mt"")"),"Upstate New York u l-Pajjiż Ohio")</f>
        <v>Upstate New York u l-Pajjiż Ohio</v>
      </c>
    </row>
    <row r="20887" ht="15.75" customHeight="1">
      <c r="A20887" s="2" t="s">
        <v>20887</v>
      </c>
      <c r="B20887" s="2" t="str">
        <f>IFERROR(__xludf.DUMMYFUNCTION("GOOGLETRANSLATE(A20887, ""en"", ""mt"")"),"X'inhuma r-riżultati komuni ta 'proġett?")</f>
        <v>X'inhuma r-riżultati komuni ta 'proġett?</v>
      </c>
    </row>
    <row r="20888" ht="15.75" customHeight="1">
      <c r="A20888" s="2" t="s">
        <v>20888</v>
      </c>
      <c r="B20888" s="2" t="str">
        <f>IFERROR(__xludf.DUMMYFUNCTION("GOOGLETRANSLATE(A20888, ""en"", ""mt"")"),"Iżlamista")</f>
        <v>Iżlamista</v>
      </c>
    </row>
    <row r="20889" ht="15.75" customHeight="1">
      <c r="A20889" s="2" t="s">
        <v>20889</v>
      </c>
      <c r="B20889" s="2" t="str">
        <f>IFERROR(__xludf.DUMMYFUNCTION("GOOGLETRANSLATE(A20889, ""en"", ""mt"")"),"Kemm hemm viċi presidenti fil-Bord tal-Fiduċjarji?")</f>
        <v>Kemm hemm viċi presidenti fil-Bord tal-Fiduċjarji?</v>
      </c>
    </row>
    <row r="20890" ht="15.75" customHeight="1">
      <c r="A20890" s="2" t="s">
        <v>20890</v>
      </c>
      <c r="B20890" s="2" t="str">
        <f>IFERROR(__xludf.DUMMYFUNCTION("GOOGLETRANSLATE(A20890, ""en"", ""mt"")"),"Liema każ ewlieni ġara fis-snin sebgħin fejn il-Qorti tal-Ġustizzja ddeċidiet li fl-aħħar it-Trattat ta 'Ruma bl-ebda mod ma żamm in-nazzjonaliżmu tal-enerġija?")</f>
        <v>Liema każ ewlieni ġara fis-snin sebgħin fejn il-Qorti tal-Ġustizzja ddeċidiet li fl-aħħar it-Trattat ta 'Ruma bl-ebda mod ma żamm in-nazzjonaliżmu tal-enerġija?</v>
      </c>
    </row>
    <row r="20891" ht="15.75" customHeight="1">
      <c r="A20891" s="2" t="s">
        <v>20891</v>
      </c>
      <c r="B20891" s="2" t="str">
        <f>IFERROR(__xludf.DUMMYFUNCTION("GOOGLETRANSLATE(A20891, ""en"", ""mt"")"),"Liema entitajiet ma kinux oriġinarjament imħassba dwar il-prevenzjoni ta 'ksur tad-drittijiet tal-bniedem?")</f>
        <v>Liema entitajiet ma kinux oriġinarjament imħassba dwar il-prevenzjoni ta 'ksur tad-drittijiet tal-bniedem?</v>
      </c>
    </row>
    <row r="20892" ht="15.75" customHeight="1">
      <c r="A20892" s="2" t="s">
        <v>20892</v>
      </c>
      <c r="B20892" s="2" t="str">
        <f>IFERROR(__xludf.DUMMYFUNCTION("GOOGLETRANSLATE(A20892, ""en"", ""mt"")"),"X'kienet Apple Talk")</f>
        <v>X'kienet Apple Talk</v>
      </c>
    </row>
    <row r="20893" ht="15.75" customHeight="1">
      <c r="A20893" s="2" t="s">
        <v>20893</v>
      </c>
      <c r="B20893" s="2" t="str">
        <f>IFERROR(__xludf.DUMMYFUNCTION("GOOGLETRANSLATE(A20893, ""en"", ""mt"")"),"Charles")</f>
        <v>Charles</v>
      </c>
    </row>
    <row r="20894" ht="15.75" customHeight="1">
      <c r="A20894" s="2" t="s">
        <v>20894</v>
      </c>
      <c r="B20894" s="2" t="str">
        <f>IFERROR(__xludf.DUMMYFUNCTION("GOOGLETRANSLATE(A20894, ""en"", ""mt"")"),"L-imperjalizmu Ewropew qatt ma kien iffokat fuq xiex?")</f>
        <v>L-imperjalizmu Ewropew qatt ma kien iffokat fuq xiex?</v>
      </c>
    </row>
    <row r="20895" ht="15.75" customHeight="1">
      <c r="A20895" s="2" t="s">
        <v>20895</v>
      </c>
      <c r="B20895" s="2" t="str">
        <f>IFERROR(__xludf.DUMMYFUNCTION("GOOGLETRANSLATE(A20895, ""en"", ""mt"")"),"Liema xjenzat ieħor jinfluwenza lil Frank Burnet meta kien qed jifformula t-teorija tiegħu dwar l-immunità?")</f>
        <v>Liema xjenzat ieħor jinfluwenza lil Frank Burnet meta kien qed jifformula t-teorija tiegħu dwar l-immunità?</v>
      </c>
    </row>
    <row r="20896" ht="15.75" customHeight="1">
      <c r="A20896" s="2" t="s">
        <v>20896</v>
      </c>
      <c r="B20896" s="2" t="str">
        <f>IFERROR(__xludf.DUMMYFUNCTION("GOOGLETRANSLATE(A20896, ""en"", ""mt"")"),"Ġiet qawmien mill-ġdid fl-aħħar tas-seklu 19, bil-ġirja għall-Afrika u żidiet kbar fl-Asja u l-Lvant Nofsani. L-ispirtu Ingliż tal-imperjalizmu kien espress minn Joseph Chamberlain u Lord Rosebury, u implimentat fl-Afrika minn Cecil Rhodes. Il-psewdo-xjen"&amp;"zi tad-darwiniżmu soċjali u t-teoriji tar-razza ffurmaw irfid ideoloġiku matul dan iż-żmien. Kelliema oħra influwenti kienu jinkludu Lord Cromer, Lord Curzon, Ġeneral Kitchner, Lord Milner, u l-kittieb Rudyard Kipling. L-Imperu Brittaniku kien l-akbar imp"&amp;"eru li d-dinja qatt rat kemm f'termini ta 'landmass kif ukoll ta' popolazzjoni. Il-poter tagħha, kemm militari kif ukoll ekonomiku, baqa 'mhux imqabbel.")</f>
        <v>Ġiet qawmien mill-ġdid fl-aħħar tas-seklu 19, bil-ġirja għall-Afrika u żidiet kbar fl-Asja u l-Lvant Nofsani. L-ispirtu Ingliż tal-imperjalizmu kien espress minn Joseph Chamberlain u Lord Rosebury, u implimentat fl-Afrika minn Cecil Rhodes. Il-psewdo-xjenzi tad-darwiniżmu soċjali u t-teoriji tar-razza ffurmaw irfid ideoloġiku matul dan iż-żmien. Kelliema oħra influwenti kienu jinkludu Lord Cromer, Lord Curzon, Ġeneral Kitchner, Lord Milner, u l-kittieb Rudyard Kipling. L-Imperu Brittaniku kien l-akbar imperu li d-dinja qatt rat kemm f'termini ta 'landmass kif ukoll ta' popolazzjoni. Il-poter tagħha, kemm militari kif ukoll ekonomiku, baqa 'mhux imqabbel.</v>
      </c>
    </row>
    <row r="20897" ht="15.75" customHeight="1">
      <c r="A20897" s="2" t="s">
        <v>20897</v>
      </c>
      <c r="B20897" s="2" t="str">
        <f>IFERROR(__xludf.DUMMYFUNCTION("GOOGLETRANSLATE(A20897, ""en"", ""mt"")"),"Kemm għandhom komponenti li għandhom it-tentilla?")</f>
        <v>Kemm għandhom komponenti li għandhom it-tentilla?</v>
      </c>
    </row>
    <row r="20898" ht="15.75" customHeight="1">
      <c r="A20898" s="2" t="s">
        <v>20898</v>
      </c>
      <c r="B20898" s="2" t="str">
        <f>IFERROR(__xludf.DUMMYFUNCTION("GOOGLETRANSLATE(A20898, ""en"", ""mt"")"),"X'għandhom Sonderungsverbot meta jippruvaw joperaw mingħajr regolament?")</f>
        <v>X'għandhom Sonderungsverbot meta jippruvaw joperaw mingħajr regolament?</v>
      </c>
    </row>
    <row r="20899" ht="15.75" customHeight="1">
      <c r="A20899" s="2" t="s">
        <v>20899</v>
      </c>
      <c r="B20899" s="2" t="str">
        <f>IFERROR(__xludf.DUMMYFUNCTION("GOOGLETRANSLATE(A20899, ""en"", ""mt"")"),"akbar")</f>
        <v>akbar</v>
      </c>
    </row>
    <row r="20900" ht="15.75" customHeight="1">
      <c r="A20900" s="2" t="s">
        <v>20900</v>
      </c>
      <c r="B20900" s="2" t="str">
        <f>IFERROR(__xludf.DUMMYFUNCTION("GOOGLETRANSLATE(A20900, ""en"", ""mt"")"),"kompletament imnaqqas")</f>
        <v>kompletament imnaqqas</v>
      </c>
    </row>
    <row r="20901" ht="15.75" customHeight="1">
      <c r="A20901" s="2" t="s">
        <v>20901</v>
      </c>
      <c r="B20901" s="2" t="str">
        <f>IFERROR(__xludf.DUMMYFUNCTION("GOOGLETRANSLATE(A20901, ""en"", ""mt"")"),"L-Uffiċċju tat-Taxxa Awstraljan uża Austpac biex jaċċessa dak mill-bogħod?")</f>
        <v>L-Uffiċċju tat-Taxxa Awstraljan uża Austpac biex jaċċessa dak mill-bogħod?</v>
      </c>
    </row>
    <row r="20902" ht="15.75" customHeight="1">
      <c r="A20902" s="2" t="s">
        <v>20902</v>
      </c>
      <c r="B20902" s="2" t="str">
        <f>IFERROR(__xludf.DUMMYFUNCTION("GOOGLETRANSLATE(A20902, ""en"", ""mt"")"),"Liema poteri għandha l-Qorti tal-Ġustizzja tal-Unjoni Ewropea fir-rigward tat-trattati?")</f>
        <v>Liema poteri għandha l-Qorti tal-Ġustizzja tal-Unjoni Ewropea fir-rigward tat-trattati?</v>
      </c>
    </row>
    <row r="20903" ht="15.75" customHeight="1">
      <c r="A20903" s="2" t="s">
        <v>20903</v>
      </c>
      <c r="B20903" s="2" t="str">
        <f>IFERROR(__xludf.DUMMYFUNCTION("GOOGLETRANSLATE(A20903, ""en"", ""mt"")"),"F'liema sena nqasam l-Olanda l-ġdida fi New York u New Jersey?")</f>
        <v>F'liema sena nqasam l-Olanda l-ġdida fi New York u New Jersey?</v>
      </c>
    </row>
    <row r="20904" ht="15.75" customHeight="1">
      <c r="A20904" s="2" t="s">
        <v>20904</v>
      </c>
      <c r="B20904" s="2" t="str">
        <f>IFERROR(__xludf.DUMMYFUNCTION("GOOGLETRANSLATE(A20904, ""en"", ""mt"")"),"Rati ta 'tkabbir għoljin")</f>
        <v>Rati ta 'tkabbir għoljin</v>
      </c>
    </row>
    <row r="20905" ht="15.75" customHeight="1">
      <c r="A20905" s="2" t="s">
        <v>20905</v>
      </c>
      <c r="B20905" s="2" t="str">
        <f>IFERROR(__xludf.DUMMYFUNCTION("GOOGLETRANSLATE(A20905, ""en"", ""mt"")"),"Liema persentaġġ tal-popolazzjoni miet fit-tifqigħa tal-1625 tal-mewt sewda?")</f>
        <v>Liema persentaġġ tal-popolazzjoni miet fit-tifqigħa tal-1625 tal-mewt sewda?</v>
      </c>
    </row>
    <row r="20906" ht="15.75" customHeight="1">
      <c r="A20906" s="2" t="s">
        <v>20906</v>
      </c>
      <c r="B20906" s="2" t="str">
        <f>IFERROR(__xludf.DUMMYFUNCTION("GOOGLETRANSLATE(A20906, ""en"", ""mt"")"),"Teoremi tal-Ġerarkija tal-Ħin u l-Ispazju")</f>
        <v>Teoremi tal-Ġerarkija tal-Ħin u l-Ispazju</v>
      </c>
    </row>
    <row r="20907" ht="15.75" customHeight="1">
      <c r="A20907" s="2" t="s">
        <v>20907</v>
      </c>
      <c r="B20907" s="2" t="str">
        <f>IFERROR(__xludf.DUMMYFUNCTION("GOOGLETRANSLATE(A20907, ""en"", ""mt"")"),"Minn fejn toħroġ il-Lag Constance?")</f>
        <v>Minn fejn toħroġ il-Lag Constance?</v>
      </c>
    </row>
    <row r="20908" ht="15.75" customHeight="1">
      <c r="A20908" s="2" t="s">
        <v>20908</v>
      </c>
      <c r="B20908" s="2" t="str">
        <f>IFERROR(__xludf.DUMMYFUNCTION("GOOGLETRANSLATE(A20908, ""en"", ""mt"")"),"Liema reġjun beda jikber u jafferma ruħu fis-snin 2000?")</f>
        <v>Liema reġjun beda jikber u jafferma ruħu fis-snin 2000?</v>
      </c>
    </row>
    <row r="20909" ht="15.75" customHeight="1">
      <c r="A20909" s="2" t="s">
        <v>20909</v>
      </c>
      <c r="B20909" s="2" t="str">
        <f>IFERROR(__xludf.DUMMYFUNCTION("GOOGLETRANSLATE(A20909, ""en"", ""mt"")"),"Nofs mil fil-majjistral tal-bitħa")</f>
        <v>Nofs mil fil-majjistral tal-bitħa</v>
      </c>
    </row>
    <row r="20910" ht="15.75" customHeight="1">
      <c r="A20910" s="2" t="s">
        <v>20910</v>
      </c>
      <c r="B20910" s="2" t="str">
        <f>IFERROR(__xludf.DUMMYFUNCTION("GOOGLETRANSLATE(A20910, ""en"", ""mt"")"),"Drogi ċitotossiċi jew immunosoppressivi")</f>
        <v>Drogi ċitotossiċi jew immunosoppressivi</v>
      </c>
    </row>
    <row r="20911" ht="15.75" customHeight="1">
      <c r="A20911" s="2" t="s">
        <v>20911</v>
      </c>
      <c r="B20911" s="2" t="str">
        <f>IFERROR(__xludf.DUMMYFUNCTION("GOOGLETRANSLATE(A20911, ""en"", ""mt"")"),"""Semi-Legali""")</f>
        <v>"Semi-Legali"</v>
      </c>
    </row>
    <row r="20912" ht="15.75" customHeight="1">
      <c r="A20912" s="2" t="s">
        <v>20912</v>
      </c>
      <c r="B20912" s="2" t="str">
        <f>IFERROR(__xludf.DUMMYFUNCTION("GOOGLETRANSLATE(A20912, ""en"", ""mt"")"),"kondensatur")</f>
        <v>kondensatur</v>
      </c>
    </row>
    <row r="20913" ht="15.75" customHeight="1">
      <c r="A20913" s="2" t="s">
        <v>20913</v>
      </c>
      <c r="B20913" s="2" t="str">
        <f>IFERROR(__xludf.DUMMYFUNCTION("GOOGLETRANSLATE(A20913, ""en"", ""mt"")"),"Kif l-iżvilupp ta 'oqsma taż-żejt ġodda influwenza l-ekonomija ta' l-Istati Uniti?")</f>
        <v>Kif l-iżvilupp ta 'oqsma taż-żejt ġodda influwenza l-ekonomija ta' l-Istati Uniti?</v>
      </c>
    </row>
    <row r="20914" ht="15.75" customHeight="1">
      <c r="A20914" s="2" t="s">
        <v>20914</v>
      </c>
      <c r="B20914" s="2" t="str">
        <f>IFERROR(__xludf.DUMMYFUNCTION("GOOGLETRANSLATE(A20914, ""en"", ""mt"")"),"Il-liġi tal-Unjoni Ewropea hija applikata mill-qrati ta 'l-Istati Membri u l-Qorti tal-Ġustizzja ta' l-Unjoni Ewropea. Fejn il-liġijiet tal-istati membri jipprovdu għal-liġi tal-Unjoni Ewropea tad-drittijiet inqas jistgħu jiġu infurzati mill-qrati tal-ist"&amp;"ati membri. Fil-każ tal-liġi tal-Unjoni Ewropea li suppost ġiet trasposta fil-liġijiet tal-istati membri, bħal direttivi, il-Kummissjoni Ewropea tista 'tieħu proċeduri kontra l-Istat Membru taħt it-Trattat dwar il-Funzjonament tal-Unjoni Ewropea. Il-Qorti"&amp;" Ewropea tal-Ġustizzja hija l-ogħla qorti li kapaċi tinterpreta l-liġi tal-Unjoni Ewropea. Sorsi supplimentari tal-liġi tal-Unjoni Ewropea jinkludu ġurisprudenza mill-Qorti tal-Ġustizzja, Liġi Internazzjonali u Prinċipji Ġenerali tal-Liġi tal-Unjoni Ewrop"&amp;"ea.")</f>
        <v>Il-liġi tal-Unjoni Ewropea hija applikata mill-qrati ta 'l-Istati Membri u l-Qorti tal-Ġustizzja ta' l-Unjoni Ewropea. Fejn il-liġijiet tal-istati membri jipprovdu għal-liġi tal-Unjoni Ewropea tad-drittijiet inqas jistgħu jiġu infurzati mill-qrati tal-istati membri. Fil-każ tal-liġi tal-Unjoni Ewropea li suppost ġiet trasposta fil-liġijiet tal-istati membri, bħal direttivi, il-Kummissjoni Ewropea tista 'tieħu proċeduri kontra l-Istat Membru taħt it-Trattat dwar il-Funzjonament tal-Unjoni Ewropea. Il-Qorti Ewropea tal-Ġustizzja hija l-ogħla qorti li kapaċi tinterpreta l-liġi tal-Unjoni Ewropea. Sorsi supplimentari tal-liġi tal-Unjoni Ewropea jinkludu ġurisprudenza mill-Qorti tal-Ġustizzja, Liġi Internazzjonali u Prinċipji Ġenerali tal-Liġi tal-Unjoni Ewropea.</v>
      </c>
    </row>
    <row r="20915" ht="15.75" customHeight="1">
      <c r="A20915" s="2" t="s">
        <v>20915</v>
      </c>
      <c r="B20915" s="2" t="str">
        <f>IFERROR(__xludf.DUMMYFUNCTION("GOOGLETRANSLATE(A20915, ""en"", ""mt"")"),"Robert Boyle")</f>
        <v>Robert Boyle</v>
      </c>
    </row>
    <row r="20916" ht="15.75" customHeight="1">
      <c r="A20916" s="2" t="s">
        <v>20916</v>
      </c>
      <c r="B20916" s="2" t="str">
        <f>IFERROR(__xludf.DUMMYFUNCTION("GOOGLETRANSLATE(A20916, ""en"", ""mt"")"),"Kurrenti tal-marea")</f>
        <v>Kurrenti tal-marea</v>
      </c>
    </row>
    <row r="20917" ht="15.75" customHeight="1">
      <c r="A20917" s="2" t="s">
        <v>20917</v>
      </c>
      <c r="B20917" s="2" t="str">
        <f>IFERROR(__xludf.DUMMYFUNCTION("GOOGLETRANSLATE(A20917, ""en"", ""mt"")"),"60's")</f>
        <v>60's</v>
      </c>
    </row>
    <row r="20918" ht="15.75" customHeight="1">
      <c r="A20918" s="2" t="s">
        <v>20918</v>
      </c>
      <c r="B20918" s="2" t="str">
        <f>IFERROR(__xludf.DUMMYFUNCTION("GOOGLETRANSLATE(A20918, ""en"", ""mt"")"),"Kemm puplesiji tal-pistuni jseħħu f'ċiklu tal-magna?")</f>
        <v>Kemm puplesiji tal-pistuni jseħħu f'ċiklu tal-magna?</v>
      </c>
    </row>
    <row r="20919" ht="15.75" customHeight="1">
      <c r="A20919" s="2" t="s">
        <v>20919</v>
      </c>
      <c r="B20919" s="2" t="str">
        <f>IFERROR(__xludf.DUMMYFUNCTION("GOOGLETRANSLATE(A20919, ""en"", ""mt"")"),"Meta ġie ddikjarat dan l-editt?")</f>
        <v>Meta ġie ddikjarat dan l-editt?</v>
      </c>
    </row>
    <row r="20920" ht="15.75" customHeight="1">
      <c r="A20920" s="2" t="s">
        <v>20920</v>
      </c>
      <c r="B20920" s="2" t="str">
        <f>IFERROR(__xludf.DUMMYFUNCTION("GOOGLETRANSLATE(A20920, ""en"", ""mt"")"),"Mill-1904, id-dar tal-Parlament Skoċċiż kienet fejn?")</f>
        <v>Mill-1904, id-dar tal-Parlament Skoċċiż kienet fejn?</v>
      </c>
    </row>
    <row r="20921" ht="15.75" customHeight="1">
      <c r="A20921" s="2" t="s">
        <v>20921</v>
      </c>
      <c r="B20921" s="2" t="str">
        <f>IFERROR(__xludf.DUMMYFUNCTION("GOOGLETRANSLATE(A20921, ""en"", ""mt"")"),"X'inhu l-Għasafar tal-Istat ta 'Victoria?")</f>
        <v>X'inhu l-Għasafar tal-Istat ta 'Victoria?</v>
      </c>
    </row>
    <row r="20922" ht="15.75" customHeight="1">
      <c r="A20922" s="2" t="s">
        <v>20922</v>
      </c>
      <c r="B20922" s="2" t="str">
        <f>IFERROR(__xludf.DUMMYFUNCTION("GOOGLETRANSLATE(A20922, ""en"", ""mt"")"),"X’waqqaf l-iżvilupp tad-djar?")</f>
        <v>X’waqqaf l-iżvilupp tad-djar?</v>
      </c>
    </row>
    <row r="20923" ht="15.75" customHeight="1">
      <c r="A20923" s="2" t="s">
        <v>20923</v>
      </c>
      <c r="B20923" s="2" t="str">
        <f>IFERROR(__xludf.DUMMYFUNCTION("GOOGLETRANSLATE(A20923, ""en"", ""mt"")"),"Min hu elett biex iservi bħala l-uffiċjal li jippresiedi fil-bidu ta 'kull sessjoni parlamentari?")</f>
        <v>Min hu elett biex iservi bħala l-uffiċjal li jippresiedi fil-bidu ta 'kull sessjoni parlamentari?</v>
      </c>
    </row>
    <row r="20924" ht="15.75" customHeight="1">
      <c r="A20924" s="2" t="s">
        <v>20924</v>
      </c>
      <c r="B20924" s="2" t="str">
        <f>IFERROR(__xludf.DUMMYFUNCTION("GOOGLETRANSLATE(A20924, ""en"", ""mt"")"),"Uħud iddeskrivew il-konflitti interni bejn diversi gruppi ta ’nies bħala forma ta’ imperjalizmu jew kolonjaliżmu. Din il-forma interna hija distinta mill-imperjalizmu informali tal-Istati Uniti fil-forma ta 'eġemonija politika u finanzjarja. Din il-forma "&amp;"interna ta 'imperjalizmu hija wkoll distinta mill-formazzjoni ta' ""kolonji"" ta 'l-Istati Uniti barra mill-pajjiż. Permezz tat-trattament tal-popli indiġeni tagħha waqt l-espansjoni tal-punent, l-Istati Uniti ħadu l-forma ta 'poter imperjali qabel kull t"&amp;"entattiv ta' imperjalizmu estern. Din il-forma interna ta 'imperu ġiet imsejħa ""kolonjaliżmu intern"". Il-parteċipazzjoni fil-kummerċ tal-iskjavi Afrikani u t-trattament sussegwenti tat-12 sa 15-il miljun Afrikan tagħha hija meqjusa minn uħud bħala esten"&amp;"sjoni aktar moderna tal- ""kolonjaliżmu intern"" tal-Amerika. Madankollu, dan il-kolonjaliżmu intern ffaċċja r-reżistenza, kif għamel il-kolonjaliżmu estern, iżda l-preżenza anti-kolonjali kienet ferm inqas prominenti minħabba d-dominanza kważi kompluta l"&amp;"i l-Istati Uniti kienu kapaċi jaffermaw kemm fuq il-popli indiġeni kif ukoll fuq l-Afrikani-Amerikani. Fit-taħdita tiegħu fis-16 ta 'April, 2003, Edward qal għamel dikjarazzjoni kuraġġuża dwar l-imperjalizmu modern fl-Istati Uniti, li huwa ddeskriva bħala"&amp;" li juża mezzi aggressivi ta' attakk lejn l-Orjent Kontemporanju, ""minħabba l-għajxien lura tagħhom, in-nuqqas ta 'demokrazija u l-ksur tad-drittijiet tan-nisa. Id-dinja tal-Punent tinsa matul dan il-proċess li tikkonverti lill-ieħor li l-kjarifika u d-d"&amp;"emokrazija huma kunċetti li mhux kollha jaqblu dwarhom "".")</f>
        <v>Uħud iddeskrivew il-konflitti interni bejn diversi gruppi ta ’nies bħala forma ta’ imperjalizmu jew kolonjaliżmu. Din il-forma interna hija distinta mill-imperjalizmu informali tal-Istati Uniti fil-forma ta 'eġemonija politika u finanzjarja. Din il-forma interna ta 'imperjalizmu hija wkoll distinta mill-formazzjoni ta' "kolonji" ta 'l-Istati Uniti barra mill-pajjiż. Permezz tat-trattament tal-popli indiġeni tagħha waqt l-espansjoni tal-punent, l-Istati Uniti ħadu l-forma ta 'poter imperjali qabel kull tentattiv ta' imperjalizmu estern. Din il-forma interna ta 'imperu ġiet imsejħa "kolonjaliżmu intern". Il-parteċipazzjoni fil-kummerċ tal-iskjavi Afrikani u t-trattament sussegwenti tat-12 sa 15-il miljun Afrikan tagħha hija meqjusa minn uħud bħala estensjoni aktar moderna tal- "kolonjaliżmu intern" tal-Amerika. Madankollu, dan il-kolonjaliżmu intern ffaċċja r-reżistenza, kif għamel il-kolonjaliżmu estern, iżda l-preżenza anti-kolonjali kienet ferm inqas prominenti minħabba d-dominanza kważi kompluta li l-Istati Uniti kienu kapaċi jaffermaw kemm fuq il-popli indiġeni kif ukoll fuq l-Afrikani-Amerikani. Fit-taħdita tiegħu fis-16 ta 'April, 2003, Edward qal għamel dikjarazzjoni kuraġġuża dwar l-imperjalizmu modern fl-Istati Uniti, li huwa ddeskriva bħala li juża mezzi aggressivi ta' attakk lejn l-Orjent Kontemporanju, "minħabba l-għajxien lura tagħhom, in-nuqqas ta 'demokrazija u l-ksur tad-drittijiet tan-nisa. Id-dinja tal-Punent tinsa matul dan il-proċess li tikkonverti lill-ieħor li l-kjarifika u d-demokrazija huma kunċetti li mhux kollha jaqblu dwarhom ".</v>
      </c>
    </row>
    <row r="20925" ht="15.75" customHeight="1">
      <c r="A20925" s="2" t="s">
        <v>20925</v>
      </c>
      <c r="B20925" s="2" t="str">
        <f>IFERROR(__xludf.DUMMYFUNCTION("GOOGLETRANSLATE(A20925, ""en"", ""mt"")"),"Meta kantanta kkontestaw il-graff waqt seduta tas-Senat?")</f>
        <v>Meta kantanta kkontestaw il-graff waqt seduta tas-Senat?</v>
      </c>
    </row>
    <row r="20926" ht="15.75" customHeight="1">
      <c r="A20926" s="2" t="s">
        <v>20926</v>
      </c>
      <c r="B20926" s="2" t="str">
        <f>IFERROR(__xludf.DUMMYFUNCTION("GOOGLETRANSLATE(A20926, ""en"", ""mt"")"),"X'inhu terminu għat-treġġigħ lura tal-fluss tal-fwar f'magna tal-kompressjoni wara kull puplesija?")</f>
        <v>X'inhu terminu għat-treġġigħ lura tal-fluss tal-fwar f'magna tal-kompressjoni wara kull puplesija?</v>
      </c>
    </row>
    <row r="20927" ht="15.75" customHeight="1">
      <c r="A20927" s="2" t="s">
        <v>20927</v>
      </c>
      <c r="B20927" s="2" t="str">
        <f>IFERROR(__xludf.DUMMYFUNCTION("GOOGLETRANSLATE(A20927, ""en"", ""mt"")"),"X'ġara meta ż-żejt ġdid ġie rtirat mis-suq?")</f>
        <v>X'ġara meta ż-żejt ġdid ġie rtirat mis-suq?</v>
      </c>
    </row>
    <row r="20928" ht="15.75" customHeight="1">
      <c r="A20928" s="2" t="s">
        <v>20928</v>
      </c>
      <c r="B20928" s="2" t="str">
        <f>IFERROR(__xludf.DUMMYFUNCTION("GOOGLETRANSLATE(A20928, ""en"", ""mt"")"),"Meta l-università ddeċidiet li tibda proġetti ta 'espansjoni ta' diversi miljun dollaru?")</f>
        <v>Meta l-università ddeċidiet li tibda proġetti ta 'espansjoni ta' diversi miljun dollaru?</v>
      </c>
    </row>
    <row r="20929" ht="15.75" customHeight="1">
      <c r="A20929" s="2" t="s">
        <v>20929</v>
      </c>
      <c r="B20929" s="2" t="str">
        <f>IFERROR(__xludf.DUMMYFUNCTION("GOOGLETRANSLATE(A20929, ""en"", ""mt"")"),"X'kienet l-ewwel rikonoxxuta mil-liġi tal-UE fis-snin sebgħin?")</f>
        <v>X'kienet l-ewwel rikonoxxuta mil-liġi tal-UE fis-snin sebgħin?</v>
      </c>
    </row>
    <row r="20930" ht="15.75" customHeight="1">
      <c r="A20930" s="2" t="s">
        <v>20930</v>
      </c>
      <c r="B20930" s="2" t="str">
        <f>IFERROR(__xludf.DUMMYFUNCTION("GOOGLETRANSLATE(A20930, ""en"", ""mt"")"),"Fejn hi l-ogħla taqsima tar-Rabat?")</f>
        <v>Fejn hi l-ogħla taqsima tar-Rabat?</v>
      </c>
    </row>
    <row r="20931" ht="15.75" customHeight="1">
      <c r="A20931" s="2" t="s">
        <v>20931</v>
      </c>
      <c r="B20931" s="2" t="str">
        <f>IFERROR(__xludf.DUMMYFUNCTION("GOOGLETRANSLATE(A20931, ""en"", ""mt"")"),"Kemm ta 'differenza fir-rati ta' omiċidji huma relatati ma 'l-inugwaljanza?")</f>
        <v>Kemm ta 'differenza fir-rati ta' omiċidji huma relatati ma 'l-inugwaljanza?</v>
      </c>
    </row>
    <row r="20932" ht="15.75" customHeight="1">
      <c r="A20932" s="2" t="s">
        <v>20932</v>
      </c>
      <c r="B20932" s="2" t="str">
        <f>IFERROR(__xludf.DUMMYFUNCTION("GOOGLETRANSLATE(A20932, ""en"", ""mt"")"),"Liema sena qalu li ċ-ċittadini jew il-korporazzjonijiet kienu kapaċi jġibu talbiet kontra partijiet oħra mhux statali?")</f>
        <v>Liema sena qalu li ċ-ċittadini jew il-korporazzjonijiet kienu kapaċi jġibu talbiet kontra partijiet oħra mhux statali?</v>
      </c>
    </row>
    <row r="20933" ht="15.75" customHeight="1">
      <c r="A20933" s="2" t="s">
        <v>20933</v>
      </c>
      <c r="B20933" s="2" t="str">
        <f>IFERROR(__xludf.DUMMYFUNCTION("GOOGLETRANSLATE(A20933, ""en"", ""mt"")"),"L-ispejjeż żejda bi proġetti tal-gvern seħħew meta l-kuntrattur għamel xiex?")</f>
        <v>L-ispejjeż żejda bi proġetti tal-gvern seħħew meta l-kuntrattur għamel xiex?</v>
      </c>
    </row>
    <row r="20934" ht="15.75" customHeight="1">
      <c r="A20934" s="2" t="s">
        <v>20934</v>
      </c>
      <c r="B20934" s="2" t="str">
        <f>IFERROR(__xludf.DUMMYFUNCTION("GOOGLETRANSLATE(A20934, ""en"", ""mt"")"),"Studenti li għadhom ma ggradwawx huma meħtieġa jieħdu distribuzzjoni ta 'korsijiet biex jissodisfaw il-kurrikulu ewlieni tal-università magħruf bħala l-Qofol Komuni. Fl-2012-2013, il-klassijiet ewlenin f'Chicago kienu limitati għal 17-il student, u ġenera"&amp;"lment huma mmexxija minn professur full-time (għall-kuntrarju ta 'assistent tat-tagħlim). Mis-sena skolastika 2013–2014, 15-il kors u kompetenza murija f'lingwa barranija huma meħtieġa taħt il-qalba. Korsijiet li għadhom ma ggradwawx fl-Università ta ’Chi"&amp;"cago huma magħrufa għall-istandards eżiġenti tagħhom, ammont ta’ xogħol qawwi u diffikultà akkademika; Skond l-UNI fl-Istati Uniti, ""fost il-krema akkademika ta 'universitajiet Amerikani - Harvard, Yale, Princeton, MIT, u l-Università ta' Chicago - huwa "&amp;"Uchicago li jista 'jallega b'mod konvinċenti li jipprovdi l-iktar esperjenza ta' tagħlim intensa.""")</f>
        <v>Studenti li għadhom ma ggradwawx huma meħtieġa jieħdu distribuzzjoni ta 'korsijiet biex jissodisfaw il-kurrikulu ewlieni tal-università magħruf bħala l-Qofol Komuni. Fl-2012-2013, il-klassijiet ewlenin f'Chicago kienu limitati għal 17-il student, u ġeneralment huma mmexxija minn professur full-time (għall-kuntrarju ta 'assistent tat-tagħlim). Mis-sena skolastika 2013–2014, 15-il kors u kompetenza murija f'lingwa barranija huma meħtieġa taħt il-qalba. Korsijiet li għadhom ma ggradwawx fl-Università ta ’Chicago huma magħrufa għall-istandards eżiġenti tagħhom, ammont ta’ xogħol qawwi u diffikultà akkademika; Skond l-UNI fl-Istati Uniti, "fost il-krema akkademika ta 'universitajiet Amerikani - Harvard, Yale, Princeton, MIT, u l-Università ta' Chicago - huwa Uchicago li jista 'jallega b'mod konvinċenti li jipprovdi l-iktar esperjenza ta' tagħlim intensa."</v>
      </c>
    </row>
    <row r="20935" ht="15.75" customHeight="1">
      <c r="A20935" s="2" t="s">
        <v>20935</v>
      </c>
      <c r="B20935" s="2" t="str">
        <f>IFERROR(__xludf.DUMMYFUNCTION("GOOGLETRANSLATE(A20935, ""en"", ""mt"")"),"Liema indiċi huwa indikatur tal-effetti tat-taxxi applikati għall-infiq soċjali?")</f>
        <v>Liema indiċi huwa indikatur tal-effetti tat-taxxi applikati għall-infiq soċjali?</v>
      </c>
    </row>
    <row r="20936" ht="15.75" customHeight="1">
      <c r="A20936" s="2" t="s">
        <v>20936</v>
      </c>
      <c r="B20936" s="2" t="str">
        <f>IFERROR(__xludf.DUMMYFUNCTION("GOOGLETRANSLATE(A20936, ""en"", ""mt"")"),"Mill-fondazzjoni tagħha, it-trattati fittxew li jippermettu lin-nies isegwu l-għanijiet tal-ħajja tagħhom fi kwalunkwe pajjiż permezz ta 'moviment liberu. Jirriflettu n-natura ekonomika tal-proġett, il-komunità Ewropea oriġinarjament iffokata fuq il-movim"&amp;"ent liberu tal-ħaddiema: bħala ""fattur ta 'produzzjoni"". Madankollu, mis-snin sebgħin, din il-fokus inbidlet lejn l-iżvilupp ta 'Ewropa aktar ""soċjali"". Il-moviment liberu kien dejjem aktar ibbażat fuq ""ċittadinanza"", sabiex in-nies kellhom id-dritt"&amp;"ijiet biex jagħtuhom is-setgħa biex isiru attivi ekonomikament u soċjalment, aktar milli attività ekonomika li tkun prekundizzjoni għad-drittijiet. Dan ifisser li d-drittijiet bażiċi ""tal-ħaddiem"" fl-Artikolu 45 tat-TFEU jiffunzjonaw bħala espressjoni s"&amp;"peċifika tad-drittijiet ġenerali taċ-ċittadini fl-Artikoli TFEU 18 sa 21. Skond il-Qorti tal-Ġustizzja, ""ħaddiem"" huwa kull min hu ekonomikament attiv, li jinkludi Kulħadd f'relazzjoni ta 'impjieg, ""taħt id-direzzjoni ta' persuna oħra"" għal ""remunera"&amp;"zzjoni"". Xogħol, madankollu, m'għandux għalfejn jitħallas fi flus biex xi ħadd ikun protett bħala ħaddiem. Pereżempju, fi Steymann v Staatssecretaris van Justitie, raġel Ġermaniż iddikjara d-dritt għar-residenza fl-Olanda, waqt li kien volontarju għall-p"&amp;"lumbing u d-dmirijiet tad-dar fil-komunità ta 'Bhagwan, li pprovda għall-ħtiġijiet materjali ta' kulħadd irrispettivament mill-kontribuzzjonijiet tagħhom. Il-Qorti tal-Ġustizzja ddeċidiet li s-Sur Steymann kien intitolat li jibqa ', sakemm kien hemm mill-"&amp;"inqas ""indirett quid pro quo"" għax-xogħol li għamel. Li jkollok status ta '""ħaddiem"" tfisser protezzjoni kontra kull forma ta' diskriminazzjoni mill-gvernijiet, u min iħaddem, f'aċċess għad-drittijiet tal-impjieg, tat-taxxa u tas-sigurtà soċjali. B'ku"&amp;"ntrast ma 'ċittadin, li huwa ""kwalunkwe persuna li għandha n-nazzjonalità ta' Stat Membru"" (l-Artikolu 20 (1) TFEU), għandha drittijiet li tfittex xogħol, tivvota fl-elezzjonijiet lokali u Ewropej, iżda drittijiet aktar ristretti biex titlob is-Sigurtà "&amp;"Soċjali. Fil-prattika, il-moviment liberu sar politikament kontenzjuż hekk kif il-partiti politiċi nazzjonalisti mmanipulaw biżgħat dwar l-immigranti li jneħħu l-impjiegi u l-benefiċċji tan-nies (paradossalment fl-istess ħin). Madankollu, prattikament ""i"&amp;"r-riċerka disponibbli kollha ssib ftit impatt"" ta '""mobilità tax-xogħol fuq il-pagi u l-impjiegi ta' ħaddiema lokali"".")</f>
        <v>Mill-fondazzjoni tagħha, it-trattati fittxew li jippermettu lin-nies isegwu l-għanijiet tal-ħajja tagħhom fi kwalunkwe pajjiż permezz ta 'moviment liberu. Jirriflettu n-natura ekonomika tal-proġett, il-komunità Ewropea oriġinarjament iffokata fuq il-moviment liberu tal-ħaddiema: bħala "fattur ta 'produzzjoni". Madankollu, mis-snin sebgħin, din il-fokus inbidlet lejn l-iżvilupp ta 'Ewropa aktar "soċjali". Il-moviment liberu kien dejjem aktar ibbażat fuq "ċittadinanza", sabiex in-nies kellhom id-drittijiet biex jagħtuhom is-setgħa biex isiru attivi ekonomikament u soċjalment, aktar milli attività ekonomika li tkun prekundizzjoni għad-drittijiet. Dan ifisser li d-drittijiet bażiċi "tal-ħaddiem" fl-Artikolu 45 tat-TFEU jiffunzjonaw bħala espressjoni speċifika tad-drittijiet ġenerali taċ-ċittadini fl-Artikoli TFEU 18 sa 21. Skond il-Qorti tal-Ġustizzja, "ħaddiem" huwa kull min hu ekonomikament attiv, li jinkludi Kulħadd f'relazzjoni ta 'impjieg, "taħt id-direzzjoni ta' persuna oħra" għal "remunerazzjoni". Xogħol, madankollu, m'għandux għalfejn jitħallas fi flus biex xi ħadd ikun protett bħala ħaddiem. Pereżempju, fi Steymann v Staatssecretaris van Justitie, raġel Ġermaniż iddikjara d-dritt għar-residenza fl-Olanda, waqt li kien volontarju għall-plumbing u d-dmirijiet tad-dar fil-komunità ta 'Bhagwan, li pprovda għall-ħtiġijiet materjali ta' kulħadd irrispettivament mill-kontribuzzjonijiet tagħhom. Il-Qorti tal-Ġustizzja ddeċidiet li s-Sur Steymann kien intitolat li jibqa ', sakemm kien hemm mill-inqas "indirett quid pro quo" għax-xogħol li għamel. Li jkollok status ta '"ħaddiem" tfisser protezzjoni kontra kull forma ta' diskriminazzjoni mill-gvernijiet, u min iħaddem, f'aċċess għad-drittijiet tal-impjieg, tat-taxxa u tas-sigurtà soċjali. B'kuntrast ma 'ċittadin, li huwa "kwalunkwe persuna li għandha n-nazzjonalità ta' Stat Membru" (l-Artikolu 20 (1) TFEU), għandha drittijiet li tfittex xogħol, tivvota fl-elezzjonijiet lokali u Ewropej, iżda drittijiet aktar ristretti biex titlob is-Sigurtà Soċjali. Fil-prattika, il-moviment liberu sar politikament kontenzjuż hekk kif il-partiti politiċi nazzjonalisti mmanipulaw biżgħat dwar l-immigranti li jneħħu l-impjiegi u l-benefiċċji tan-nies (paradossalment fl-istess ħin). Madankollu, prattikament "ir-riċerka disponibbli kollha ssib ftit impatt" ta '"mobilità tax-xogħol fuq il-pagi u l-impjiegi ta' ħaddiema lokali".</v>
      </c>
    </row>
    <row r="20937" ht="15.75" customHeight="1">
      <c r="A20937" s="2" t="s">
        <v>20937</v>
      </c>
      <c r="B20937" s="2" t="str">
        <f>IFERROR(__xludf.DUMMYFUNCTION("GOOGLETRANSLATE(A20937, ""en"", ""mt"")"),"Dak li jikkonsisti fi tmien oqsma statistiċi kkombinati?")</f>
        <v>Dak li jikkonsisti fi tmien oqsma statistiċi kkombinati?</v>
      </c>
    </row>
    <row r="20938" ht="15.75" customHeight="1">
      <c r="A20938" s="2" t="s">
        <v>20938</v>
      </c>
      <c r="B20938" s="2" t="str">
        <f>IFERROR(__xludf.DUMMYFUNCTION("GOOGLETRANSLATE(A20938, ""en"", ""mt"")"),"It-teoriji ta ’min appoġġjaw it-teorija tal-Miasma?")</f>
        <v>It-teoriji ta ’min appoġġjaw it-teorija tal-Miasma?</v>
      </c>
    </row>
    <row r="20939" ht="15.75" customHeight="1">
      <c r="A20939" s="2" t="s">
        <v>20939</v>
      </c>
      <c r="B20939" s="2" t="str">
        <f>IFERROR(__xludf.DUMMYFUNCTION("GOOGLETRANSLATE(A20939, ""en"", ""mt"")"),"Kemm nefqet l-Arabja Sawdita fuq id-domanda tal-Punent għaż-żejt?")</f>
        <v>Kemm nefqet l-Arabja Sawdita fuq id-domanda tal-Punent għaż-żejt?</v>
      </c>
    </row>
    <row r="20940" ht="15.75" customHeight="1">
      <c r="A20940" s="2" t="s">
        <v>20940</v>
      </c>
      <c r="B20940" s="2" t="str">
        <f>IFERROR(__xludf.DUMMYFUNCTION("GOOGLETRANSLATE(A20940, ""en"", ""mt"")"),"is-suq")</f>
        <v>is-suq</v>
      </c>
    </row>
    <row r="20941" ht="15.75" customHeight="1">
      <c r="A20941" s="2" t="s">
        <v>20941</v>
      </c>
      <c r="B20941" s="2" t="str">
        <f>IFERROR(__xludf.DUMMYFUNCTION("GOOGLETRANSLATE(A20941, ""en"", ""mt"")"),"Prince Louis de Condé")</f>
        <v>Prince Louis de Condé</v>
      </c>
    </row>
    <row r="20942" ht="15.75" customHeight="1">
      <c r="A20942" s="2" t="s">
        <v>20942</v>
      </c>
      <c r="B20942" s="2" t="str">
        <f>IFERROR(__xludf.DUMMYFUNCTION("GOOGLETRANSLATE(A20942, ""en"", ""mt"")"),"X'jagħmlu r-regoli dwar il-kunflitt ta 'interess li jinvolvu tobba li jiddijanjostikaw pazjenti?")</f>
        <v>X'jagħmlu r-regoli dwar il-kunflitt ta 'interess li jinvolvu tobba li jiddijanjostikaw pazjenti?</v>
      </c>
    </row>
    <row r="20943" ht="15.75" customHeight="1">
      <c r="A20943" s="2" t="s">
        <v>20943</v>
      </c>
      <c r="B20943" s="2" t="str">
        <f>IFERROR(__xludf.DUMMYFUNCTION("GOOGLETRANSLATE(A20943, ""en"", ""mt"")"),"X'inhi komunement maħsuba li hija r-relazzjoni ta 'valur bejn P u CO-NP?")</f>
        <v>X'inhi komunement maħsuba li hija r-relazzjoni ta 'valur bejn P u CO-NP?</v>
      </c>
    </row>
    <row r="20944" ht="15.75" customHeight="1">
      <c r="A20944" s="2" t="s">
        <v>20944</v>
      </c>
      <c r="B20944" s="2" t="str">
        <f>IFERROR(__xludf.DUMMYFUNCTION("GOOGLETRANSLATE(A20944, ""en"", ""mt"")"),"Kungress ta 'Albany")</f>
        <v>Kungress ta 'Albany</v>
      </c>
    </row>
    <row r="20945" ht="15.75" customHeight="1">
      <c r="A20945" s="2" t="s">
        <v>20945</v>
      </c>
      <c r="B20945" s="2" t="str">
        <f>IFERROR(__xludf.DUMMYFUNCTION("GOOGLETRANSLATE(A20945, ""en"", ""mt"")"),"Min ikkonkluda li s-CO2 jgħolli b'90%?")</f>
        <v>Min ikkonkluda li s-CO2 jgħolli b'90%?</v>
      </c>
    </row>
    <row r="20946" ht="15.75" customHeight="1">
      <c r="A20946" s="2" t="s">
        <v>20946</v>
      </c>
      <c r="B20946" s="2" t="str">
        <f>IFERROR(__xludf.DUMMYFUNCTION("GOOGLETRANSLATE(A20946, ""en"", ""mt"")"),"Liema xmara tifred lil Jacksonville?")</f>
        <v>Liema xmara tifred lil Jacksonville?</v>
      </c>
    </row>
    <row r="20947" ht="15.75" customHeight="1">
      <c r="A20947" s="2" t="s">
        <v>20947</v>
      </c>
      <c r="B20947" s="2" t="str">
        <f>IFERROR(__xludf.DUMMYFUNCTION("GOOGLETRANSLATE(A20947, ""en"", ""mt"")"),"Fejn jinsab l-Uffiċċju ta 'Edward Harkness?")</f>
        <v>Fejn jinsab l-Uffiċċju ta 'Edward Harkness?</v>
      </c>
    </row>
    <row r="20948" ht="15.75" customHeight="1">
      <c r="A20948" s="2" t="s">
        <v>20948</v>
      </c>
      <c r="B20948" s="2" t="str">
        <f>IFERROR(__xludf.DUMMYFUNCTION("GOOGLETRANSLATE(A20948, ""en"", ""mt"")"),"Qabel ma jimpjegaw kuntrattur, x'jagħmlu wkoll il-kuntratturi tad-D &amp; B dwar proġett?")</f>
        <v>Qabel ma jimpjegaw kuntrattur, x'jagħmlu wkoll il-kuntratturi tad-D &amp; B dwar proġett?</v>
      </c>
    </row>
    <row r="20949" ht="15.75" customHeight="1">
      <c r="A20949" s="2" t="s">
        <v>20949</v>
      </c>
      <c r="B20949" s="2" t="str">
        <f>IFERROR(__xludf.DUMMYFUNCTION("GOOGLETRANSLATE(A20949, ""en"", ""mt"")"),"Is-servizz diġitali ta 'BSKYB ġie mniedi uffiċjalment fl-1 ta' Ottubru 1998 taħt l-isem Sky Digital, għalkemm it-testijiet fuq skala żgħira saru qabel dakinhar. F'dan iż-żmien l-użu tal-marka Diġitali Sky għamel distinzjoni importanti bejn is-servizz il-ġ"&amp;"did u s-servizzi analoġiċi ta 'Sky. Il-punti ewlenin tal-bejgħ kienu t-titjib fl-istampi u l-kwalità tal-ħoss, numru miżjud ta 'kanali u servizz interattiv miftuħ .... Issa msejjaħ Sky Active, BSKYB ikkompeta ma' l-offerta terrestri ondigital (aktar tard "&amp;"ITV) offerta u servizzi tal-kejbil. Fi żmien 30 jum, aktar minn 100,000 digiboxes kienu nbiegħu, li jgħinu d-deċiżjoni ta 'BSKYB imsaħħaħ li tagħti lil DigiBoxes u minidish b'xejn minn Mejju 1999.")</f>
        <v>Is-servizz diġitali ta 'BSKYB ġie mniedi uffiċjalment fl-1 ta' Ottubru 1998 taħt l-isem Sky Digital, għalkemm it-testijiet fuq skala żgħira saru qabel dakinhar. F'dan iż-żmien l-użu tal-marka Diġitali Sky għamel distinzjoni importanti bejn is-servizz il-ġdid u s-servizzi analoġiċi ta 'Sky. Il-punti ewlenin tal-bejgħ kienu t-titjib fl-istampi u l-kwalità tal-ħoss, numru miżjud ta 'kanali u servizz interattiv miftuħ .... Issa msejjaħ Sky Active, BSKYB ikkompeta ma' l-offerta terrestri ondigital (aktar tard ITV) offerta u servizzi tal-kejbil. Fi żmien 30 jum, aktar minn 100,000 digiboxes kienu nbiegħu, li jgħinu d-deċiżjoni ta 'BSKYB imsaħħaħ li tagħti lil DigiBoxes u minidish b'xejn minn Mejju 1999.</v>
      </c>
    </row>
    <row r="20950" ht="15.75" customHeight="1">
      <c r="A20950" s="2" t="s">
        <v>20950</v>
      </c>
      <c r="B20950" s="2" t="str">
        <f>IFERROR(__xludf.DUMMYFUNCTION("GOOGLETRANSLATE(A20950, ""en"", ""mt"")"),"Triq Huguenot Distrett Storiku")</f>
        <v>Triq Huguenot Distrett Storiku</v>
      </c>
    </row>
    <row r="20951" ht="15.75" customHeight="1">
      <c r="A20951" s="2" t="s">
        <v>20951</v>
      </c>
      <c r="B20951" s="2" t="str">
        <f>IFERROR(__xludf.DUMMYFUNCTION("GOOGLETRANSLATE(A20951, ""en"", ""mt"")"),"n = 4")</f>
        <v>n = 4</v>
      </c>
    </row>
    <row r="20952" ht="15.75" customHeight="1">
      <c r="A20952" s="2" t="s">
        <v>20952</v>
      </c>
      <c r="B20952" s="2" t="str">
        <f>IFERROR(__xludf.DUMMYFUNCTION("GOOGLETRANSLATE(A20952, ""en"", ""mt"")"),"X'kien razzjonat mill-ħaddiema tal-ferrovija?")</f>
        <v>X'kien razzjonat mill-ħaddiema tal-ferrovija?</v>
      </c>
    </row>
    <row r="20953" ht="15.75" customHeight="1">
      <c r="A20953" s="2" t="s">
        <v>20953</v>
      </c>
      <c r="B20953" s="2" t="str">
        <f>IFERROR(__xludf.DUMMYFUNCTION("GOOGLETRANSLATE(A20953, ""en"", ""mt"")"),"diversi kulleġġi u universitajiet reġjonali")</f>
        <v>diversi kulleġġi u universitajiet reġjonali</v>
      </c>
    </row>
    <row r="20954" ht="15.75" customHeight="1">
      <c r="A20954" s="2" t="s">
        <v>20954</v>
      </c>
      <c r="B20954" s="2" t="str">
        <f>IFERROR(__xludf.DUMMYFUNCTION("GOOGLETRANSLATE(A20954, ""en"", ""mt"")"),"Masaaki Shirakawa")</f>
        <v>Masaaki Shirakawa</v>
      </c>
    </row>
    <row r="20955" ht="15.75" customHeight="1">
      <c r="A20955" s="2" t="s">
        <v>20955</v>
      </c>
      <c r="B20955" s="2" t="str">
        <f>IFERROR(__xludf.DUMMYFUNCTION("GOOGLETRANSLATE(A20955, ""en"", ""mt"")"),"biddel it-trattati eżistenti")</f>
        <v>biddel it-trattati eżistenti</v>
      </c>
    </row>
    <row r="20956" ht="15.75" customHeight="1">
      <c r="A20956" s="2" t="s">
        <v>20956</v>
      </c>
      <c r="B20956" s="2" t="str">
        <f>IFERROR(__xludf.DUMMYFUNCTION("GOOGLETRANSLATE(A20956, ""en"", ""mt"")"),"tikkompressa u tkessaħ")</f>
        <v>tikkompressa u tkessaħ</v>
      </c>
    </row>
    <row r="20957" ht="15.75" customHeight="1">
      <c r="A20957" s="2" t="s">
        <v>20957</v>
      </c>
      <c r="B20957" s="2" t="str">
        <f>IFERROR(__xludf.DUMMYFUNCTION("GOOGLETRANSLATE(A20957, ""en"", ""mt"")"),"1858")</f>
        <v>1858</v>
      </c>
    </row>
    <row r="20958" ht="15.75" customHeight="1">
      <c r="A20958" s="2" t="s">
        <v>20958</v>
      </c>
      <c r="B20958" s="2" t="str">
        <f>IFERROR(__xludf.DUMMYFUNCTION("GOOGLETRANSLATE(A20958, ""en"", ""mt"")"),"valur miżjud minn klassifikazzjonijiet differenti tal-ħaddiema")</f>
        <v>valur miżjud minn klassifikazzjonijiet differenti tal-ħaddiema</v>
      </c>
    </row>
    <row r="20959" ht="15.75" customHeight="1">
      <c r="A20959" s="2" t="s">
        <v>20959</v>
      </c>
      <c r="B20959" s="2" t="str">
        <f>IFERROR(__xludf.DUMMYFUNCTION("GOOGLETRANSLATE(A20959, ""en"", ""mt"")"),"Kemm hu preċiż Guo għamel il-kalendarju lunisolari ffurmat?")</f>
        <v>Kemm hu preċiż Guo għamel il-kalendarju lunisolari ffurmat?</v>
      </c>
    </row>
    <row r="20960" ht="15.75" customHeight="1">
      <c r="A20960" s="2" t="s">
        <v>20960</v>
      </c>
      <c r="B20960" s="2" t="str">
        <f>IFERROR(__xludf.DUMMYFUNCTION("GOOGLETRANSLATE(A20960, ""en"", ""mt"")"),"X'inhu s-simbolu ta 'Sigilium?")</f>
        <v>X'inhu s-simbolu ta 'Sigilium?</v>
      </c>
    </row>
    <row r="20961" ht="15.75" customHeight="1">
      <c r="A20961" s="2" t="s">
        <v>20961</v>
      </c>
      <c r="B20961" s="2" t="str">
        <f>IFERROR(__xludf.DUMMYFUNCTION("GOOGLETRANSLATE(A20961, ""en"", ""mt"")"),"Min ġie elett fuq il-lista globali Lothian?")</f>
        <v>Min ġie elett fuq il-lista globali Lothian?</v>
      </c>
    </row>
    <row r="20962" ht="15.75" customHeight="1">
      <c r="A20962" s="2" t="s">
        <v>20962</v>
      </c>
      <c r="B20962" s="2" t="str">
        <f>IFERROR(__xludf.DUMMYFUNCTION("GOOGLETRANSLATE(A20962, ""en"", ""mt"")"),"37")</f>
        <v>37</v>
      </c>
    </row>
    <row r="20963" ht="15.75" customHeight="1">
      <c r="A20963" s="2" t="s">
        <v>20963</v>
      </c>
      <c r="B20963" s="2" t="str">
        <f>IFERROR(__xludf.DUMMYFUNCTION("GOOGLETRANSLATE(A20963, ""en"", ""mt"")"),"Liema nazzjonalità mhumiex ir-riċerkaturi Richard G. Wilkinson u Kate Pickett?")</f>
        <v>Liema nazzjonalità mhumiex ir-riċerkaturi Richard G. Wilkinson u Kate Pickett?</v>
      </c>
    </row>
    <row r="20964" ht="15.75" customHeight="1">
      <c r="A20964" s="2" t="s">
        <v>20964</v>
      </c>
      <c r="B20964" s="2" t="str">
        <f>IFERROR(__xludf.DUMMYFUNCTION("GOOGLETRANSLATE(A20964, ""en"", ""mt"")"),"mhux speċifiku")</f>
        <v>mhux speċifiku</v>
      </c>
    </row>
    <row r="20965" ht="15.75" customHeight="1">
      <c r="A20965" s="2" t="s">
        <v>20965</v>
      </c>
      <c r="B20965" s="2" t="str">
        <f>IFERROR(__xludf.DUMMYFUNCTION("GOOGLETRANSLATE(A20965, ""en"", ""mt"")"),"X'kien l-ewwel apparat li jaħdem bil-fwar użat kummerċjalment?")</f>
        <v>X'kien l-ewwel apparat li jaħdem bil-fwar użat kummerċjalment?</v>
      </c>
    </row>
    <row r="20966" ht="15.75" customHeight="1">
      <c r="A20966" s="2" t="s">
        <v>20966</v>
      </c>
      <c r="B20966" s="2" t="str">
        <f>IFERROR(__xludf.DUMMYFUNCTION("GOOGLETRANSLATE(A20966, ""en"", ""mt"")"),"Maġġoranza kwalifikata")</f>
        <v>Maġġoranza kwalifikata</v>
      </c>
    </row>
    <row r="20967" ht="15.75" customHeight="1">
      <c r="A20967" s="2" t="s">
        <v>20967</v>
      </c>
      <c r="B20967" s="2" t="str">
        <f>IFERROR(__xludf.DUMMYFUNCTION("GOOGLETRANSLATE(A20967, ""en"", ""mt"")"),"F'liema spettaklu kien stilla Lupe Mayorga?")</f>
        <v>F'liema spettaklu kien stilla Lupe Mayorga?</v>
      </c>
    </row>
    <row r="20968" ht="15.75" customHeight="1">
      <c r="A20968" s="2" t="s">
        <v>20968</v>
      </c>
      <c r="B20968" s="2" t="str">
        <f>IFERROR(__xludf.DUMMYFUNCTION("GOOGLETRANSLATE(A20968, ""en"", ""mt"")"),"X’għamlet il-Gran Brittanja f’Settembru 1971?")</f>
        <v>X’għamlet il-Gran Brittanja f’Settembru 1971?</v>
      </c>
    </row>
    <row r="20969" ht="15.75" customHeight="1">
      <c r="A20969" s="2" t="s">
        <v>20969</v>
      </c>
      <c r="B20969" s="2" t="str">
        <f>IFERROR(__xludf.DUMMYFUNCTION("GOOGLETRANSLATE(A20969, ""en"", ""mt"")"),"injorat it-twissija.")</f>
        <v>injorat it-twissija.</v>
      </c>
    </row>
    <row r="20970" ht="15.75" customHeight="1">
      <c r="A20970" s="2" t="s">
        <v>20970</v>
      </c>
      <c r="B20970" s="2" t="str">
        <f>IFERROR(__xludf.DUMMYFUNCTION("GOOGLETRANSLATE(A20970, ""en"", ""mt"")"),"biss ""essenzjali""")</f>
        <v>biss "essenzjali"</v>
      </c>
    </row>
    <row r="20971" ht="15.75" customHeight="1">
      <c r="A20971" s="2" t="s">
        <v>20971</v>
      </c>
      <c r="B20971" s="2" t="str">
        <f>IFERROR(__xludf.DUMMYFUNCTION("GOOGLETRANSLATE(A20971, ""en"", ""mt"")"),"Dak li jinvolvi produzzjoni tal-massa ta 'oġġetti simili mingħajr ippjanar magħżul?")</f>
        <v>Dak li jinvolvi produzzjoni tal-massa ta 'oġġetti simili mingħajr ippjanar magħżul?</v>
      </c>
    </row>
    <row r="20972" ht="15.75" customHeight="1">
      <c r="A20972" s="2" t="s">
        <v>20972</v>
      </c>
      <c r="B20972" s="2" t="str">
        <f>IFERROR(__xludf.DUMMYFUNCTION("GOOGLETRANSLATE(A20972, ""en"", ""mt"")"),"Tmien kategoriji ta 'edukazzjoni ġenerali")</f>
        <v>Tmien kategoriji ta 'edukazzjoni ġenerali</v>
      </c>
    </row>
    <row r="20973" ht="15.75" customHeight="1">
      <c r="A20973" s="2" t="s">
        <v>20973</v>
      </c>
      <c r="B20973" s="2" t="str">
        <f>IFERROR(__xludf.DUMMYFUNCTION("GOOGLETRANSLATE(A20973, ""en"", ""mt"")"),"Tricia Marwick")</f>
        <v>Tricia Marwick</v>
      </c>
    </row>
    <row r="20974" ht="15.75" customHeight="1">
      <c r="A20974" s="2" t="s">
        <v>20974</v>
      </c>
      <c r="B20974" s="2" t="str">
        <f>IFERROR(__xludf.DUMMYFUNCTION("GOOGLETRANSLATE(A20974, ""en"", ""mt"")"),"Valur tal-ispin")</f>
        <v>Valur tal-ispin</v>
      </c>
    </row>
    <row r="20975" ht="15.75" customHeight="1">
      <c r="A20975" s="2" t="s">
        <v>20975</v>
      </c>
      <c r="B20975" s="2" t="str">
        <f>IFERROR(__xludf.DUMMYFUNCTION("GOOGLETRANSLATE(A20975, ""en"", ""mt"")"),"Flimkien mal-kongregazzjoni ta 'Brothers Christian, x'inhu grupp reliġjuż notevoli li jmexxi skejjel li jħallsu l-ħlas fl-Irlanda?")</f>
        <v>Flimkien mal-kongregazzjoni ta 'Brothers Christian, x'inhu grupp reliġjuż notevoli li jmexxi skejjel li jħallsu l-ħlas fl-Irlanda?</v>
      </c>
    </row>
    <row r="20976" ht="15.75" customHeight="1">
      <c r="A20976" s="2" t="s">
        <v>20976</v>
      </c>
      <c r="B20976" s="2" t="str">
        <f>IFERROR(__xludf.DUMMYFUNCTION("GOOGLETRANSLATE(A20976, ""en"", ""mt"")"),"X'inhu meħtieġ biex tlesti b'suċċess l-offerti fuq proġett?")</f>
        <v>X'inhu meħtieġ biex tlesti b'suċċess l-offerti fuq proġett?</v>
      </c>
    </row>
    <row r="20977" ht="15.75" customHeight="1">
      <c r="A20977" s="2" t="s">
        <v>20977</v>
      </c>
      <c r="B20977" s="2" t="str">
        <f>IFERROR(__xludf.DUMMYFUNCTION("GOOGLETRANSLATE(A20977, ""en"", ""mt"")"),"Attivitajiet ta 'Muggers, Arsonists, Abbozzi ta' Evaders, Hecklers tal-Kampanja, Militanti tal-Kampus, Dimostranti Kontra l-Gwerra, Delinkwenti tal-Minorenni u Assassini Politiċi")</f>
        <v>Attivitajiet ta 'Muggers, Arsonists, Abbozzi ta' Evaders, Hecklers tal-Kampanja, Militanti tal-Kampus, Dimostranti Kontra l-Gwerra, Delinkwenti tal-Minorenni u Assassini Politiċi</v>
      </c>
    </row>
    <row r="20978" ht="15.75" customHeight="1">
      <c r="A20978" s="2" t="s">
        <v>20978</v>
      </c>
      <c r="B20978" s="2" t="str">
        <f>IFERROR(__xludf.DUMMYFUNCTION("GOOGLETRANSLATE(A20978, ""en"", ""mt"")"),"Fejn kienet il-post tal-għoti ta 'Calcutta?")</f>
        <v>Fejn kienet il-post tal-għoti ta 'Calcutta?</v>
      </c>
    </row>
    <row r="20979" ht="15.75" customHeight="1">
      <c r="A20979" s="2" t="s">
        <v>20979</v>
      </c>
      <c r="B20979" s="2" t="str">
        <f>IFERROR(__xludf.DUMMYFUNCTION("GOOGLETRANSLATE(A20979, ""en"", ""mt"")"),"Parlament tar-Renju Unit")</f>
        <v>Parlament tar-Renju Unit</v>
      </c>
    </row>
    <row r="20980" ht="15.75" customHeight="1">
      <c r="A20980" s="2" t="s">
        <v>20980</v>
      </c>
      <c r="B20980" s="2" t="str">
        <f>IFERROR(__xludf.DUMMYFUNCTION("GOOGLETRANSLATE(A20980, ""en"", ""mt"")"),"Ir-relazzjoni ta 'ctenophores mal-bqija tal-metazoa hija importanti ħafna għall-għarfien tagħna dwar l-evoluzzjoni bikrija ta' l-annimali u l-oriġini tal-multikellularità. Kien il-fokus tad-dibattitu għal ħafna snin. Ctenophores ġew maħsuba li huma n-nise"&amp;"l ta ’oħt il-Bilateria, oħt iċ-Cnidaria, oħt lil Cnidaria, Placozoa u Bilateria, u oħt il-phyla l-oħra kollha tal-annimali. Serje ta 'studji li ħarsu lejn il-preżenza u l-assenza ta' membri ta 'familji tal-ġeni u mogħdijiet ta' sinjalazzjoni (per eżempju,"&amp;" homeoboxes, riċetturi nukleari, mogħdija ta 'sinjalazzjoni Wnt, u kanali tas-sodju) urew evidenza kongruwenti ma' dawn l-aħħar żewġ xenarji, li ċ-ċtenofori huma jew oħthom lil Cnidaria, Placozoa u Bilateria jew oħt il-phyla l-oħra kollha tal-annimali. Bo"&amp;"sta studji aktar riċenti li jqabblu ġenomi sekwenzjati kompluti ta 'ctenophores ma' ġenomi ta 'annimali sekwenzati oħra appoġġaw ukoll ctenophori bħala n-nisel oħt għall-annimali l-oħra kollha. Din il-pożizzjoni tissuġġerixxi li t-tipi ta 'ċelluli newrali"&amp;" u tal-muskoli jew intilfu f'linji ewlenin ta' l-annimali (per eżempju, Porifera) jew li evolvew b'mod indipendenti fin-nisel taċ-ctenophore. Madankollu, riċerkaturi oħra argumentaw li t-tqegħid ta 'ctenophora bħala oħt għall-annimali l-oħra kollha hija a"&amp;"nomalija statistika kkawżata mir-rata għolja ta' evoluzzjoni fil-ġenomi ta 'ctenophore, u li l-porifera (sponoż) hija l-ewwel phylum tal-annimali li qed issir aktar kmieni. Ctenophores u sponoż huma wkoll l-unika phyla tal-annimali magħrufa li m'għandhomx"&amp;" xi ġeni hox vera.")</f>
        <v>Ir-relazzjoni ta 'ctenophores mal-bqija tal-metazoa hija importanti ħafna għall-għarfien tagħna dwar l-evoluzzjoni bikrija ta' l-annimali u l-oriġini tal-multikellularità. Kien il-fokus tad-dibattitu għal ħafna snin. Ctenophores ġew maħsuba li huma n-nisel ta ’oħt il-Bilateria, oħt iċ-Cnidaria, oħt lil Cnidaria, Placozoa u Bilateria, u oħt il-phyla l-oħra kollha tal-annimali. Serje ta 'studji li ħarsu lejn il-preżenza u l-assenza ta' membri ta 'familji tal-ġeni u mogħdijiet ta' sinjalazzjoni (per eżempju, homeoboxes, riċetturi nukleari, mogħdija ta 'sinjalazzjoni Wnt, u kanali tas-sodju) urew evidenza kongruwenti ma' dawn l-aħħar żewġ xenarji, li ċ-ċtenofori huma jew oħthom lil Cnidaria, Placozoa u Bilateria jew oħt il-phyla l-oħra kollha tal-annimali. Bosta studji aktar riċenti li jqabblu ġenomi sekwenzjati kompluti ta 'ctenophores ma' ġenomi ta 'annimali sekwenzati oħra appoġġaw ukoll ctenophori bħala n-nisel oħt għall-annimali l-oħra kollha. Din il-pożizzjoni tissuġġerixxi li t-tipi ta 'ċelluli newrali u tal-muskoli jew intilfu f'linji ewlenin ta' l-annimali (per eżempju, Porifera) jew li evolvew b'mod indipendenti fin-nisel taċ-ctenophore. Madankollu, riċerkaturi oħra argumentaw li t-tqegħid ta 'ctenophora bħala oħt għall-annimali l-oħra kollha hija anomalija statistika kkawżata mir-rata għolja ta' evoluzzjoni fil-ġenomi ta 'ctenophore, u li l-porifera (sponoż) hija l-ewwel phylum tal-annimali li qed issir aktar kmieni. Ctenophores u sponoż huma wkoll l-unika phyla tal-annimali magħrufa li m'għandhomx xi ġeni hox vera.</v>
      </c>
    </row>
    <row r="20981" ht="15.75" customHeight="1">
      <c r="A20981" s="2" t="s">
        <v>20981</v>
      </c>
      <c r="B20981" s="2" t="str">
        <f>IFERROR(__xludf.DUMMYFUNCTION("GOOGLETRANSLATE(A20981, ""en"", ""mt"")"),"Buddiżmu")</f>
        <v>Buddiżmu</v>
      </c>
    </row>
    <row r="20982" ht="15.75" customHeight="1">
      <c r="A20982" s="2" t="s">
        <v>20982</v>
      </c>
      <c r="B20982" s="2" t="str">
        <f>IFERROR(__xludf.DUMMYFUNCTION("GOOGLETRANSLATE(A20982, ""en"", ""mt"")"),"Meta ġie ffurmat l-ajruport tas-Sierra Sky Park?")</f>
        <v>Meta ġie ffurmat l-ajruport tas-Sierra Sky Park?</v>
      </c>
    </row>
    <row r="20983" ht="15.75" customHeight="1">
      <c r="A20983" s="2" t="s">
        <v>20983</v>
      </c>
      <c r="B20983" s="2" t="str">
        <f>IFERROR(__xludf.DUMMYFUNCTION("GOOGLETRANSLATE(A20983, ""en"", ""mt"")"),"Ġeografija immaġinattiva")</f>
        <v>Ġeografija immaġinattiva</v>
      </c>
    </row>
    <row r="20984" ht="15.75" customHeight="1">
      <c r="A20984" s="2" t="s">
        <v>20984</v>
      </c>
      <c r="B20984" s="2" t="str">
        <f>IFERROR(__xludf.DUMMYFUNCTION("GOOGLETRANSLATE(A20984, ""en"", ""mt"")"),"Kemm instabu tentakli prominenti fl-1996?")</f>
        <v>Kemm instabu tentakli prominenti fl-1996?</v>
      </c>
    </row>
    <row r="20985" ht="15.75" customHeight="1">
      <c r="A20985" s="2" t="s">
        <v>20985</v>
      </c>
      <c r="B20985" s="2" t="str">
        <f>IFERROR(__xludf.DUMMYFUNCTION("GOOGLETRANSLATE(A20985, ""en"", ""mt"")"),"X'inhuma ġeneralment l-aħħar ċelloli li jaslu fix-xena ta 'infezzjoni?")</f>
        <v>X'inhuma ġeneralment l-aħħar ċelloli li jaslu fix-xena ta 'infezzjoni?</v>
      </c>
    </row>
    <row r="20986" ht="15.75" customHeight="1">
      <c r="A20986" s="2" t="s">
        <v>20986</v>
      </c>
      <c r="B20986" s="2" t="str">
        <f>IFERROR(__xludf.DUMMYFUNCTION("GOOGLETRANSLATE(A20986, ""en"", ""mt"")"),"γδ")</f>
        <v>γδ</v>
      </c>
    </row>
    <row r="20987" ht="15.75" customHeight="1">
      <c r="A20987" s="2" t="s">
        <v>20987</v>
      </c>
      <c r="B20987" s="2" t="str">
        <f>IFERROR(__xludf.DUMMYFUNCTION("GOOGLETRANSLATE(A20987, ""en"", ""mt"")"),"instabilità ekonomika")</f>
        <v>instabilità ekonomika</v>
      </c>
    </row>
    <row r="20988" ht="15.75" customHeight="1">
      <c r="A20988" s="2" t="s">
        <v>20988</v>
      </c>
      <c r="B20988" s="2" t="str">
        <f>IFERROR(__xludf.DUMMYFUNCTION("GOOGLETRANSLATE(A20988, ""en"", ""mt"")"),"Kemm hemm speċi differenti ta 'ctenohore?")</f>
        <v>Kemm hemm speċi differenti ta 'ctenohore?</v>
      </c>
    </row>
    <row r="20989" ht="15.75" customHeight="1">
      <c r="A20989" s="2" t="s">
        <v>20989</v>
      </c>
      <c r="B20989" s="2" t="str">
        <f>IFERROR(__xludf.DUMMYFUNCTION("GOOGLETRANSLATE(A20989, ""en"", ""mt"")"),"X'tip ta 'investigazzjonijiet tal-gvern japplikaw għad-diżubbidjenza ċivili?")</f>
        <v>X'tip ta 'investigazzjonijiet tal-gvern japplikaw għad-diżubbidjenza ċivili?</v>
      </c>
    </row>
    <row r="20990" ht="15.75" customHeight="1">
      <c r="A20990" s="2" t="s">
        <v>20990</v>
      </c>
      <c r="B20990" s="2" t="str">
        <f>IFERROR(__xludf.DUMMYFUNCTION("GOOGLETRANSLATE(A20990, ""en"", ""mt"")"),"Kif jissejħu nies minn Florida?")</f>
        <v>Kif jissejħu nies minn Florida?</v>
      </c>
    </row>
    <row r="20991" ht="15.75" customHeight="1">
      <c r="A20991" s="2" t="s">
        <v>20991</v>
      </c>
      <c r="B20991" s="2" t="str">
        <f>IFERROR(__xludf.DUMMYFUNCTION("GOOGLETRANSLATE(A20991, ""en"", ""mt"")"),"X'inhi l-klassi fiha l-inqas problemi diffiċli fl-NP?")</f>
        <v>X'inhi l-klassi fiha l-inqas problemi diffiċli fl-NP?</v>
      </c>
    </row>
    <row r="20992" ht="15.75" customHeight="1">
      <c r="A20992" s="2" t="s">
        <v>20992</v>
      </c>
      <c r="B20992" s="2" t="str">
        <f>IFERROR(__xludf.DUMMYFUNCTION("GOOGLETRANSLATE(A20992, ""en"", ""mt"")"),"Liema dibattitu ġie organizzat mill-U ta 'C mill-1987?")</f>
        <v>Liema dibattitu ġie organizzat mill-U ta 'C mill-1987?</v>
      </c>
    </row>
    <row r="20993" ht="15.75" customHeight="1">
      <c r="A20993" s="2" t="s">
        <v>20993</v>
      </c>
      <c r="B20993" s="2" t="str">
        <f>IFERROR(__xludf.DUMMYFUNCTION("GOOGLETRANSLATE(A20993, ""en"", ""mt"")"),"Il-Gwerra Franċiża u Indjana (1754-1763) kienet it-Teatru tal-Amerika ta ’Fuq tal-Gwerra Dinjija ta’ Seba ’Snin. Il-gwerra ġiet miġġielda bejn il-kolonji ta 'l-Amerika Ingliża u New France, biż-żewġ naħat sostnuti minn unitajiet militari mill-pajjiżi ġeni"&amp;"turi tagħhom tal-Gran Brittanja u Franza, kif ukoll l-alleati Amerikani Nattivi. Fil-bidu tal-gwerra, il-kolonji Franċiżi tal-Amerika ta ’Fuq kellhom popolazzjoni ta’ madwar 60,000 kolonizzatur Ewropew, meta mqabbla ma ’2 miljun fil-kolonji Ingliżi tal-Am"&amp;"erika ta’ Fuq. Il-Franċiż numeruż kien jiddependi partikolarment mill-Indjani. F’kunflitt twil, in-nazzjonijiet tal-metropoli ddikjaraw gwerra fuq xulxin fl-1756, li żdiedet il-gwerra minn affari reġjonali f’kunflitt interkontinentali.")</f>
        <v>Il-Gwerra Franċiża u Indjana (1754-1763) kienet it-Teatru tal-Amerika ta ’Fuq tal-Gwerra Dinjija ta’ Seba ’Snin. Il-gwerra ġiet miġġielda bejn il-kolonji ta 'l-Amerika Ingliża u New France, biż-żewġ naħat sostnuti minn unitajiet militari mill-pajjiżi ġenituri tagħhom tal-Gran Brittanja u Franza, kif ukoll l-alleati Amerikani Nattivi. Fil-bidu tal-gwerra, il-kolonji Franċiżi tal-Amerika ta ’Fuq kellhom popolazzjoni ta’ madwar 60,000 kolonizzatur Ewropew, meta mqabbla ma ’2 miljun fil-kolonji Ingliżi tal-Amerika ta’ Fuq. Il-Franċiż numeruż kien jiddependi partikolarment mill-Indjani. F’kunflitt twil, in-nazzjonijiet tal-metropoli ddikjaraw gwerra fuq xulxin fl-1756, li żdiedet il-gwerra minn affari reġjonali f’kunflitt interkontinentali.</v>
      </c>
    </row>
    <row r="20994" ht="15.75" customHeight="1">
      <c r="A20994" s="2" t="s">
        <v>20994</v>
      </c>
      <c r="B20994" s="2" t="str">
        <f>IFERROR(__xludf.DUMMYFUNCTION("GOOGLETRANSLATE(A20994, ""en"", ""mt"")"),"X'inhu eżempju ta 'kunċett metafisiku?")</f>
        <v>X'inhu eżempju ta 'kunċett metafisiku?</v>
      </c>
    </row>
    <row r="20995" ht="15.75" customHeight="1">
      <c r="A20995" s="2" t="s">
        <v>20995</v>
      </c>
      <c r="B20995" s="2" t="str">
        <f>IFERROR(__xludf.DUMMYFUNCTION("GOOGLETRANSLATE(A20995, ""en"", ""mt"")"),"Erġa 'kiseb awtorità fuq in-nies tiegħu stess. Huma kienu inklinati li jappoġġjaw lill-Franċiżi, li magħhom kellhom relazzjonijiet ta 'kummerċ fit-tul")</f>
        <v>Erġa 'kiseb awtorità fuq in-nies tiegħu stess. Huma kienu inklinati li jappoġġjaw lill-Franċiżi, li magħhom kellhom relazzjonijiet ta 'kummerċ fit-tul</v>
      </c>
    </row>
    <row r="20996" ht="15.75" customHeight="1">
      <c r="A20996" s="2" t="s">
        <v>20996</v>
      </c>
      <c r="B20996" s="2" t="str">
        <f>IFERROR(__xludf.DUMMYFUNCTION("GOOGLETRANSLATE(A20996, ""en"", ""mt"")"),"Forzi mhux konservattivi")</f>
        <v>Forzi mhux konservattivi</v>
      </c>
    </row>
    <row r="20997" ht="15.75" customHeight="1">
      <c r="A20997" s="2" t="s">
        <v>20997</v>
      </c>
      <c r="B20997" s="2" t="str">
        <f>IFERROR(__xludf.DUMMYFUNCTION("GOOGLETRANSLATE(A20997, ""en"", ""mt"")"),"Liema ċelloli ma jġorrux molekuli tar-riċetturi?")</f>
        <v>Liema ċelloli ma jġorrux molekuli tar-riċetturi?</v>
      </c>
    </row>
    <row r="20998" ht="15.75" customHeight="1">
      <c r="A20998" s="2" t="s">
        <v>20998</v>
      </c>
      <c r="B20998" s="2" t="str">
        <f>IFERROR(__xludf.DUMMYFUNCTION("GOOGLETRANSLATE(A20998, ""en"", ""mt"")"),"erbgħa")</f>
        <v>erbgħa</v>
      </c>
    </row>
    <row r="20999" ht="15.75" customHeight="1">
      <c r="A20999" s="2" t="s">
        <v>20999</v>
      </c>
      <c r="B20999" s="2" t="str">
        <f>IFERROR(__xludf.DUMMYFUNCTION("GOOGLETRANSLATE(A20999, ""en"", ""mt"")"),"Liema industrija kienet iċċentrata f'Bedfordshire?")</f>
        <v>Liema industrija kienet iċċentrata f'Bedfordshire?</v>
      </c>
    </row>
    <row r="21000" ht="15.75" customHeight="1">
      <c r="A21000" s="2" t="s">
        <v>21000</v>
      </c>
      <c r="B21000" s="2" t="str">
        <f>IFERROR(__xludf.DUMMYFUNCTION("GOOGLETRANSLATE(A21000, ""en"", ""mt"")"),"Palm Springs")</f>
        <v>Palm Springs</v>
      </c>
    </row>
    <row r="21001" ht="15.75" customHeight="1">
      <c r="A21001" s="2" t="s">
        <v>21001</v>
      </c>
      <c r="B21001" s="2" t="str">
        <f>IFERROR(__xludf.DUMMYFUNCTION("GOOGLETRANSLATE(A21001, ""en"", ""mt"")"),"Il-funzjoni Zeta hija relatata mill-qrib man-numri ewlenin. Pereżempju, il-fatt imsemmi hawn fuq li hemm ħafna primes infinitament jista 'jidher ukoll bl-użu tal-funzjoni Zeta: jekk kien hemm biss ħafna primes finitament allura ζ (1) ikollu valur finit. M"&amp;"adankollu, is-Serje Armonika 1 + 1/2 + 1/3 + 1/4 + ... tvarja (i.e., taqbeż kull numru partikolari), u għalhekk għandu jkun hemm ħafna primes infinitament. Eżempju ieħor tar-rikkezza tal-funzjoni Zeta u idea tat-teorija moderna tan-numru alġebrin huwa l-i"&amp;"dentità li ġejja (problema ta 'Basel), minħabba Euler,")</f>
        <v>Il-funzjoni Zeta hija relatata mill-qrib man-numri ewlenin. Pereżempju, il-fatt imsemmi hawn fuq li hemm ħafna primes infinitament jista 'jidher ukoll bl-użu tal-funzjoni Zeta: jekk kien hemm biss ħafna primes finitament allura ζ (1) ikollu valur finit. Madankollu, is-Serje Armonika 1 + 1/2 + 1/3 + 1/4 + ... tvarja (i.e., taqbeż kull numru partikolari), u għalhekk għandu jkun hemm ħafna primes infinitament. Eżempju ieħor tar-rikkezza tal-funzjoni Zeta u idea tat-teorija moderna tan-numru alġebrin huwa l-identità li ġejja (problema ta 'Basel), minħabba Euler,</v>
      </c>
    </row>
    <row r="21002" ht="15.75" customHeight="1">
      <c r="A21002" s="2" t="s">
        <v>21002</v>
      </c>
      <c r="B21002" s="2" t="str">
        <f>IFERROR(__xludf.DUMMYFUNCTION("GOOGLETRANSLATE(A21002, ""en"", ""mt"")"),"X'inhuma ż-żewġ toroq ewlenin ta 'Sunnyside?")</f>
        <v>X'inhuma ż-żewġ toroq ewlenin ta 'Sunnyside?</v>
      </c>
    </row>
    <row r="21003" ht="15.75" customHeight="1">
      <c r="A21003" s="2" t="s">
        <v>21003</v>
      </c>
      <c r="B21003" s="2" t="str">
        <f>IFERROR(__xludf.DUMMYFUNCTION("GOOGLETRANSLATE(A21003, ""en"", ""mt"")"),"mil-livell tal-baħar")</f>
        <v>mil-livell tal-baħar</v>
      </c>
    </row>
    <row r="21004" ht="15.75" customHeight="1">
      <c r="A21004" s="2" t="s">
        <v>21004</v>
      </c>
      <c r="B21004" s="2" t="str">
        <f>IFERROR(__xludf.DUMMYFUNCTION("GOOGLETRANSLATE(A21004, ""en"", ""mt"")"),"BQP u QMA huma eżempji ta 'klassijiet ta' kumplessità l-aktar komunement assoċjati ma 'liema tip ta' magna tat-turing?")</f>
        <v>BQP u QMA huma eżempji ta 'klassijiet ta' kumplessità l-aktar komunement assoċjati ma 'liema tip ta' magna tat-turing?</v>
      </c>
    </row>
    <row r="21005" ht="15.75" customHeight="1">
      <c r="A21005" s="2" t="s">
        <v>21005</v>
      </c>
      <c r="B21005" s="2" t="str">
        <f>IFERROR(__xludf.DUMMYFUNCTION("GOOGLETRANSLATE(A21005, ""en"", ""mt"")"),"Ksee")</f>
        <v>Ksee</v>
      </c>
    </row>
    <row r="21006" ht="15.75" customHeight="1">
      <c r="A21006" s="2" t="s">
        <v>21006</v>
      </c>
      <c r="B21006" s="2" t="str">
        <f>IFERROR(__xludf.DUMMYFUNCTION("GOOGLETRANSLATE(A21006, ""en"", ""mt"")"),"Minn min ixtri l-art Huguenots f'Carolina t'Isfel?")</f>
        <v>Minn min ixtri l-art Huguenots f'Carolina t'Isfel?</v>
      </c>
    </row>
    <row r="21007" ht="15.75" customHeight="1">
      <c r="A21007" s="2" t="s">
        <v>21007</v>
      </c>
      <c r="B21007" s="2" t="str">
        <f>IFERROR(__xludf.DUMMYFUNCTION("GOOGLETRANSLATE(A21007, ""en"", ""mt"")"),"Min iddeskriva l-ewwel ekwilibriju dinamiku?")</f>
        <v>Min iddeskriva l-ewwel ekwilibriju dinamiku?</v>
      </c>
    </row>
    <row r="21008" ht="15.75" customHeight="1">
      <c r="A21008" s="2" t="s">
        <v>21008</v>
      </c>
      <c r="B21008" s="2" t="str">
        <f>IFERROR(__xludf.DUMMYFUNCTION("GOOGLETRANSLATE(A21008, ""en"", ""mt"")"),"Il-Qorti Imperjali Pre-Heian")</f>
        <v>Il-Qorti Imperjali Pre-Heian</v>
      </c>
    </row>
    <row r="21009" ht="15.75" customHeight="1">
      <c r="A21009" s="2" t="s">
        <v>21009</v>
      </c>
      <c r="B21009" s="2" t="str">
        <f>IFERROR(__xludf.DUMMYFUNCTION("GOOGLETRANSLATE(A21009, ""en"", ""mt"")"),"Gruppi estremisti vjolenti bħal al-Qaeda u t-Taliban")</f>
        <v>Gruppi estremisti vjolenti bħal al-Qaeda u t-Taliban</v>
      </c>
    </row>
    <row r="21010" ht="15.75" customHeight="1">
      <c r="A21010" s="2" t="s">
        <v>21010</v>
      </c>
      <c r="B21010" s="2" t="str">
        <f>IFERROR(__xludf.DUMMYFUNCTION("GOOGLETRANSLATE(A21010, ""en"", ""mt"")"),"It-tielet invażjoni twaqqfet bir-rebħa Franċiża improbabbli fil-Battalja ta ’Carillon, li fiha 3,600 Franċiż famuż u b’mod deċiżiv għelbu l-forza ta’ Abercrombie ta ’18,000 regolari, milizja u alleati Amerikani Nattivi barra l-forti li l-Franċiżi jissejħu"&amp;" Carillon u l-Ingliżi msejħa Ticonderoga. Abercrombie salva xi ħaġa mid-diżastru meta bagħat lil John Bradstreet fuq spedizzjoni li qered b'suċċess Fort Frontenac, inklużi cache ta 'provvisti destinati għall-fortizzi tal-Punent u l-pil tal-Punent ta' Fran"&amp;"za ġodda destinati għall-Ewropa. Abercrombie ġie mfakkar u mibdul minn Jeffery Amherst, Victor fi Louisbourg.")</f>
        <v>It-tielet invażjoni twaqqfet bir-rebħa Franċiża improbabbli fil-Battalja ta ’Carillon, li fiha 3,600 Franċiż famuż u b’mod deċiżiv għelbu l-forza ta’ Abercrombie ta ’18,000 regolari, milizja u alleati Amerikani Nattivi barra l-forti li l-Franċiżi jissejħu Carillon u l-Ingliżi msejħa Ticonderoga. Abercrombie salva xi ħaġa mid-diżastru meta bagħat lil John Bradstreet fuq spedizzjoni li qered b'suċċess Fort Frontenac, inklużi cache ta 'provvisti destinati għall-fortizzi tal-Punent u l-pil tal-Punent ta' Franza ġodda destinati għall-Ewropa. Abercrombie ġie mfakkar u mibdul minn Jeffery Amherst, Victor fi Louisbourg.</v>
      </c>
    </row>
    <row r="21011" ht="15.75" customHeight="1">
      <c r="A21011" s="2" t="s">
        <v>21011</v>
      </c>
      <c r="B21011" s="2" t="str">
        <f>IFERROR(__xludf.DUMMYFUNCTION("GOOGLETRANSLATE(A21011, ""en"", ""mt"")"),"billi tirbaħ l-artijiet tal-istat l-ieħor")</f>
        <v>billi tirbaħ l-artijiet tal-istat l-ieħor</v>
      </c>
    </row>
    <row r="21012" ht="15.75" customHeight="1">
      <c r="A21012" s="2" t="s">
        <v>21012</v>
      </c>
      <c r="B21012" s="2" t="str">
        <f>IFERROR(__xludf.DUMMYFUNCTION("GOOGLETRANSLATE(A21012, ""en"", ""mt"")"),"Fejn għandhom it-tendenza li jaħdmu minoranza ta 'spiżjara konsulenti?")</f>
        <v>Fejn għandhom it-tendenza li jaħdmu minoranza ta 'spiżjara konsulenti?</v>
      </c>
    </row>
    <row r="21013" ht="15.75" customHeight="1">
      <c r="A21013" s="2" t="s">
        <v>21013</v>
      </c>
      <c r="B21013" s="2" t="str">
        <f>IFERROR(__xludf.DUMMYFUNCTION("GOOGLETRANSLATE(A21013, ""en"", ""mt"")"),"Maġġur George Washington")</f>
        <v>Maġġur George Washington</v>
      </c>
    </row>
    <row r="21014" ht="15.75" customHeight="1">
      <c r="A21014" s="2" t="s">
        <v>21014</v>
      </c>
      <c r="B21014" s="2" t="str">
        <f>IFERROR(__xludf.DUMMYFUNCTION("GOOGLETRANSLATE(A21014, ""en"", ""mt"")"),"$ 12-il biljun")</f>
        <v>$ 12-il biljun</v>
      </c>
    </row>
    <row r="21015" ht="15.75" customHeight="1">
      <c r="A21015" s="2" t="s">
        <v>21015</v>
      </c>
      <c r="B21015" s="2" t="str">
        <f>IFERROR(__xludf.DUMMYFUNCTION("GOOGLETRANSLATE(A21015, ""en"", ""mt"")"),"F'liema stati l-kliniċi tal-ispiżjar jingħataw awtorità preskrittiva u dijanjostika?")</f>
        <v>F'liema stati l-kliniċi tal-ispiżjar jingħataw awtorità preskrittiva u dijanjostika?</v>
      </c>
    </row>
    <row r="21016" ht="15.75" customHeight="1">
      <c r="A21016" s="2" t="s">
        <v>21016</v>
      </c>
      <c r="B21016" s="2" t="str">
        <f>IFERROR(__xludf.DUMMYFUNCTION("GOOGLETRANSLATE(A21016, ""en"", ""mt"")"),"X'naqqsu l-awtoritajiet kolonjali minħabba r-rewwixta ta 'Ballarat?")</f>
        <v>X'naqqsu l-awtoritajiet kolonjali minħabba r-rewwixta ta 'Ballarat?</v>
      </c>
    </row>
    <row r="21017" ht="15.75" customHeight="1">
      <c r="A21017" s="2" t="s">
        <v>21017</v>
      </c>
      <c r="B21017" s="2" t="str">
        <f>IFERROR(__xludf.DUMMYFUNCTION("GOOGLETRANSLATE(A21017, ""en"", ""mt"")"),"l-effetti tagħhom fuq il-moviment tal-ġisem")</f>
        <v>l-effetti tagħhom fuq il-moviment tal-ġisem</v>
      </c>
    </row>
    <row r="21018" ht="15.75" customHeight="1">
      <c r="A21018" s="2" t="s">
        <v>21018</v>
      </c>
      <c r="B21018" s="2" t="str">
        <f>IFERROR(__xludf.DUMMYFUNCTION("GOOGLETRANSLATE(A21018, ""en"", ""mt"")"),"Kemm hemm mistoqsijiet ġenerali disponibbli għall-mexxejja tal-oppożizzjoni?")</f>
        <v>Kemm hemm mistoqsijiet ġenerali disponibbli għall-mexxejja tal-oppożizzjoni?</v>
      </c>
    </row>
    <row r="21019" ht="15.75" customHeight="1">
      <c r="A21019" s="2" t="s">
        <v>21019</v>
      </c>
      <c r="B21019" s="2" t="str">
        <f>IFERROR(__xludf.DUMMYFUNCTION("GOOGLETRANSLATE(A21019, ""en"", ""mt"")"),"Il-limiti ta 'fuq u t'isfel huma ġeneralment iddikjarati bl-użu ta' notazzjoni kbira O, li taħbi fatturi kostanti u termini iżgħar. Dan jagħmel il-limiti indipendenti mid-dettalji speċifiċi tal-mudell tal-komputazzjoni użat. Pereżempju, jekk t (n) = 7n2 +"&amp;" 15n + 40, fin-notazzjoni kbira waħda tikteb t (n) = o (n2).")</f>
        <v>Il-limiti ta 'fuq u t'isfel huma ġeneralment iddikjarati bl-użu ta' notazzjoni kbira O, li taħbi fatturi kostanti u termini iżgħar. Dan jagħmel il-limiti indipendenti mid-dettalji speċifiċi tal-mudell tal-komputazzjoni użat. Pereżempju, jekk t (n) = 7n2 + 15n + 40, fin-notazzjoni kbira waħda tikteb t (n) = o (n2).</v>
      </c>
    </row>
    <row r="21020" ht="15.75" customHeight="1">
      <c r="A21020" s="2" t="s">
        <v>21020</v>
      </c>
      <c r="B21020" s="2" t="str">
        <f>IFERROR(__xludf.DUMMYFUNCTION("GOOGLETRANSLATE(A21020, ""en"", ""mt"")"),"Klasti")</f>
        <v>Klasti</v>
      </c>
    </row>
    <row r="21021" ht="15.75" customHeight="1">
      <c r="A21021" s="2" t="s">
        <v>21021</v>
      </c>
      <c r="B21021" s="2" t="str">
        <f>IFERROR(__xludf.DUMMYFUNCTION("GOOGLETRANSLATE(A21021, ""en"", ""mt"")"),"rappreżentanti")</f>
        <v>rappreżentanti</v>
      </c>
    </row>
    <row r="21022" ht="15.75" customHeight="1">
      <c r="A21022" s="2" t="s">
        <v>21022</v>
      </c>
      <c r="B21022" s="2" t="str">
        <f>IFERROR(__xludf.DUMMYFUNCTION("GOOGLETRANSLATE(A21022, ""en"", ""mt"")"),"Liema port huwa t-tielet l-akbar port tal-baħar tal-Istati Uniti?")</f>
        <v>Liema port huwa t-tielet l-akbar port tal-baħar tal-Istati Uniti?</v>
      </c>
    </row>
    <row r="21023" ht="15.75" customHeight="1">
      <c r="A21023" s="2" t="s">
        <v>21023</v>
      </c>
      <c r="B21023" s="2" t="str">
        <f>IFERROR(__xludf.DUMMYFUNCTION("GOOGLETRANSLATE(A21023, ""en"", ""mt"")"),"X’kontribwixxa għall-inugwaljanza miżjuda bejn ħaddiema mħarrġa u mhux imħarrġa?")</f>
        <v>X’kontribwixxa għall-inugwaljanza miżjuda bejn ħaddiema mħarrġa u mhux imħarrġa?</v>
      </c>
    </row>
    <row r="21024" ht="15.75" customHeight="1">
      <c r="A21024" s="2" t="s">
        <v>21024</v>
      </c>
      <c r="B21024" s="2" t="str">
        <f>IFERROR(__xludf.DUMMYFUNCTION("GOOGLETRANSLATE(A21024, ""en"", ""mt"")"),"Liema organizzazzjoni kompliet tkun forza ta 'tfixkil kbira fil-Palestina?")</f>
        <v>Liema organizzazzjoni kompliet tkun forza ta 'tfixkil kbira fil-Palestina?</v>
      </c>
    </row>
    <row r="21025" ht="15.75" customHeight="1">
      <c r="A21025" s="2" t="s">
        <v>21025</v>
      </c>
      <c r="B21025" s="2" t="str">
        <f>IFERROR(__xludf.DUMMYFUNCTION("GOOGLETRANSLATE(A21025, ""en"", ""mt"")"),"Liema armata attakkat u qerdet din il-kolonja?")</f>
        <v>Liema armata attakkat u qerdet din il-kolonja?</v>
      </c>
    </row>
    <row r="21026" ht="15.75" customHeight="1">
      <c r="A21026" s="2" t="s">
        <v>21026</v>
      </c>
      <c r="B21026" s="2" t="str">
        <f>IFERROR(__xludf.DUMMYFUNCTION("GOOGLETRANSLATE(A21026, ""en"", ""mt"")"),"George C. Walker serva bħala trustee, teżorier u donatur ta ’xiex?")</f>
        <v>George C. Walker serva bħala trustee, teżorier u donatur ta ’xiex?</v>
      </c>
    </row>
    <row r="21027" ht="15.75" customHeight="1">
      <c r="A21027" s="2" t="s">
        <v>21027</v>
      </c>
      <c r="B21027" s="2" t="str">
        <f>IFERROR(__xludf.DUMMYFUNCTION("GOOGLETRANSLATE(A21027, ""en"", ""mt"")"),"rwoli tas-sessi u drawwiet")</f>
        <v>rwoli tas-sessi u drawwiet</v>
      </c>
    </row>
    <row r="21028" ht="15.75" customHeight="1">
      <c r="A21028" s="2" t="s">
        <v>21028</v>
      </c>
      <c r="B21028" s="2" t="str">
        <f>IFERROR(__xludf.DUMMYFUNCTION("GOOGLETRANSLATE(A21028, ""en"", ""mt"")"),"Kemm jintuża l-metodu tal-passatur tal-produzzjoni tal-gass?")</f>
        <v>Kemm jintuża l-metodu tal-passatur tal-produzzjoni tal-gass?</v>
      </c>
    </row>
    <row r="21029" ht="15.75" customHeight="1">
      <c r="A21029" s="2" t="s">
        <v>21029</v>
      </c>
      <c r="B21029" s="2" t="str">
        <f>IFERROR(__xludf.DUMMYFUNCTION("GOOGLETRANSLATE(A21029, ""en"", ""mt"")"),"Newton induna li d-deċellerazzjoni gravitazzjonali kienet proporzjonali għal xiex?")</f>
        <v>Newton induna li d-deċellerazzjoni gravitazzjonali kienet proporzjonali għal xiex?</v>
      </c>
    </row>
    <row r="21030" ht="15.75" customHeight="1">
      <c r="A21030" s="2" t="s">
        <v>21030</v>
      </c>
      <c r="B21030" s="2" t="str">
        <f>IFERROR(__xludf.DUMMYFUNCTION("GOOGLETRANSLATE(A21030, ""en"", ""mt"")"),"Kundizzjonijiet tal-ħażna, testi obbligatorji, tagħmir")</f>
        <v>Kundizzjonijiet tal-ħażna, testi obbligatorji, tagħmir</v>
      </c>
    </row>
    <row r="21031" ht="15.75" customHeight="1">
      <c r="A21031" s="2" t="s">
        <v>21031</v>
      </c>
      <c r="B21031" s="2" t="str">
        <f>IFERROR(__xludf.DUMMYFUNCTION("GOOGLETRANSLATE(A21031, ""en"", ""mt"")"),"F'liema sena ġie meqrud Fort Coligny?")</f>
        <v>F'liema sena ġie meqrud Fort Coligny?</v>
      </c>
    </row>
    <row r="21032" ht="15.75" customHeight="1">
      <c r="A21032" s="2" t="s">
        <v>21032</v>
      </c>
      <c r="B21032" s="2" t="str">
        <f>IFERROR(__xludf.DUMMYFUNCTION("GOOGLETRANSLATE(A21032, ""en"", ""mt"")"),"Jekk id-daqsijiet tal-pakketti huma varjabbli, allura huma dejjem iċċarġjati bl-istess rata għal kull pakkett?")</f>
        <v>Jekk id-daqsijiet tal-pakketti huma varjabbli, allura huma dejjem iċċarġjati bl-istess rata għal kull pakkett?</v>
      </c>
    </row>
    <row r="21033" ht="15.75" customHeight="1">
      <c r="A21033" s="2" t="s">
        <v>21033</v>
      </c>
      <c r="B21033" s="2" t="str">
        <f>IFERROR(__xludf.DUMMYFUNCTION("GOOGLETRANSLATE(A21033, ""en"", ""mt"")"),"Dwar xiex inżammu proċeduri tal-Qorti Għolja?")</f>
        <v>Dwar xiex inżammu proċeduri tal-Qorti Għolja?</v>
      </c>
    </row>
    <row r="21034" ht="15.75" customHeight="1">
      <c r="A21034" s="2" t="s">
        <v>21034</v>
      </c>
      <c r="B21034" s="2" t="str">
        <f>IFERROR(__xludf.DUMMYFUNCTION("GOOGLETRANSLATE(A21034, ""en"", ""mt"")"),"Għaliex Sophocles jisfidaw lil Creon fid-dramm?")</f>
        <v>Għaliex Sophocles jisfidaw lil Creon fid-dramm?</v>
      </c>
    </row>
    <row r="21035" ht="15.75" customHeight="1">
      <c r="A21035" s="2" t="s">
        <v>21035</v>
      </c>
      <c r="B21035" s="2" t="str">
        <f>IFERROR(__xludf.DUMMYFUNCTION("GOOGLETRANSLATE(A21035, ""en"", ""mt"")"),"bidu tal-era storika")</f>
        <v>bidu tal-era storika</v>
      </c>
    </row>
    <row r="21036" ht="15.75" customHeight="1">
      <c r="A21036" s="2" t="s">
        <v>21036</v>
      </c>
      <c r="B21036" s="2" t="str">
        <f>IFERROR(__xludf.DUMMYFUNCTION("GOOGLETRANSLATE(A21036, ""en"", ""mt"")"),"Kemm nies jaħdmu għall-iskejjel Kunskapskolan?")</f>
        <v>Kemm nies jaħdmu għall-iskejjel Kunskapskolan?</v>
      </c>
    </row>
    <row r="21037" ht="15.75" customHeight="1">
      <c r="A21037" s="2" t="s">
        <v>21037</v>
      </c>
      <c r="B21037" s="2" t="str">
        <f>IFERROR(__xludf.DUMMYFUNCTION("GOOGLETRANSLATE(A21037, ""en"", ""mt"")"),"Pinedale")</f>
        <v>Pinedale</v>
      </c>
    </row>
    <row r="21038" ht="15.75" customHeight="1">
      <c r="A21038" s="2" t="s">
        <v>21038</v>
      </c>
      <c r="B21038" s="2" t="str">
        <f>IFERROR(__xludf.DUMMYFUNCTION("GOOGLETRANSLATE(A21038, ""en"", ""mt"")"),"Meta kien it-Trattat Franċiż u Indjan?")</f>
        <v>Meta kien it-Trattat Franċiż u Indjan?</v>
      </c>
    </row>
    <row r="21039" ht="15.75" customHeight="1">
      <c r="A21039" s="2" t="s">
        <v>21039</v>
      </c>
      <c r="B21039" s="2" t="str">
        <f>IFERROR(__xludf.DUMMYFUNCTION("GOOGLETRANSLATE(A21039, ""en"", ""mt"")"),"ħsad fqir")</f>
        <v>ħsad fqir</v>
      </c>
    </row>
    <row r="21040" ht="15.75" customHeight="1">
      <c r="A21040" s="2" t="s">
        <v>21040</v>
      </c>
      <c r="B21040" s="2" t="str">
        <f>IFERROR(__xludf.DUMMYFUNCTION("GOOGLETRANSLATE(A21040, ""en"", ""mt"")"),"Kemm waqqa 'l-livell tal-baħar fl-età tas-silġ?")</f>
        <v>Kemm waqqa 'l-livell tal-baħar fl-età tas-silġ?</v>
      </c>
    </row>
    <row r="21041" ht="15.75" customHeight="1">
      <c r="A21041" s="2" t="s">
        <v>21041</v>
      </c>
      <c r="B21041" s="2" t="str">
        <f>IFERROR(__xludf.DUMMYFUNCTION("GOOGLETRANSLATE(A21041, ""en"", ""mt"")")," Liema reliġjon infirxet l-Ingliżi flimkien mal-imperjalizmu tagħhom?")</f>
        <v> Liema reliġjon infirxet l-Ingliżi flimkien mal-imperjalizmu tagħhom?</v>
      </c>
    </row>
    <row r="21042" ht="15.75" customHeight="1">
      <c r="A21042" s="2" t="s">
        <v>21042</v>
      </c>
      <c r="B21042" s="2" t="str">
        <f>IFERROR(__xludf.DUMMYFUNCTION("GOOGLETRANSLATE(A21042, ""en"", ""mt"")"),"L-ewwel magna vera ta 'suċċess kummerċjali, minħabba li tista' tiġġenera l-enerġija u tittrasmettiha lil magna, kienet il-magna atmosferika, ivvintata minn Thomas Newcomen madwar l-1712. Kien titjib fuq il-pompa tal-fwar ta 'SAVERY, bl-użu ta' pistun kif "&amp;"propost mill-papin. Il-magna ta 'Newcomen kienet relattivament ineffiċjenti, u f'ħafna każijiet intuża għall-ippumpjar tal-ilma. Ħadem billi ħoloq vakwu parzjali billi jikkondensa l-fwar taħt pistun ġewwa ċilindru. Kien impjegat biex ixxotta l-ħidma tal-m"&amp;"ini fil-fond li s'issa impossibbli, u wkoll biex jipprovdi provvista ta 'ilma li tista' terġa 'tintuża biex tmexxi l-ilma fil-fabbriki li jinsabu' l bogħod minn ""ras"" xierqa. L-ilma li kien għadda minn fuq ir-rota ġie ppumpjat lura ġo ġibjun tal-ħażna '"&amp;"l fuq mir-rota.")</f>
        <v>L-ewwel magna vera ta 'suċċess kummerċjali, minħabba li tista' tiġġenera l-enerġija u tittrasmettiha lil magna, kienet il-magna atmosferika, ivvintata minn Thomas Newcomen madwar l-1712. Kien titjib fuq il-pompa tal-fwar ta 'SAVERY, bl-użu ta' pistun kif propost mill-papin. Il-magna ta 'Newcomen kienet relattivament ineffiċjenti, u f'ħafna każijiet intuża għall-ippumpjar tal-ilma. Ħadem billi ħoloq vakwu parzjali billi jikkondensa l-fwar taħt pistun ġewwa ċilindru. Kien impjegat biex ixxotta l-ħidma tal-mini fil-fond li s'issa impossibbli, u wkoll biex jipprovdi provvista ta 'ilma li tista' terġa 'tintuża biex tmexxi l-ilma fil-fabbriki li jinsabu' l bogħod minn "ras" xierqa. L-ilma li kien għadda minn fuq ir-rota ġie ppumpjat lura ġo ġibjun tal-ħażna 'l fuq mir-rota.</v>
      </c>
    </row>
    <row r="21043" ht="15.75" customHeight="1">
      <c r="A21043" s="2" t="s">
        <v>21043</v>
      </c>
      <c r="B21043" s="2" t="str">
        <f>IFERROR(__xludf.DUMMYFUNCTION("GOOGLETRANSLATE(A21043, ""en"", ""mt"")"),"art")</f>
        <v>art</v>
      </c>
    </row>
    <row r="21044" ht="15.75" customHeight="1">
      <c r="A21044" s="2" t="s">
        <v>21044</v>
      </c>
      <c r="B21044" s="2" t="str">
        <f>IFERROR(__xludf.DUMMYFUNCTION("GOOGLETRANSLATE(A21044, ""en"", ""mt"")"),"Liema nixxigħat ikomplu jġorru l-ilma mir-Renu?")</f>
        <v>Liema nixxigħat ikomplu jġorru l-ilma mir-Renu?</v>
      </c>
    </row>
    <row r="21045" ht="15.75" customHeight="1">
      <c r="A21045" s="2" t="s">
        <v>21045</v>
      </c>
      <c r="B21045" s="2" t="str">
        <f>IFERROR(__xludf.DUMMYFUNCTION("GOOGLETRANSLATE(A21045, ""en"", ""mt"")"),"Fil-qiegħ tal-arblu")</f>
        <v>Fil-qiegħ tal-arblu</v>
      </c>
    </row>
    <row r="21046" ht="15.75" customHeight="1">
      <c r="A21046" s="2" t="s">
        <v>21046</v>
      </c>
      <c r="B21046" s="2" t="str">
        <f>IFERROR(__xludf.DUMMYFUNCTION("GOOGLETRANSLATE(A21046, ""en"", ""mt"")"),"Hemm ukoll ħafna postijiet li jfakkru l-istorja erojka ta 'Varsavja. Pawiak, ħabs infami Ġermaniż ta 'Gestapo issa okkupat minn mausoleum ta' memorja tal-martirju u l-mużew, huwa biss il-bidu ta 'mixja fit-traċċi tal-belt erojka. Iċ-Ċittadella ta ’Varsavj"&amp;"a, fortifikazzjoni impressjonanti tas-seklu 19 mibnija wara t-telfa tar-rewwixta ta’ Novembru, kienet post ta ’martri għall-Pollakki. Monument importanti ieħor, l-istatwa ta 'ftit ribelli li tinsab fis-swar tal-belt il-qadima, tikkommemora lit-tfal li ser"&amp;"vew bħala messaġġiera u truppi ta' quddiem fir-rewwixta ta 'Varsavja, filwaqt li l-impressjonanti Monument ta' Varsavja minn Wincenty Kućma ġie mtella 'fil-memorja tal-ikbar insurrezzjoni tat-Tieni Gwerra Dinjija.")</f>
        <v>Hemm ukoll ħafna postijiet li jfakkru l-istorja erojka ta 'Varsavja. Pawiak, ħabs infami Ġermaniż ta 'Gestapo issa okkupat minn mausoleum ta' memorja tal-martirju u l-mużew, huwa biss il-bidu ta 'mixja fit-traċċi tal-belt erojka. Iċ-Ċittadella ta ’Varsavja, fortifikazzjoni impressjonanti tas-seklu 19 mibnija wara t-telfa tar-rewwixta ta’ Novembru, kienet post ta ’martri għall-Pollakki. Monument importanti ieħor, l-istatwa ta 'ftit ribelli li tinsab fis-swar tal-belt il-qadima, tikkommemora lit-tfal li servew bħala messaġġiera u truppi ta' quddiem fir-rewwixta ta 'Varsavja, filwaqt li l-impressjonanti Monument ta' Varsavja minn Wincenty Kućma ġie mtella 'fil-memorja tal-ikbar insurrezzjoni tat-Tieni Gwerra Dinjija.</v>
      </c>
    </row>
    <row r="21047" ht="15.75" customHeight="1">
      <c r="A21047" s="2" t="s">
        <v>21047</v>
      </c>
      <c r="B21047" s="2" t="str">
        <f>IFERROR(__xludf.DUMMYFUNCTION("GOOGLETRANSLATE(A21047, ""en"", ""mt"")"),"X'inhi tifsira addizzjonali maħsuba meta tintuża l-kelma prim?")</f>
        <v>X'inhi tifsira addizzjonali maħsuba meta tintuża l-kelma prim?</v>
      </c>
    </row>
    <row r="21048" ht="15.75" customHeight="1">
      <c r="A21048" s="2" t="s">
        <v>21048</v>
      </c>
      <c r="B21048" s="2" t="str">
        <f>IFERROR(__xludf.DUMMYFUNCTION("GOOGLETRANSLATE(A21048, ""en"", ""mt"")"),"X'inhi l-liġi tal-Unjoni Amerikana?")</f>
        <v>X'inhi l-liġi tal-Unjoni Amerikana?</v>
      </c>
    </row>
    <row r="21049" ht="15.75" customHeight="1">
      <c r="A21049" s="2" t="s">
        <v>21049</v>
      </c>
      <c r="B21049" s="2" t="str">
        <f>IFERROR(__xludf.DUMMYFUNCTION("GOOGLETRANSLATE(A21049, ""en"", ""mt"")"),"Il-Liao, Jin, u l-kanzunetta")</f>
        <v>Il-Liao, Jin, u l-kanzunetta</v>
      </c>
    </row>
    <row r="21050" ht="15.75" customHeight="1">
      <c r="A21050" s="2" t="s">
        <v>21050</v>
      </c>
      <c r="B21050" s="2" t="str">
        <f>IFERROR(__xludf.DUMMYFUNCTION("GOOGLETRANSLATE(A21050, ""en"", ""mt"")"),"Kemm biċċiet ta 'leġiżlazzjoni saret il-bażi soċjali?")</f>
        <v>Kemm biċċiet ta 'leġiżlazzjoni saret il-bażi soċjali?</v>
      </c>
    </row>
    <row r="21051" ht="15.75" customHeight="1">
      <c r="A21051" s="2" t="s">
        <v>21051</v>
      </c>
      <c r="B21051" s="2" t="str">
        <f>IFERROR(__xludf.DUMMYFUNCTION("GOOGLETRANSLATE(A21051, ""en"", ""mt"")"),"Taħt 0 ° C")</f>
        <v>Taħt 0 ° C</v>
      </c>
    </row>
    <row r="21052" ht="15.75" customHeight="1">
      <c r="A21052" s="2" t="s">
        <v>21052</v>
      </c>
      <c r="B21052" s="2" t="str">
        <f>IFERROR(__xludf.DUMMYFUNCTION("GOOGLETRANSLATE(A21052, ""en"", ""mt"")"),"pala")</f>
        <v>pala</v>
      </c>
    </row>
    <row r="21053" ht="15.75" customHeight="1">
      <c r="A21053" s="2" t="s">
        <v>21053</v>
      </c>
      <c r="B21053" s="2" t="str">
        <f>IFERROR(__xludf.DUMMYFUNCTION("GOOGLETRANSLATE(A21053, ""en"", ""mt"")"),"L-intestatura tal-pakkett hija twila")</f>
        <v>L-intestatura tal-pakkett hija twila</v>
      </c>
    </row>
    <row r="21054" ht="15.75" customHeight="1">
      <c r="A21054" s="2" t="s">
        <v>21054</v>
      </c>
      <c r="B21054" s="2" t="str">
        <f>IFERROR(__xludf.DUMMYFUNCTION("GOOGLETRANSLATE(A21054, ""en"", ""mt"")"),"Min wera kif toħloq numru infinit minn Mersenne Prime?")</f>
        <v>Min wera kif toħloq numru infinit minn Mersenne Prime?</v>
      </c>
    </row>
    <row r="21055" ht="15.75" customHeight="1">
      <c r="A21055" s="2" t="s">
        <v>21055</v>
      </c>
      <c r="B21055" s="2" t="str">
        <f>IFERROR(__xludf.DUMMYFUNCTION("GOOGLETRANSLATE(A21055, ""en"", ""mt"")"),"Fejn poġġa lill-istudenti Turabi jissimpatizzaw mal-fehmiet tiegħu?")</f>
        <v>Fejn poġġa lill-istudenti Turabi jissimpatizzaw mal-fehmiet tiegħu?</v>
      </c>
    </row>
    <row r="21056" ht="15.75" customHeight="1">
      <c r="A21056" s="2" t="s">
        <v>21056</v>
      </c>
      <c r="B21056" s="2" t="str">
        <f>IFERROR(__xludf.DUMMYFUNCTION("GOOGLETRANSLATE(A21056, ""en"", ""mt"")"),"Diviżjoni u Amministrazzjoni tat-Territorju li għadu kif ġie maħkuma")</f>
        <v>Diviżjoni u Amministrazzjoni tat-Territorju li għadu kif ġie maħkuma</v>
      </c>
    </row>
    <row r="21057" ht="15.75" customHeight="1">
      <c r="A21057" s="2" t="s">
        <v>21057</v>
      </c>
      <c r="B21057" s="2" t="str">
        <f>IFERROR(__xludf.DUMMYFUNCTION("GOOGLETRANSLATE(A21057, ""en"", ""mt"")"),"Żieda fil-livell tal-baħar kienet naqset")</f>
        <v>Żieda fil-livell tal-baħar kienet naqset</v>
      </c>
    </row>
    <row r="21058" ht="15.75" customHeight="1">
      <c r="A21058" s="2" t="s">
        <v>21058</v>
      </c>
      <c r="B21058" s="2" t="str">
        <f>IFERROR(__xludf.DUMMYFUNCTION("GOOGLETRANSLATE(A21058, ""en"", ""mt"")")," Min influwenza l-ideoloġija mhux tat-Taliban?")</f>
        <v> Min influwenza l-ideoloġija mhux tat-Taliban?</v>
      </c>
    </row>
    <row r="21059" ht="15.75" customHeight="1">
      <c r="A21059" s="2" t="s">
        <v>21059</v>
      </c>
      <c r="B21059" s="2" t="str">
        <f>IFERROR(__xludf.DUMMYFUNCTION("GOOGLETRANSLATE(A21059, ""en"", ""mt"")"),"Ir-rilaxx tal-karbonju li jinsab fil-veġetazzjoni se jnaqqas ir-ritmu?")</f>
        <v>Ir-rilaxx tal-karbonju li jinsab fil-veġetazzjoni se jnaqqas ir-ritmu?</v>
      </c>
    </row>
    <row r="21060" ht="15.75" customHeight="1">
      <c r="A21060" s="2" t="s">
        <v>21060</v>
      </c>
      <c r="B21060" s="2" t="str">
        <f>IFERROR(__xludf.DUMMYFUNCTION("GOOGLETRANSLATE(A21060, ""en"", ""mt"")"),"X'jista 'jesponi għal pressjonijiet parzjali tal-gass akbar minn 166 kPa?")</f>
        <v>X'jista 'jesponi għal pressjonijiet parzjali tal-gass akbar minn 166 kPa?</v>
      </c>
    </row>
    <row r="21061" ht="15.75" customHeight="1">
      <c r="A21061" s="2" t="s">
        <v>21061</v>
      </c>
      <c r="B21061" s="2" t="str">
        <f>IFERROR(__xludf.DUMMYFUNCTION("GOOGLETRANSLATE(A21061, ""en"", ""mt"")"),"President Agnew")</f>
        <v>President Agnew</v>
      </c>
    </row>
    <row r="21062" ht="15.75" customHeight="1">
      <c r="A21062" s="2" t="s">
        <v>21062</v>
      </c>
      <c r="B21062" s="2" t="str">
        <f>IFERROR(__xludf.DUMMYFUNCTION("GOOGLETRANSLATE(A21062, ""en"", ""mt"")")," X’kien il-wan uża biex jistampa l-flus tiegħu qabel il-pjanċi tal-plastik?")</f>
        <v> X’kien il-wan uża biex jistampa l-flus tiegħu qabel il-pjanċi tal-plastik?</v>
      </c>
    </row>
    <row r="21063" ht="15.75" customHeight="1">
      <c r="A21063" s="2" t="s">
        <v>21063</v>
      </c>
      <c r="B21063" s="2" t="str">
        <f>IFERROR(__xludf.DUMMYFUNCTION("GOOGLETRANSLATE(A21063, ""en"", ""mt"")"),"X'inhu l-isem tal-ewwel komunità tal-avjazzjoni mibnija?")</f>
        <v>X'inhu l-isem tal-ewwel komunità tal-avjazzjoni mibnija?</v>
      </c>
    </row>
    <row r="21064" ht="15.75" customHeight="1">
      <c r="A21064" s="2" t="s">
        <v>21064</v>
      </c>
      <c r="B21064" s="2" t="str">
        <f>IFERROR(__xludf.DUMMYFUNCTION("GOOGLETRANSLATE(A21064, ""en"", ""mt"")"),"Kif jikkontrollaw il-galleġġjant?")</f>
        <v>Kif jikkontrollaw il-galleġġjant?</v>
      </c>
    </row>
    <row r="21065" ht="15.75" customHeight="1">
      <c r="A21065" s="2" t="s">
        <v>21065</v>
      </c>
      <c r="B21065" s="2" t="str">
        <f>IFERROR(__xludf.DUMMYFUNCTION("GOOGLETRANSLATE(A21065, ""en"", ""mt"")"),"Il-Maroons jikkompetu f'liema diviżjoni tal-kampjonat?")</f>
        <v>Il-Maroons jikkompetu f'liema diviżjoni tal-kampjonat?</v>
      </c>
    </row>
    <row r="21066" ht="15.75" customHeight="1">
      <c r="A21066" s="2" t="s">
        <v>21066</v>
      </c>
      <c r="B21066" s="2" t="str">
        <f>IFERROR(__xludf.DUMMYFUNCTION("GOOGLETRANSLATE(A21066, ""en"", ""mt"")"),"miġbud mill-konvenjenza tal-ferrovija u inkwetat dwar l-għargħar")</f>
        <v>miġbud mill-konvenjenza tal-ferrovija u inkwetat dwar l-għargħar</v>
      </c>
    </row>
    <row r="21067" ht="15.75" customHeight="1">
      <c r="A21067" s="2" t="s">
        <v>21067</v>
      </c>
      <c r="B21067" s="2" t="str">
        <f>IFERROR(__xludf.DUMMYFUNCTION("GOOGLETRANSLATE(A21067, ""en"", ""mt"")"),"F'liema jispeċjalizzaw l-ispiżjara kliniċi?")</f>
        <v>F'liema jispeċjalizzaw l-ispiżjara kliniċi?</v>
      </c>
    </row>
    <row r="21068" ht="15.75" customHeight="1">
      <c r="A21068" s="2" t="s">
        <v>21068</v>
      </c>
      <c r="B21068" s="2" t="str">
        <f>IFERROR(__xludf.DUMMYFUNCTION("GOOGLETRANSLATE(A21068, ""en"", ""mt"")"),"Liema snin seħħet din l-okkupazzjoni?")</f>
        <v>Liema snin seħħet din l-okkupazzjoni?</v>
      </c>
    </row>
    <row r="21069" ht="15.75" customHeight="1">
      <c r="A21069" s="2" t="s">
        <v>21069</v>
      </c>
      <c r="B21069" s="2" t="str">
        <f>IFERROR(__xludf.DUMMYFUNCTION("GOOGLETRANSLATE(A21069, ""en"", ""mt"")"),"Liema razez ta 'y. Pestis instabu fl-oqbra tal-massa?")</f>
        <v>Liema razez ta 'y. Pestis instabu fl-oqbra tal-massa?</v>
      </c>
    </row>
    <row r="21070" ht="15.75" customHeight="1">
      <c r="A21070" s="2" t="s">
        <v>21070</v>
      </c>
      <c r="B21070" s="2" t="str">
        <f>IFERROR(__xludf.DUMMYFUNCTION("GOOGLETRANSLATE(A21070, ""en"", ""mt"")"),"Liema kundizzjonijiet kroniċi jistgħu jikkawżaw ċaħda ta 'rqad?")</f>
        <v>Liema kundizzjonijiet kroniċi jistgħu jikkawżaw ċaħda ta 'rqad?</v>
      </c>
    </row>
    <row r="21071" ht="15.75" customHeight="1">
      <c r="A21071" s="2" t="s">
        <v>21071</v>
      </c>
      <c r="B21071" s="2" t="str">
        <f>IFERROR(__xludf.DUMMYFUNCTION("GOOGLETRANSLATE(A21071, ""en"", ""mt"")"),"Xi jfittxu l-kuntratturi biex jiżguraw waqt il-kostruzzjoni tal-bini?")</f>
        <v>Xi jfittxu l-kuntratturi biex jiżguraw waqt il-kostruzzjoni tal-bini?</v>
      </c>
    </row>
    <row r="21072" ht="15.75" customHeight="1">
      <c r="A21072" s="2" t="s">
        <v>21072</v>
      </c>
      <c r="B21072" s="2" t="str">
        <f>IFERROR(__xludf.DUMMYFUNCTION("GOOGLETRANSLATE(A21072, ""en"", ""mt"")"),"Liema servizz uża n-netwerk u l-apparati KPN modifikati?")</f>
        <v>Liema servizz uża n-netwerk u l-apparati KPN modifikati?</v>
      </c>
    </row>
    <row r="21073" ht="15.75" customHeight="1">
      <c r="A21073" s="2" t="s">
        <v>21073</v>
      </c>
      <c r="B21073" s="2" t="str">
        <f>IFERROR(__xludf.DUMMYFUNCTION("GOOGLETRANSLATE(A21073, ""en"", ""mt"")"),"Tqassim ta 'prodotti ta' taħt")</f>
        <v>Tqassim ta 'prodotti ta' taħt</v>
      </c>
    </row>
    <row r="21074" ht="15.75" customHeight="1">
      <c r="A21074" s="2" t="s">
        <v>21074</v>
      </c>
      <c r="B21074" s="2" t="str">
        <f>IFERROR(__xludf.DUMMYFUNCTION("GOOGLETRANSLATE(A21074, ""en"", ""mt"")"),"Toroq Fresno u B")</f>
        <v>Toroq Fresno u B</v>
      </c>
    </row>
    <row r="21075" ht="15.75" customHeight="1">
      <c r="A21075" s="2" t="s">
        <v>21075</v>
      </c>
      <c r="B21075" s="2" t="str">
        <f>IFERROR(__xludf.DUMMYFUNCTION("GOOGLETRANSLATE(A21075, ""en"", ""mt"")"),"Fl-1640")</f>
        <v>Fl-1640</v>
      </c>
    </row>
    <row r="21076" ht="15.75" customHeight="1">
      <c r="A21076" s="2" t="s">
        <v>21076</v>
      </c>
      <c r="B21076" s="2" t="str">
        <f>IFERROR(__xludf.DUMMYFUNCTION("GOOGLETRANSLATE(A21076, ""en"", ""mt"")"),"Xogħol")</f>
        <v>Xogħol</v>
      </c>
    </row>
    <row r="21077" ht="15.75" customHeight="1">
      <c r="A21077" s="2" t="s">
        <v>21077</v>
      </c>
      <c r="B21077" s="2" t="str">
        <f>IFERROR(__xludf.DUMMYFUNCTION("GOOGLETRANSLATE(A21077, ""en"", ""mt"")"),"Partit Nazzjonali")</f>
        <v>Partit Nazzjonali</v>
      </c>
    </row>
    <row r="21078" ht="15.75" customHeight="1">
      <c r="A21078" s="2" t="s">
        <v>21078</v>
      </c>
      <c r="B21078" s="2" t="str">
        <f>IFERROR(__xludf.DUMMYFUNCTION("GOOGLETRANSLATE(A21078, ""en"", ""mt"")"),"Ideali ewlenin")</f>
        <v>Ideali ewlenin</v>
      </c>
    </row>
    <row r="21079" ht="15.75" customHeight="1">
      <c r="A21079" s="2" t="s">
        <v>21079</v>
      </c>
      <c r="B21079" s="2" t="str">
        <f>IFERROR(__xludf.DUMMYFUNCTION("GOOGLETRANSLATE(A21079, ""en"", ""mt"")"),"Liema rati ta 'problemi tas-saħħa u soċjali huma f'pajjiżi b'inugwaljanza baxxa?")</f>
        <v>Liema rati ta 'problemi tas-saħħa u soċjali huma f'pajjiżi b'inugwaljanza baxxa?</v>
      </c>
    </row>
    <row r="21080" ht="15.75" customHeight="1">
      <c r="A21080" s="2" t="s">
        <v>21080</v>
      </c>
      <c r="B21080" s="2" t="str">
        <f>IFERROR(__xludf.DUMMYFUNCTION("GOOGLETRANSLATE(A21080, ""en"", ""mt"")"),"Min iġġieled fil-Gwerra l-Kbira tat-Tramuntana?")</f>
        <v>Min iġġieled fil-Gwerra l-Kbira tat-Tramuntana?</v>
      </c>
    </row>
    <row r="21081" ht="15.75" customHeight="1">
      <c r="A21081" s="2" t="s">
        <v>21081</v>
      </c>
      <c r="B21081" s="2" t="str">
        <f>IFERROR(__xludf.DUMMYFUNCTION("GOOGLETRANSLATE(A21081, ""en"", ""mt"")"),"ħamsin")</f>
        <v>ħamsin</v>
      </c>
    </row>
    <row r="21082" ht="15.75" customHeight="1">
      <c r="A21082" s="2" t="s">
        <v>21082</v>
      </c>
      <c r="B21082" s="2" t="str">
        <f>IFERROR(__xludf.DUMMYFUNCTION("GOOGLETRANSLATE(A21082, ""en"", ""mt"")"),"X'inhu l-isem ta 'magna uniflow li tieħu fwar f'żoni sħan u teżawrixxiha fil-kesħa?")</f>
        <v>X'inhu l-isem ta 'magna uniflow li tieħu fwar f'żoni sħan u teżawrixxiha fil-kesħa?</v>
      </c>
    </row>
    <row r="21083" ht="15.75" customHeight="1">
      <c r="A21083" s="2" t="s">
        <v>21083</v>
      </c>
      <c r="B21083" s="2" t="str">
        <f>IFERROR(__xludf.DUMMYFUNCTION("GOOGLETRANSLATE(A21083, ""en"", ""mt"")"),"X'tip ta 'insett jimpjega l-użu ta' MagicICadas fl-istrateġija evoluzzjonarja tiegħu?")</f>
        <v>X'tip ta 'insett jimpjega l-użu ta' MagicICadas fl-istrateġija evoluzzjonarja tiegħu?</v>
      </c>
    </row>
    <row r="21084" ht="15.75" customHeight="1">
      <c r="A21084" s="2" t="s">
        <v>21084</v>
      </c>
      <c r="B21084" s="2" t="str">
        <f>IFERROR(__xludf.DUMMYFUNCTION("GOOGLETRANSLATE(A21084, ""en"", ""mt"")"),"X'kien il-prezz taż-żejt fl-1979 qabel ma żdied?")</f>
        <v>X'kien il-prezz taż-żejt fl-1979 qabel ma żdied?</v>
      </c>
    </row>
    <row r="21085" ht="15.75" customHeight="1">
      <c r="A21085" s="2" t="s">
        <v>21085</v>
      </c>
      <c r="B21085" s="2" t="str">
        <f>IFERROR(__xludf.DUMMYFUNCTION("GOOGLETRANSLATE(A21085, ""en"", ""mt"")"),"X'inhuma n-numri ikbar minn 1 li jistgħu jinqasmu bi 3 numri jew aktar imsejħa?")</f>
        <v>X'inhuma n-numri ikbar minn 1 li jistgħu jinqasmu bi 3 numri jew aktar imsejħa?</v>
      </c>
    </row>
    <row r="21086" ht="15.75" customHeight="1">
      <c r="A21086" s="2" t="s">
        <v>21086</v>
      </c>
      <c r="B21086" s="2" t="str">
        <f>IFERROR(__xludf.DUMMYFUNCTION("GOOGLETRANSLATE(A21086, ""en"", ""mt"")"),"X'inhu kompla lejn in-nofsinhar u huwa meqjus ukoll bħala l-ewwel xmara Rhine?")</f>
        <v>X'inhu kompla lejn in-nofsinhar u huwa meqjus ukoll bħala l-ewwel xmara Rhine?</v>
      </c>
    </row>
    <row r="21087" ht="15.75" customHeight="1">
      <c r="A21087" s="2" t="s">
        <v>21087</v>
      </c>
      <c r="B21087" s="2" t="str">
        <f>IFERROR(__xludf.DUMMYFUNCTION("GOOGLETRANSLATE(A21087, ""en"", ""mt"")"),"Min skjera l-armata tiegħu fl-Afganistan fl-1979?")</f>
        <v>Min skjera l-armata tiegħu fl-Afganistan fl-1979?</v>
      </c>
    </row>
    <row r="21088" ht="15.75" customHeight="1">
      <c r="A21088" s="2" t="s">
        <v>21088</v>
      </c>
      <c r="B21088" s="2" t="str">
        <f>IFERROR(__xludf.DUMMYFUNCTION("GOOGLETRANSLATE(A21088, ""en"", ""mt"")"),"Il-Mongoli lil hinn mir-Renju Nofsani rawhom bħala Ċiniżi wisq")</f>
        <v>Il-Mongoli lil hinn mir-Renju Nofsani rawhom bħala Ċiniżi wisq</v>
      </c>
    </row>
    <row r="21089" ht="15.75" customHeight="1">
      <c r="A21089" s="2" t="s">
        <v>21089</v>
      </c>
      <c r="B21089" s="2" t="str">
        <f>IFERROR(__xludf.DUMMYFUNCTION("GOOGLETRANSLATE(A21089, ""en"", ""mt"")"),"L-ispiżjara huma mistennija jsiru aktar integrali fis-sistema tal-kura tas-saħħa")</f>
        <v>L-ispiżjara huma mistennija jsiru aktar integrali fis-sistema tal-kura tas-saħħa</v>
      </c>
    </row>
    <row r="21090" ht="15.75" customHeight="1">
      <c r="A21090" s="2" t="s">
        <v>21090</v>
      </c>
      <c r="B21090" s="2" t="str">
        <f>IFERROR(__xludf.DUMMYFUNCTION("GOOGLETRANSLATE(A21090, ""en"", ""mt"")"),"Kuntratt")</f>
        <v>Kuntratt</v>
      </c>
    </row>
    <row r="21091" ht="15.75" customHeight="1">
      <c r="A21091" s="2" t="s">
        <v>21091</v>
      </c>
      <c r="B21091" s="2" t="str">
        <f>IFERROR(__xludf.DUMMYFUNCTION("GOOGLETRANSLATE(A21091, ""en"", ""mt"")"),"Meta ġiet żviluppata l-bażi għall-kapitolu soċjali?")</f>
        <v>Meta ġiet żviluppata l-bażi għall-kapitolu soċjali?</v>
      </c>
    </row>
    <row r="21092" ht="15.75" customHeight="1">
      <c r="A21092" s="2" t="s">
        <v>21092</v>
      </c>
      <c r="B21092" s="2" t="str">
        <f>IFERROR(__xludf.DUMMYFUNCTION("GOOGLETRANSLATE(A21092, ""en"", ""mt"")")," X'tip ta 'rivoluzzjoni ma sostniex Maududi?")</f>
        <v> X'tip ta 'rivoluzzjoni ma sostniex Maududi?</v>
      </c>
    </row>
    <row r="21093" ht="15.75" customHeight="1">
      <c r="A21093" s="2" t="s">
        <v>21093</v>
      </c>
      <c r="B21093" s="2" t="str">
        <f>IFERROR(__xludf.DUMMYFUNCTION("GOOGLETRANSLATE(A21093, ""en"", ""mt"")"),"X'tip ta 'mġieba qed jipparteċipaw fi Cilia meta jreġġgħu lura d-direzzjoni bil-flagella tagħhom?")</f>
        <v>X'tip ta 'mġieba qed jipparteċipaw fi Cilia meta jreġġgħu lura d-direzzjoni bil-flagella tagħhom?</v>
      </c>
    </row>
    <row r="21094" ht="15.75" customHeight="1">
      <c r="A21094" s="2" t="s">
        <v>21094</v>
      </c>
      <c r="B21094" s="2" t="str">
        <f>IFERROR(__xludf.DUMMYFUNCTION("GOOGLETRANSLATE(A21094, ""en"", ""mt"")"),"Netwerk Pubbliku Awstraljan X.25")</f>
        <v>Netwerk Pubbliku Awstraljan X.25</v>
      </c>
    </row>
    <row r="21095" ht="15.75" customHeight="1">
      <c r="A21095" s="2" t="s">
        <v>21095</v>
      </c>
      <c r="B21095" s="2" t="str">
        <f>IFERROR(__xludf.DUMMYFUNCTION("GOOGLETRANSLATE(A21095, ""en"", ""mt"")"),"Otter, kastur u mijiet ta 'speċi ta' għasafar")</f>
        <v>Otter, kastur u mijiet ta 'speċi ta' għasafar</v>
      </c>
    </row>
    <row r="21096" ht="15.75" customHeight="1">
      <c r="A21096" s="2" t="s">
        <v>21096</v>
      </c>
      <c r="B21096" s="2" t="str">
        <f>IFERROR(__xludf.DUMMYFUNCTION("GOOGLETRANSLATE(A21096, ""en"", ""mt"")"),"Xi tfisser il-fatturizzazzjoni tal-ekwazzjonijiet kwadratiċi?")</f>
        <v>Xi tfisser il-fatturizzazzjoni tal-ekwazzjonijiet kwadratiċi?</v>
      </c>
    </row>
    <row r="21097" ht="15.75" customHeight="1">
      <c r="A21097" s="2" t="s">
        <v>21097</v>
      </c>
      <c r="B21097" s="2" t="str">
        <f>IFERROR(__xludf.DUMMYFUNCTION("GOOGLETRANSLATE(A21097, ""en"", ""mt"")"),"Iċ-Ċentru Stubhub")</f>
        <v>Iċ-Ċentru Stubhub</v>
      </c>
    </row>
    <row r="21098" ht="15.75" customHeight="1">
      <c r="A21098" s="2" t="s">
        <v>21098</v>
      </c>
      <c r="B21098" s="2" t="str">
        <f>IFERROR(__xludf.DUMMYFUNCTION("GOOGLETRANSLATE(A21098, ""en"", ""mt"")"),"Newton's Third")</f>
        <v>Newton's Third</v>
      </c>
    </row>
    <row r="21099" ht="15.75" customHeight="1">
      <c r="A21099" s="2" t="s">
        <v>21099</v>
      </c>
      <c r="B21099" s="2" t="str">
        <f>IFERROR(__xludf.DUMMYFUNCTION("GOOGLETRANSLATE(A21099, ""en"", ""mt"")"),"F’Settembru 1760 min innegozja kapitolazzjoni minn Montreal?")</f>
        <v>F’Settembru 1760 min innegozja kapitolazzjoni minn Montreal?</v>
      </c>
    </row>
    <row r="21100" ht="15.75" customHeight="1">
      <c r="A21100" s="2" t="s">
        <v>21100</v>
      </c>
      <c r="B21100" s="2" t="str">
        <f>IFERROR(__xludf.DUMMYFUNCTION("GOOGLETRANSLATE(A21100, ""en"", ""mt"")"),"Olanda")</f>
        <v>Olanda</v>
      </c>
    </row>
    <row r="21101" ht="15.75" customHeight="1">
      <c r="A21101" s="2" t="s">
        <v>21101</v>
      </c>
      <c r="B21101" s="2" t="str">
        <f>IFERROR(__xludf.DUMMYFUNCTION("GOOGLETRANSLATE(A21101, ""en"", ""mt"")"),"Kemm mili t-trab jivvjaġġa fuq l-Oċean Atlantiku?")</f>
        <v>Kemm mili t-trab jivvjaġġa fuq l-Oċean Atlantiku?</v>
      </c>
    </row>
    <row r="21102" ht="15.75" customHeight="1">
      <c r="A21102" s="2" t="s">
        <v>21102</v>
      </c>
      <c r="B21102" s="2" t="str">
        <f>IFERROR(__xludf.DUMMYFUNCTION("GOOGLETRANSLATE(A21102, ""en"", ""mt"")"),"X'inhu eżempju ta 'dak li jinvolvu d-dmirijiet ta' spiżjar kliniku?")</f>
        <v>X'inhu eżempju ta 'dak li jinvolvu d-dmirijiet ta' spiżjar kliniku?</v>
      </c>
    </row>
    <row r="21103" ht="15.75" customHeight="1">
      <c r="A21103" s="2" t="s">
        <v>21103</v>
      </c>
      <c r="B21103" s="2" t="str">
        <f>IFERROR(__xludf.DUMMYFUNCTION("GOOGLETRANSLATE(A21103, ""en"", ""mt"")"),"East Smithfield")</f>
        <v>East Smithfield</v>
      </c>
    </row>
    <row r="21104" ht="15.75" customHeight="1">
      <c r="A21104" s="2" t="s">
        <v>21104</v>
      </c>
      <c r="B21104" s="2" t="str">
        <f>IFERROR(__xludf.DUMMYFUNCTION("GOOGLETRANSLATE(A21104, ""en"", ""mt"")"),"Uħud mid-dħul ingħata fil-forma ta 'għajnuna lil nazzjonijiet oħra sottożviluppati li l-ekonomiji tagħhom kienu nqabdu bejn prezzijiet ogħla taż-żejt u prezzijiet aktar baxxi għall-prodotti ta' esportazzjoni tagħhom stess, fost it-tnaqqis tad-domanda tal-"&amp;"Punent. Ħafna marru għax-xiri tal-armi li jkabbru t-tensjonijiet politiċi, partikolarment fil-Lvant Nofsani. L-Arabja Sawdita nefqet aktar minn 100 biljun dollaru fid-deċennji li ġejjin biex tgħin ixerred l-interpretazzjoni fundamentalista tagħha tal-Iżla"&amp;"m, magħrufa bħala Wahhabism, madwar id-dinja, permezz ta ’karitajiet reliġjużi bħal fondazzjoni al-Haramain, li ħafna drabi tqassmu wkoll fondi lil gruppi estremisti vjolenti Sunni bħal al bħal al -Qaeda u t-Taliban.")</f>
        <v>Uħud mid-dħul ingħata fil-forma ta 'għajnuna lil nazzjonijiet oħra sottożviluppati li l-ekonomiji tagħhom kienu nqabdu bejn prezzijiet ogħla taż-żejt u prezzijiet aktar baxxi għall-prodotti ta' esportazzjoni tagħhom stess, fost it-tnaqqis tad-domanda tal-Punent. Ħafna marru għax-xiri tal-armi li jkabbru t-tensjonijiet politiċi, partikolarment fil-Lvant Nofsani. L-Arabja Sawdita nefqet aktar minn 100 biljun dollaru fid-deċennji li ġejjin biex tgħin ixerred l-interpretazzjoni fundamentalista tagħha tal-Iżlam, magħrufa bħala Wahhabism, madwar id-dinja, permezz ta ’karitajiet reliġjużi bħal fondazzjoni al-Haramain, li ħafna drabi tqassmu wkoll fondi lil gruppi estremisti vjolenti Sunni bħal al bħal al -Qaeda u t-Taliban.</v>
      </c>
    </row>
    <row r="21105" ht="15.75" customHeight="1">
      <c r="A21105" s="2" t="s">
        <v>21105</v>
      </c>
      <c r="B21105" s="2" t="str">
        <f>IFERROR(__xludf.DUMMYFUNCTION("GOOGLETRANSLATE(A21105, ""en"", ""mt"")"),"Liema persuni ma tħallewx joqgħodu fi Franza l-ġdida?")</f>
        <v>Liema persuni ma tħallewx joqgħodu fi Franza l-ġdida?</v>
      </c>
    </row>
    <row r="21106" ht="15.75" customHeight="1">
      <c r="A21106" s="2" t="s">
        <v>21106</v>
      </c>
      <c r="B21106" s="2" t="str">
        <f>IFERROR(__xludf.DUMMYFUNCTION("GOOGLETRANSLATE(A21106, ""en"", ""mt"")"),"Kemm diviżjonijiet huma meħtieġa biex tivverifika d-diviżjoni tan-numru 37?")</f>
        <v>Kemm diviżjonijiet huma meħtieġa biex tivverifika d-diviżjoni tan-numru 37?</v>
      </c>
    </row>
    <row r="21107" ht="15.75" customHeight="1">
      <c r="A21107" s="2" t="s">
        <v>21107</v>
      </c>
      <c r="B21107" s="2" t="str">
        <f>IFERROR(__xludf.DUMMYFUNCTION("GOOGLETRANSLATE(A21107, ""en"", ""mt"")"),"riżultat tal-biċċa l-kbira tal-voti")</f>
        <v>riżultat tal-biċċa l-kbira tal-voti</v>
      </c>
    </row>
    <row r="21108" ht="15.75" customHeight="1">
      <c r="A21108" s="2" t="s">
        <v>21108</v>
      </c>
      <c r="B21108" s="2" t="str">
        <f>IFERROR(__xludf.DUMMYFUNCTION("GOOGLETRANSLATE(A21108, ""en"", ""mt"")"),"Triq D’Olier hija msejħa wara min?")</f>
        <v>Triq D’Olier hija msejħa wara min?</v>
      </c>
    </row>
    <row r="21109" ht="15.75" customHeight="1">
      <c r="A21109" s="2" t="s">
        <v>21109</v>
      </c>
      <c r="B21109" s="2" t="str">
        <f>IFERROR(__xludf.DUMMYFUNCTION("GOOGLETRANSLATE(A21109, ""en"", ""mt"")"),"Lulju 2013")</f>
        <v>Lulju 2013</v>
      </c>
    </row>
    <row r="21110" ht="15.75" customHeight="1">
      <c r="A21110" s="2" t="s">
        <v>21110</v>
      </c>
      <c r="B21110" s="2" t="str">
        <f>IFERROR(__xludf.DUMMYFUNCTION("GOOGLETRANSLATE(A21110, ""en"", ""mt"")"),"Deportazzjoni tal-popolazzjoni Akkadjana li titkellem bil-Franċiż miż-żona")</f>
        <v>Deportazzjoni tal-popolazzjoni Akkadjana li titkellem bil-Franċiż miż-żona</v>
      </c>
    </row>
    <row r="21111" ht="15.75" customHeight="1">
      <c r="A21111" s="2" t="s">
        <v>21111</v>
      </c>
      <c r="B21111" s="2" t="str">
        <f>IFERROR(__xludf.DUMMYFUNCTION("GOOGLETRANSLATE(A21111, ""en"", ""mt"")"),"Dak li kien Tymnet")</f>
        <v>Dak li kien Tymnet</v>
      </c>
    </row>
    <row r="21112" ht="15.75" customHeight="1">
      <c r="A21112" s="2" t="s">
        <v>21112</v>
      </c>
      <c r="B21112" s="2" t="str">
        <f>IFERROR(__xludf.DUMMYFUNCTION("GOOGLETRANSLATE(A21112, ""en"", ""mt"")"),"Effett ta 'serra msaħħa")</f>
        <v>Effett ta 'serra msaħħa</v>
      </c>
    </row>
    <row r="21113" ht="15.75" customHeight="1">
      <c r="A21113" s="2" t="s">
        <v>21113</v>
      </c>
      <c r="B21113" s="2" t="str">
        <f>IFERROR(__xludf.DUMMYFUNCTION("GOOGLETRANSLATE(A21113, ""en"", ""mt"")"),"1331")</f>
        <v>1331</v>
      </c>
    </row>
    <row r="21114" ht="15.75" customHeight="1">
      <c r="A21114" s="2" t="s">
        <v>21114</v>
      </c>
      <c r="B21114" s="2" t="str">
        <f>IFERROR(__xludf.DUMMYFUNCTION("GOOGLETRANSLATE(A21114, ""en"", ""mt"")"),"Min kunċettalizza l-vakwu?")</f>
        <v>Min kunċettalizza l-vakwu?</v>
      </c>
    </row>
    <row r="21115" ht="15.75" customHeight="1">
      <c r="A21115" s="2" t="s">
        <v>21115</v>
      </c>
      <c r="B21115" s="2" t="str">
        <f>IFERROR(__xludf.DUMMYFUNCTION("GOOGLETRANSLATE(A21115, ""en"", ""mt"")"),"L-intestatura tal-pakkett tista 'tkun żgħira")</f>
        <v>L-intestatura tal-pakkett tista 'tkun żgħira</v>
      </c>
    </row>
    <row r="21116" ht="15.75" customHeight="1">
      <c r="A21116" s="2" t="s">
        <v>21116</v>
      </c>
      <c r="B21116" s="2" t="str">
        <f>IFERROR(__xludf.DUMMYFUNCTION("GOOGLETRANSLATE(A21116, ""en"", ""mt"")"),"Liema timijiet tal-NLF huma min-Nofsinhar ta 'California?")</f>
        <v>Liema timijiet tal-NLF huma min-Nofsinhar ta 'California?</v>
      </c>
    </row>
    <row r="21117" ht="15.75" customHeight="1">
      <c r="A21117" s="2" t="s">
        <v>21117</v>
      </c>
      <c r="B21117" s="2" t="str">
        <f>IFERROR(__xludf.DUMMYFUNCTION("GOOGLETRANSLATE(A21117, ""en"", ""mt"")"),"L-Università ta 'Chicago (Uchicago, Chicago, jew U ta' C) hija università ta 'riċerka privata f'Chicago. L-università, stabbilita fl-1890, tikkonsisti fil-Kulleġġ, diversi programmi ta ’gradwati, kumitati interdixxiplinarji organizzati f’erba’ diviżjoniji"&amp;"et ta ’riċerka akkademiċi u seba’ skejjel professjonali. Lil hinn mill-Arti u x-Xjenzi, Chicago hija magħrufa wkoll għall-iskejjel professjonali tagħha, li jinkludu l-Iskola tal-Mediċina Pritzker, l-Iskola tan-Negozju tal-Università ta 'Chicago, l-Iskola "&amp;"tal-Liġi, l-Iskola tas-Servizz Soċjali, l-Iskola Harris tal-Politika Pubblika Studji, l-Iskola Graham ta ’Studji Liberali u Professjonali kontinwi u l-Iskola Divinità. L-università bħalissa tirreġistra madwar 5,000 student fil-kulleġġ u madwar 15,000 stud"&amp;"ent ġenerali.")</f>
        <v>L-Università ta 'Chicago (Uchicago, Chicago, jew U ta' C) hija università ta 'riċerka privata f'Chicago. L-università, stabbilita fl-1890, tikkonsisti fil-Kulleġġ, diversi programmi ta ’gradwati, kumitati interdixxiplinarji organizzati f’erba’ diviżjonijiet ta ’riċerka akkademiċi u seba’ skejjel professjonali. Lil hinn mill-Arti u x-Xjenzi, Chicago hija magħrufa wkoll għall-iskejjel professjonali tagħha, li jinkludu l-Iskola tal-Mediċina Pritzker, l-Iskola tan-Negozju tal-Università ta 'Chicago, l-Iskola tal-Liġi, l-Iskola tas-Servizz Soċjali, l-Iskola Harris tal-Politika Pubblika Studji, l-Iskola Graham ta ’Studji Liberali u Professjonali kontinwi u l-Iskola Divinità. L-università bħalissa tirreġistra madwar 5,000 student fil-kulleġġ u madwar 15,000 student ġenerali.</v>
      </c>
    </row>
    <row r="21118" ht="15.75" customHeight="1">
      <c r="A21118" s="2" t="s">
        <v>21118</v>
      </c>
      <c r="B21118" s="2" t="str">
        <f>IFERROR(__xludf.DUMMYFUNCTION("GOOGLETRANSLATE(A21118, ""en"", ""mt"")"),"Fejn huma l-fotoni l-foton tal-iskambju fundamentali?")</f>
        <v>Fejn huma l-fotoni l-foton tal-iskambju fundamentali?</v>
      </c>
    </row>
    <row r="21119" ht="15.75" customHeight="1">
      <c r="A21119" s="2" t="s">
        <v>21119</v>
      </c>
      <c r="B21119" s="2" t="str">
        <f>IFERROR(__xludf.DUMMYFUNCTION("GOOGLETRANSLATE(A21119, ""en"", ""mt"")"),"Liema kumpanija żviluppat l-aktar indikatur tal-magna tal-fwar ta 'suċċess?")</f>
        <v>Liema kumpanija żviluppat l-aktar indikatur tal-magna tal-fwar ta 'suċċess?</v>
      </c>
    </row>
    <row r="21120" ht="15.75" customHeight="1">
      <c r="A21120" s="2" t="s">
        <v>21120</v>
      </c>
      <c r="B21120" s="2" t="str">
        <f>IFERROR(__xludf.DUMMYFUNCTION("GOOGLETRANSLATE(A21120, ""en"", ""mt"")"),"Jacob van Braam bħala interpretu; Christopher Gist, survejter tal-kumpanija li jaħdem fiż-żona; u ftit Mingo mmexxija minn Tanaghrisson")</f>
        <v>Jacob van Braam bħala interpretu; Christopher Gist, survejter tal-kumpanija li jaħdem fiż-żona; u ftit Mingo mmexxija minn Tanaghrisson</v>
      </c>
    </row>
    <row r="21121" ht="15.75" customHeight="1">
      <c r="A21121" s="2" t="s">
        <v>21121</v>
      </c>
      <c r="B21121" s="2" t="str">
        <f>IFERROR(__xludf.DUMMYFUNCTION("GOOGLETRANSLATE(A21121, ""en"", ""mt"")"),"1555")</f>
        <v>1555</v>
      </c>
    </row>
    <row r="21122" ht="15.75" customHeight="1">
      <c r="A21122" s="2" t="s">
        <v>21122</v>
      </c>
      <c r="B21122" s="2" t="str">
        <f>IFERROR(__xludf.DUMMYFUNCTION("GOOGLETRANSLATE(A21122, ""en"", ""mt"")"),"Kif kien spjegat l-isem Olandiż għar-Rhine oriġinarjament?")</f>
        <v>Kif kien spjegat l-isem Olandiż għar-Rhine oriġinarjament?</v>
      </c>
    </row>
    <row r="21123" ht="15.75" customHeight="1">
      <c r="A21123" s="2" t="s">
        <v>21123</v>
      </c>
      <c r="B21123" s="2" t="str">
        <f>IFERROR(__xludf.DUMMYFUNCTION("GOOGLETRANSLATE(A21123, ""en"", ""mt"")"),"X'kienu l-miżati annwali tal-ġarr għall-kanali?")</f>
        <v>X'kienu l-miżati annwali tal-ġarr għall-kanali?</v>
      </c>
    </row>
    <row r="21124" ht="15.75" customHeight="1">
      <c r="A21124" s="2" t="s">
        <v>21124</v>
      </c>
      <c r="B21124" s="2" t="str">
        <f>IFERROR(__xludf.DUMMYFUNCTION("GOOGLETRANSLATE(A21124, ""en"", ""mt"")"),"F’liema sena l-Kamra tal-Iskuża kisbet influwenza?")</f>
        <v>F’liema sena l-Kamra tal-Iskuża kisbet influwenza?</v>
      </c>
    </row>
    <row r="21125" ht="15.75" customHeight="1">
      <c r="A21125" s="2" t="s">
        <v>21125</v>
      </c>
      <c r="B21125" s="2" t="str">
        <f>IFERROR(__xludf.DUMMYFUNCTION("GOOGLETRANSLATE(A21125, ""en"", ""mt"")"),"Radar ta 'apertura sintetika")</f>
        <v>Radar ta 'apertura sintetika</v>
      </c>
    </row>
    <row r="21126" ht="15.75" customHeight="1">
      <c r="A21126" s="2" t="s">
        <v>21126</v>
      </c>
      <c r="B21126" s="2" t="str">
        <f>IFERROR(__xludf.DUMMYFUNCTION("GOOGLETRANSLATE(A21126, ""en"", ""mt"")"),"Tundra")</f>
        <v>Tundra</v>
      </c>
    </row>
    <row r="21127" ht="15.75" customHeight="1">
      <c r="A21127" s="2" t="s">
        <v>21127</v>
      </c>
      <c r="B21127" s="2" t="str">
        <f>IFERROR(__xludf.DUMMYFUNCTION("GOOGLETRANSLATE(A21127, ""en"", ""mt"")"),"Fejn huwa bbażat l-energiprojekt AB?")</f>
        <v>Fejn huwa bbażat l-energiprojekt AB?</v>
      </c>
    </row>
    <row r="21128" ht="15.75" customHeight="1">
      <c r="A21128" s="2" t="s">
        <v>21128</v>
      </c>
      <c r="B21128" s="2" t="str">
        <f>IFERROR(__xludf.DUMMYFUNCTION("GOOGLETRANSLATE(A21128, ""en"", ""mt"")"),"L-iskola kif kienet kapaċi ġġib abbord l-aqwa studenti b'talent?")</f>
        <v>L-iskola kif kienet kapaċi ġġib abbord l-aqwa studenti b'talent?</v>
      </c>
    </row>
    <row r="21129" ht="15.75" customHeight="1">
      <c r="A21129" s="2" t="s">
        <v>21129</v>
      </c>
      <c r="B21129" s="2" t="str">
        <f>IFERROR(__xludf.DUMMYFUNCTION("GOOGLETRANSLATE(A21129, ""en"", ""mt"")"),"Fejn hu estiż l-Olokene aktar peress li huwa qasir ħafna b'epoki qosra?")</f>
        <v>Fejn hu estiż l-Olokene aktar peress li huwa qasir ħafna b'epoki qosra?</v>
      </c>
    </row>
    <row r="21130" ht="15.75" customHeight="1">
      <c r="A21130" s="2" t="s">
        <v>21130</v>
      </c>
      <c r="B21130" s="2" t="str">
        <f>IFERROR(__xludf.DUMMYFUNCTION("GOOGLETRANSLATE(A21130, ""en"", ""mt"")"),"F'liema ambjent il-ġeoloġi strutturali jibnu mill-ġdid l-istruttura kristallina tal-blat?")</f>
        <v>F'liema ambjent il-ġeoloġi strutturali jibnu mill-ġdid l-istruttura kristallina tal-blat?</v>
      </c>
    </row>
    <row r="21131" ht="15.75" customHeight="1">
      <c r="A21131" s="2" t="s">
        <v>21131</v>
      </c>
      <c r="B21131" s="2" t="str">
        <f>IFERROR(__xludf.DUMMYFUNCTION("GOOGLETRANSLATE(A21131, ""en"", ""mt"")"),"Min esperimenta minn Rolling Stones u Canonballs 'l isfel minn inklinazzjoni wieqfa?")</f>
        <v>Min esperimenta minn Rolling Stones u Canonballs 'l isfel minn inklinazzjoni wieqfa?</v>
      </c>
    </row>
    <row r="21132" ht="15.75" customHeight="1">
      <c r="A21132" s="2" t="s">
        <v>21132</v>
      </c>
      <c r="B21132" s="2" t="str">
        <f>IFERROR(__xludf.DUMMYFUNCTION("GOOGLETRANSLATE(A21132, ""en"", ""mt"")"),"Is-sismologi jistgħu jużaw il-ħinijiet tal-wasla tal-mewġ sismiku bil-maqlub biex jimmaġinaw l-intern tad-dinja. Avvanzi bikrija f'dan il-qasam urew l-eżistenza ta 'qalba ta' barra likwidu (fejn il-mewġ ta 'shear ma setgħux jinfirxu) u qalba ta' ġewwa sol"&amp;"ida densa. Dawn l-avvanzi wasslu għall-iżvilupp ta 'mudell b'saffi ta' l-art, bil-qoxra u l-litosfera fuq nett, il-mantell ta 'taħt (separat fih innifsu permezz ta' diskontinwitajiet sismiċi f'410 u 660 kilometru), u l-qalba ta 'barra u l-qalba ta' ġewwa "&amp;"u l-qalba ta 'ġewwa taħt dak. Aktar reċentement, is-sismologi setgħu joħolqu immaġini dettaljati ta 'veloċitajiet tal-mewġ ġewwa d-Dinja bl-istess mod li tabib jimmaġina korp fi scan CT. Dawn l-immaġini wasslu għal veduta ferm aktar dettaljata ta 'l-inter"&amp;"n tad-dinja, u biddlu l-mudell simplifikat b'saffi b'mudell ferm aktar dinamiku.")</f>
        <v>Is-sismologi jistgħu jużaw il-ħinijiet tal-wasla tal-mewġ sismiku bil-maqlub biex jimmaġinaw l-intern tad-dinja. Avvanzi bikrija f'dan il-qasam urew l-eżistenza ta 'qalba ta' barra likwidu (fejn il-mewġ ta 'shear ma setgħux jinfirxu) u qalba ta' ġewwa solida densa. Dawn l-avvanzi wasslu għall-iżvilupp ta 'mudell b'saffi ta' l-art, bil-qoxra u l-litosfera fuq nett, il-mantell ta 'taħt (separat fih innifsu permezz ta' diskontinwitajiet sismiċi f'410 u 660 kilometru), u l-qalba ta 'barra u l-qalba ta' ġewwa u l-qalba ta 'ġewwa taħt dak. Aktar reċentement, is-sismologi setgħu joħolqu immaġini dettaljati ta 'veloċitajiet tal-mewġ ġewwa d-Dinja bl-istess mod li tabib jimmaġina korp fi scan CT. Dawn l-immaġini wasslu għal veduta ferm aktar dettaljata ta 'l-intern tad-dinja, u biddlu l-mudell simplifikat b'saffi b'mudell ferm aktar dinamiku.</v>
      </c>
    </row>
    <row r="21133" ht="15.75" customHeight="1">
      <c r="A21133" s="2" t="s">
        <v>21133</v>
      </c>
      <c r="B21133" s="2" t="str">
        <f>IFERROR(__xludf.DUMMYFUNCTION("GOOGLETRANSLATE(A21133, ""en"", ""mt"")"),"X'inhu t-tip tat-temp ta 'Mallee u Upper Wimmera?")</f>
        <v>X'inhu t-tip tat-temp ta 'Mallee u Upper Wimmera?</v>
      </c>
    </row>
    <row r="21134" ht="15.75" customHeight="1">
      <c r="A21134" s="2" t="s">
        <v>21134</v>
      </c>
      <c r="B21134" s="2" t="str">
        <f>IFERROR(__xludf.DUMMYFUNCTION("GOOGLETRANSLATE(A21134, ""en"", ""mt"")"),"merkanzija")</f>
        <v>merkanzija</v>
      </c>
    </row>
    <row r="21135" ht="15.75" customHeight="1">
      <c r="A21135" s="2" t="s">
        <v>21135</v>
      </c>
      <c r="B21135" s="2" t="str">
        <f>IFERROR(__xludf.DUMMYFUNCTION("GOOGLETRANSLATE(A21135, ""en"", ""mt"")"),"Min jista 'jinforza l-liġi tal-Unjoni Ewropea meta l-istati membri jipprovdu drittijiet inqas?")</f>
        <v>Min jista 'jinforza l-liġi tal-Unjoni Ewropea meta l-istati membri jipprovdu drittijiet inqas?</v>
      </c>
    </row>
    <row r="21136" ht="15.75" customHeight="1">
      <c r="A21136" s="2" t="s">
        <v>21136</v>
      </c>
      <c r="B21136" s="2" t="str">
        <f>IFERROR(__xludf.DUMMYFUNCTION("GOOGLETRANSLATE(A21136, ""en"", ""mt"")"),"Kemm hemm nies jgħixu fir-Riverside?")</f>
        <v>Kemm hemm nies jgħixu fir-Riverside?</v>
      </c>
    </row>
    <row r="21137" ht="15.75" customHeight="1">
      <c r="A21137" s="2" t="s">
        <v>21137</v>
      </c>
      <c r="B21137" s="2" t="str">
        <f>IFERROR(__xludf.DUMMYFUNCTION("GOOGLETRANSLATE(A21137, ""en"", ""mt"")"),"sjieda privata tal-mezzi ta 'produzzjoni")</f>
        <v>sjieda privata tal-mezzi ta 'produzzjoni</v>
      </c>
    </row>
    <row r="21138" ht="15.75" customHeight="1">
      <c r="A21138" s="2" t="s">
        <v>21138</v>
      </c>
      <c r="B21138" s="2" t="str">
        <f>IFERROR(__xludf.DUMMYFUNCTION("GOOGLETRANSLATE(A21138, ""en"", ""mt"")"),"X'inhu s-simbolu ta 'Varsavja?")</f>
        <v>X'inhu s-simbolu ta 'Varsavja?</v>
      </c>
    </row>
    <row r="21139" ht="15.75" customHeight="1">
      <c r="A21139" s="2" t="s">
        <v>21139</v>
      </c>
      <c r="B21139" s="2" t="str">
        <f>IFERROR(__xludf.DUMMYFUNCTION("GOOGLETRANSLATE(A21139, ""en"", ""mt"")"),"Ħaddiema fil-pajjiżi foqra")</f>
        <v>Ħaddiema fil-pajjiżi foqra</v>
      </c>
    </row>
    <row r="21140" ht="15.75" customHeight="1">
      <c r="A21140" s="2" t="s">
        <v>21140</v>
      </c>
      <c r="B21140" s="2" t="str">
        <f>IFERROR(__xludf.DUMMYFUNCTION("GOOGLETRANSLATE(A21140, ""en"", ""mt"")"),"L-Editt ta 'Fontainebleau")</f>
        <v>L-Editt ta 'Fontainebleau</v>
      </c>
    </row>
    <row r="21141" ht="15.75" customHeight="1">
      <c r="A21141" s="2" t="s">
        <v>21141</v>
      </c>
      <c r="B21141" s="2" t="str">
        <f>IFERROR(__xludf.DUMMYFUNCTION("GOOGLETRANSLATE(A21141, ""en"", ""mt"")"),"Nies ta 'Timucua")</f>
        <v>Nies ta 'Timucua</v>
      </c>
    </row>
    <row r="21142" ht="15.75" customHeight="1">
      <c r="A21142" s="2" t="s">
        <v>21142</v>
      </c>
      <c r="B21142" s="2" t="str">
        <f>IFERROR(__xludf.DUMMYFUNCTION("GOOGLETRANSLATE(A21142, ""en"", ""mt"")"),"Kemm għandha kampus l-Università ta 'l-Istat ta' Kalifornja?")</f>
        <v>Kemm għandha kampus l-Università ta 'l-Istat ta' Kalifornja?</v>
      </c>
    </row>
    <row r="21143" ht="15.75" customHeight="1">
      <c r="A21143" s="2" t="s">
        <v>21143</v>
      </c>
      <c r="B21143" s="2" t="str">
        <f>IFERROR(__xludf.DUMMYFUNCTION("GOOGLETRANSLATE(A21143, ""en"", ""mt"")"),"jidhru li jsiru eħfef")</f>
        <v>jidhru li jsiru eħfef</v>
      </c>
    </row>
    <row r="21144" ht="15.75" customHeight="1">
      <c r="A21144" s="2" t="s">
        <v>21144</v>
      </c>
      <c r="B21144" s="2" t="str">
        <f>IFERROR(__xludf.DUMMYFUNCTION("GOOGLETRANSLATE(A21144, ""en"", ""mt"")"),"Speċjalitajiet separati qabel, speċjalment fost ditti kbar")</f>
        <v>Speċjalitajiet separati qabel, speċjalment fost ditti kbar</v>
      </c>
    </row>
    <row r="21145" ht="15.75" customHeight="1">
      <c r="A21145" s="2" t="s">
        <v>21145</v>
      </c>
      <c r="B21145" s="2" t="str">
        <f>IFERROR(__xludf.DUMMYFUNCTION("GOOGLETRANSLATE(A21145, ""en"", ""mt"")"),"X'inhu l-korp eżekuttiv ewlieni tal-UE?")</f>
        <v>X'inhu l-korp eżekuttiv ewlieni tal-UE?</v>
      </c>
    </row>
    <row r="21146" ht="15.75" customHeight="1">
      <c r="A21146" s="2" t="s">
        <v>21146</v>
      </c>
      <c r="B21146" s="2" t="str">
        <f>IFERROR(__xludf.DUMMYFUNCTION("GOOGLETRANSLATE(A21146, ""en"", ""mt"")"),"Diversi proċeduri jippermettu lill-Parlament Skoċċiż biex jifli l-gvern. L-ewwel ministru jew membri tal-kabinett jistgħu jwasslu dikjarazzjonijiet lill-Parlament li fuqhom l-MSPs huma mistiedna jiddubitaw. Pereżempju, fil-bidu ta 'kull sena parlamentari,"&amp;" l-Ewwel Ministru jagħti dikjarazzjoni lill-kamra li tistabbilixxi l-programm leġiżlattiv tal-gvern għas-sena li ġejja. Wara li ddaħħal id-dikjarazzjoni, il-mexxejja tal-partiti tal-oppożizzjoni u MSPs oħra jiddubitaw lill-ewwel ministru dwar kwistjonijie"&amp;"t relatati mas-sustanza tad-dikjarazzjoni.")</f>
        <v>Diversi proċeduri jippermettu lill-Parlament Skoċċiż biex jifli l-gvern. L-ewwel ministru jew membri tal-kabinett jistgħu jwasslu dikjarazzjonijiet lill-Parlament li fuqhom l-MSPs huma mistiedna jiddubitaw. Pereżempju, fil-bidu ta 'kull sena parlamentari, l-Ewwel Ministru jagħti dikjarazzjoni lill-kamra li tistabbilixxi l-programm leġiżlattiv tal-gvern għas-sena li ġejja. Wara li ddaħħal id-dikjarazzjoni, il-mexxejja tal-partiti tal-oppożizzjoni u MSPs oħra jiddubitaw lill-ewwel ministru dwar kwistjonijiet relatati mas-sustanza tad-dikjarazzjoni.</v>
      </c>
    </row>
    <row r="21147" ht="15.75" customHeight="1">
      <c r="A21147" s="2" t="s">
        <v>21147</v>
      </c>
      <c r="B21147" s="2" t="str">
        <f>IFERROR(__xludf.DUMMYFUNCTION("GOOGLETRANSLATE(A21147, ""en"", ""mt"")"),"X'jista 'jsir il-foresta tal-Amażonja jekk tgħaddi l-punt tat-twaddib u tibda tmut?")</f>
        <v>X'jista 'jsir il-foresta tal-Amażonja jekk tgħaddi l-punt tat-twaddib u tibda tmut?</v>
      </c>
    </row>
    <row r="21148" ht="15.75" customHeight="1">
      <c r="A21148" s="2" t="s">
        <v>21148</v>
      </c>
      <c r="B21148" s="2" t="str">
        <f>IFERROR(__xludf.DUMMYFUNCTION("GOOGLETRANSLATE(A21148, ""en"", ""mt"")"),"Għaliex ġiet implimentata l-protezzjoni tal-iskejjel privati ​​fl-1992?")</f>
        <v>Għaliex ġiet implimentata l-protezzjoni tal-iskejjel privati ​​fl-1992?</v>
      </c>
    </row>
    <row r="21149" ht="15.75" customHeight="1">
      <c r="A21149" s="2" t="s">
        <v>21149</v>
      </c>
      <c r="B21149" s="2" t="str">
        <f>IFERROR(__xludf.DUMMYFUNCTION("GOOGLETRANSLATE(A21149, ""en"", ""mt"")"),"Liema kulleġġ twaqqaf matul it-Tieni Gwerra Dinjija?")</f>
        <v>Liema kulleġġ twaqqaf matul it-Tieni Gwerra Dinjija?</v>
      </c>
    </row>
    <row r="21150" ht="15.75" customHeight="1">
      <c r="A21150" s="2" t="s">
        <v>21150</v>
      </c>
      <c r="B21150" s="2" t="str">
        <f>IFERROR(__xludf.DUMMYFUNCTION("GOOGLETRANSLATE(A21150, ""en"", ""mt"")"),"Il-problemi tas-saħħa kienu ogħla f'postijiet b'livelli ogħla ta 'xiex?")</f>
        <v>Il-problemi tas-saħħa kienu ogħla f'postijiet b'livelli ogħla ta 'xiex?</v>
      </c>
    </row>
    <row r="21151" ht="15.75" customHeight="1">
      <c r="A21151" s="2" t="s">
        <v>21151</v>
      </c>
      <c r="B21151" s="2" t="str">
        <f>IFERROR(__xludf.DUMMYFUNCTION("GOOGLETRANSLATE(A21151, ""en"", ""mt"")"),"Kemm hu Huguenot li l-Portugiż qatel talli kien Protestant fi Guanabara?")</f>
        <v>Kemm hu Huguenot li l-Portugiż qatel talli kien Protestant fi Guanabara?</v>
      </c>
    </row>
    <row r="21152" ht="15.75" customHeight="1">
      <c r="A21152" s="2" t="s">
        <v>21152</v>
      </c>
      <c r="B21152" s="2" t="str">
        <f>IFERROR(__xludf.DUMMYFUNCTION("GOOGLETRANSLATE(A21152, ""en"", ""mt"")"),"10,000 m2")</f>
        <v>10,000 m2</v>
      </c>
    </row>
    <row r="21153" ht="15.75" customHeight="1">
      <c r="A21153" s="2" t="s">
        <v>21153</v>
      </c>
      <c r="B21153" s="2" t="str">
        <f>IFERROR(__xludf.DUMMYFUNCTION("GOOGLETRANSLATE(A21153, ""en"", ""mt"")"),"Università ta ’Washington")</f>
        <v>Università ta ’Washington</v>
      </c>
    </row>
    <row r="21154" ht="15.75" customHeight="1">
      <c r="A21154" s="2" t="s">
        <v>21154</v>
      </c>
      <c r="B21154" s="2" t="str">
        <f>IFERROR(__xludf.DUMMYFUNCTION("GOOGLETRANSLATE(A21154, ""en"", ""mt"")"),"Fejn hu ospitat il-Jazz Jamboree?")</f>
        <v>Fejn hu ospitat il-Jazz Jamboree?</v>
      </c>
    </row>
    <row r="21155" ht="15.75" customHeight="1">
      <c r="A21155" s="2" t="s">
        <v>21155</v>
      </c>
      <c r="B21155" s="2" t="str">
        <f>IFERROR(__xludf.DUMMYFUNCTION("GOOGLETRANSLATE(A21155, ""en"", ""mt"")"),"Għaliex il-ġeoloġi jpinġu kristalli taħt mikroskopju?")</f>
        <v>Għaliex il-ġeoloġi jpinġu kristalli taħt mikroskopju?</v>
      </c>
    </row>
    <row r="21156" ht="15.75" customHeight="1">
      <c r="A21156" s="2" t="s">
        <v>21156</v>
      </c>
      <c r="B21156" s="2" t="str">
        <f>IFERROR(__xludf.DUMMYFUNCTION("GOOGLETRANSLATE(A21156, ""en"", ""mt"")"),"ewforika ħafifa")</f>
        <v>ewforika ħafifa</v>
      </c>
    </row>
    <row r="21157" ht="15.75" customHeight="1">
      <c r="A21157" s="2" t="s">
        <v>21157</v>
      </c>
      <c r="B21157" s="2" t="str">
        <f>IFERROR(__xludf.DUMMYFUNCTION("GOOGLETRANSLATE(A21157, ""en"", ""mt"")"),"Liema territorju ma nstabx lill-Gran Brittanja?")</f>
        <v>Liema territorju ma nstabx lill-Gran Brittanja?</v>
      </c>
    </row>
    <row r="21158" ht="15.75" customHeight="1">
      <c r="A21158" s="2" t="s">
        <v>21158</v>
      </c>
      <c r="B21158" s="2" t="str">
        <f>IFERROR(__xludf.DUMMYFUNCTION("GOOGLETRANSLATE(A21158, ""en"", ""mt"")"),"Komunikazzjonijiet ta 'Livell 3")</f>
        <v>Komunikazzjonijiet ta 'Livell 3</v>
      </c>
    </row>
    <row r="21159" ht="15.75" customHeight="1">
      <c r="A21159" s="2" t="s">
        <v>21159</v>
      </c>
      <c r="B21159" s="2" t="str">
        <f>IFERROR(__xludf.DUMMYFUNCTION("GOOGLETRANSLATE(A21159, ""en"", ""mt"")"),"F’nofs is-seklu 18, min ma qabilx li 1 għandu jkun l-ewwel numru ewlieni?")</f>
        <v>F’nofs is-seklu 18, min ma qabilx li 1 għandu jkun l-ewwel numru ewlieni?</v>
      </c>
    </row>
    <row r="21160" ht="15.75" customHeight="1">
      <c r="A21160" s="2" t="s">
        <v>21160</v>
      </c>
      <c r="B21160" s="2" t="str">
        <f>IFERROR(__xludf.DUMMYFUNCTION("GOOGLETRANSLATE(A21160, ""en"", ""mt"")"),"Fejn wieħed jista 'jsib l-irziezet li qabel kienu Huguenot fl-Afrika t'Isfel?")</f>
        <v>Fejn wieħed jista 'jsib l-irziezet li qabel kienu Huguenot fl-Afrika t'Isfel?</v>
      </c>
    </row>
    <row r="21161" ht="15.75" customHeight="1">
      <c r="A21161" s="2" t="s">
        <v>21161</v>
      </c>
      <c r="B21161" s="2" t="str">
        <f>IFERROR(__xludf.DUMMYFUNCTION("GOOGLETRANSLATE(A21161, ""en"", ""mt"")"),"Liema kanal qatt ma uża flussi ta 'vidjow looping?")</f>
        <v>Liema kanal qatt ma uża flussi ta 'vidjow looping?</v>
      </c>
    </row>
    <row r="21162" ht="15.75" customHeight="1">
      <c r="A21162" s="2" t="s">
        <v>21162</v>
      </c>
      <c r="B21162" s="2" t="str">
        <f>IFERROR(__xludf.DUMMYFUNCTION("GOOGLETRANSLATE(A21162, ""en"", ""mt"")"),"Min serva n-Normanni fis-seklu 10?")</f>
        <v>Min serva n-Normanni fis-seklu 10?</v>
      </c>
    </row>
    <row r="21163" ht="15.75" customHeight="1">
      <c r="A21163" s="2" t="s">
        <v>21163</v>
      </c>
      <c r="B21163" s="2" t="str">
        <f>IFERROR(__xludf.DUMMYFUNCTION("GOOGLETRANSLATE(A21163, ""en"", ""mt"")"),"Konnessjonijiet tal-1972")</f>
        <v>Konnessjonijiet tal-1972</v>
      </c>
    </row>
    <row r="21164" ht="15.75" customHeight="1">
      <c r="A21164" s="2" t="s">
        <v>21164</v>
      </c>
      <c r="B21164" s="2" t="str">
        <f>IFERROR(__xludf.DUMMYFUNCTION("GOOGLETRANSLATE(A21164, ""en"", ""mt"")"),"Minn ħdejn il-ħalq sat-tarf oppost")</f>
        <v>Minn ħdejn il-ħalq sat-tarf oppost</v>
      </c>
    </row>
    <row r="21165" ht="15.75" customHeight="1">
      <c r="A21165" s="2" t="s">
        <v>21165</v>
      </c>
      <c r="B21165" s="2" t="str">
        <f>IFERROR(__xludf.DUMMYFUNCTION("GOOGLETRANSLATE(A21165, ""en"", ""mt"")"),"Reġimi Iżlamiċi Illiberali")</f>
        <v>Reġimi Iżlamiċi Illiberali</v>
      </c>
    </row>
    <row r="21166" ht="15.75" customHeight="1">
      <c r="A21166" s="2" t="s">
        <v>21166</v>
      </c>
      <c r="B21166" s="2" t="str">
        <f>IFERROR(__xludf.DUMMYFUNCTION("GOOGLETRANSLATE(A21166, ""en"", ""mt"")"),"90,790 tunnellata")</f>
        <v>90,790 tunnellata</v>
      </c>
    </row>
    <row r="21167" ht="15.75" customHeight="1">
      <c r="A21167" s="2" t="s">
        <v>21167</v>
      </c>
      <c r="B21167" s="2" t="str">
        <f>IFERROR(__xludf.DUMMYFUNCTION("GOOGLETRANSLATE(A21167, ""en"", ""mt"")"),"Problema tal-isomorfiżmu graff")</f>
        <v>Problema tal-isomorfiżmu graff</v>
      </c>
    </row>
    <row r="21168" ht="15.75" customHeight="1">
      <c r="A21168" s="2" t="s">
        <v>21168</v>
      </c>
      <c r="B21168" s="2" t="str">
        <f>IFERROR(__xludf.DUMMYFUNCTION("GOOGLETRANSLATE(A21168, ""en"", ""mt"")"),"Problemi tal-komputazzjoni")</f>
        <v>Problemi tal-komputazzjoni</v>
      </c>
    </row>
    <row r="21169" ht="15.75" customHeight="1">
      <c r="A21169" s="2" t="s">
        <v>21169</v>
      </c>
      <c r="B21169" s="2" t="str">
        <f>IFERROR(__xludf.DUMMYFUNCTION("GOOGLETRANSLATE(A21169, ""en"", ""mt"")"),"attakka l-kolonna Ingliża, qatel u qabad diversi mijiet ta 'rġiel, nisa, tfal, u skjavi.")</f>
        <v>attakka l-kolonna Ingliża, qatel u qabad diversi mijiet ta 'rġiel, nisa, tfal, u skjavi.</v>
      </c>
    </row>
    <row r="21170" ht="15.75" customHeight="1">
      <c r="A21170" s="2" t="s">
        <v>21170</v>
      </c>
      <c r="B21170" s="2" t="str">
        <f>IFERROR(__xludf.DUMMYFUNCTION("GOOGLETRANSLATE(A21170, ""en"", ""mt"")"),"il- ""Combs""")</f>
        <v>il- "Combs"</v>
      </c>
    </row>
    <row r="21171" ht="15.75" customHeight="1">
      <c r="A21171" s="2" t="s">
        <v>21171</v>
      </c>
      <c r="B21171" s="2" t="str">
        <f>IFERROR(__xludf.DUMMYFUNCTION("GOOGLETRANSLATE(A21171, ""en"", ""mt"")"),"Movimenti Iżlamiċi Kontra d-Demokratiċi ispirati minn Maududi u Sayyid Qutb")</f>
        <v>Movimenti Iżlamiċi Kontra d-Demokratiċi ispirati minn Maududi u Sayyid Qutb</v>
      </c>
    </row>
    <row r="21172" ht="15.75" customHeight="1">
      <c r="A21172" s="2" t="s">
        <v>21172</v>
      </c>
      <c r="B21172" s="2" t="str">
        <f>IFERROR(__xludf.DUMMYFUNCTION("GOOGLETRANSLATE(A21172, ""en"", ""mt"")"),"Liema ctenophore ġie introdott aċċidentalment fil-Baħar l-Iswed?")</f>
        <v>Liema ctenophore ġie introdott aċċidentalment fil-Baħar l-Iswed?</v>
      </c>
    </row>
    <row r="21173" ht="15.75" customHeight="1">
      <c r="A21173" s="2" t="s">
        <v>21173</v>
      </c>
      <c r="B21173" s="2" t="str">
        <f>IFERROR(__xludf.DUMMYFUNCTION("GOOGLETRANSLATE(A21173, ""en"", ""mt"")"),"storiċi")</f>
        <v>storiċi</v>
      </c>
    </row>
    <row r="21174" ht="15.75" customHeight="1">
      <c r="A21174" s="2" t="s">
        <v>21174</v>
      </c>
      <c r="B21174" s="2" t="str">
        <f>IFERROR(__xludf.DUMMYFUNCTION("GOOGLETRANSLATE(A21174, ""en"", ""mt"")"),"Popli ta 'l-Amerika t'Isfel")</f>
        <v>Popli ta 'l-Amerika t'Isfel</v>
      </c>
    </row>
    <row r="21175" ht="15.75" customHeight="1">
      <c r="A21175" s="2" t="s">
        <v>21175</v>
      </c>
      <c r="B21175" s="2" t="str">
        <f>IFERROR(__xludf.DUMMYFUNCTION("GOOGLETRANSLATE(A21175, ""en"", ""mt"")"),"Kif irreaġixxa Vaudreuil meta Johnson kien meqjus bħala theddida inqas?")</f>
        <v>Kif irreaġixxa Vaudreuil meta Johnson kien meqjus bħala theddida inqas?</v>
      </c>
    </row>
    <row r="21176" ht="15.75" customHeight="1">
      <c r="A21176" s="2" t="s">
        <v>21176</v>
      </c>
      <c r="B21176" s="2" t="str">
        <f>IFERROR(__xludf.DUMMYFUNCTION("GOOGLETRANSLATE(A21176, ""en"", ""mt"")"),"Minbarra l-kriptografija taċ-ċavetta pubblika x'inhi applikazzjoni oħra għall-irkaptu militari?")</f>
        <v>Minbarra l-kriptografija taċ-ċavetta pubblika x'inhi applikazzjoni oħra għall-irkaptu militari?</v>
      </c>
    </row>
    <row r="21177" ht="15.75" customHeight="1">
      <c r="A21177" s="2" t="s">
        <v>21177</v>
      </c>
      <c r="B21177" s="2" t="str">
        <f>IFERROR(__xludf.DUMMYFUNCTION("GOOGLETRANSLATE(A21177, ""en"", ""mt"")"),"Mill-kors naturali tax-xmara minħabba numru ta 'proġetti ta' kanalizzazzjoni kompluti fis-seklu 19 u 20")</f>
        <v>Mill-kors naturali tax-xmara minħabba numru ta 'proġetti ta' kanalizzazzjoni kompluti fis-seklu 19 u 20</v>
      </c>
    </row>
    <row r="21178" ht="15.75" customHeight="1">
      <c r="A21178" s="2" t="s">
        <v>21178</v>
      </c>
      <c r="B21178" s="2" t="str">
        <f>IFERROR(__xludf.DUMMYFUNCTION("GOOGLETRANSLATE(A21178, ""en"", ""mt"")"),"xi spejjeż żejda")</f>
        <v>xi spejjeż żejda</v>
      </c>
    </row>
    <row r="21179" ht="15.75" customHeight="1">
      <c r="A21179" s="2" t="s">
        <v>21179</v>
      </c>
      <c r="B21179" s="2" t="str">
        <f>IFERROR(__xludf.DUMMYFUNCTION("GOOGLETRANSLATE(A21179, ""en"", ""mt"")"),"X'inhuma ż-żewġ sottotipi ewlenin taċ-ċelloli T?")</f>
        <v>X'inhuma ż-żewġ sottotipi ewlenin taċ-ċelloli T?</v>
      </c>
    </row>
    <row r="21180" ht="15.75" customHeight="1">
      <c r="A21180" s="2" t="s">
        <v>21180</v>
      </c>
      <c r="B21180" s="2" t="str">
        <f>IFERROR(__xludf.DUMMYFUNCTION("GOOGLETRANSLATE(A21180, ""en"", ""mt"")"),"X’ma kinitx il-popolazzjoni Franċiża fl-Amerika ta ’Fuq?")</f>
        <v>X’ma kinitx il-popolazzjoni Franċiża fl-Amerika ta ’Fuq?</v>
      </c>
    </row>
    <row r="21181" ht="15.75" customHeight="1">
      <c r="A21181" s="2" t="s">
        <v>21181</v>
      </c>
      <c r="B21181" s="2" t="str">
        <f>IFERROR(__xludf.DUMMYFUNCTION("GOOGLETRANSLATE(A21181, ""en"", ""mt"")"),"X’jikkorrelata l-aktar il-benesseri tat-tfal f’pajjiżi foqra?")</f>
        <v>X’jikkorrelata l-aktar il-benesseri tat-tfal f’pajjiżi foqra?</v>
      </c>
    </row>
    <row r="21182" ht="15.75" customHeight="1">
      <c r="A21182" s="2" t="s">
        <v>21182</v>
      </c>
      <c r="B21182" s="2" t="str">
        <f>IFERROR(__xludf.DUMMYFUNCTION("GOOGLETRANSLATE(A21182, ""en"", ""mt"")"),"f'nofs is-seklu 18")</f>
        <v>f'nofs is-seklu 18</v>
      </c>
    </row>
    <row r="21183" ht="15.75" customHeight="1">
      <c r="A21183" s="2" t="s">
        <v>21183</v>
      </c>
      <c r="B21183" s="2" t="str">
        <f>IFERROR(__xludf.DUMMYFUNCTION("GOOGLETRANSLATE(A21183, ""en"", ""mt"")"),"Min kien il-parti opposta fil-każ Runyon?")</f>
        <v>Min kien il-parti opposta fil-każ Runyon?</v>
      </c>
    </row>
    <row r="21184" ht="15.75" customHeight="1">
      <c r="A21184" s="2" t="s">
        <v>21184</v>
      </c>
      <c r="B21184" s="2" t="str">
        <f>IFERROR(__xludf.DUMMYFUNCTION("GOOGLETRANSLATE(A21184, ""en"", ""mt"")"),"Proġetti ewlenin ta 'informazzjoni nazzjonali u internazzjonali tal-pazjenti")</f>
        <v>Proġetti ewlenin ta 'informazzjoni nazzjonali u internazzjonali tal-pazjenti</v>
      </c>
    </row>
    <row r="21185" ht="15.75" customHeight="1">
      <c r="A21185" s="2" t="s">
        <v>21185</v>
      </c>
      <c r="B21185" s="2" t="str">
        <f>IFERROR(__xludf.DUMMYFUNCTION("GOOGLETRANSLATE(A21185, ""en"", ""mt"")"),"X'inhi xjenza li teżamina l-istruttura u l-funzjoni tal-moħħ?")</f>
        <v>X'inhi xjenza li teżamina l-istruttura u l-funzjoni tal-moħħ?</v>
      </c>
    </row>
    <row r="21186" ht="15.75" customHeight="1">
      <c r="A21186" s="2" t="s">
        <v>21186</v>
      </c>
      <c r="B21186" s="2" t="str">
        <f>IFERROR(__xludf.DUMMYFUNCTION("GOOGLETRANSLATE(A21186, ""en"", ""mt"")"),"Kif ingħatat il-popolazzjoni ta 'Mnemiopsis fil-Baħar l-Iswed u l-Baħar ta' Azov li ġab taħt kontroll?")</f>
        <v>Kif ingħatat il-popolazzjoni ta 'Mnemiopsis fil-Baħar l-Iswed u l-Baħar ta' Azov li ġab taħt kontroll?</v>
      </c>
    </row>
    <row r="21187" ht="15.75" customHeight="1">
      <c r="A21187" s="2" t="s">
        <v>21187</v>
      </c>
      <c r="B21187" s="2" t="str">
        <f>IFERROR(__xludf.DUMMYFUNCTION("GOOGLETRANSLATE(A21187, ""en"", ""mt"")"),"effett negattiv")</f>
        <v>effett negattiv</v>
      </c>
    </row>
    <row r="21188" ht="15.75" customHeight="1">
      <c r="A21188" s="2" t="s">
        <v>21188</v>
      </c>
      <c r="B21188" s="2" t="str">
        <f>IFERROR(__xludf.DUMMYFUNCTION("GOOGLETRANSLATE(A21188, ""en"", ""mt"")"),"Liema ambjentalist popolari huwa wkoll membru tal-alumni tal-università?")</f>
        <v>Liema ambjentalist popolari huwa wkoll membru tal-alumni tal-università?</v>
      </c>
    </row>
    <row r="21189" ht="15.75" customHeight="1">
      <c r="A21189" s="2" t="s">
        <v>21189</v>
      </c>
      <c r="B21189" s="2" t="str">
        <f>IFERROR(__xludf.DUMMYFUNCTION("GOOGLETRANSLATE(A21189, ""en"", ""mt"")"),"Għaliex żdiedet id-domanda għall-kiri?")</f>
        <v>Għaliex żdiedet id-domanda għall-kiri?</v>
      </c>
    </row>
    <row r="21190" ht="15.75" customHeight="1">
      <c r="A21190" s="2" t="s">
        <v>21190</v>
      </c>
      <c r="B21190" s="2" t="str">
        <f>IFERROR(__xludf.DUMMYFUNCTION("GOOGLETRANSLATE(A21190, ""en"", ""mt"")"),"Ministri fid-dipartimenti li huma magħżula għall-interrogazzjoni ta 'dak il-jum tas-seduta")</f>
        <v>Ministri fid-dipartimenti li huma magħżula għall-interrogazzjoni ta 'dak il-jum tas-seduta</v>
      </c>
    </row>
    <row r="21191" ht="15.75" customHeight="1">
      <c r="A21191" s="2" t="s">
        <v>21191</v>
      </c>
      <c r="B21191" s="2" t="str">
        <f>IFERROR(__xludf.DUMMYFUNCTION("GOOGLETRANSLATE(A21191, ""en"", ""mt"")"),"Liema post kellu l-istil arkitettoniku Għarbi Norman?")</f>
        <v>Liema post kellu l-istil arkitettoniku Għarbi Norman?</v>
      </c>
    </row>
    <row r="21192" ht="15.75" customHeight="1">
      <c r="A21192" s="2" t="s">
        <v>21192</v>
      </c>
      <c r="B21192" s="2" t="str">
        <f>IFERROR(__xludf.DUMMYFUNCTION("GOOGLETRANSLATE(A21192, ""en"", ""mt"")"),"Kif timxi l-aboral?")</f>
        <v>Kif timxi l-aboral?</v>
      </c>
    </row>
    <row r="21193" ht="15.75" customHeight="1">
      <c r="A21193" s="2" t="s">
        <v>21193</v>
      </c>
      <c r="B21193" s="2" t="str">
        <f>IFERROR(__xludf.DUMMYFUNCTION("GOOGLETRANSLATE(A21193, ""en"", ""mt"")"),"Saltna ta ’Sqallija")</f>
        <v>Saltna ta ’Sqallija</v>
      </c>
    </row>
    <row r="21194" ht="15.75" customHeight="1">
      <c r="A21194" s="2" t="s">
        <v>21194</v>
      </c>
      <c r="B21194" s="2" t="str">
        <f>IFERROR(__xludf.DUMMYFUNCTION("GOOGLETRANSLATE(A21194, ""en"", ""mt"")"),"Liema tipi ta 'nies kienu dejjem involuti fis-sistema tal-qorti?")</f>
        <v>Liema tipi ta 'nies kienu dejjem involuti fis-sistema tal-qorti?</v>
      </c>
    </row>
    <row r="21195" ht="15.75" customHeight="1">
      <c r="A21195" s="2" t="s">
        <v>21195</v>
      </c>
      <c r="B21195" s="2" t="str">
        <f>IFERROR(__xludf.DUMMYFUNCTION("GOOGLETRANSLATE(A21195, ""en"", ""mt"")"),"Kartelli tal-Art")</f>
        <v>Kartelli tal-Art</v>
      </c>
    </row>
    <row r="21196" ht="15.75" customHeight="1">
      <c r="A21196" s="2" t="s">
        <v>21196</v>
      </c>
      <c r="B21196" s="2" t="str">
        <f>IFERROR(__xludf.DUMMYFUNCTION("GOOGLETRANSLATE(A21196, ""en"", ""mt"")"),"Qatt ma kien affiljat ma 'xi denominazzjoni partikolari")</f>
        <v>Qatt ma kien affiljat ma 'xi denominazzjoni partikolari</v>
      </c>
    </row>
    <row r="21197" ht="15.75" customHeight="1">
      <c r="A21197" s="2" t="s">
        <v>21197</v>
      </c>
      <c r="B21197" s="2" t="str">
        <f>IFERROR(__xludf.DUMMYFUNCTION("GOOGLETRANSLATE(A21197, ""en"", ""mt"")"),"Min ħoloq l-isem Oxygen fl-1774?")</f>
        <v>Min ħoloq l-isem Oxygen fl-1774?</v>
      </c>
    </row>
    <row r="21198" ht="15.75" customHeight="1">
      <c r="A21198" s="2" t="s">
        <v>21198</v>
      </c>
      <c r="B21198" s="2" t="str">
        <f>IFERROR(__xludf.DUMMYFUNCTION("GOOGLETRANSLATE(A21198, ""en"", ""mt"")"),"Dak li saq naqsu l-prezzijiet tal-kiri fil-Lvant ta ’New York?")</f>
        <v>Dak li saq naqsu l-prezzijiet tal-kiri fil-Lvant ta ’New York?</v>
      </c>
    </row>
    <row r="21199" ht="15.75" customHeight="1">
      <c r="A21199" s="2" t="s">
        <v>21199</v>
      </c>
      <c r="B21199" s="2" t="str">
        <f>IFERROR(__xludf.DUMMYFUNCTION("GOOGLETRANSLATE(A21199, ""en"", ""mt"")"),"Ma 'min ħadem ir-Renju tal-Polonja?")</f>
        <v>Ma 'min ħadem ir-Renju tal-Polonja?</v>
      </c>
    </row>
    <row r="21200" ht="15.75" customHeight="1">
      <c r="A21200" s="2" t="s">
        <v>21200</v>
      </c>
      <c r="B21200" s="2" t="str">
        <f>IFERROR(__xludf.DUMMYFUNCTION("GOOGLETRANSLATE(A21200, ""en"", ""mt"")"),"Semmi pajjiż wieħed li pprojbixxa t-tbaħħir, is-sewqan u ttajjar il-Ħdud.")</f>
        <v>Semmi pajjiż wieħed li pprojbixxa t-tbaħħir, is-sewqan u ttajjar il-Ħdud.</v>
      </c>
    </row>
    <row r="21201" ht="15.75" customHeight="1">
      <c r="A21201" s="2" t="s">
        <v>21201</v>
      </c>
      <c r="B21201" s="2" t="str">
        <f>IFERROR(__xludf.DUMMYFUNCTION("GOOGLETRANSLATE(A21201, ""en"", ""mt"")"),"18 ta 'Jannar, 1974,")</f>
        <v>18 ta 'Jannar, 1974,</v>
      </c>
    </row>
    <row r="21202" ht="15.75" customHeight="1">
      <c r="A21202" s="2" t="s">
        <v>21202</v>
      </c>
      <c r="B21202" s="2" t="str">
        <f>IFERROR(__xludf.DUMMYFUNCTION("GOOGLETRANSLATE(A21202, ""en"", ""mt"")"),"X'inhu trattat bil-kmamar mediċi?")</f>
        <v>X'inhu trattat bil-kmamar mediċi?</v>
      </c>
    </row>
    <row r="21203" ht="15.75" customHeight="1">
      <c r="A21203" s="2" t="s">
        <v>21203</v>
      </c>
      <c r="B21203" s="2" t="str">
        <f>IFERROR(__xludf.DUMMYFUNCTION("GOOGLETRANSLATE(A21203, ""en"", ""mt"")"),"żoni vasti")</f>
        <v>żoni vasti</v>
      </c>
    </row>
    <row r="21204" ht="15.75" customHeight="1">
      <c r="A21204" s="2" t="s">
        <v>21204</v>
      </c>
      <c r="B21204" s="2" t="str">
        <f>IFERROR(__xludf.DUMMYFUNCTION("GOOGLETRANSLATE(A21204, ""en"", ""mt"")"),"forzi tas-suq")</f>
        <v>forzi tas-suq</v>
      </c>
    </row>
    <row r="21205" ht="15.75" customHeight="1">
      <c r="A21205" s="2" t="s">
        <v>21205</v>
      </c>
      <c r="B21205" s="2" t="str">
        <f>IFERROR(__xludf.DUMMYFUNCTION("GOOGLETRANSLATE(A21205, ""en"", ""mt"")"),"Żball fundamentali")</f>
        <v>Żball fundamentali</v>
      </c>
    </row>
    <row r="21206" ht="15.75" customHeight="1">
      <c r="A21206" s="2" t="s">
        <v>21206</v>
      </c>
      <c r="B21206" s="2" t="str">
        <f>IFERROR(__xludf.DUMMYFUNCTION("GOOGLETRANSLATE(A21206, ""en"", ""mt"")"),"miżura ta 'kumplessità")</f>
        <v>miżura ta 'kumplessità</v>
      </c>
    </row>
    <row r="21207" ht="15.75" customHeight="1">
      <c r="A21207" s="2" t="s">
        <v>21207</v>
      </c>
      <c r="B21207" s="2" t="str">
        <f>IFERROR(__xludf.DUMMYFUNCTION("GOOGLETRANSLATE(A21207, ""en"", ""mt"")"),"Marco Polo")</f>
        <v>Marco Polo</v>
      </c>
    </row>
    <row r="21208" ht="15.75" customHeight="1">
      <c r="A21208" s="2" t="s">
        <v>21208</v>
      </c>
      <c r="B21208" s="2" t="str">
        <f>IFERROR(__xludf.DUMMYFUNCTION("GOOGLETRANSLATE(A21208, ""en"", ""mt"")"),"F'liema sena twaqqfet Marsilja?")</f>
        <v>F'liema sena twaqqfet Marsilja?</v>
      </c>
    </row>
    <row r="21209" ht="15.75" customHeight="1">
      <c r="A21209" s="2" t="s">
        <v>21209</v>
      </c>
      <c r="B21209" s="2" t="str">
        <f>IFERROR(__xludf.DUMMYFUNCTION("GOOGLETRANSLATE(A21209, ""en"", ""mt"")"),"11.5 pulzieri")</f>
        <v>11.5 pulzieri</v>
      </c>
    </row>
    <row r="21210" ht="15.75" customHeight="1">
      <c r="A21210" s="2" t="s">
        <v>21210</v>
      </c>
      <c r="B21210" s="2" t="str">
        <f>IFERROR(__xludf.DUMMYFUNCTION("GOOGLETRANSLATE(A21210, ""en"", ""mt"")"),"X'inhi r-radjazzjoni UBV forma ta 'ħdejn il-wiċċ?")</f>
        <v>X'inhi r-radjazzjoni UBV forma ta 'ħdejn il-wiċċ?</v>
      </c>
    </row>
    <row r="21211" ht="15.75" customHeight="1">
      <c r="A21211" s="2" t="s">
        <v>21211</v>
      </c>
      <c r="B21211" s="2" t="str">
        <f>IFERROR(__xludf.DUMMYFUNCTION("GOOGLETRANSLATE(A21211, ""en"", ""mt"")"),"Min hu mitlub jivverifika u jkollu linji ta 'utilità eżistenti mmarkati?")</f>
        <v>Min hu mitlub jivverifika u jkollu linji ta 'utilità eżistenti mmarkati?</v>
      </c>
    </row>
    <row r="21212" ht="15.75" customHeight="1">
      <c r="A21212" s="2" t="s">
        <v>21212</v>
      </c>
      <c r="B21212" s="2" t="str">
        <f>IFERROR(__xludf.DUMMYFUNCTION("GOOGLETRANSLATE(A21212, ""en"", ""mt"")"),"Partiċelli identiċi jinqasmu f'żewġ klassijiet differenti skont il-formazzjoni ta 'xiex?")</f>
        <v>Partiċelli identiċi jinqasmu f'żewġ klassijiet differenti skont il-formazzjoni ta 'xiex?</v>
      </c>
    </row>
    <row r="21213" ht="15.75" customHeight="1">
      <c r="A21213" s="2" t="s">
        <v>21213</v>
      </c>
      <c r="B21213" s="2" t="str">
        <f>IFERROR(__xludf.DUMMYFUNCTION("GOOGLETRANSLATE(A21213, ""en"", ""mt"")"),"Amazon Rain Forest esperjenza nixfa ħafifa oħra f’liema sena")</f>
        <v>Amazon Rain Forest esperjenza nixfa ħafifa oħra f’liema sena</v>
      </c>
    </row>
    <row r="21214" ht="15.75" customHeight="1">
      <c r="A21214" s="2" t="s">
        <v>21214</v>
      </c>
      <c r="B21214" s="2" t="str">
        <f>IFERROR(__xludf.DUMMYFUNCTION("GOOGLETRANSLATE(A21214, ""en"", ""mt"")"),"Biex tespandi kontinwament l-investiment, ir-riżorsi materjali u l-ħaddiema")</f>
        <v>Biex tespandi kontinwament l-investiment, ir-riżorsi materjali u l-ħaddiema</v>
      </c>
    </row>
    <row r="21215" ht="15.75" customHeight="1">
      <c r="A21215" s="2" t="s">
        <v>21215</v>
      </c>
      <c r="B21215" s="2" t="str">
        <f>IFERROR(__xludf.DUMMYFUNCTION("GOOGLETRANSLATE(A21215, ""en"", ""mt"")"),"Kemm studenti l-Università ta 'Chicago ingaġġat?")</f>
        <v>Kemm studenti l-Università ta 'Chicago ingaġġat?</v>
      </c>
    </row>
    <row r="21216" ht="15.75" customHeight="1">
      <c r="A21216" s="2" t="s">
        <v>21216</v>
      </c>
      <c r="B21216" s="2" t="str">
        <f>IFERROR(__xludf.DUMMYFUNCTION("GOOGLETRANSLATE(A21216, ""en"", ""mt"")"),"X'inhu l-uniku distrett fis-CBD li ma jkollux ""downtown"" f'isem tiegħu?")</f>
        <v>X'inhu l-uniku distrett fis-CBD li ma jkollux "downtown" f'isem tiegħu?</v>
      </c>
    </row>
    <row r="21217" ht="15.75" customHeight="1">
      <c r="A21217" s="2" t="s">
        <v>21217</v>
      </c>
      <c r="B21217" s="2" t="str">
        <f>IFERROR(__xludf.DUMMYFUNCTION("GOOGLETRANSLATE(A21217, ""en"", ""mt"")"),"X'inhi t-traduzzjoni tal-fergħa l-qadima tat-tramuntana tar-Rhine?")</f>
        <v>X'inhi t-traduzzjoni tal-fergħa l-qadima tat-tramuntana tar-Rhine?</v>
      </c>
    </row>
    <row r="21218" ht="15.75" customHeight="1">
      <c r="A21218" s="2" t="s">
        <v>21218</v>
      </c>
      <c r="B21218" s="2" t="str">
        <f>IFERROR(__xludf.DUMMYFUNCTION("GOOGLETRANSLATE(A21218, ""en"", ""mt"")"),"Il-pesta kienet preżenti x'imkien fl-Ewropa f'kull sena bejn l-1346 u l-1671.")</f>
        <v>Il-pesta kienet preżenti x'imkien fl-Ewropa f'kull sena bejn l-1346 u l-1671.</v>
      </c>
    </row>
    <row r="21219" ht="15.75" customHeight="1">
      <c r="A21219" s="2" t="s">
        <v>21219</v>
      </c>
      <c r="B21219" s="2" t="str">
        <f>IFERROR(__xludf.DUMMYFUNCTION("GOOGLETRANSLATE(A21219, ""en"", ""mt"")"),"Liema karatteristika tiddeskrivi l-aħjar ir-reġjuni agrikoli li jistgħu jinstabu?")</f>
        <v>Liema karatteristika tiddeskrivi l-aħjar ir-reġjuni agrikoli li jistgħu jinstabu?</v>
      </c>
    </row>
    <row r="21220" ht="15.75" customHeight="1">
      <c r="A21220" s="2" t="s">
        <v>21220</v>
      </c>
      <c r="B21220" s="2" t="str">
        <f>IFERROR(__xludf.DUMMYFUNCTION("GOOGLETRANSLATE(A21220, ""en"", ""mt"")"),"Kemm aktar ossiġnu jinħall f'0 gradi Ċ milli f'20 grad C?")</f>
        <v>Kemm aktar ossiġnu jinħall f'0 gradi Ċ milli f'20 grad C?</v>
      </c>
    </row>
    <row r="21221" ht="15.75" customHeight="1">
      <c r="A21221" s="2" t="s">
        <v>21221</v>
      </c>
      <c r="B21221" s="2" t="str">
        <f>IFERROR(__xludf.DUMMYFUNCTION("GOOGLETRANSLATE(A21221, ""en"", ""mt"")"),"Primes Primorial")</f>
        <v>Primes Primorial</v>
      </c>
    </row>
    <row r="21222" ht="15.75" customHeight="1">
      <c r="A21222" s="2" t="s">
        <v>21222</v>
      </c>
      <c r="B21222" s="2" t="str">
        <f>IFERROR(__xludf.DUMMYFUNCTION("GOOGLETRANSLATE(A21222, ""en"", ""mt"")"),"Minbarra r-rapporti tal-valutazzjoni tal-klima, l-IPCC qed tippubblika rapporti speċjali dwar suġġetti speċifiċi. Il-proċess ta 'preparazzjoni u approvazzjoni għar-rapporti speċjali kollha tal-IPCC isegwi l-istess proċeduri bħal għar-rapporti ta' valutazz"&amp;"joni tal-IPCC. Fis-sena 2011 ġew finalizzati żewġ rapport speċjali tal-IPCC, ir-Rapport Speċjali dwar is-Sorsi tal-Enerġija Rinnovabbli u l-Mitigazzjoni tat-Tibdil fil-Klima (SREN) u r-Rapport Speċjali dwar il-Ġestjoni tar-Riskji ta 'Avvenimenti u Diżastr"&amp;"i estremi biex javvanzaw l-Adattament tal-Bidla fil-Klima (SREX). Iż-żewġ rapporti speċjali ntalbu mill-gvernijiet.")</f>
        <v>Minbarra r-rapporti tal-valutazzjoni tal-klima, l-IPCC qed tippubblika rapporti speċjali dwar suġġetti speċifiċi. Il-proċess ta 'preparazzjoni u approvazzjoni għar-rapporti speċjali kollha tal-IPCC isegwi l-istess proċeduri bħal għar-rapporti ta' valutazzjoni tal-IPCC. Fis-sena 2011 ġew finalizzati żewġ rapport speċjali tal-IPCC, ir-Rapport Speċjali dwar is-Sorsi tal-Enerġija Rinnovabbli u l-Mitigazzjoni tat-Tibdil fil-Klima (SREN) u r-Rapport Speċjali dwar il-Ġestjoni tar-Riskji ta 'Avvenimenti u Diżastri estremi biex javvanzaw l-Adattament tal-Bidla fil-Klima (SREX). Iż-żewġ rapporti speċjali ntalbu mill-gvernijiet.</v>
      </c>
    </row>
    <row r="21223" ht="15.75" customHeight="1">
      <c r="A21223" s="2" t="s">
        <v>21223</v>
      </c>
      <c r="B21223" s="2" t="str">
        <f>IFERROR(__xludf.DUMMYFUNCTION("GOOGLETRANSLATE(A21223, ""en"", ""mt"")"),"Newton kien strumentali biex jiddeskrivi l-karatteristiċi tal-waqgħa?")</f>
        <v>Newton kien strumentali biex jiddeskrivi l-karatteristiċi tal-waqgħa?</v>
      </c>
    </row>
    <row r="21224" ht="15.75" customHeight="1">
      <c r="A21224" s="2" t="s">
        <v>21224</v>
      </c>
      <c r="B21224" s="2" t="str">
        <f>IFERROR(__xludf.DUMMYFUNCTION("GOOGLETRANSLATE(A21224, ""en"", ""mt"")"),"X'inhu l-proċess ta 'l-analiżi tal-ammont ta' riżorsi meħtieġa minn algoritmu partikolari biex issolvi ipoteżi?")</f>
        <v>X'inhu l-proċess ta 'l-analiżi tal-ammont ta' riżorsi meħtieġa minn algoritmu partikolari biex issolvi ipoteżi?</v>
      </c>
    </row>
    <row r="21225" ht="15.75" customHeight="1">
      <c r="A21225" s="2" t="s">
        <v>21225</v>
      </c>
      <c r="B21225" s="2" t="str">
        <f>IFERROR(__xludf.DUMMYFUNCTION("GOOGLETRANSLATE(A21225, ""en"", ""mt"")"),"Fis-6 ta 'Ottubru, 1973, is-Sirja u l-Eġittu, b'appoġġ minn nazzjonijiet Għarab oħra, nedew attakk ta' sorpriża fuq l-Iżrael, fuq Yom Kippur. Dan it-tiġdid ta 'ostilitajiet fil-kunflitt Għarbi-Iżraeljan ħareġ il-pressjoni ekonomika sottostanti fuq il-prez"&amp;"zijiet taż-żejt. Dak iż-żmien, l-Iran kien it-tieni l-akbar esportatur taż-żejt fid-dinja u alleat mill-qrib tal-Istati Uniti. Ġimgħat wara, ix-Shah tal-Iran qal f'intervista: ""Dażgur [il-prezz taż-żejt] se jogħla ... ċertament! U kif! ... int [in-nazzjo"&amp;"nijiet tal-Punent] żiedu l-prezz tal-qamħ Biegħna bi 300 fil-mija, u l-istess għaż-zokkor u s-siment ... tixtri ż-żejt mhux raffinat tagħna u tbigħha lura lilna, raffinata bħala petrokimiċi, bil-mitt darba l-prezz li ħallasna ... huwa ġust biss li , minn "&amp;"issa 'l quddiem, għandek tħallas aktar għaż-żejt. Ejja ngħidu għaxar darbiet aktar. """)</f>
        <v>Fis-6 ta 'Ottubru, 1973, is-Sirja u l-Eġittu, b'appoġġ minn nazzjonijiet Għarab oħra, nedew attakk ta' sorpriża fuq l-Iżrael, fuq Yom Kippur. Dan it-tiġdid ta 'ostilitajiet fil-kunflitt Għarbi-Iżraeljan ħareġ il-pressjoni ekonomika sottostanti fuq il-prezzijiet taż-żejt. Dak iż-żmien, l-Iran kien it-tieni l-akbar esportatur taż-żejt fid-dinja u alleat mill-qrib tal-Istati Uniti. Ġimgħat wara, ix-Shah tal-Iran qal f'intervista: "Dażgur [il-prezz taż-żejt] se jogħla ... ċertament! U kif! ... int [in-nazzjonijiet tal-Punent] żiedu l-prezz tal-qamħ Biegħna bi 300 fil-mija, u l-istess għaż-zokkor u s-siment ... tixtri ż-żejt mhux raffinat tagħna u tbigħha lura lilna, raffinata bħala petrokimiċi, bil-mitt darba l-prezz li ħallasna ... huwa ġust biss li , minn issa 'l quddiem, għandek tħallas aktar għaż-żejt. Ejja ngħidu għaxar darbiet aktar. "</v>
      </c>
    </row>
    <row r="21226" ht="15.75" customHeight="1">
      <c r="A21226" s="2" t="s">
        <v>21226</v>
      </c>
      <c r="B21226" s="2" t="str">
        <f>IFERROR(__xludf.DUMMYFUNCTION("GOOGLETRANSLATE(A21226, ""en"", ""mt"")"),"Meta l-produtturi taż-żejt Għarab neħħew l-embargo?")</f>
        <v>Meta l-produtturi taż-żejt Għarab neħħew l-embargo?</v>
      </c>
    </row>
    <row r="21227" ht="15.75" customHeight="1">
      <c r="A21227" s="2" t="s">
        <v>21227</v>
      </c>
      <c r="B21227" s="2" t="str">
        <f>IFERROR(__xludf.DUMMYFUNCTION("GOOGLETRANSLATE(A21227, ""en"", ""mt"")"),"Liema rati ta 'problemi tas-saħħa u soċjali huma f'pajjiżi b'inugwaljanza għolja?")</f>
        <v>Liema rati ta 'problemi tas-saħħa u soċjali huma f'pajjiżi b'inugwaljanza għolja?</v>
      </c>
    </row>
    <row r="21228" ht="15.75" customHeight="1">
      <c r="A21228" s="2" t="s">
        <v>21228</v>
      </c>
      <c r="B21228" s="2" t="str">
        <f>IFERROR(__xludf.DUMMYFUNCTION("GOOGLETRANSLATE(A21228, ""en"", ""mt"")"),"Għaliex inxtrat Telenet fl-1979?")</f>
        <v>Għaliex inxtrat Telenet fl-1979?</v>
      </c>
    </row>
    <row r="21229" ht="15.75" customHeight="1">
      <c r="A21229" s="2" t="s">
        <v>21229</v>
      </c>
      <c r="B21229" s="2" t="str">
        <f>IFERROR(__xludf.DUMMYFUNCTION("GOOGLETRANSLATE(A21229, ""en"", ""mt"")"),"Algoritmi ta 'ħin esponenzjali")</f>
        <v>Algoritmi ta 'ħin esponenzjali</v>
      </c>
    </row>
    <row r="21230" ht="15.75" customHeight="1">
      <c r="A21230" s="2" t="s">
        <v>21230</v>
      </c>
      <c r="B21230" s="2" t="str">
        <f>IFERROR(__xludf.DUMMYFUNCTION("GOOGLETRANSLATE(A21230, ""en"", ""mt"")"),"Ir-Renu t'isfel")</f>
        <v>Ir-Renu t'isfel</v>
      </c>
    </row>
    <row r="21231" ht="15.75" customHeight="1">
      <c r="A21231" s="2" t="s">
        <v>21231</v>
      </c>
      <c r="B21231" s="2" t="str">
        <f>IFERROR(__xludf.DUMMYFUNCTION("GOOGLETRANSLATE(A21231, ""en"", ""mt"")"),"27 ta ’Settembru 2001")</f>
        <v>27 ta ’Settembru 2001</v>
      </c>
    </row>
    <row r="21232" ht="15.75" customHeight="1">
      <c r="A21232" s="2" t="s">
        <v>21232</v>
      </c>
      <c r="B21232" s="2" t="str">
        <f>IFERROR(__xludf.DUMMYFUNCTION("GOOGLETRANSLATE(A21232, ""en"", ""mt"")"),"Kemm hija twila l-Awstrija?")</f>
        <v>Kemm hija twila l-Awstrija?</v>
      </c>
    </row>
    <row r="21233" ht="15.75" customHeight="1">
      <c r="A21233" s="2" t="s">
        <v>21233</v>
      </c>
      <c r="B21233" s="2" t="str">
        <f>IFERROR(__xludf.DUMMYFUNCTION("GOOGLETRANSLATE(A21233, ""en"", ""mt"")"),"Xi jfisser il-pubbliku li jara periklu imminenti?")</f>
        <v>Xi jfisser il-pubbliku li jara periklu imminenti?</v>
      </c>
    </row>
    <row r="21234" ht="15.75" customHeight="1">
      <c r="A21234" s="2" t="s">
        <v>21234</v>
      </c>
      <c r="B21234" s="2" t="str">
        <f>IFERROR(__xludf.DUMMYFUNCTION("GOOGLETRANSLATE(A21234, ""en"", ""mt"")"),"Il-problema tal-isomorfiżmu tal-graff hija l-problema tal-komputazzjoni li tiddetermina jekk żewġ graffs finiti humiex isomorfi. Problema importanti mhux solvuta fit-teorija tal-kumplessità hija jekk il-problema tal-isomorfiżmu tal-graff hijiex f'P, NP-Co"&amp;"mplete, jew NP-Intermedjat. It-tweġiba mhix magħrufa, iżda huwa maħsub li l-problema hija tal-inqas mhux NP-kompluta. Jekk l-isomorfiżmu tal-graff huwa NP-komplut, il-ġerarkija tal-ħin polinomjali tiġġarraf għat-tieni livell tagħha. Peress li huwa maħsub "&amp;"ħafna li l-ġerarkija polinomjali ma tiġġarrafx għal ebda livell finit, huwa maħsub li l-isomorfiżmu tal-graff mhuwiex NP-komplut. L-aħjar algoritmu għal din il-problema, minħabba Laszlo Babai u Eugene Luks għandu ħin 2o (√ (n log (n))) għal graffs bi vert"&amp;"iċi N.")</f>
        <v>Il-problema tal-isomorfiżmu tal-graff hija l-problema tal-komputazzjoni li tiddetermina jekk żewġ graffs finiti humiex isomorfi. Problema importanti mhux solvuta fit-teorija tal-kumplessità hija jekk il-problema tal-isomorfiżmu tal-graff hijiex f'P, NP-Complete, jew NP-Intermedjat. It-tweġiba mhix magħrufa, iżda huwa maħsub li l-problema hija tal-inqas mhux NP-kompluta. Jekk l-isomorfiżmu tal-graff huwa NP-komplut, il-ġerarkija tal-ħin polinomjali tiġġarraf għat-tieni livell tagħha. Peress li huwa maħsub ħafna li l-ġerarkija polinomjali ma tiġġarrafx għal ebda livell finit, huwa maħsub li l-isomorfiżmu tal-graff mhuwiex NP-komplut. L-aħjar algoritmu għal din il-problema, minħabba Laszlo Babai u Eugene Luks għandu ħin 2o (√ (n log (n))) għal graffs bi vertiċi N.</v>
      </c>
    </row>
    <row r="21235" ht="15.75" customHeight="1">
      <c r="A21235" s="2" t="s">
        <v>21235</v>
      </c>
      <c r="B21235" s="2" t="str">
        <f>IFERROR(__xludf.DUMMYFUNCTION("GOOGLETRANSLATE(A21235, ""en"", ""mt"")"),"""L-Istat Iżlamiku"", li qabel kien magħruf bħala ""l-Istat Iżlamiku ta 'l-Iraq u l-Levant"" u qabel dak bħala ""l-Istat Iżlamiku ta' l-Iraq"", (u sejjaħ l-akronimu Daesh mill-ħafna detractors tiegħu), huwa estremista jihadist Wahhabi / Salafi Grupp milit"&amp;"anti li huwa mmexxi minn u prinċipalment magħmul minn Għarab Sunni mill-Iraq u s-Sirja. Fl-2014, il-grupp ipproklama lilu nnifsu kalifat, b'awtorità reliġjuża, politika u militari matul il-Musulmani kollha mad-dinja kollha. Minn Marzu 2015 [aġġornament], "&amp;"kellu kontroll fuq territorju okkupat minn għaxar miljun persuna fl-Iraq u s-Sirja, u għandu kontroll nominali fuq żoni żgħar tal-Libja, in-Niġerja u l-Afganistan. (Filwaqt li stat deskritt minnu nnifsu, huwa nieqes mir-rikonoxximent internazzjonali.) Il-"&amp;"grupp jopera wkoll jew għandu affiljati f'partijiet oħra tad-dinja, inklużi l-Afrika ta 'Fuq u l-Asja t'Isfel.")</f>
        <v>"L-Istat Iżlamiku", li qabel kien magħruf bħala "l-Istat Iżlamiku ta 'l-Iraq u l-Levant" u qabel dak bħala "l-Istat Iżlamiku ta' l-Iraq", (u sejjaħ l-akronimu Daesh mill-ħafna detractors tiegħu), huwa estremista jihadist Wahhabi / Salafi Grupp militanti li huwa mmexxi minn u prinċipalment magħmul minn Għarab Sunni mill-Iraq u s-Sirja. Fl-2014, il-grupp ipproklama lilu nnifsu kalifat, b'awtorità reliġjuża, politika u militari matul il-Musulmani kollha mad-dinja kollha. Minn Marzu 2015 [aġġornament], kellu kontroll fuq territorju okkupat minn għaxar miljun persuna fl-Iraq u s-Sirja, u għandu kontroll nominali fuq żoni żgħar tal-Libja, in-Niġerja u l-Afganistan. (Filwaqt li stat deskritt minnu nnifsu, huwa nieqes mir-rikonoxximent internazzjonali.) Il-grupp jopera wkoll jew għandu affiljati f'partijiet oħra tad-dinja, inklużi l-Afrika ta 'Fuq u l-Asja t'Isfel.</v>
      </c>
    </row>
    <row r="21236" ht="15.75" customHeight="1">
      <c r="A21236" s="2" t="s">
        <v>21236</v>
      </c>
      <c r="B21236" s="2" t="str">
        <f>IFERROR(__xludf.DUMMYFUNCTION("GOOGLETRANSLATE(A21236, ""en"", ""mt"")"),"Paul Baran żviluppa l-kunċett ta 'swiċċjar ta' blokka ta 'messaġġi adattivi distribwiti")</f>
        <v>Paul Baran żviluppa l-kunċett ta 'swiċċjar ta' blokka ta 'messaġġi adattivi distribwiti</v>
      </c>
    </row>
    <row r="21237" ht="15.75" customHeight="1">
      <c r="A21237" s="2" t="s">
        <v>21237</v>
      </c>
      <c r="B21237" s="2" t="str">
        <f>IFERROR(__xludf.DUMMYFUNCTION("GOOGLETRANSLATE(A21237, ""en"", ""mt"")"),"Fondazzjoni elettronika tal-fruntiera")</f>
        <v>Fondazzjoni elettronika tal-fruntiera</v>
      </c>
    </row>
    <row r="21238" ht="15.75" customHeight="1">
      <c r="A21238" s="2" t="s">
        <v>21238</v>
      </c>
      <c r="B21238" s="2" t="str">
        <f>IFERROR(__xludf.DUMMYFUNCTION("GOOGLETRANSLATE(A21238, ""en"", ""mt"")"),"Khanbaliq")</f>
        <v>Khanbaliq</v>
      </c>
    </row>
    <row r="21239" ht="15.75" customHeight="1">
      <c r="A21239" s="2" t="s">
        <v>21239</v>
      </c>
      <c r="B21239" s="2" t="str">
        <f>IFERROR(__xludf.DUMMYFUNCTION("GOOGLETRANSLATE(A21239, ""en"", ""mt"")"),"Kif jissejjaħ meta l-fwar jimbotta ġeneratur turbo bi propulsjoni tal-mutur elettriku?")</f>
        <v>Kif jissejjaħ meta l-fwar jimbotta ġeneratur turbo bi propulsjoni tal-mutur elettriku?</v>
      </c>
    </row>
    <row r="21240" ht="15.75" customHeight="1">
      <c r="A21240" s="2" t="s">
        <v>21240</v>
      </c>
      <c r="B21240" s="2" t="str">
        <f>IFERROR(__xludf.DUMMYFUNCTION("GOOGLETRANSLATE(A21240, ""en"", ""mt"")"),"Meta r-Rhine ħadet id-dritt ta ’dawra x’tenut?")</f>
        <v>Meta r-Rhine ħadet id-dritt ta ’dawra x’tenut?</v>
      </c>
    </row>
    <row r="21241" ht="15.75" customHeight="1">
      <c r="A21241" s="2" t="s">
        <v>21241</v>
      </c>
      <c r="B21241" s="2" t="str">
        <f>IFERROR(__xludf.DUMMYFUNCTION("GOOGLETRANSLATE(A21241, ""en"", ""mt"")"),"Għal liema daqs in-numru naturali jżomm il-postulat ta 'Chebyshev?")</f>
        <v>Għal liema daqs in-numru naturali jżomm il-postulat ta 'Chebyshev?</v>
      </c>
    </row>
    <row r="21242" ht="15.75" customHeight="1">
      <c r="A21242" s="2" t="s">
        <v>21242</v>
      </c>
      <c r="B21242" s="2" t="str">
        <f>IFERROR(__xludf.DUMMYFUNCTION("GOOGLETRANSLATE(A21242, ""en"", ""mt"")"),"Sunspot, New Mexico")</f>
        <v>Sunspot, New Mexico</v>
      </c>
    </row>
    <row r="21243" ht="15.75" customHeight="1">
      <c r="A21243" s="2" t="s">
        <v>21243</v>
      </c>
      <c r="B21243" s="2" t="str">
        <f>IFERROR(__xludf.DUMMYFUNCTION("GOOGLETRANSLATE(A21243, ""en"", ""mt"")"),"Christian Goldbach")</f>
        <v>Christian Goldbach</v>
      </c>
    </row>
    <row r="21244" ht="15.75" customHeight="1">
      <c r="A21244" s="2" t="s">
        <v>21244</v>
      </c>
      <c r="B21244" s="2" t="str">
        <f>IFERROR(__xludf.DUMMYFUNCTION("GOOGLETRANSLATE(A21244, ""en"", ""mt"")"),"L-Oloken")</f>
        <v>L-Oloken</v>
      </c>
    </row>
    <row r="21245" ht="15.75" customHeight="1">
      <c r="A21245" s="2" t="s">
        <v>21245</v>
      </c>
      <c r="B21245" s="2" t="str">
        <f>IFERROR(__xludf.DUMMYFUNCTION("GOOGLETRANSLATE(A21245, ""en"", ""mt"")"),"Kemm idum biex l-effetti jimmanifestaw bħala bidliet fit-tkabbir ekonomiku?")</f>
        <v>Kemm idum biex l-effetti jimmanifestaw bħala bidliet fit-tkabbir ekonomiku?</v>
      </c>
    </row>
    <row r="21246" ht="15.75" customHeight="1">
      <c r="A21246" s="2" t="s">
        <v>21246</v>
      </c>
      <c r="B21246" s="2" t="str">
        <f>IFERROR(__xludf.DUMMYFUNCTION("GOOGLETRANSLATE(A21246, ""en"", ""mt"")"),"Min iktar minbarra Ġenova nnegozjat ma 'Kaffa?")</f>
        <v>Min iktar minbarra Ġenova nnegozjat ma 'Kaffa?</v>
      </c>
    </row>
    <row r="21247" ht="15.75" customHeight="1">
      <c r="A21247" s="2" t="s">
        <v>21247</v>
      </c>
      <c r="B21247" s="2" t="str">
        <f>IFERROR(__xludf.DUMMYFUNCTION("GOOGLETRANSLATE(A21247, ""en"", ""mt"")"),"Wara l-apartheid, liema tipi ta 'skejjel huma msejħa skejjel ""Mudell Ċ""?")</f>
        <v>Wara l-apartheid, liema tipi ta 'skejjel huma msejħa skejjel "Mudell Ċ"?</v>
      </c>
    </row>
    <row r="21248" ht="15.75" customHeight="1">
      <c r="A21248" s="2" t="s">
        <v>21248</v>
      </c>
      <c r="B21248" s="2" t="str">
        <f>IFERROR(__xludf.DUMMYFUNCTION("GOOGLETRANSLATE(A21248, ""en"", ""mt"")"),"Ministeru tal-Gwerra")</f>
        <v>Ministeru tal-Gwerra</v>
      </c>
    </row>
    <row r="21249" ht="15.75" customHeight="1">
      <c r="A21249" s="2" t="s">
        <v>21249</v>
      </c>
      <c r="B21249" s="2" t="str">
        <f>IFERROR(__xludf.DUMMYFUNCTION("GOOGLETRANSLATE(A21249, ""en"", ""mt"")"),"Grazzi")</f>
        <v>Grazzi</v>
      </c>
    </row>
    <row r="21250" ht="15.75" customHeight="1">
      <c r="A21250" s="2" t="s">
        <v>21250</v>
      </c>
      <c r="B21250" s="2" t="str">
        <f>IFERROR(__xludf.DUMMYFUNCTION("GOOGLETRANSLATE(A21250, ""en"", ""mt"")"),"X’wassal għall-kriżi?")</f>
        <v>X’wassal għall-kriżi?</v>
      </c>
    </row>
    <row r="21251" ht="15.75" customHeight="1">
      <c r="A21251" s="2" t="s">
        <v>21251</v>
      </c>
      <c r="B21251" s="2" t="str">
        <f>IFERROR(__xludf.DUMMYFUNCTION("GOOGLETRANSLATE(A21251, ""en"", ""mt"")"),"Iffurmat f'Novembru 1990 mill-għaqda ugwali ta 'Sky Television u xandir bis-satellita Ingliża, BSKYB saret l-akbar kumpanija tat-televiżjoni diġitali tas-sottoskrizzjoni tar-Renju Unit. Wara l-akkwist tal-2014 tal-BSKYB ta 'Sky Italia u l-interess maġġora"&amp;"nza ta' 90.04% fis-Sky Deutschland f'Novembru 2014, il-kumpanija holding tagħha British Sky Broadcasting Group Plc biddlet isimha għal Sky Plc. L-operazzjonijiet tar-Renju Unit biddlu wkoll l-isem tal-kumpanija minn British Sky Broadcasting Limited għal S"&amp;"ky UK Limited, li għadu qed jinnegozja bħala Sky.")</f>
        <v>Iffurmat f'Novembru 1990 mill-għaqda ugwali ta 'Sky Television u xandir bis-satellita Ingliża, BSKYB saret l-akbar kumpanija tat-televiżjoni diġitali tas-sottoskrizzjoni tar-Renju Unit. Wara l-akkwist tal-2014 tal-BSKYB ta 'Sky Italia u l-interess maġġoranza ta' 90.04% fis-Sky Deutschland f'Novembru 2014, il-kumpanija holding tagħha British Sky Broadcasting Group Plc biddlet isimha għal Sky Plc. L-operazzjonijiet tar-Renju Unit biddlu wkoll l-isem tal-kumpanija minn British Sky Broadcasting Limited għal Sky UK Limited, li għadu qed jinnegozja bħala Sky.</v>
      </c>
    </row>
    <row r="21252" ht="15.75" customHeight="1">
      <c r="A21252" s="2" t="s">
        <v>21252</v>
      </c>
      <c r="B21252" s="2" t="str">
        <f>IFERROR(__xludf.DUMMYFUNCTION("GOOGLETRANSLATE(A21252, ""en"", ""mt"")")," Kemm imperi mhux Musulmani użaw l-imperjalizmu?")</f>
        <v> Kemm imperi mhux Musulmani użaw l-imperjalizmu?</v>
      </c>
    </row>
    <row r="21253" ht="15.75" customHeight="1">
      <c r="A21253" s="2" t="s">
        <v>21253</v>
      </c>
      <c r="B21253" s="2" t="str">
        <f>IFERROR(__xludf.DUMMYFUNCTION("GOOGLETRANSLATE(A21253, ""en"", ""mt"")"),"X'inhu l-aħħar sors tal-liġi tal-Unjoni Ewropea?")</f>
        <v>X'inhu l-aħħar sors tal-liġi tal-Unjoni Ewropea?</v>
      </c>
    </row>
    <row r="21254" ht="15.75" customHeight="1">
      <c r="A21254" s="2" t="s">
        <v>21254</v>
      </c>
      <c r="B21254" s="2" t="str">
        <f>IFERROR(__xludf.DUMMYFUNCTION("GOOGLETRANSLATE(A21254, ""en"", ""mt"")"),"X'inhu l-isem għal problema li tissodisfa l-affermazzjoni ta 'Ladner?")</f>
        <v>X'inhu l-isem għal problema li tissodisfa l-affermazzjoni ta 'Ladner?</v>
      </c>
    </row>
    <row r="21255" ht="15.75" customHeight="1">
      <c r="A21255" s="2" t="s">
        <v>21255</v>
      </c>
      <c r="B21255" s="2" t="str">
        <f>IFERROR(__xludf.DUMMYFUNCTION("GOOGLETRANSLATE(A21255, ""en"", ""mt"")"),"Marġinali jew splinter")</f>
        <v>Marġinali jew splinter</v>
      </c>
    </row>
    <row r="21256" ht="15.75" customHeight="1">
      <c r="A21256" s="2" t="s">
        <v>21256</v>
      </c>
      <c r="B21256" s="2" t="str">
        <f>IFERROR(__xludf.DUMMYFUNCTION("GOOGLETRANSLATE(A21256, ""en"", ""mt"")"),"Kemm huwa eħfef ossiġnu-18?")</f>
        <v>Kemm huwa eħfef ossiġnu-18?</v>
      </c>
    </row>
    <row r="21257" ht="15.75" customHeight="1">
      <c r="A21257" s="2" t="s">
        <v>21257</v>
      </c>
      <c r="B21257" s="2" t="str">
        <f>IFERROR(__xludf.DUMMYFUNCTION("GOOGLETRANSLATE(A21257, ""en"", ""mt"")"),"permezz ta ’kuntatt ma’ negozjanti Persjani")</f>
        <v>permezz ta ’kuntatt ma’ negozjanti Persjani</v>
      </c>
    </row>
    <row r="21258" ht="15.75" customHeight="1">
      <c r="A21258" s="2" t="s">
        <v>21258</v>
      </c>
      <c r="B21258" s="2" t="str">
        <f>IFERROR(__xludf.DUMMYFUNCTION("GOOGLETRANSLATE(A21258, ""en"", ""mt"")"),"ċirku kommutattiv")</f>
        <v>ċirku kommutattiv</v>
      </c>
    </row>
    <row r="21259" ht="15.75" customHeight="1">
      <c r="A21259" s="2" t="s">
        <v>21259</v>
      </c>
      <c r="B21259" s="2" t="str">
        <f>IFERROR(__xludf.DUMMYFUNCTION("GOOGLETRANSLATE(A21259, ""en"", ""mt"")"),"Meta l-inugwaljanzi fil-ġid mhumiex ġustifikati, skond John Rawls?")</f>
        <v>Meta l-inugwaljanzi fil-ġid mhumiex ġustifikati, skond John Rawls?</v>
      </c>
    </row>
    <row r="21260" ht="15.75" customHeight="1">
      <c r="A21260" s="2" t="s">
        <v>21260</v>
      </c>
      <c r="B21260" s="2" t="str">
        <f>IFERROR(__xludf.DUMMYFUNCTION("GOOGLETRANSLATE(A21260, ""en"", ""mt"")"),"Migrazzjoni interna u urbanizzazzjoni.")</f>
        <v>Migrazzjoni interna u urbanizzazzjoni.</v>
      </c>
    </row>
    <row r="21261" ht="15.75" customHeight="1">
      <c r="A21261" s="2" t="s">
        <v>21261</v>
      </c>
      <c r="B21261" s="2" t="str">
        <f>IFERROR(__xludf.DUMMYFUNCTION("GOOGLETRANSLATE(A21261, ""en"", ""mt"")"),"X'jiġri jekk l-iskadenza tad-direttiva tintlaħaq?")</f>
        <v>X'jiġri jekk l-iskadenza tad-direttiva tintlaħaq?</v>
      </c>
    </row>
    <row r="21262" ht="15.75" customHeight="1">
      <c r="A21262" s="2" t="s">
        <v>21262</v>
      </c>
      <c r="B21262" s="2" t="str">
        <f>IFERROR(__xludf.DUMMYFUNCTION("GOOGLETRANSLATE(A21262, ""en"", ""mt"")"),"Ammont kbir minnu")</f>
        <v>Ammont kbir minnu</v>
      </c>
    </row>
    <row r="21263" ht="15.75" customHeight="1">
      <c r="A21263" s="2" t="s">
        <v>21263</v>
      </c>
      <c r="B21263" s="2" t="str">
        <f>IFERROR(__xludf.DUMMYFUNCTION("GOOGLETRANSLATE(A21263, ""en"", ""mt"")"),"Liema lingwa tintuża fi skejjel sekondarji Ċiniżi fil-Malasja?")</f>
        <v>Liema lingwa tintuża fi skejjel sekondarji Ċiniżi fil-Malasja?</v>
      </c>
    </row>
    <row r="21264" ht="15.75" customHeight="1">
      <c r="A21264" s="2" t="s">
        <v>21264</v>
      </c>
      <c r="B21264" s="2" t="str">
        <f>IFERROR(__xludf.DUMMYFUNCTION("GOOGLETRANSLATE(A21264, ""en"", ""mt"")"),"Liema pajjiżi jużaw A Red Stylized A biex ifissru l-ispiżerija?")</f>
        <v>Liema pajjiżi jużaw A Red Stylized A biex ifissru l-ispiżerija?</v>
      </c>
    </row>
    <row r="21265" ht="15.75" customHeight="1">
      <c r="A21265" s="2" t="s">
        <v>21265</v>
      </c>
      <c r="B21265" s="2" t="str">
        <f>IFERROR(__xludf.DUMMYFUNCTION("GOOGLETRANSLATE(A21265, ""en"", ""mt"")"),"Liema radjazzjoni ħafifa tassorbi l-ożonu?")</f>
        <v>Liema radjazzjoni ħafifa tassorbi l-ożonu?</v>
      </c>
    </row>
    <row r="21266" ht="15.75" customHeight="1">
      <c r="A21266" s="2" t="s">
        <v>21266</v>
      </c>
      <c r="B21266" s="2" t="str">
        <f>IFERROR(__xludf.DUMMYFUNCTION("GOOGLETRANSLATE(A21266, ""en"", ""mt"")"),"X'għamel Virgin Media BSKYB li rriżulta li Virgin ma ġġorrx il-kanali aktar?")</f>
        <v>X'għamel Virgin Media BSKYB li rriżulta li Virgin ma ġġorrx il-kanali aktar?</v>
      </c>
    </row>
    <row r="21267" ht="15.75" customHeight="1">
      <c r="A21267" s="2" t="s">
        <v>21267</v>
      </c>
      <c r="B21267" s="2" t="str">
        <f>IFERROR(__xludf.DUMMYFUNCTION("GOOGLETRANSLATE(A21267, ""en"", ""mt"")"),"Dikjarazzjoni ssuġġeriet nuqqas ta 'dispjaċir")</f>
        <v>Dikjarazzjoni ssuġġeriet nuqqas ta 'dispjaċir</v>
      </c>
    </row>
    <row r="21268" ht="15.75" customHeight="1">
      <c r="A21268" s="2" t="s">
        <v>21268</v>
      </c>
      <c r="B21268" s="2" t="str">
        <f>IFERROR(__xludf.DUMMYFUNCTION("GOOGLETRANSLATE(A21268, ""en"", ""mt"")"),"menarche")</f>
        <v>menarche</v>
      </c>
    </row>
    <row r="21269" ht="15.75" customHeight="1">
      <c r="A21269" s="2" t="s">
        <v>21269</v>
      </c>
      <c r="B21269" s="2" t="str">
        <f>IFERROR(__xludf.DUMMYFUNCTION("GOOGLETRANSLATE(A21269, ""en"", ""mt"")"),"11.1%")</f>
        <v>11.1%</v>
      </c>
    </row>
    <row r="21270" ht="15.75" customHeight="1">
      <c r="A21270" s="2" t="s">
        <v>21270</v>
      </c>
      <c r="B21270" s="2" t="str">
        <f>IFERROR(__xludf.DUMMYFUNCTION("GOOGLETRANSLATE(A21270, ""en"", ""mt"")"),"Jekk jarrestaw fuljetti tal-ġurija infurmati bis-sħiħ, il-fuljetti għandhom jingħataw lill-ġurija tal-fuljett stess bħala evidenza")</f>
        <v>Jekk jarrestaw fuljetti tal-ġurija infurmati bis-sħiħ, il-fuljetti għandhom jingħataw lill-ġurija tal-fuljett stess bħala evidenza</v>
      </c>
    </row>
    <row r="21271" ht="15.75" customHeight="1">
      <c r="A21271" s="2" t="s">
        <v>21271</v>
      </c>
      <c r="B21271" s="2" t="str">
        <f>IFERROR(__xludf.DUMMYFUNCTION("GOOGLETRANSLATE(A21271, ""en"", ""mt"")"),"Min hu l-politiċi elite li se jsegwu skont il-gvern?")</f>
        <v>Min hu l-politiċi elite li se jsegwu skont il-gvern?</v>
      </c>
    </row>
    <row r="21272" ht="15.75" customHeight="1">
      <c r="A21272" s="2" t="s">
        <v>21272</v>
      </c>
      <c r="B21272" s="2" t="str">
        <f>IFERROR(__xludf.DUMMYFUNCTION("GOOGLETRANSLATE(A21272, ""en"", ""mt"")"),"Battalja ta 'Fort Bull")</f>
        <v>Battalja ta 'Fort Bull</v>
      </c>
    </row>
    <row r="21273" ht="15.75" customHeight="1">
      <c r="A21273" s="2" t="s">
        <v>21273</v>
      </c>
      <c r="B21273" s="2" t="str">
        <f>IFERROR(__xludf.DUMMYFUNCTION("GOOGLETRANSLATE(A21273, ""en"", ""mt"")"),"BSKYB Meta ħabbar l-intenzjoni li jtejjeb il-kanali diġitali bla ħlas tiegħu?")</f>
        <v>BSKYB Meta ħabbar l-intenzjoni li jtejjeb il-kanali diġitali bla ħlas tiegħu?</v>
      </c>
    </row>
    <row r="21274" ht="15.75" customHeight="1">
      <c r="A21274" s="2" t="s">
        <v>21274</v>
      </c>
      <c r="B21274" s="2" t="str">
        <f>IFERROR(__xludf.DUMMYFUNCTION("GOOGLETRANSLATE(A21274, ""en"", ""mt"")"),"Il-kostruzzjoni tinvolvi t-traduzzjoni ta 'xiex?")</f>
        <v>Il-kostruzzjoni tinvolvi t-traduzzjoni ta 'xiex?</v>
      </c>
    </row>
    <row r="21275" ht="15.75" customHeight="1">
      <c r="A21275" s="2" t="s">
        <v>21275</v>
      </c>
      <c r="B21275" s="2" t="str">
        <f>IFERROR(__xludf.DUMMYFUNCTION("GOOGLETRANSLATE(A21275, ""en"", ""mt"")"),"Il-bliet ta 'Los Angeles u San Diego huma parti minn liema stat?")</f>
        <v>Il-bliet ta 'Los Angeles u San Diego huma parti minn liema stat?</v>
      </c>
    </row>
    <row r="21276" ht="15.75" customHeight="1">
      <c r="A21276" s="2" t="s">
        <v>21276</v>
      </c>
      <c r="B21276" s="2" t="str">
        <f>IFERROR(__xludf.DUMMYFUNCTION("GOOGLETRANSLATE(A21276, ""en"", ""mt"")")," Lil min rrifjuta l-għajnuna lill-Istati Uniti, biex jiġġieldu kontra l-Unjoni Sovjetika?")</f>
        <v> Lil min rrifjuta l-għajnuna lill-Istati Uniti, biex jiġġieldu kontra l-Unjoni Sovjetika?</v>
      </c>
    </row>
    <row r="21277" ht="15.75" customHeight="1">
      <c r="A21277" s="2" t="s">
        <v>21277</v>
      </c>
      <c r="B21277" s="2" t="str">
        <f>IFERROR(__xludf.DUMMYFUNCTION("GOOGLETRANSLATE(A21277, ""en"", ""mt"")"),"X'għandhom jirrappreżentaw A u B fl-espressjoni sħiħa Gaussjana?")</f>
        <v>X'għandhom jirrappreżentaw A u B fl-espressjoni sħiħa Gaussjana?</v>
      </c>
    </row>
    <row r="21278" ht="15.75" customHeight="1">
      <c r="A21278" s="2" t="s">
        <v>21278</v>
      </c>
      <c r="B21278" s="2" t="str">
        <f>IFERROR(__xludf.DUMMYFUNCTION("GOOGLETRANSLATE(A21278, ""en"", ""mt"")"),"X'kien l-ewwel għal dan in-netwerk")</f>
        <v>X'kien l-ewwel għal dan in-netwerk</v>
      </c>
    </row>
    <row r="21279" ht="15.75" customHeight="1">
      <c r="A21279" s="2" t="s">
        <v>21279</v>
      </c>
      <c r="B21279" s="2" t="str">
        <f>IFERROR(__xludf.DUMMYFUNCTION("GOOGLETRANSLATE(A21279, ""en"", ""mt"")"),"Wara li l-operaturi jiġu mwissija bil-ħarba tal-fwar, x'jistgħu jagħmlu?")</f>
        <v>Wara li l-operaturi jiġu mwissija bil-ħarba tal-fwar, x'jistgħu jagħmlu?</v>
      </c>
    </row>
    <row r="21280" ht="15.75" customHeight="1">
      <c r="A21280" s="2" t="s">
        <v>21280</v>
      </c>
      <c r="B21280" s="2" t="str">
        <f>IFERROR(__xludf.DUMMYFUNCTION("GOOGLETRANSLATE(A21280, ""en"", ""mt"")"),"konsum tal-fjuwil, produzzjoni industrijali u l-bqija")</f>
        <v>konsum tal-fjuwil, produzzjoni industrijali u l-bqija</v>
      </c>
    </row>
    <row r="21281" ht="15.75" customHeight="1">
      <c r="A21281" s="2" t="s">
        <v>21281</v>
      </c>
      <c r="B21281" s="2" t="str">
        <f>IFERROR(__xludf.DUMMYFUNCTION("GOOGLETRANSLATE(A21281, ""en"", ""mt"")"),"Hereford")</f>
        <v>Hereford</v>
      </c>
    </row>
    <row r="21282" ht="15.75" customHeight="1">
      <c r="A21282" s="2" t="s">
        <v>21282</v>
      </c>
      <c r="B21282" s="2" t="str">
        <f>IFERROR(__xludf.DUMMYFUNCTION("GOOGLETRANSLATE(A21282, ""en"", ""mt"")"),"Il-protokolli ta 'Decnet II ġew iddisinjati minn min?")</f>
        <v>Il-protokolli ta 'Decnet II ġew iddisinjati minn min?</v>
      </c>
    </row>
    <row r="21283" ht="15.75" customHeight="1">
      <c r="A21283" s="2" t="s">
        <v>21283</v>
      </c>
      <c r="B21283" s="2" t="str">
        <f>IFERROR(__xludf.DUMMYFUNCTION("GOOGLETRANSLATE(A21283, ""en"", ""mt"")"),"Kif jista 'l-approċċ tal-kapaċitajiet jilħaq l-għan tiegħu?")</f>
        <v>Kif jista 'l-approċċ tal-kapaċitajiet jilħaq l-għan tiegħu?</v>
      </c>
    </row>
    <row r="21284" ht="15.75" customHeight="1">
      <c r="A21284" s="2" t="s">
        <v>21284</v>
      </c>
      <c r="B21284" s="2" t="str">
        <f>IFERROR(__xludf.DUMMYFUNCTION("GOOGLETRANSLATE(A21284, ""en"", ""mt"")"),"Il-Gwerer tar-Reliġjon")</f>
        <v>Il-Gwerer tar-Reliġjon</v>
      </c>
    </row>
    <row r="21285" ht="15.75" customHeight="1">
      <c r="A21285" s="2" t="s">
        <v>21285</v>
      </c>
      <c r="B21285" s="2" t="str">
        <f>IFERROR(__xludf.DUMMYFUNCTION("GOOGLETRANSLATE(A21285, ""en"", ""mt"")"),"Sal-1987, liema pożizzjoni ħadet il-Fratellanza Musulmana fl-Iraq lejn l-Iżrael?")</f>
        <v>Sal-1987, liema pożizzjoni ħadet il-Fratellanza Musulmana fl-Iraq lejn l-Iżrael?</v>
      </c>
    </row>
    <row r="21286" ht="15.75" customHeight="1">
      <c r="A21286" s="2" t="s">
        <v>21286</v>
      </c>
      <c r="B21286" s="2" t="str">
        <f>IFERROR(__xludf.DUMMYFUNCTION("GOOGLETRANSLATE(A21286, ""en"", ""mt"")"),"Enr")</f>
        <v>Enr</v>
      </c>
    </row>
    <row r="21287" ht="15.75" customHeight="1">
      <c r="A21287" s="2" t="s">
        <v>21287</v>
      </c>
      <c r="B21287" s="2" t="str">
        <f>IFERROR(__xludf.DUMMYFUNCTION("GOOGLETRANSLATE(A21287, ""en"", ""mt"")"),"Dak li jservi bħala barriera bejn it-tessuti tal-ġisem u s-sistema nervuża?")</f>
        <v>Dak li jservi bħala barriera bejn it-tessuti tal-ġisem u s-sistema nervuża?</v>
      </c>
    </row>
    <row r="21288" ht="15.75" customHeight="1">
      <c r="A21288" s="2" t="s">
        <v>21288</v>
      </c>
      <c r="B21288" s="2" t="str">
        <f>IFERROR(__xludf.DUMMYFUNCTION("GOOGLETRANSLATE(A21288, ""en"", ""mt"")"),"X'inhu l-isem tar-raħal li darba kien jeżisti f'liema huwa d-downtown ta 'Jacksonville?")</f>
        <v>X'inhu l-isem tar-raħal li darba kien jeżisti f'liema huwa d-downtown ta 'Jacksonville?</v>
      </c>
    </row>
    <row r="21289" ht="15.75" customHeight="1">
      <c r="A21289" s="2" t="s">
        <v>21289</v>
      </c>
      <c r="B21289" s="2" t="str">
        <f>IFERROR(__xludf.DUMMYFUNCTION("GOOGLETRANSLATE(A21289, ""en"", ""mt"")"),"Applikazzjoni kontinwa ta 'forza")</f>
        <v>Applikazzjoni kontinwa ta 'forza</v>
      </c>
    </row>
    <row r="21290" ht="15.75" customHeight="1">
      <c r="A21290" s="2" t="s">
        <v>21290</v>
      </c>
      <c r="B21290" s="2" t="str">
        <f>IFERROR(__xludf.DUMMYFUNCTION("GOOGLETRANSLATE(A21290, ""en"", ""mt"")"),"Ir-Renu kanalizzat")</f>
        <v>Ir-Renu kanalizzat</v>
      </c>
    </row>
    <row r="21291" ht="15.75" customHeight="1">
      <c r="A21291" s="2" t="s">
        <v>21291</v>
      </c>
      <c r="B21291" s="2" t="str">
        <f>IFERROR(__xludf.DUMMYFUNCTION("GOOGLETRANSLATE(A21291, ""en"", ""mt"")"),"L-ormoni jistgħu jaġixxu bħala immunomodulaturi, u jbiddlu s-sensittività tas-sistema immunitarja. Pereżempju, l-ormoni tas-sess femminili huma immunostimulaturi magħrufa kemm ta 'risponsi immuni adattivi kif ukoll innati. Xi mard awtoimmuni bħal lupus er"&amp;"itematos jolqot lin-nisa b'mod preferenzjali, u l-bidu tagħhom spiss jikkoinċidi mal-pubertà. B'kuntrast, ormoni tas-sess maskili bħal testosterone jidhru li huma immunosoppressivi. Ormoni oħra jidhru li jirregolaw is-sistema immuni wkoll, l-aktar prolact"&amp;"in, ormon tat-tkabbir u vitamina D.")</f>
        <v>L-ormoni jistgħu jaġixxu bħala immunomodulaturi, u jbiddlu s-sensittività tas-sistema immunitarja. Pereżempju, l-ormoni tas-sess femminili huma immunostimulaturi magħrufa kemm ta 'risponsi immuni adattivi kif ukoll innati. Xi mard awtoimmuni bħal lupus eritematos jolqot lin-nisa b'mod preferenzjali, u l-bidu tagħhom spiss jikkoinċidi mal-pubertà. B'kuntrast, ormoni tas-sess maskili bħal testosterone jidhru li huma immunosoppressivi. Ormoni oħra jidhru li jirregolaw is-sistema immuni wkoll, l-aktar prolactin, ormon tat-tkabbir u vitamina D.</v>
      </c>
    </row>
    <row r="21292" ht="15.75" customHeight="1">
      <c r="A21292" s="2" t="s">
        <v>21292</v>
      </c>
      <c r="B21292" s="2" t="str">
        <f>IFERROR(__xludf.DUMMYFUNCTION("GOOGLETRANSLATE(A21292, ""en"", ""mt"")"),"Kemm mili fit-tramuntana ta 'Downtown Fresno huwa l-viċinat tad-Distrett tat-Torri?")</f>
        <v>Kemm mili fit-tramuntana ta 'Downtown Fresno huwa l-viċinat tad-Distrett tat-Torri?</v>
      </c>
    </row>
    <row r="21293" ht="15.75" customHeight="1">
      <c r="A21293" s="2" t="s">
        <v>21293</v>
      </c>
      <c r="B21293" s="2" t="str">
        <f>IFERROR(__xludf.DUMMYFUNCTION("GOOGLETRANSLATE(A21293, ""en"", ""mt"")")," Meta ma kinux Joseph Schumpeter u Norman Angell fl-iktar perjodu ta 'kitba prolifiku tagħhom?")</f>
        <v> Meta ma kinux Joseph Schumpeter u Norman Angell fl-iktar perjodu ta 'kitba prolifiku tagħhom?</v>
      </c>
    </row>
    <row r="21294" ht="15.75" customHeight="1">
      <c r="A21294" s="2" t="s">
        <v>21294</v>
      </c>
      <c r="B21294" s="2" t="str">
        <f>IFERROR(__xludf.DUMMYFUNCTION("GOOGLETRANSLATE(A21294, ""en"", ""mt"")"),"Elettriku, ilma, drenaġġ, telefon, u kejbil")</f>
        <v>Elettriku, ilma, drenaġġ, telefon, u kejbil</v>
      </c>
    </row>
    <row r="21295" ht="15.75" customHeight="1">
      <c r="A21295" s="2" t="s">
        <v>21295</v>
      </c>
      <c r="B21295" s="2" t="str">
        <f>IFERROR(__xludf.DUMMYFUNCTION("GOOGLETRANSLATE(A21295, ""en"", ""mt"")"),"Dokumenti preċedenti li jistudjaw problemi solvibbli minn magni tat-Turing b'riżorsi speċifiċi li jinkludu d-definizzjoni ta 'John Myhill ta' Automata Linear Limitat (Myhill 1960), l-istudju ta 'Raymond Smullyan dwar is-settijiet rudimentarji (1961), kif "&amp;"ukoll il-karta ta' Hisao Yamada dwar komputazzjonijiet f'ħin reali (1962). Xi ftit qabel, Boris Trakhtenbrot (1956), pijunier fil-qasam mill-USSR, studja miżura oħra ta 'kumplessità speċifika. Kif jiftakar:")</f>
        <v>Dokumenti preċedenti li jistudjaw problemi solvibbli minn magni tat-Turing b'riżorsi speċifiċi li jinkludu d-definizzjoni ta 'John Myhill ta' Automata Linear Limitat (Myhill 1960), l-istudju ta 'Raymond Smullyan dwar is-settijiet rudimentarji (1961), kif ukoll il-karta ta' Hisao Yamada dwar komputazzjonijiet f'ħin reali (1962). Xi ftit qabel, Boris Trakhtenbrot (1956), pijunier fil-qasam mill-USSR, studja miżura oħra ta 'kumplessità speċifika. Kif jiftakar:</v>
      </c>
    </row>
    <row r="21296" ht="15.75" customHeight="1">
      <c r="A21296" s="2" t="s">
        <v>21296</v>
      </c>
      <c r="B21296" s="2" t="str">
        <f>IFERROR(__xludf.DUMMYFUNCTION("GOOGLETRANSLATE(A21296, ""en"", ""mt"")"),"X'jista 'jiġi attribwit għall-aċċellerazzjoni tal-gravità madwar id-dinja?")</f>
        <v>X'jista 'jiġi attribwit għall-aċċellerazzjoni tal-gravità madwar id-dinja?</v>
      </c>
    </row>
    <row r="21297" ht="15.75" customHeight="1">
      <c r="A21297" s="2" t="s">
        <v>21297</v>
      </c>
      <c r="B21297" s="2" t="str">
        <f>IFERROR(__xludf.DUMMYFUNCTION("GOOGLETRANSLATE(A21297, ""en"", ""mt"")"),"Terminal dial-up ma 'kuxxinett, jew, billi jgħaqqad nodu permanenti X.25")</f>
        <v>Terminal dial-up ma 'kuxxinett, jew, billi jgħaqqad nodu permanenti X.25</v>
      </c>
    </row>
    <row r="21298" ht="15.75" customHeight="1">
      <c r="A21298" s="2" t="s">
        <v>21298</v>
      </c>
      <c r="B21298" s="2" t="str">
        <f>IFERROR(__xludf.DUMMYFUNCTION("GOOGLETRANSLATE(A21298, ""en"", ""mt"")"),"Xeriff għoli")</f>
        <v>Xeriff għoli</v>
      </c>
    </row>
    <row r="21299" ht="15.75" customHeight="1">
      <c r="A21299" s="2" t="s">
        <v>21299</v>
      </c>
      <c r="B21299" s="2" t="str">
        <f>IFERROR(__xludf.DUMMYFUNCTION("GOOGLETRANSLATE(A21299, ""en"", ""mt"")"),"huma ewlenin. In-numri ewlenin ta 'din il-forma huma magħrufa bħala primes fattwali. Primes oħra fejn jew P + 1 jew P - 1 huma ta 'forma partikolari jinkludu s-Sophie Germain Primes (primes tal-Formola 2P + 1 bi P prim), primes primorial, Fermat Primes u "&amp;"Mersenne Primes, jiġifieri, numri ewlenin li huma tal-forma 2p - 1, fejn P hija prim arbitrarju. It-test Lucas-Lehmer huwa partikolarment mgħaġġel għan-numri ta 'din il-forma. Din hija r-raġuni għaliex l-akbar prim magħruf kważi dejjem kien Mersenne prim "&amp;"mill-bidunett tal-kompjuters elettroniċi.")</f>
        <v>huma ewlenin. In-numri ewlenin ta 'din il-forma huma magħrufa bħala primes fattwali. Primes oħra fejn jew P + 1 jew P - 1 huma ta 'forma partikolari jinkludu s-Sophie Germain Primes (primes tal-Formola 2P + 1 bi P prim), primes primorial, Fermat Primes u Mersenne Primes, jiġifieri, numri ewlenin li huma tal-forma 2p - 1, fejn P hija prim arbitrarju. It-test Lucas-Lehmer huwa partikolarment mgħaġġel għan-numri ta 'din il-forma. Din hija r-raġuni għaliex l-akbar prim magħruf kważi dejjem kien Mersenne prim mill-bidunett tal-kompjuters elettroniċi.</v>
      </c>
    </row>
    <row r="21300" ht="15.75" customHeight="1">
      <c r="A21300" s="2" t="s">
        <v>21300</v>
      </c>
      <c r="B21300" s="2" t="str">
        <f>IFERROR(__xludf.DUMMYFUNCTION("GOOGLETRANSLATE(A21300, ""en"", ""mt"")"),"X'inhi l-komunità etnika tradizzjonalment misjuba fil-belt?")</f>
        <v>X'inhi l-komunità etnika tradizzjonalment misjuba fil-belt?</v>
      </c>
    </row>
    <row r="21301" ht="15.75" customHeight="1">
      <c r="A21301" s="2" t="s">
        <v>21301</v>
      </c>
      <c r="B21301" s="2" t="str">
        <f>IFERROR(__xludf.DUMMYFUNCTION("GOOGLETRANSLATE(A21301, ""en"", ""mt"")"),"Fejn isseħħ estensjoni?")</f>
        <v>Fejn isseħħ estensjoni?</v>
      </c>
    </row>
    <row r="21302" ht="15.75" customHeight="1">
      <c r="A21302" s="2" t="s">
        <v>21302</v>
      </c>
      <c r="B21302" s="2" t="str">
        <f>IFERROR(__xludf.DUMMYFUNCTION("GOOGLETRANSLATE(A21302, ""en"", ""mt"")"),"Magni ta 'espansjoni tal-kwadruple")</f>
        <v>Magni ta 'espansjoni tal-kwadruple</v>
      </c>
    </row>
    <row r="21303" ht="15.75" customHeight="1">
      <c r="A21303" s="2" t="s">
        <v>21303</v>
      </c>
      <c r="B21303" s="2" t="str">
        <f>IFERROR(__xludf.DUMMYFUNCTION("GOOGLETRANSLATE(A21303, ""en"", ""mt"")"),"Fejn Franza ffokat l-isforzi tagħha biex tibni mill-ġdid l-imperu tagħha?")</f>
        <v>Fejn Franza ffokat l-isforzi tagħha biex tibni mill-ġdid l-imperu tagħha?</v>
      </c>
    </row>
    <row r="21304" ht="15.75" customHeight="1">
      <c r="A21304" s="2" t="s">
        <v>21304</v>
      </c>
      <c r="B21304" s="2" t="str">
        <f>IFERROR(__xludf.DUMMYFUNCTION("GOOGLETRANSLATE(A21304, ""en"", ""mt"")"),"manniista")</f>
        <v>manniista</v>
      </c>
    </row>
    <row r="21305" ht="15.75" customHeight="1">
      <c r="A21305" s="2" t="s">
        <v>21305</v>
      </c>
      <c r="B21305" s="2" t="str">
        <f>IFERROR(__xludf.DUMMYFUNCTION("GOOGLETRANSLATE(A21305, ""en"", ""mt"")"),"X'tip ta 'ċellula mhix lewkoċita innata?")</f>
        <v>X'tip ta 'ċellula mhix lewkoċita innata?</v>
      </c>
    </row>
    <row r="21306" ht="15.75" customHeight="1">
      <c r="A21306" s="2" t="s">
        <v>21306</v>
      </c>
      <c r="B21306" s="2" t="str">
        <f>IFERROR(__xludf.DUMMYFUNCTION("GOOGLETRANSLATE(A21306, ""en"", ""mt"")"),"Min ġab il-Mongoli lill-Ġappun bħala amministraturi?")</f>
        <v>Min ġab il-Mongoli lill-Ġappun bħala amministraturi?</v>
      </c>
    </row>
    <row r="21307" ht="15.75" customHeight="1">
      <c r="A21307" s="2" t="s">
        <v>21307</v>
      </c>
      <c r="B21307" s="2" t="str">
        <f>IFERROR(__xludf.DUMMYFUNCTION("GOOGLETRANSLATE(A21307, ""en"", ""mt"")"),"Il-Programm tal-Arti ta ’Uchicago jingħaqad ma’ dipartimenti akkademiċi u programmi fid-Diviżjoni tal-Umanistika u l-Kulleġġ, kif ukoll organizzazzjonijiet professjonali inkluż it-Teatru tal-Qorti, l-Istitut Orjentali, il-Mużew Intelliġenti tal-Art, is-So"&amp;"ċjetà tar-Rinaxximent, l-Università ta ’Chicago Presents, u student Organizzazzjonijiet tal-Arti. L-università għandha programm ta 'artist fir-residenza u studjużi fi studji ta' prestazzjoni, kritika tal-arti kontemporanja, u storja tal-films. Huwa offra "&amp;"dottorat fil-kompożizzjoni tal-mużika mill-1933 u fl-Istudji taċ-Ċinema u l-Midja mill-2000, Master of Fine Arts in Visual Arts (kmieni fis-snin sebgħin), u Master of Arts fl-Umanistika bi track tal-kitba kreattiva (2000). Għandu programmi ta 'grad ta' ba"&amp;"ċellerat fl-arti viżwali, mużika, u storja tal-arti, u, aktar reċentement, Cinema &amp; Media Studies (1996) u Studji tat-Teatru u tal-Prestazzjoni (2002). Il-qalba tal-edukazzjoni ġenerali tal-kulleġġ tinkludi ħtieġa ta '""drammatika, mużika u arti viżwali"""&amp;", li teħtieġ li l-istudenti jistudjaw l-istorja tal-arti, ix-xewqa tal-palk, jew jibdew jaħdmu bl-iskultura. Bosta eluf ta 'studenti ewlenin u mhux kbar jirreġistraw kull sena fi klassijiet ta' arti kreattivi u spettakli. Uchicago ħafna drabi huwa meqjus "&amp;"bħala l-post fejn twieled il-kummiedja improvisazzjonali hekk kif il-kummiedja tal-kummiedja tal-plejers tal-kumpass evolviet fit-Tieni City Improv Theatre Troupe fl-1959. Iċ-Ċentru Reva u David Logan għall-Arti nfetħu f'Ottubru 2012, ħames snin wara riga"&amp;"l ta '$ 35 miljun mill-istudenti David Logan u martu Reva. Iċ-ċentru jinkludi spazji għal esibizzjonijiet, wirjiet, klassijiet, u produzzjoni tal-midja. Iċ-Ċentru Logan kien iddisinjat minn Tod Williams u Billie Tsien. Dan il-bini huwa attwalment kompleta"&amp;"ment ħġieġ. Il-briks huwa faċċata ddisinjata biex iżżomm il-ħġieġ sikur mir-riħ. Il-periti aktar tard neħħew sezzjonijiet tal-briks meta nibtet pressjoni fil-forma ta 'lmenti li l-veduti tal-belt ġew imblukkati.")</f>
        <v>Il-Programm tal-Arti ta ’Uchicago jingħaqad ma’ dipartimenti akkademiċi u programmi fid-Diviżjoni tal-Umanistika u l-Kulleġġ, kif ukoll organizzazzjonijiet professjonali inkluż it-Teatru tal-Qorti, l-Istitut Orjentali, il-Mużew Intelliġenti tal-Art, is-Soċjetà tar-Rinaxximent, l-Università ta ’Chicago Presents, u student Organizzazzjonijiet tal-Arti. L-università għandha programm ta 'artist fir-residenza u studjużi fi studji ta' prestazzjoni, kritika tal-arti kontemporanja, u storja tal-films. Huwa offra dottorat fil-kompożizzjoni tal-mużika mill-1933 u fl-Istudji taċ-Ċinema u l-Midja mill-2000, Master of Fine Arts in Visual Arts (kmieni fis-snin sebgħin), u Master of Arts fl-Umanistika bi track tal-kitba kreattiva (2000). Għandu programmi ta 'grad ta' baċellerat fl-arti viżwali, mużika, u storja tal-arti, u, aktar reċentement, Cinema &amp; Media Studies (1996) u Studji tat-Teatru u tal-Prestazzjoni (2002). Il-qalba tal-edukazzjoni ġenerali tal-kulleġġ tinkludi ħtieġa ta '"drammatika, mużika u arti viżwali", li teħtieġ li l-istudenti jistudjaw l-istorja tal-arti, ix-xewqa tal-palk, jew jibdew jaħdmu bl-iskultura. Bosta eluf ta 'studenti ewlenin u mhux kbar jirreġistraw kull sena fi klassijiet ta' arti kreattivi u spettakli. Uchicago ħafna drabi huwa meqjus bħala l-post fejn twieled il-kummiedja improvisazzjonali hekk kif il-kummiedja tal-kummiedja tal-plejers tal-kumpass evolviet fit-Tieni City Improv Theatre Troupe fl-1959. Iċ-Ċentru Reva u David Logan għall-Arti nfetħu f'Ottubru 2012, ħames snin wara rigal ta '$ 35 miljun mill-istudenti David Logan u martu Reva. Iċ-ċentru jinkludi spazji għal esibizzjonijiet, wirjiet, klassijiet, u produzzjoni tal-midja. Iċ-Ċentru Logan kien iddisinjat minn Tod Williams u Billie Tsien. Dan il-bini huwa attwalment kompletament ħġieġ. Il-briks huwa faċċata ddisinjata biex iżżomm il-ħġieġ sikur mir-riħ. Il-periti aktar tard neħħew sezzjonijiet tal-briks meta nibtet pressjoni fil-forma ta 'lmenti li l-veduti tal-belt ġew imblukkati.</v>
      </c>
    </row>
    <row r="21308" ht="15.75" customHeight="1">
      <c r="A21308" s="2" t="s">
        <v>21308</v>
      </c>
      <c r="B21308" s="2" t="str">
        <f>IFERROR(__xludf.DUMMYFUNCTION("GOOGLETRANSLATE(A21308, ""en"", ""mt"")"),"Riżultati tal-mudell")</f>
        <v>Riżultati tal-mudell</v>
      </c>
    </row>
    <row r="21309" ht="15.75" customHeight="1">
      <c r="A21309" s="2" t="s">
        <v>21309</v>
      </c>
      <c r="B21309" s="2" t="str">
        <f>IFERROR(__xludf.DUMMYFUNCTION("GOOGLETRANSLATE(A21309, ""en"", ""mt"")"),"Ktieb tal-Eżodu")</f>
        <v>Ktieb tal-Eżodu</v>
      </c>
    </row>
    <row r="21310" ht="15.75" customHeight="1">
      <c r="A21310" s="2" t="s">
        <v>21310</v>
      </c>
      <c r="B21310" s="2" t="str">
        <f>IFERROR(__xludf.DUMMYFUNCTION("GOOGLETRANSLATE(A21310, ""en"", ""mt"")"),"Liema arċidjoċesi hija l-kwadru tas-suq tas-sede ta '?")</f>
        <v>Liema arċidjoċesi hija l-kwadru tas-suq tas-sede ta '?</v>
      </c>
    </row>
    <row r="21311" ht="15.75" customHeight="1">
      <c r="A21311" s="2" t="s">
        <v>21311</v>
      </c>
      <c r="B21311" s="2" t="str">
        <f>IFERROR(__xludf.DUMMYFUNCTION("GOOGLETRANSLATE(A21311, ""en"", ""mt"")"),"Il-patoġeni jistgħu jevolvu malajr u jadattaw, u b'hekk jevitaw is-sejbien u n-newtralizzazzjoni mis-sistema immunitarja; Madankollu, mekkaniżmi ta 'difiża multipli evolvew ukoll biex jirrikonoxxu u jinnewtralizzaw il-patoġeni. Anke organiżmi uniċellulari"&amp;" sempliċi bħal batterji għandhom sistema immuni rudimentarja, fil-forma ta 'enzimi li jipproteġu kontra infezzjonijiet tal-batterjofagi. Mekkaniżmi immuni bażiċi oħra evolvew fl-ewkarioti tal-qedem u jibqgħu fid-dixxendenti moderni tagħhom, bħal pjanti u "&amp;"invertebrati. Dawn il-mekkaniżmi jinkludu fagoċitosi, peptidi antimikrobiċi msejħa difensini, u s-sistema ta 'komplement. Il-vertebrati tax-xedaq, inklużi l-bnedmin, għandhom mekkaniżmi ta 'difiża saħansitra aktar sofistikati, inkluża l-abbiltà li tadatta"&amp;" maż-żmien biex tirrikonoxxi patoġeni speċifiċi b'mod aktar effiċjenti. L-immunità adattiva (jew akkwistata) toħloq memorja immunoloġika wara rispons inizjali għal patoġen speċifiku, li jwassal għal rispons imtejjeb għal inkontri sussegwenti bl-istess pat"&amp;"oġen. Dan il-proċess ta 'immunità akkwistata huwa l-bażi tat-tilqima.")</f>
        <v>Il-patoġeni jistgħu jevolvu malajr u jadattaw, u b'hekk jevitaw is-sejbien u n-newtralizzazzjoni mis-sistema immunitarja; Madankollu, mekkaniżmi ta 'difiża multipli evolvew ukoll biex jirrikonoxxu u jinnewtralizzaw il-patoġeni. Anke organiżmi uniċellulari sempliċi bħal batterji għandhom sistema immuni rudimentarja, fil-forma ta 'enzimi li jipproteġu kontra infezzjonijiet tal-batterjofagi. Mekkaniżmi immuni bażiċi oħra evolvew fl-ewkarioti tal-qedem u jibqgħu fid-dixxendenti moderni tagħhom, bħal pjanti u invertebrati. Dawn il-mekkaniżmi jinkludu fagoċitosi, peptidi antimikrobiċi msejħa difensini, u s-sistema ta 'komplement. Il-vertebrati tax-xedaq, inklużi l-bnedmin, għandhom mekkaniżmi ta 'difiża saħansitra aktar sofistikati, inkluża l-abbiltà li tadatta maż-żmien biex tirrikonoxxi patoġeni speċifiċi b'mod aktar effiċjenti. L-immunità adattiva (jew akkwistata) toħloq memorja immunoloġika wara rispons inizjali għal patoġen speċifiku, li jwassal għal rispons imtejjeb għal inkontri sussegwenti bl-istess patoġen. Dan il-proċess ta 'immunità akkwistata huwa l-bażi tat-tilqima.</v>
      </c>
    </row>
    <row r="21312" ht="15.75" customHeight="1">
      <c r="A21312" s="2" t="s">
        <v>21312</v>
      </c>
      <c r="B21312" s="2" t="str">
        <f>IFERROR(__xludf.DUMMYFUNCTION("GOOGLETRANSLATE(A21312, ""en"", ""mt"")"),"Li taw isimhom lil Normandija fl-1000 u l-1100's")</f>
        <v>Li taw isimhom lil Normandija fl-1000 u l-1100's</v>
      </c>
    </row>
    <row r="21313" ht="15.75" customHeight="1">
      <c r="A21313" s="2" t="s">
        <v>21313</v>
      </c>
      <c r="B21313" s="2" t="str">
        <f>IFERROR(__xludf.DUMMYFUNCTION("GOOGLETRANSLATE(A21313, ""en"", ""mt"")"),"Liema entità għandha V / Line?")</f>
        <v>Liema entità għandha V / Line?</v>
      </c>
    </row>
    <row r="21314" ht="15.75" customHeight="1">
      <c r="A21314" s="2" t="s">
        <v>21314</v>
      </c>
      <c r="B21314" s="2" t="str">
        <f>IFERROR(__xludf.DUMMYFUNCTION("GOOGLETRANSLATE(A21314, ""en"", ""mt"")"),"Min hu l-president tal-Kosta Rika li mar Harvard?")</f>
        <v>Min hu l-president tal-Kosta Rika li mar Harvard?</v>
      </c>
    </row>
    <row r="21315" ht="15.75" customHeight="1">
      <c r="A21315" s="2" t="s">
        <v>21315</v>
      </c>
      <c r="B21315" s="2" t="str">
        <f>IFERROR(__xludf.DUMMYFUNCTION("GOOGLETRANSLATE(A21315, ""en"", ""mt"")"),"Taxxa fuq il-bejgħ nofs-penny")</f>
        <v>Taxxa fuq il-bejgħ nofs-penny</v>
      </c>
    </row>
    <row r="21316" ht="15.75" customHeight="1">
      <c r="A21316" s="2" t="s">
        <v>21316</v>
      </c>
      <c r="B21316" s="2" t="str">
        <f>IFERROR(__xludf.DUMMYFUNCTION("GOOGLETRANSLATE(A21316, ""en"", ""mt"")"),"Meta nfirxet il-Mewt l-Iswed fl-Indja?")</f>
        <v>Meta nfirxet il-Mewt l-Iswed fl-Indja?</v>
      </c>
    </row>
    <row r="21317" ht="15.75" customHeight="1">
      <c r="A21317" s="2" t="s">
        <v>21317</v>
      </c>
      <c r="B21317" s="2" t="str">
        <f>IFERROR(__xludf.DUMMYFUNCTION("GOOGLETRANSLATE(A21317, ""en"", ""mt"")"),"Khan meta stabbilixxa l-Yuan il-Kbir?")</f>
        <v>Khan meta stabbilixxa l-Yuan il-Kbir?</v>
      </c>
    </row>
    <row r="21318" ht="15.75" customHeight="1">
      <c r="A21318" s="2" t="s">
        <v>21318</v>
      </c>
      <c r="B21318" s="2" t="str">
        <f>IFERROR(__xludf.DUMMYFUNCTION("GOOGLETRANSLATE(A21318, ""en"", ""mt"")"),"Ma 'liema għadd il-Prinċep laqat arranġament?")</f>
        <v>Ma 'liema għadd il-Prinċep laqat arranġament?</v>
      </c>
    </row>
    <row r="21319" ht="15.75" customHeight="1">
      <c r="A21319" s="2" t="s">
        <v>21319</v>
      </c>
      <c r="B21319" s="2" t="str">
        <f>IFERROR(__xludf.DUMMYFUNCTION("GOOGLETRANSLATE(A21319, ""en"", ""mt"")"),"Min brevettat magna tal-fwar fl-1883?")</f>
        <v>Min brevettat magna tal-fwar fl-1883?</v>
      </c>
    </row>
    <row r="21320" ht="15.75" customHeight="1">
      <c r="A21320" s="2" t="s">
        <v>21320</v>
      </c>
      <c r="B21320" s="2" t="str">
        <f>IFERROR(__xludf.DUMMYFUNCTION("GOOGLETRANSLATE(A21320, ""en"", ""mt"")"),"Liema xahar bdiet il-kriżi taż-żejt?")</f>
        <v>Liema xahar bdiet il-kriżi taż-żejt?</v>
      </c>
    </row>
    <row r="21321" ht="15.75" customHeight="1">
      <c r="A21321" s="2" t="s">
        <v>21321</v>
      </c>
      <c r="B21321" s="2" t="str">
        <f>IFERROR(__xludf.DUMMYFUNCTION("GOOGLETRANSLATE(A21321, ""en"", ""mt"")"),"L-università għandha programmi ta 'masters fl-arti viżwali, mużika u liema suġġetti oħra?")</f>
        <v>L-università għandha programmi ta 'masters fl-arti viżwali, mużika u liema suġġetti oħra?</v>
      </c>
    </row>
    <row r="21322" ht="15.75" customHeight="1">
      <c r="A21322" s="2" t="s">
        <v>21322</v>
      </c>
      <c r="B21322" s="2" t="str">
        <f>IFERROR(__xludf.DUMMYFUNCTION("GOOGLETRANSLATE(A21322, ""en"", ""mt"")"),"Is-snin sebgħin")</f>
        <v>Is-snin sebgħin</v>
      </c>
    </row>
    <row r="21323" ht="15.75" customHeight="1">
      <c r="A21323" s="2" t="s">
        <v>21323</v>
      </c>
      <c r="B21323" s="2" t="str">
        <f>IFERROR(__xludf.DUMMYFUNCTION("GOOGLETRANSLATE(A21323, ""en"", ""mt"")"),"Min kienu jiskopru Fossili ta 'John B Watson u David Graeber?")</f>
        <v>Min kienu jiskopru Fossili ta 'John B Watson u David Graeber?</v>
      </c>
    </row>
    <row r="21324" ht="15.75" customHeight="1">
      <c r="A21324" s="2" t="s">
        <v>21324</v>
      </c>
      <c r="B21324" s="2" t="str">
        <f>IFERROR(__xludf.DUMMYFUNCTION("GOOGLETRANSLATE(A21324, ""en"", ""mt"")"),"Fl-aħħar massimu glaċjali")</f>
        <v>Fl-aħħar massimu glaċjali</v>
      </c>
    </row>
    <row r="21325" ht="15.75" customHeight="1">
      <c r="A21325" s="2" t="s">
        <v>21325</v>
      </c>
      <c r="B21325" s="2" t="str">
        <f>IFERROR(__xludf.DUMMYFUNCTION("GOOGLETRANSLATE(A21325, ""en"", ""mt"")"),"Liema film ieħor tal-film tħabat hekk kif Jacksonville kiber fil-popolarità?")</f>
        <v>Liema film ieħor tal-film tħabat hekk kif Jacksonville kiber fil-popolarità?</v>
      </c>
    </row>
    <row r="21326" ht="15.75" customHeight="1">
      <c r="A21326" s="2" t="s">
        <v>21326</v>
      </c>
      <c r="B21326" s="2" t="str">
        <f>IFERROR(__xludf.DUMMYFUNCTION("GOOGLETRANSLATE(A21326, ""en"", ""mt"")"),"X'kien l-isem tal-Konti ta 'Apulia")</f>
        <v>X'kien l-isem tal-Konti ta 'Apulia</v>
      </c>
    </row>
    <row r="21327" ht="15.75" customHeight="1">
      <c r="A21327" s="2" t="s">
        <v>21327</v>
      </c>
      <c r="B21327" s="2" t="str">
        <f>IFERROR(__xludf.DUMMYFUNCTION("GOOGLETRANSLATE(A21327, ""en"", ""mt"")"),"X'ġara fil-bini fuq George IV Bridge meta sar il-Parlament miegħu?")</f>
        <v>X'ġara fil-bini fuq George IV Bridge meta sar il-Parlament miegħu?</v>
      </c>
    </row>
    <row r="21328" ht="15.75" customHeight="1">
      <c r="A21328" s="2" t="s">
        <v>21328</v>
      </c>
      <c r="B21328" s="2" t="str">
        <f>IFERROR(__xludf.DUMMYFUNCTION("GOOGLETRANSLATE(A21328, ""en"", ""mt"")"),"Ir-rati rrappurtati ta 'mortalità fiż-żoni rurali matul il-pandemija tas-seklu 14 kienu inkonsistenti mal-pesta bubonika moderna")</f>
        <v>Ir-rati rrappurtati ta 'mortalità fiż-żoni rurali matul il-pandemija tas-seklu 14 kienu inkonsistenti mal-pesta bubonika moderna</v>
      </c>
    </row>
    <row r="21329" ht="15.75" customHeight="1">
      <c r="A21329" s="2" t="s">
        <v>21329</v>
      </c>
      <c r="B21329" s="2" t="str">
        <f>IFERROR(__xludf.DUMMYFUNCTION("GOOGLETRANSLATE(A21329, ""en"", ""mt"")"),"Jingħaqad mal-fluss tal-Lvant lejn l-Atlantiku.")</f>
        <v>Jingħaqad mal-fluss tal-Lvant lejn l-Atlantiku.</v>
      </c>
    </row>
    <row r="21330" ht="15.75" customHeight="1">
      <c r="A21330" s="2" t="s">
        <v>21330</v>
      </c>
      <c r="B21330" s="2" t="str">
        <f>IFERROR(__xludf.DUMMYFUNCTION("GOOGLETRANSLATE(A21330, ""en"", ""mt"")"),"Min ried il-Han Ġappuniż jgħin lill-Mongoli jiġġieldu?")</f>
        <v>Min ried il-Han Ġappuniż jgħin lill-Mongoli jiġġieldu?</v>
      </c>
    </row>
    <row r="21331" ht="15.75" customHeight="1">
      <c r="A21331" s="2" t="s">
        <v>21331</v>
      </c>
      <c r="B21331" s="2" t="str">
        <f>IFERROR(__xludf.DUMMYFUNCTION("GOOGLETRANSLATE(A21331, ""en"", ""mt"")"),"X'inhu terminu ieħor għall-immuntar tal-pern?")</f>
        <v>X'inhu terminu ieħor għall-immuntar tal-pern?</v>
      </c>
    </row>
    <row r="21332" ht="15.75" customHeight="1">
      <c r="A21332" s="2" t="s">
        <v>21332</v>
      </c>
      <c r="B21332" s="2" t="str">
        <f>IFERROR(__xludf.DUMMYFUNCTION("GOOGLETRANSLATE(A21332, ""en"", ""mt"")"),"Analiżi tal-Algoritmi u t-Teorija tal-Kompjuter")</f>
        <v>Analiżi tal-Algoritmi u t-Teorija tal-Kompjuter</v>
      </c>
    </row>
    <row r="21333" ht="15.75" customHeight="1">
      <c r="A21333" s="2" t="s">
        <v>21333</v>
      </c>
      <c r="B21333" s="2" t="str">
        <f>IFERROR(__xludf.DUMMYFUNCTION("GOOGLETRANSLATE(A21333, ""en"", ""mt"")"),"Min jimpurta l-iktar għat-tkabbir ekonomiku?")</f>
        <v>Min jimpurta l-iktar għat-tkabbir ekonomiku?</v>
      </c>
    </row>
    <row r="21334" ht="15.75" customHeight="1">
      <c r="A21334" s="2" t="s">
        <v>21334</v>
      </c>
      <c r="B21334" s="2" t="str">
        <f>IFERROR(__xludf.DUMMYFUNCTION("GOOGLETRANSLATE(A21334, ""en"", ""mt"")"),"Min faħħar l-operazzjonijiet quddiem il-Kumitat Magħżul dwar il-Wirt Nazzjonali?")</f>
        <v>Min faħħar l-operazzjonijiet quddiem il-Kumitat Magħżul dwar il-Wirt Nazzjonali?</v>
      </c>
    </row>
    <row r="21335" ht="15.75" customHeight="1">
      <c r="A21335" s="2" t="s">
        <v>21335</v>
      </c>
      <c r="B21335" s="2" t="str">
        <f>IFERROR(__xludf.DUMMYFUNCTION("GOOGLETRANSLATE(A21335, ""en"", ""mt"")"),"14 sa 17-il seklu")</f>
        <v>14 sa 17-il seklu</v>
      </c>
    </row>
    <row r="21336" ht="15.75" customHeight="1">
      <c r="A21336" s="2" t="s">
        <v>21336</v>
      </c>
      <c r="B21336" s="2" t="str">
        <f>IFERROR(__xludf.DUMMYFUNCTION("GOOGLETRANSLATE(A21336, ""en"", ""mt"")"),"Matul liema gwerra l-Alleati tal-Punent qasmu l-Pont tar-Renu f'Arnhem?")</f>
        <v>Matul liema gwerra l-Alleati tal-Punent qasmu l-Pont tar-Renu f'Arnhem?</v>
      </c>
    </row>
    <row r="21337" ht="15.75" customHeight="1">
      <c r="A21337" s="2" t="s">
        <v>21337</v>
      </c>
      <c r="B21337" s="2" t="str">
        <f>IFERROR(__xludf.DUMMYFUNCTION("GOOGLETRANSLATE(A21337, ""en"", ""mt"")"),"Fil-bajjiet")</f>
        <v>Fil-bajjiet</v>
      </c>
    </row>
    <row r="21338" ht="15.75" customHeight="1">
      <c r="A21338" s="2" t="s">
        <v>21338</v>
      </c>
      <c r="B21338" s="2" t="str">
        <f>IFERROR(__xludf.DUMMYFUNCTION("GOOGLETRANSLATE(A21338, ""en"", ""mt"")"),"Studju ta 'pożizzjonijiet ta' unitajiet tal-blat u d-deformazzjoni tagħhom")</f>
        <v>Studju ta 'pożizzjonijiet ta' unitajiet tal-blat u d-deformazzjoni tagħhom</v>
      </c>
    </row>
    <row r="21339" ht="15.75" customHeight="1">
      <c r="A21339" s="2" t="s">
        <v>21339</v>
      </c>
      <c r="B21339" s="2" t="str">
        <f>IFERROR(__xludf.DUMMYFUNCTION("GOOGLETRANSLATE(A21339, ""en"", ""mt"")")," X’ma kinitx il-kapitali tal-Imperu Ottoman?")</f>
        <v> X’ma kinitx il-kapitali tal-Imperu Ottoman?</v>
      </c>
    </row>
    <row r="21340" ht="15.75" customHeight="1">
      <c r="A21340" s="2" t="s">
        <v>21340</v>
      </c>
      <c r="B21340" s="2" t="str">
        <f>IFERROR(__xludf.DUMMYFUNCTION("GOOGLETRANSLATE(A21340, ""en"", ""mt"")"),"X'hemm bżonn li jkun ikbar biex l-istess xogħol joħroġ minn tkessiħ ta 'pressjoni aktar baxxa?")</f>
        <v>X'hemm bżonn li jkun ikbar biex l-istess xogħol joħroġ minn tkessiħ ta 'pressjoni aktar baxxa?</v>
      </c>
    </row>
    <row r="21341" ht="15.75" customHeight="1">
      <c r="A21341" s="2" t="s">
        <v>21341</v>
      </c>
      <c r="B21341" s="2" t="str">
        <f>IFERROR(__xludf.DUMMYFUNCTION("GOOGLETRANSLATE(A21341, ""en"", ""mt"")"),"Liema delegati ta 'organizzazzjonijiet għandhom nuqqas ta' qbil mal-SPM?")</f>
        <v>Liema delegati ta 'organizzazzjonijiet għandhom nuqqas ta' qbil mal-SPM?</v>
      </c>
    </row>
    <row r="21342" ht="15.75" customHeight="1">
      <c r="A21342" s="2" t="s">
        <v>21342</v>
      </c>
      <c r="B21342" s="2" t="str">
        <f>IFERROR(__xludf.DUMMYFUNCTION("GOOGLETRANSLATE(A21342, ""en"", ""mt"")"),"In-Netwerk tax-Xjenza tal-Kompjuter (CSNET) kien netwerk tal-kompjuter iffinanzjat mill-Fondazzjoni Nazzjonali tax-Xjenza tal-Istati Uniti (NSF) li beda jopera fl-1981. L-iskop tagħha kien li jestendi l-benefiċċji tan-netwerking, għad-dipartimenti tax-xje"&amp;"nza tal-kompjuter f'istituzzjonijiet akkademiċi u ta 'riċerka li ma setgħux jiġu konnessi direttament għal arpanet, minħabba l-finanzjament jew il-limitazzjonijiet ta 'awtorizzazzjoni. Huwa kellu rwol sinifikanti fit-tixrid tal-għarfien dwar, u l-aċċess g"&amp;"ħan-netwerking nazzjonali u kien pass importanti fit-triq għall-iżvilupp tal-internet globali.")</f>
        <v>In-Netwerk tax-Xjenza tal-Kompjuter (CSNET) kien netwerk tal-kompjuter iffinanzjat mill-Fondazzjoni Nazzjonali tax-Xjenza tal-Istati Uniti (NSF) li beda jopera fl-1981. L-iskop tagħha kien li jestendi l-benefiċċji tan-netwerking, għad-dipartimenti tax-xjenza tal-kompjuter f'istituzzjonijiet akkademiċi u ta 'riċerka li ma setgħux jiġu konnessi direttament għal arpanet, minħabba l-finanzjament jew il-limitazzjonijiet ta 'awtorizzazzjoni. Huwa kellu rwol sinifikanti fit-tixrid tal-għarfien dwar, u l-aċċess għan-netwerking nazzjonali u kien pass importanti fit-triq għall-iżvilupp tal-internet globali.</v>
      </c>
    </row>
    <row r="21343" ht="15.75" customHeight="1">
      <c r="A21343" s="2" t="s">
        <v>21343</v>
      </c>
      <c r="B21343" s="2" t="str">
        <f>IFERROR(__xludf.DUMMYFUNCTION("GOOGLETRANSLATE(A21343, ""en"", ""mt"")"),"Il-Parlament tar-Rabat")</f>
        <v>Il-Parlament tar-Rabat</v>
      </c>
    </row>
    <row r="21344" ht="15.75" customHeight="1">
      <c r="A21344" s="2" t="s">
        <v>21344</v>
      </c>
      <c r="B21344" s="2" t="str">
        <f>IFERROR(__xludf.DUMMYFUNCTION("GOOGLETRANSLATE(A21344, ""en"", ""mt"")"),"Għal xiex inhu l-Istati Uniti f'riskju minħabba r-riċessjoni tal-2008?")</f>
        <v>Għal xiex inhu l-Istati Uniti f'riskju minħabba r-riċessjoni tal-2008?</v>
      </c>
    </row>
    <row r="21345" ht="15.75" customHeight="1">
      <c r="A21345" s="2" t="s">
        <v>21345</v>
      </c>
      <c r="B21345" s="2" t="str">
        <f>IFERROR(__xludf.DUMMYFUNCTION("GOOGLETRANSLATE(A21345, ""en"", ""mt"")"),"politiku")</f>
        <v>politiku</v>
      </c>
    </row>
    <row r="21346" ht="15.75" customHeight="1">
      <c r="A21346" s="2" t="s">
        <v>21346</v>
      </c>
      <c r="B21346" s="2" t="str">
        <f>IFERROR(__xludf.DUMMYFUNCTION("GOOGLETRANSLATE(A21346, ""en"", ""mt"")"),"Xi tfisser l-informazzjoni dwar l-indirizz?")</f>
        <v>Xi tfisser l-informazzjoni dwar l-indirizz?</v>
      </c>
    </row>
    <row r="21347" ht="15.75" customHeight="1">
      <c r="A21347" s="2" t="s">
        <v>21347</v>
      </c>
      <c r="B21347" s="2" t="str">
        <f>IFERROR(__xludf.DUMMYFUNCTION("GOOGLETRANSLATE(A21347, ""en"", ""mt"")"),"Riċerka Privata")</f>
        <v>Riċerka Privata</v>
      </c>
    </row>
    <row r="21348" ht="15.75" customHeight="1">
      <c r="A21348" s="2" t="s">
        <v>21348</v>
      </c>
      <c r="B21348" s="2" t="str">
        <f>IFERROR(__xludf.DUMMYFUNCTION("GOOGLETRANSLATE(A21348, ""en"", ""mt"")"),"Il-fluss ta 'ilma tal-muntanji kiesaħ u griż ikompli għal ftit distanza fil-lag. L-ilma kiesaħ jiċċirkola ħdejn il-wiċċ u għall-ewwel ma jitħallatx ma 'l-ilmijiet sħan u ħodor tal-lag ta' fuq. Imma mbagħad, fl-hekk imsejħa Rheinbrech, l-ilma tar-Renu jaqa"&amp;" 'ħesrem fil-fond minħabba d-densità akbar ta' ilma kiesaħ. Il-fluss jerġa 'jidher fuq il-wiċċ fix-xatt tat-tramuntana (Ġermaniż) tal-lag, barra l-gżira ta' Lindau. L-ilma mbagħad isegwi x-xatt tat-tramuntana sakemm Hagnau am Bodensee. Frazzjoni żgħira ta"&amp;"l-fluss hija ddevjata 'l barra mill-gżira ta' Mainau fil-Lag überlingen. Il-biċċa l-kbira tal-ilma jiċċirkola permezz tal-Hopper Constance fir-Rheinrinne (""Rhine Gutter"") u Seerhein. Jiddependi fuq il-livell tal-ilma, dan il-fluss ta 'l-ilma tar-Renu hu"&amp;"wa viżibbli b'mod ċar tul it-tul kollu tal-lag.")</f>
        <v>Il-fluss ta 'ilma tal-muntanji kiesaħ u griż ikompli għal ftit distanza fil-lag. L-ilma kiesaħ jiċċirkola ħdejn il-wiċċ u għall-ewwel ma jitħallatx ma 'l-ilmijiet sħan u ħodor tal-lag ta' fuq. Imma mbagħad, fl-hekk imsejħa Rheinbrech, l-ilma tar-Renu jaqa 'ħesrem fil-fond minħabba d-densità akbar ta' ilma kiesaħ. Il-fluss jerġa 'jidher fuq il-wiċċ fix-xatt tat-tramuntana (Ġermaniż) tal-lag, barra l-gżira ta' Lindau. L-ilma mbagħad isegwi x-xatt tat-tramuntana sakemm Hagnau am Bodensee. Frazzjoni żgħira tal-fluss hija ddevjata 'l barra mill-gżira ta' Mainau fil-Lag überlingen. Il-biċċa l-kbira tal-ilma jiċċirkola permezz tal-Hopper Constance fir-Rheinrinne ("Rhine Gutter") u Seerhein. Jiddependi fuq il-livell tal-ilma, dan il-fluss ta 'l-ilma tar-Renu huwa viżibbli b'mod ċar tul it-tul kollu tal-lag.</v>
      </c>
    </row>
    <row r="21349" ht="15.75" customHeight="1">
      <c r="A21349" s="2" t="s">
        <v>21349</v>
      </c>
      <c r="B21349" s="2" t="str">
        <f>IFERROR(__xludf.DUMMYFUNCTION("GOOGLETRANSLATE(A21349, ""en"", ""mt"")"),"Liema ġurnal xjentifiku fi Franza ppubblika analiżi minn qabel tal-Mewt l-Iswed?")</f>
        <v>Liema ġurnal xjentifiku fi Franza ppubblika analiżi minn qabel tal-Mewt l-Iswed?</v>
      </c>
    </row>
    <row r="21350" ht="15.75" customHeight="1">
      <c r="A21350" s="2" t="s">
        <v>21350</v>
      </c>
      <c r="B21350" s="2" t="str">
        <f>IFERROR(__xludf.DUMMYFUNCTION("GOOGLETRANSLATE(A21350, ""en"", ""mt"")"),"F'liema pajjiż id-Danubju vojt?")</f>
        <v>F'liema pajjiż id-Danubju vojt?</v>
      </c>
    </row>
    <row r="21351" ht="15.75" customHeight="1">
      <c r="A21351" s="2" t="s">
        <v>21351</v>
      </c>
      <c r="B21351" s="2" t="str">
        <f>IFERROR(__xludf.DUMMYFUNCTION("GOOGLETRANSLATE(A21351, ""en"", ""mt"")")," Liema armi kienu qed jużaw iż-Żulus matul il-Gwerra Anglo-Żulu tal-1880?")</f>
        <v> Liema armi kienu qed jużaw iż-Żulus matul il-Gwerra Anglo-Żulu tal-1880?</v>
      </c>
    </row>
    <row r="21352" ht="15.75" customHeight="1">
      <c r="A21352" s="2" t="s">
        <v>21352</v>
      </c>
      <c r="B21352" s="2" t="str">
        <f>IFERROR(__xludf.DUMMYFUNCTION("GOOGLETRANSLATE(A21352, ""en"", ""mt"")"),"Jacques Lefevre")</f>
        <v>Jacques Lefevre</v>
      </c>
    </row>
    <row r="21353" ht="15.75" customHeight="1">
      <c r="A21353" s="2" t="s">
        <v>21353</v>
      </c>
      <c r="B21353" s="2" t="str">
        <f>IFERROR(__xludf.DUMMYFUNCTION("GOOGLETRANSLATE(A21353, ""en"", ""mt"")"),"ċar")</f>
        <v>ċar</v>
      </c>
    </row>
    <row r="21354" ht="15.75" customHeight="1">
      <c r="A21354" s="2" t="s">
        <v>21354</v>
      </c>
      <c r="B21354" s="2" t="str">
        <f>IFERROR(__xludf.DUMMYFUNCTION("GOOGLETRANSLATE(A21354, ""en"", ""mt"")"),"4-momentum fir-relatività u l-momentum ta 'partiċelli virtwali fl-elettrodinamiċità kwantistika")</f>
        <v>4-momentum fir-relatività u l-momentum ta 'partiċelli virtwali fl-elettrodinamiċità kwantistika</v>
      </c>
    </row>
    <row r="21355" ht="15.75" customHeight="1">
      <c r="A21355" s="2" t="s">
        <v>21355</v>
      </c>
      <c r="B21355" s="2" t="str">
        <f>IFERROR(__xludf.DUMMYFUNCTION("GOOGLETRANSLATE(A21355, ""en"", ""mt"")"),"eżempju problema")</f>
        <v>eżempju problema</v>
      </c>
    </row>
    <row r="21356" ht="15.75" customHeight="1">
      <c r="A21356" s="2" t="s">
        <v>21356</v>
      </c>
      <c r="B21356" s="2" t="str">
        <f>IFERROR(__xludf.DUMMYFUNCTION("GOOGLETRANSLATE(A21356, ""en"", ""mt"")"),"Li Meng")</f>
        <v>Li Meng</v>
      </c>
    </row>
    <row r="21357" ht="15.75" customHeight="1">
      <c r="A21357" s="2" t="s">
        <v>21357</v>
      </c>
      <c r="B21357" s="2" t="str">
        <f>IFERROR(__xludf.DUMMYFUNCTION("GOOGLETRANSLATE(A21357, ""en"", ""mt"")"),"Liema teorija wasslet għal elettromanjetika kwantistika?")</f>
        <v>Liema teorija wasslet għal elettromanjetika kwantistika?</v>
      </c>
    </row>
    <row r="21358" ht="15.75" customHeight="1">
      <c r="A21358" s="2" t="s">
        <v>21358</v>
      </c>
      <c r="B21358" s="2" t="str">
        <f>IFERROR(__xludf.DUMMYFUNCTION("GOOGLETRANSLATE(A21358, ""en"", ""mt"")"),"topografiku")</f>
        <v>topografiku</v>
      </c>
    </row>
    <row r="21359" ht="15.75" customHeight="1">
      <c r="A21359" s="2" t="s">
        <v>21359</v>
      </c>
      <c r="B21359" s="2" t="str">
        <f>IFERROR(__xludf.DUMMYFUNCTION("GOOGLETRANSLATE(A21359, ""en"", ""mt"")"),"Il-ftehim il-ġdid jinkludi vidjow fuq talba u definizzjoni għolja?")</f>
        <v>Il-ftehim il-ġdid jinkludi vidjow fuq talba u definizzjoni għolja?</v>
      </c>
    </row>
    <row r="21360" ht="15.75" customHeight="1">
      <c r="A21360" s="2" t="s">
        <v>21360</v>
      </c>
      <c r="B21360" s="2" t="str">
        <f>IFERROR(__xludf.DUMMYFUNCTION("GOOGLETRANSLATE(A21360, ""en"", ""mt"")"),"What's Sky UK Limited qatt ma kien involut?")</f>
        <v>What's Sky UK Limited qatt ma kien involut?</v>
      </c>
    </row>
    <row r="21361" ht="15.75" customHeight="1">
      <c r="A21361" s="2" t="s">
        <v>21361</v>
      </c>
      <c r="B21361" s="2" t="str">
        <f>IFERROR(__xludf.DUMMYFUNCTION("GOOGLETRANSLATE(A21361, ""en"", ""mt"")"),"X'inhi l-problema ta 'prattika sħiħa?")</f>
        <v>X'inhi l-problema ta 'prattika sħiħa?</v>
      </c>
    </row>
    <row r="21362" ht="15.75" customHeight="1">
      <c r="A21362" s="2" t="s">
        <v>21362</v>
      </c>
      <c r="B21362" s="2" t="str">
        <f>IFERROR(__xludf.DUMMYFUNCTION("GOOGLETRANSLATE(A21362, ""en"", ""mt"")"),"Joseph Black")</f>
        <v>Joseph Black</v>
      </c>
    </row>
    <row r="21363" ht="15.75" customHeight="1">
      <c r="A21363" s="2" t="s">
        <v>21363</v>
      </c>
      <c r="B21363" s="2" t="str">
        <f>IFERROR(__xludf.DUMMYFUNCTION("GOOGLETRANSLATE(A21363, ""en"", ""mt"")"),"L-università rreġistrat 3,468 student fil-kulleġġ u kemm fid-diviżjonijiet gradwati tiegħu?")</f>
        <v>L-università rreġistrat 3,468 student fil-kulleġġ u kemm fid-diviżjonijiet gradwati tiegħu?</v>
      </c>
    </row>
    <row r="21364" ht="15.75" customHeight="1">
      <c r="A21364" s="2" t="s">
        <v>21364</v>
      </c>
      <c r="B21364" s="2" t="str">
        <f>IFERROR(__xludf.DUMMYFUNCTION("GOOGLETRANSLATE(A21364, ""en"", ""mt"")"),"Sheldon Ungar")</f>
        <v>Sheldon Ungar</v>
      </c>
    </row>
    <row r="21365" ht="15.75" customHeight="1">
      <c r="A21365" s="2" t="s">
        <v>21365</v>
      </c>
      <c r="B21365" s="2" t="str">
        <f>IFERROR(__xludf.DUMMYFUNCTION("GOOGLETRANSLATE(A21365, ""en"", ""mt"")"),"Liema proprjetajiet huma analizzati b'lenti konoskopika minn petrologi?")</f>
        <v>Liema proprjetajiet huma analizzati b'lenti konoskopika minn petrologi?</v>
      </c>
    </row>
    <row r="21366" ht="15.75" customHeight="1">
      <c r="A21366" s="2" t="s">
        <v>21366</v>
      </c>
      <c r="B21366" s="2" t="str">
        <f>IFERROR(__xludf.DUMMYFUNCTION("GOOGLETRANSLATE(A21366, ""en"", ""mt"")"),"X'inhu l-eqdem blat magħruf fid-dinja?")</f>
        <v>X'inhu l-eqdem blat magħruf fid-dinja?</v>
      </c>
    </row>
    <row r="21367" ht="15.75" customHeight="1">
      <c r="A21367" s="2" t="s">
        <v>21367</v>
      </c>
      <c r="B21367" s="2" t="str">
        <f>IFERROR(__xludf.DUMMYFUNCTION("GOOGLETRANSLATE(A21367, ""en"", ""mt"")"),"Normalment huwa rikonoxxut li t-tfassil tal-liġi, jekk ma jsirx pubblikament, għall-inqas irid jitħabbar pubblikament sabiex jikkostitwixxi diżubbidjenza ċivili. Iżda Stephen Eilmann jargumenta li jekk huwa meħtieġ li ma jobdux ir-regoli ta 'dak il-morali"&amp;"tà, nistgħu nistaqsu għaliex id-diżubbidjenza għandha tieħu l-forma ta' diżubbidjenza ċivili pubblika aktar milli sempliċement tkompli l-liġi. Jekk avukat jixtieq jgħin lil klijent jegħleb l-ostakli legali biex jiżgura d-drittijiet naturali tiegħu jew tie"&amp;"għu, huwa jista ', pereżempju, isib li l-assistenza fil-fabbrikazzjoni ta' evidenza jew li tikkommetti sperġur ​​hija aktar effettiva minn diżubbidjenza miftuħa. Dan jassumi li l-moralità komuni m'għandhiex projbizzjoni fuq l-ingann f'sitwazzjonijiet bħal"&amp;" dawn. Il-pubblikazzjoni tal-assoċjazzjoni tal-ġurija infurmata bis-sħiħ ""A Primer For Prospettivi"" tinnota, ""aħseb dwar id-dilemma li tiffaċċja ċittadini Ġermaniżi meta l-pulizija sigrieta ta 'Hitler talbet biex tkun taf jekk kinux qed jaħbu Lhudi fid"&amp;"-dar tagħhom."" Permezz ta 'din id-definizzjoni, id-diżubbidjenza ċivili tista' tiġi rintraċċata għall-Ktieb ta 'l-Eżodu, fejn Shiphrah u Puah irrifjutaw ordni diretta tal-Fargħun iżda rrappreżentaw ħażin kif għamlu dan. (Eżodu 1: 15-19)")</f>
        <v>Normalment huwa rikonoxxut li t-tfassil tal-liġi, jekk ma jsirx pubblikament, għall-inqas irid jitħabbar pubblikament sabiex jikkostitwixxi diżubbidjenza ċivili. Iżda Stephen Eilmann jargumenta li jekk huwa meħtieġ li ma jobdux ir-regoli ta 'dak il-moralità, nistgħu nistaqsu għaliex id-diżubbidjenza għandha tieħu l-forma ta' diżubbidjenza ċivili pubblika aktar milli sempliċement tkompli l-liġi. Jekk avukat jixtieq jgħin lil klijent jegħleb l-ostakli legali biex jiżgura d-drittijiet naturali tiegħu jew tiegħu, huwa jista ', pereżempju, isib li l-assistenza fil-fabbrikazzjoni ta' evidenza jew li tikkommetti sperġur ​​hija aktar effettiva minn diżubbidjenza miftuħa. Dan jassumi li l-moralità komuni m'għandhiex projbizzjoni fuq l-ingann f'sitwazzjonijiet bħal dawn. Il-pubblikazzjoni tal-assoċjazzjoni tal-ġurija infurmata bis-sħiħ "A Primer For Prospettivi" tinnota, "aħseb dwar id-dilemma li tiffaċċja ċittadini Ġermaniżi meta l-pulizija sigrieta ta 'Hitler talbet biex tkun taf jekk kinux qed jaħbu Lhudi fid-dar tagħhom." Permezz ta 'din id-definizzjoni, id-diżubbidjenza ċivili tista' tiġi rintraċċata għall-Ktieb ta 'l-Eżodu, fejn Shiphrah u Puah irrifjutaw ordni diretta tal-Fargħun iżda rrappreżentaw ħażin kif għamlu dan. (Eżodu 1: 15-19)</v>
      </c>
    </row>
    <row r="21368" ht="15.75" customHeight="1">
      <c r="A21368" s="2" t="s">
        <v>21368</v>
      </c>
      <c r="B21368" s="2" t="str">
        <f>IFERROR(__xludf.DUMMYFUNCTION("GOOGLETRANSLATE(A21368, ""en"", ""mt"")"),"Qorti Ewropea tad-Drittijiet tal-Bniedem")</f>
        <v>Qorti Ewropea tad-Drittijiet tal-Bniedem</v>
      </c>
    </row>
    <row r="21369" ht="15.75" customHeight="1">
      <c r="A21369" s="2" t="s">
        <v>21369</v>
      </c>
      <c r="B21369" s="2" t="str">
        <f>IFERROR(__xludf.DUMMYFUNCTION("GOOGLETRANSLATE(A21369, ""en"", ""mt"")"),"Bill Clinton")</f>
        <v>Bill Clinton</v>
      </c>
    </row>
    <row r="21370" ht="15.75" customHeight="1">
      <c r="A21370" s="2" t="s">
        <v>21370</v>
      </c>
      <c r="B21370" s="2" t="str">
        <f>IFERROR(__xludf.DUMMYFUNCTION("GOOGLETRANSLATE(A21370, ""en"", ""mt"")"),"Farmaċija")</f>
        <v>Farmaċija</v>
      </c>
    </row>
    <row r="21371" ht="15.75" customHeight="1">
      <c r="A21371" s="2" t="s">
        <v>21371</v>
      </c>
      <c r="B21371" s="2" t="str">
        <f>IFERROR(__xludf.DUMMYFUNCTION("GOOGLETRANSLATE(A21371, ""en"", ""mt"")"),"X'għandu jistrieħ fuq il-kastig minflok f'soċjetà ġusta?")</f>
        <v>X'għandu jistrieħ fuq il-kastig minflok f'soċjetà ġusta?</v>
      </c>
    </row>
    <row r="21372" ht="15.75" customHeight="1">
      <c r="A21372" s="2" t="s">
        <v>21372</v>
      </c>
      <c r="B21372" s="2" t="str">
        <f>IFERROR(__xludf.DUMMYFUNCTION("GOOGLETRANSLATE(A21372, ""en"", ""mt"")"),"X'inhu sintomu li huwa kkawżat minn infjammazzjoni?")</f>
        <v>X'inhu sintomu li huwa kkawżat minn infjammazzjoni?</v>
      </c>
    </row>
    <row r="21373" ht="15.75" customHeight="1">
      <c r="A21373" s="2" t="s">
        <v>21373</v>
      </c>
      <c r="B21373" s="2" t="str">
        <f>IFERROR(__xludf.DUMMYFUNCTION("GOOGLETRANSLATE(A21373, ""en"", ""mt"")"),"Liema Eon seħħ bejn 3.3 u 2.0 biljun sena ilu?")</f>
        <v>Liema Eon seħħ bejn 3.3 u 2.0 biljun sena ilu?</v>
      </c>
    </row>
    <row r="21374" ht="15.75" customHeight="1">
      <c r="A21374" s="2" t="s">
        <v>21374</v>
      </c>
      <c r="B21374" s="2" t="str">
        <f>IFERROR(__xludf.DUMMYFUNCTION("GOOGLETRANSLATE(A21374, ""en"", ""mt"")"),"Matul is-seklu 10, l-inkursjonijiet inizjalment distruttivi tal-baned tal-gwerra Norveġiżi fix-xmajjar ta 'Franza evolvew f'kampji aktar permanenti li kienu jinkludu nisa lokali u proprjetà personali. Id-Dukat tan-Normandija, li beda fl-911 bħala fiefdom,"&amp;" ġie stabbilit mit-Trattat ta 'Saint-Clair-sur-Epte bejn ir-Re Charles III ta' West Francia u l-famuż ħakkiem Viking Rollo, u kien jinsab fir-renju Frankish ta 'Neustria ta' qabel Jonqos It-trattat offra lil Rollo u l-irġiel tiegħu l-artijiet Franċiżi bej"&amp;"n ix-Xmara Epte u l-Kosta tal-Atlantiku bi skambju għall-protezzjoni tagħhom kontra aktar inkursjonijiet fil-Viking. Iż-żona kienet tikkorrispondi mal-parti tat-tramuntana tan-Normandija ta 'fuq tal-lum' l isfel lejn ix-Xmara Seine, iżda l-dukat eventwalm"&amp;"ent jestendi lejn il-punent lil hinn mis-Seine. It-territorju kien bejn wieħed u ieħor ekwivalenti għall-provinċja l-qadima ta 'Rouen, u rriproduċiet l-istruttura amministrattiva Rumana ta' Gallia lugdunensis II (parti mill-ex Gallia Lugdunensis).")</f>
        <v>Matul is-seklu 10, l-inkursjonijiet inizjalment distruttivi tal-baned tal-gwerra Norveġiżi fix-xmajjar ta 'Franza evolvew f'kampji aktar permanenti li kienu jinkludu nisa lokali u proprjetà personali. Id-Dukat tan-Normandija, li beda fl-911 bħala fiefdom, ġie stabbilit mit-Trattat ta 'Saint-Clair-sur-Epte bejn ir-Re Charles III ta' West Francia u l-famuż ħakkiem Viking Rollo, u kien jinsab fir-renju Frankish ta 'Neustria ta' qabel Jonqos It-trattat offra lil Rollo u l-irġiel tiegħu l-artijiet Franċiżi bejn ix-Xmara Epte u l-Kosta tal-Atlantiku bi skambju għall-protezzjoni tagħhom kontra aktar inkursjonijiet fil-Viking. Iż-żona kienet tikkorrispondi mal-parti tat-tramuntana tan-Normandija ta 'fuq tal-lum' l isfel lejn ix-Xmara Seine, iżda l-dukat eventwalment jestendi lejn il-punent lil hinn mis-Seine. It-territorju kien bejn wieħed u ieħor ekwivalenti għall-provinċja l-qadima ta 'Rouen, u rriproduċiet l-istruttura amministrattiva Rumana ta' Gallia lugdunensis II (parti mill-ex Gallia Lugdunensis).</v>
      </c>
    </row>
    <row r="21375" ht="15.75" customHeight="1">
      <c r="A21375" s="2" t="s">
        <v>21375</v>
      </c>
      <c r="B21375" s="2" t="str">
        <f>IFERROR(__xludf.DUMMYFUNCTION("GOOGLETRANSLATE(A21375, ""en"", ""mt"")"),"In-negozju huwa kronikament sottovalutat")</f>
        <v>In-negozju huwa kronikament sottovalutat</v>
      </c>
    </row>
    <row r="21376" ht="15.75" customHeight="1">
      <c r="A21376" s="2" t="s">
        <v>21376</v>
      </c>
      <c r="B21376" s="2" t="str">
        <f>IFERROR(__xludf.DUMMYFUNCTION("GOOGLETRANSLATE(A21376, ""en"", ""mt"")"),"il-ħalq u l-farinġi")</f>
        <v>il-ħalq u l-farinġi</v>
      </c>
    </row>
    <row r="21377" ht="15.75" customHeight="1">
      <c r="A21377" s="2" t="s">
        <v>21377</v>
      </c>
      <c r="B21377" s="2" t="str">
        <f>IFERROR(__xludf.DUMMYFUNCTION("GOOGLETRANSLATE(A21377, ""en"", ""mt"")"),"Skond l-ekonomisti internazzjonali tal-fond monetarju, l-inugwaljanza fil-ġid u d-dħul hija korrelata b'mod negattiv mat-tul ta 'perjodi ta' tkabbir ekonomiku (mhux ir-rata ta 'tkabbir). Livelli għoljin ta 'inugwaljanza jipprevjenu mhux biss il-prosperità"&amp;" ekonomika, iżda wkoll il-kwalità ta' istituzzjonijiet ta 'pajjiż u livelli għoljin ta' edukazzjoni. Skond l-ekonomisti tal-persunal tal-FMI, ""jekk is-sehem tad-dħul tal-aqwa 20 fil-mija (is-sinjur) jiżdied, allura t-tkabbir tal-PGD fil-fatt jonqos fuq m"&amp;"edda medja ta 'żmien, li jissuġġerixxi li l-benefiċċji ma jinqatgħux. B'kuntrast, żieda fis-sehem tad-dħul tal-qiegħ 20 fil-mija (il-foqra) huwa assoċjat ma 'tkabbir ogħla tal-PGD. Il-foqra u l-klassi tan-nofs huma l-iktar għat-tkabbir permezz ta' numru t"&amp;"a 'kanali ekonomiċi, soċjali u politiċi interrelatati. """)</f>
        <v>Skond l-ekonomisti internazzjonali tal-fond monetarju, l-inugwaljanza fil-ġid u d-dħul hija korrelata b'mod negattiv mat-tul ta 'perjodi ta' tkabbir ekonomiku (mhux ir-rata ta 'tkabbir). Livelli għoljin ta 'inugwaljanza jipprevjenu mhux biss il-prosperità ekonomika, iżda wkoll il-kwalità ta' istituzzjonijiet ta 'pajjiż u livelli għoljin ta' edukazzjoni. Skond l-ekonomisti tal-persunal tal-FMI, "jekk is-sehem tad-dħul tal-aqwa 20 fil-mija (is-sinjur) jiżdied, allura t-tkabbir tal-PGD fil-fatt jonqos fuq medda medja ta 'żmien, li jissuġġerixxi li l-benefiċċji ma jinqatgħux. B'kuntrast, żieda fis-sehem tad-dħul tal-qiegħ 20 fil-mija (il-foqra) huwa assoċjat ma 'tkabbir ogħla tal-PGD. Il-foqra u l-klassi tan-nofs huma l-iktar għat-tkabbir permezz ta' numru ta 'kanali ekonomiċi, soċjali u politiċi interrelatati. "</v>
      </c>
    </row>
    <row r="21378" ht="15.75" customHeight="1">
      <c r="A21378" s="2" t="s">
        <v>21378</v>
      </c>
      <c r="B21378" s="2" t="str">
        <f>IFERROR(__xludf.DUMMYFUNCTION("GOOGLETRANSLATE(A21378, ""en"", ""mt"")"),"Liema sena hija l-livelli medji tas-CO2 mistennija jiżdiedu b'90%?")</f>
        <v>Liema sena hija l-livelli medji tas-CO2 mistennija jiżdiedu b'90%?</v>
      </c>
    </row>
    <row r="21379" ht="15.75" customHeight="1">
      <c r="A21379" s="2" t="s">
        <v>21379</v>
      </c>
      <c r="B21379" s="2" t="str">
        <f>IFERROR(__xludf.DUMMYFUNCTION("GOOGLETRANSLATE(A21379, ""en"", ""mt"")"),"Il-marka tal-anarkija nkitbet biex tipprotesta kontra xiex?")</f>
        <v>Il-marka tal-anarkija nkitbet biex tipprotesta kontra xiex?</v>
      </c>
    </row>
    <row r="21380" ht="15.75" customHeight="1">
      <c r="A21380" s="2" t="s">
        <v>21380</v>
      </c>
      <c r="B21380" s="2" t="str">
        <f>IFERROR(__xludf.DUMMYFUNCTION("GOOGLETRANSLATE(A21380, ""en"", ""mt"")"),"X'inhu mhux evitat milli jidħol f'organiżmu?")</f>
        <v>X'inhu mhux evitat milli jidħol f'organiżmu?</v>
      </c>
    </row>
    <row r="21381" ht="15.75" customHeight="1">
      <c r="A21381" s="2" t="s">
        <v>21381</v>
      </c>
      <c r="B21381" s="2" t="str">
        <f>IFERROR(__xludf.DUMMYFUNCTION("GOOGLETRANSLATE(A21381, ""en"", ""mt"")"),"Khan meta ddikjara formalment id-dinastija Yuan?")</f>
        <v>Khan meta ddikjara formalment id-dinastija Yuan?</v>
      </c>
    </row>
    <row r="21382" ht="15.75" customHeight="1">
      <c r="A21382" s="2" t="s">
        <v>21382</v>
      </c>
      <c r="B21382" s="2" t="str">
        <f>IFERROR(__xludf.DUMMYFUNCTION("GOOGLETRANSLATE(A21382, ""en"", ""mt"")"),"Liema srevice addizzjonali offra BSKYB minbarra vidjow fuq talba li huma ddikjaraw offruti ""sostanzjalment aktar valur""?")</f>
        <v>Liema srevice addizzjonali offra BSKYB minbarra vidjow fuq talba li huma ddikjaraw offruti "sostanzjalment aktar valur"?</v>
      </c>
    </row>
    <row r="21383" ht="15.75" customHeight="1">
      <c r="A21383" s="2" t="s">
        <v>21383</v>
      </c>
      <c r="B21383" s="2" t="str">
        <f>IFERROR(__xludf.DUMMYFUNCTION("GOOGLETRANSLATE(A21383, ""en"", ""mt"")"),"Min kien l-Ispeaker tal-Kunsill Tribali?")</f>
        <v>Min kien l-Ispeaker tal-Kunsill Tribali?</v>
      </c>
    </row>
    <row r="21384" ht="15.75" customHeight="1">
      <c r="A21384" s="2" t="s">
        <v>21384</v>
      </c>
      <c r="B21384" s="2" t="str">
        <f>IFERROR(__xludf.DUMMYFUNCTION("GOOGLETRANSLATE(A21384, ""en"", ""mt"")"),"L-iktar offerent effiċjenti fl-ispiża")</f>
        <v>L-iktar offerent effiċjenti fl-ispiża</v>
      </c>
    </row>
    <row r="21385" ht="15.75" customHeight="1">
      <c r="A21385" s="2" t="s">
        <v>21385</v>
      </c>
      <c r="B21385" s="2" t="str">
        <f>IFERROR(__xludf.DUMMYFUNCTION("GOOGLETRANSLATE(A21385, ""en"", ""mt"")"),"Liema unità titkejjel biex tiddetermina s-sempliċità taċ-ċirkwit?")</f>
        <v>Liema unità titkejjel biex tiddetermina s-sempliċità taċ-ċirkwit?</v>
      </c>
    </row>
    <row r="21386" ht="15.75" customHeight="1">
      <c r="A21386" s="2" t="s">
        <v>21386</v>
      </c>
      <c r="B21386" s="2" t="str">
        <f>IFERROR(__xludf.DUMMYFUNCTION("GOOGLETRANSLATE(A21386, ""en"", ""mt"")"),"Min kien l-uffiċjal kap eżekuttiv meta beda s-servizz?")</f>
        <v>Min kien l-uffiċjal kap eżekuttiv meta beda s-servizz?</v>
      </c>
    </row>
    <row r="21387" ht="15.75" customHeight="1">
      <c r="A21387" s="2" t="s">
        <v>21387</v>
      </c>
      <c r="B21387" s="2" t="str">
        <f>IFERROR(__xludf.DUMMYFUNCTION("GOOGLETRANSLATE(A21387, ""en"", ""mt"")"),"X'inhuma tliet tipi ta 'kristallizzazzjoni?")</f>
        <v>X'inhuma tliet tipi ta 'kristallizzazzjoni?</v>
      </c>
    </row>
    <row r="21388" ht="15.75" customHeight="1">
      <c r="A21388" s="2" t="s">
        <v>21388</v>
      </c>
      <c r="B21388" s="2" t="str">
        <f>IFERROR(__xludf.DUMMYFUNCTION("GOOGLETRANSLATE(A21388, ""en"", ""mt"")"),"X'kienet waħda mill-esportazzjonijiet ewlenin tan-Norman?")</f>
        <v>X'kienet waħda mill-esportazzjonijiet ewlenin tan-Norman?</v>
      </c>
    </row>
    <row r="21389" ht="15.75" customHeight="1">
      <c r="A21389" s="2" t="s">
        <v>21389</v>
      </c>
      <c r="B21389" s="2" t="str">
        <f>IFERROR(__xludf.DUMMYFUNCTION("GOOGLETRANSLATE(A21389, ""en"", ""mt"")"),"F’liema sena nbniet iċ-Ċittadella Rjali mill-Kattoliċi f’Montpellier?")</f>
        <v>F’liema sena nbniet iċ-Ċittadella Rjali mill-Kattoliċi f’Montpellier?</v>
      </c>
    </row>
    <row r="21390" ht="15.75" customHeight="1">
      <c r="A21390" s="2" t="s">
        <v>21390</v>
      </c>
      <c r="B21390" s="2" t="str">
        <f>IFERROR(__xludf.DUMMYFUNCTION("GOOGLETRANSLATE(A21390, ""en"", ""mt"")"),"Poteri Imperjali")</f>
        <v>Poteri Imperjali</v>
      </c>
    </row>
    <row r="21391" ht="15.75" customHeight="1">
      <c r="A21391" s="2" t="s">
        <v>21391</v>
      </c>
      <c r="B21391" s="2" t="str">
        <f>IFERROR(__xludf.DUMMYFUNCTION("GOOGLETRANSLATE(A21391, ""en"", ""mt"")"),"""Punt ta 'Bauffet""")</f>
        <v>"Punt ta 'Bauffet"</v>
      </c>
    </row>
    <row r="21392" ht="15.75" customHeight="1">
      <c r="A21392" s="2" t="s">
        <v>21392</v>
      </c>
      <c r="B21392" s="2" t="str">
        <f>IFERROR(__xludf.DUMMYFUNCTION("GOOGLETRANSLATE(A21392, ""en"", ""mt"")"),"X'jista 'jżomm oġġett milli jiċċaqlaq meta jkun qed jiġi mbuttat fuq wiċċ?")</f>
        <v>X'jista 'jżomm oġġett milli jiċċaqlaq meta jkun qed jiġi mbuttat fuq wiċċ?</v>
      </c>
    </row>
    <row r="21393" ht="15.75" customHeight="1">
      <c r="A21393" s="2" t="s">
        <v>21393</v>
      </c>
      <c r="B21393" s="2" t="str">
        <f>IFERROR(__xludf.DUMMYFUNCTION("GOOGLETRANSLATE(A21393, ""en"", ""mt"")"),"Orjentaliżmu")</f>
        <v>Orjentaliżmu</v>
      </c>
    </row>
    <row r="21394" ht="15.75" customHeight="1">
      <c r="A21394" s="2" t="s">
        <v>21394</v>
      </c>
      <c r="B21394" s="2" t="str">
        <f>IFERROR(__xludf.DUMMYFUNCTION("GOOGLETRANSLATE(A21394, ""en"", ""mt"")"),"il-lamprey u l-hagfish")</f>
        <v>il-lamprey u l-hagfish</v>
      </c>
    </row>
    <row r="21395" ht="15.75" customHeight="1">
      <c r="A21395" s="2" t="s">
        <v>21395</v>
      </c>
      <c r="B21395" s="2" t="str">
        <f>IFERROR(__xludf.DUMMYFUNCTION("GOOGLETRANSLATE(A21395, ""en"", ""mt"")"),"X'inhi l-iktar problema ratba f'C?")</f>
        <v>X'inhi l-iktar problema ratba f'C?</v>
      </c>
    </row>
    <row r="21396" ht="15.75" customHeight="1">
      <c r="A21396" s="2" t="s">
        <v>21396</v>
      </c>
      <c r="B21396" s="2" t="str">
        <f>IFERROR(__xludf.DUMMYFUNCTION("GOOGLETRANSLATE(A21396, ""en"", ""mt"")"),"X'inhuma kemm Branko Milanovic kif ukoll Joseph Stiglitz?")</f>
        <v>X'inhuma kemm Branko Milanovic kif ukoll Joseph Stiglitz?</v>
      </c>
    </row>
    <row r="21397" ht="15.75" customHeight="1">
      <c r="A21397" s="2" t="s">
        <v>21397</v>
      </c>
      <c r="B21397" s="2" t="str">
        <f>IFERROR(__xludf.DUMMYFUNCTION("GOOGLETRANSLATE(A21397, ""en"", ""mt"")"),"0.2 abitanti")</f>
        <v>0.2 abitanti</v>
      </c>
    </row>
    <row r="21398" ht="15.75" customHeight="1">
      <c r="A21398" s="2" t="s">
        <v>21398</v>
      </c>
      <c r="B21398" s="2" t="str">
        <f>IFERROR(__xludf.DUMMYFUNCTION("GOOGLETRANSLATE(A21398, ""en"", ""mt"")"),"X'inhi r-raġuni li pazjent jista 'jagħżel farmaċija fuq l-internet?")</f>
        <v>X'inhi r-raġuni li pazjent jista 'jagħżel farmaċija fuq l-internet?</v>
      </c>
    </row>
    <row r="21399" ht="15.75" customHeight="1">
      <c r="A21399" s="2" t="s">
        <v>21399</v>
      </c>
      <c r="B21399" s="2" t="str">
        <f>IFERROR(__xludf.DUMMYFUNCTION("GOOGLETRANSLATE(A21399, ""en"", ""mt"")"),"Fergħat ġenetiċi")</f>
        <v>Fergħat ġenetiċi</v>
      </c>
    </row>
    <row r="21400" ht="15.75" customHeight="1">
      <c r="A21400" s="2" t="s">
        <v>21400</v>
      </c>
      <c r="B21400" s="2" t="str">
        <f>IFERROR(__xludf.DUMMYFUNCTION("GOOGLETRANSLATE(A21400, ""en"", ""mt"")"),"kwalifiki")</f>
        <v>kwalifiki</v>
      </c>
    </row>
    <row r="21401" ht="15.75" customHeight="1">
      <c r="A21401" s="2" t="s">
        <v>21401</v>
      </c>
      <c r="B21401" s="2" t="str">
        <f>IFERROR(__xludf.DUMMYFUNCTION("GOOGLETRANSLATE(A21401, ""en"", ""mt"")"),"Liema miżura għandha tiġi adottata meta jkun hemm għażla bejn bosta?")</f>
        <v>Liema miżura għandha tiġi adottata meta jkun hemm għażla bejn bosta?</v>
      </c>
    </row>
    <row r="21402" ht="15.75" customHeight="1">
      <c r="A21402" s="2" t="s">
        <v>21402</v>
      </c>
      <c r="B21402" s="2" t="str">
        <f>IFERROR(__xludf.DUMMYFUNCTION("GOOGLETRANSLATE(A21402, ""en"", ""mt"")"),"X'inhuma żewġ affarijiet li ġew miżjuda mal-Lexus fl-1981?")</f>
        <v>X'inhuma żewġ affarijiet li ġew miżjuda mal-Lexus fl-1981?</v>
      </c>
    </row>
    <row r="21403" ht="15.75" customHeight="1">
      <c r="A21403" s="2" t="s">
        <v>21403</v>
      </c>
      <c r="B21403" s="2" t="str">
        <f>IFERROR(__xludf.DUMMYFUNCTION("GOOGLETRANSLATE(A21403, ""en"", ""mt"")"),"X'inhi parti waħda mis-sistema immuni innata li ma tattakkax il-mikrobi direttament?")</f>
        <v>X'inhi parti waħda mis-sistema immuni innata li ma tattakkax il-mikrobi direttament?</v>
      </c>
    </row>
    <row r="21404" ht="15.75" customHeight="1">
      <c r="A21404" s="2" t="s">
        <v>21404</v>
      </c>
      <c r="B21404" s="2" t="str">
        <f>IFERROR(__xludf.DUMMYFUNCTION("GOOGLETRANSLATE(A21404, ""en"", ""mt"")"),"Għaliex l-Arabja Sawdita ppruvat iżżid il-produzzjoni, u naqqas il-profitti għal produtturi ta 'spejjeż għoljin?")</f>
        <v>Għaliex l-Arabja Sawdita ppruvat iżżid il-produzzjoni, u naqqas il-profitti għal produtturi ta 'spejjeż għoljin?</v>
      </c>
    </row>
    <row r="21405" ht="15.75" customHeight="1">
      <c r="A21405" s="2" t="s">
        <v>21405</v>
      </c>
      <c r="B21405" s="2" t="str">
        <f>IFERROR(__xludf.DUMMYFUNCTION("GOOGLETRANSLATE(A21405, ""en"", ""mt"")"),"Itfi d-difiżi ospitanti.")</f>
        <v>Itfi d-difiżi ospitanti.</v>
      </c>
    </row>
    <row r="21406" ht="15.75" customHeight="1">
      <c r="A21406" s="2" t="s">
        <v>21406</v>
      </c>
      <c r="B21406" s="2" t="str">
        <f>IFERROR(__xludf.DUMMYFUNCTION("GOOGLETRANSLATE(A21406, ""en"", ""mt"")"),"Wara l-massakru ta 'Peterloo liema poeta kiteb il-massakru ta' l-anarkija?")</f>
        <v>Wara l-massakru ta 'Peterloo liema poeta kiteb il-massakru ta' l-anarkija?</v>
      </c>
    </row>
    <row r="21407" ht="15.75" customHeight="1">
      <c r="A21407" s="2" t="s">
        <v>21407</v>
      </c>
      <c r="B21407" s="2" t="str">
        <f>IFERROR(__xludf.DUMMYFUNCTION("GOOGLETRANSLATE(A21407, ""en"", ""mt"")"),"Meta kummissjoni ma laħqet l-ebda deċiżjoni, x'ġara?")</f>
        <v>Meta kummissjoni ma laħqet l-ebda deċiżjoni, x'ġara?</v>
      </c>
    </row>
    <row r="21408" ht="15.75" customHeight="1">
      <c r="A21408" s="2" t="s">
        <v>21408</v>
      </c>
      <c r="B21408" s="2" t="str">
        <f>IFERROR(__xludf.DUMMYFUNCTION("GOOGLETRANSLATE(A21408, ""en"", ""mt"")"),"il-kapaċità tagħha jew tiegħu bħala uffiċjal pubbliku")</f>
        <v>il-kapaċità tagħha jew tiegħu bħala uffiċjal pubbliku</v>
      </c>
    </row>
    <row r="21409" ht="15.75" customHeight="1">
      <c r="A21409" s="2" t="s">
        <v>21409</v>
      </c>
      <c r="B21409" s="2" t="str">
        <f>IFERROR(__xludf.DUMMYFUNCTION("GOOGLETRANSLATE(A21409, ""en"", ""mt"")"),"1.5 Gigatons")</f>
        <v>1.5 Gigatons</v>
      </c>
    </row>
    <row r="21410" ht="15.75" customHeight="1">
      <c r="A21410" s="2" t="s">
        <v>21410</v>
      </c>
      <c r="B21410" s="2" t="str">
        <f>IFERROR(__xludf.DUMMYFUNCTION("GOOGLETRANSLATE(A21410, ""en"", ""mt"")"),"Fejn saru l-intervisti waqt li l-Parlament kien fil-bini temporanju tiegħu?")</f>
        <v>Fejn saru l-intervisti waqt li l-Parlament kien fil-bini temporanju tiegħu?</v>
      </c>
    </row>
    <row r="21411" ht="15.75" customHeight="1">
      <c r="A21411" s="2" t="s">
        <v>21411</v>
      </c>
      <c r="B21411" s="2" t="str">
        <f>IFERROR(__xludf.DUMMYFUNCTION("GOOGLETRANSLATE(A21411, ""en"", ""mt"")"),"Meta ġiet introdotta l-iskala biex titkejjel ir-Rhine?")</f>
        <v>Meta ġiet introdotta l-iskala biex titkejjel ir-Rhine?</v>
      </c>
    </row>
    <row r="21412" ht="15.75" customHeight="1">
      <c r="A21412" s="2" t="s">
        <v>21412</v>
      </c>
      <c r="B21412" s="2" t="str">
        <f>IFERROR(__xludf.DUMMYFUNCTION("GOOGLETRANSLATE(A21412, ""en"", ""mt"")"),"Meta ma ġietx adottata l-Karta Soċjali?")</f>
        <v>Meta ma ġietx adottata l-Karta Soċjali?</v>
      </c>
    </row>
    <row r="21413" ht="15.75" customHeight="1">
      <c r="A21413" s="2" t="s">
        <v>21413</v>
      </c>
      <c r="B21413" s="2" t="str">
        <f>IFERROR(__xludf.DUMMYFUNCTION("GOOGLETRANSLATE(A21413, ""en"", ""mt"")"),"Liema varjabbli mhix assoċjata mal-problemi kollha solvuti fl-ispazju logaritmiku?")</f>
        <v>Liema varjabbli mhix assoċjata mal-problemi kollha solvuti fl-ispazju logaritmiku?</v>
      </c>
    </row>
    <row r="21414" ht="15.75" customHeight="1">
      <c r="A21414" s="2" t="s">
        <v>21414</v>
      </c>
      <c r="B21414" s="2" t="str">
        <f>IFERROR(__xludf.DUMMYFUNCTION("GOOGLETRANSLATE(A21414, ""en"", ""mt"")"),"X'effett kellha l-pesta fuq il-Lvant Nofsani?")</f>
        <v>X'effett kellha l-pesta fuq il-Lvant Nofsani?</v>
      </c>
    </row>
    <row r="21415" ht="15.75" customHeight="1">
      <c r="A21415" s="2" t="s">
        <v>21415</v>
      </c>
      <c r="B21415" s="2" t="str">
        <f>IFERROR(__xludf.DUMMYFUNCTION("GOOGLETRANSLATE(A21415, ""en"", ""mt"")"),"miżata għal kull unità ta 'informazzjoni trażmessa")</f>
        <v>miżata għal kull unità ta 'informazzjoni trażmessa</v>
      </c>
    </row>
    <row r="21416" ht="15.75" customHeight="1">
      <c r="A21416" s="2" t="s">
        <v>21416</v>
      </c>
      <c r="B21416" s="2" t="str">
        <f>IFERROR(__xludf.DUMMYFUNCTION("GOOGLETRANSLATE(A21416, ""en"", ""mt"")"),"Terra preta (art sewda)")</f>
        <v>Terra preta (art sewda)</v>
      </c>
    </row>
    <row r="21417" ht="15.75" customHeight="1">
      <c r="A21417" s="2" t="s">
        <v>21417</v>
      </c>
      <c r="B21417" s="2" t="str">
        <f>IFERROR(__xludf.DUMMYFUNCTION("GOOGLETRANSLATE(A21417, ""en"", ""mt"")"),"ma jikserx id-drittijiet ta 'ħaddieħor")</f>
        <v>ma jikserx id-drittijiet ta 'ħaddieħor</v>
      </c>
    </row>
    <row r="21418" ht="15.75" customHeight="1">
      <c r="A21418" s="2" t="s">
        <v>21418</v>
      </c>
      <c r="B21418" s="2" t="str">
        <f>IFERROR(__xludf.DUMMYFUNCTION("GOOGLETRANSLATE(A21418, ""en"", ""mt"")"),"Fejn hemm 34 belt 'il fuq minn 200,000 f'popolazzjoni?")</f>
        <v>Fejn hemm 34 belt 'il fuq minn 200,000 f'popolazzjoni?</v>
      </c>
    </row>
    <row r="21419" ht="15.75" customHeight="1">
      <c r="A21419" s="2" t="s">
        <v>21419</v>
      </c>
      <c r="B21419" s="2" t="str">
        <f>IFERROR(__xludf.DUMMYFUNCTION("GOOGLETRANSLATE(A21419, ""en"", ""mt"")"),"Liema avveniment intrebħ minn Yale fl-1920?")</f>
        <v>Liema avveniment intrebħ minn Yale fl-1920?</v>
      </c>
    </row>
    <row r="21420" ht="15.75" customHeight="1">
      <c r="A21420" s="2" t="s">
        <v>21420</v>
      </c>
      <c r="B21420" s="2" t="str">
        <f>IFERROR(__xludf.DUMMYFUNCTION("GOOGLETRANSLATE(A21420, ""en"", ""mt"")"),"Friedrich Ratzel ħaseb x’kien hemm bżonn biex stat jgħix?")</f>
        <v>Friedrich Ratzel ħaseb x’kien hemm bżonn biex stat jgħix?</v>
      </c>
    </row>
    <row r="21421" ht="15.75" customHeight="1">
      <c r="A21421" s="2" t="s">
        <v>21421</v>
      </c>
      <c r="B21421" s="2" t="str">
        <f>IFERROR(__xludf.DUMMYFUNCTION("GOOGLETRANSLATE(A21421, ""en"", ""mt"")"),"in-netwerk")</f>
        <v>in-netwerk</v>
      </c>
    </row>
    <row r="21422" ht="15.75" customHeight="1">
      <c r="A21422" s="2" t="s">
        <v>21422</v>
      </c>
      <c r="B21422" s="2" t="str">
        <f>IFERROR(__xludf.DUMMYFUNCTION("GOOGLETRANSLATE(A21422, ""en"", ""mt"")"),"Kemm hemm kampus tal-Istat tal-Università ta 'California?")</f>
        <v>Kemm hemm kampus tal-Istat tal-Università ta 'California?</v>
      </c>
    </row>
    <row r="21423" ht="15.75" customHeight="1">
      <c r="A21423" s="2" t="s">
        <v>21423</v>
      </c>
      <c r="B21423" s="2" t="str">
        <f>IFERROR(__xludf.DUMMYFUNCTION("GOOGLETRANSLATE(A21423, ""en"", ""mt"")"),"Nar kbir tal-1901")</f>
        <v>Nar kbir tal-1901</v>
      </c>
    </row>
    <row r="21424" ht="15.75" customHeight="1">
      <c r="A21424" s="2" t="s">
        <v>21424</v>
      </c>
      <c r="B21424" s="2" t="str">
        <f>IFERROR(__xludf.DUMMYFUNCTION("GOOGLETRANSLATE(A21424, ""en"", ""mt"")"),"80%")</f>
        <v>80%</v>
      </c>
    </row>
    <row r="21425" ht="15.75" customHeight="1">
      <c r="A21425" s="2" t="s">
        <v>21425</v>
      </c>
      <c r="B21425" s="2" t="str">
        <f>IFERROR(__xludf.DUMMYFUNCTION("GOOGLETRANSLATE(A21425, ""en"", ""mt"")"),"X'inhu ż-żmien meta l-membri jistgħu jistaqsu mistoqsijiet lil membri partikolari biss tal-gvern Scottiish?")</f>
        <v>X'inhu ż-żmien meta l-membri jistgħu jistaqsu mistoqsijiet lil membri partikolari biss tal-gvern Scottiish?</v>
      </c>
    </row>
    <row r="21426" ht="15.75" customHeight="1">
      <c r="A21426" s="2" t="s">
        <v>21426</v>
      </c>
      <c r="B21426" s="2" t="str">
        <f>IFERROR(__xludf.DUMMYFUNCTION("GOOGLETRANSLATE(A21426, ""en"", ""mt"")"),"Internet2 irtirat uffiċjalment Abilene u issa jirreferi għan-netwerk ġdid u ta 'kapaċità ogħla tiegħu bħala n-netwerk Internet2")</f>
        <v>Internet2 irtirat uffiċjalment Abilene u issa jirreferi għan-netwerk ġdid u ta 'kapaċità ogħla tiegħu bħala n-netwerk Internet2</v>
      </c>
    </row>
    <row r="21427" ht="15.75" customHeight="1">
      <c r="A21427" s="2" t="s">
        <v>21427</v>
      </c>
      <c r="B21427" s="2" t="str">
        <f>IFERROR(__xludf.DUMMYFUNCTION("GOOGLETRANSLATE(A21427, ""en"", ""mt"")"),"Meta l-Att dwar il-Komunitajiet Ewropej ġie mċaħħad mill-aċċettazzjoni?")</f>
        <v>Meta l-Att dwar il-Komunitajiet Ewropej ġie mċaħħad mill-aċċettazzjoni?</v>
      </c>
    </row>
    <row r="21428" ht="15.75" customHeight="1">
      <c r="A21428" s="2" t="s">
        <v>21428</v>
      </c>
      <c r="B21428" s="2" t="str">
        <f>IFERROR(__xludf.DUMMYFUNCTION("GOOGLETRANSLATE(A21428, ""en"", ""mt"")"),"Att dwar il-Kolonja tar-Rabat")</f>
        <v>Att dwar il-Kolonja tar-Rabat</v>
      </c>
    </row>
    <row r="21429" ht="15.75" customHeight="1">
      <c r="A21429" s="2" t="s">
        <v>21429</v>
      </c>
      <c r="B21429" s="2" t="str">
        <f>IFERROR(__xludf.DUMMYFUNCTION("GOOGLETRANSLATE(A21429, ""en"", ""mt"")"),"Minbarra l-Gran Brittanja u l-Amerika ta 'Fuq, fejn inkella r-refuġjati Huguenot stabbilixxew?")</f>
        <v>Minbarra l-Gran Brittanja u l-Amerika ta 'Fuq, fejn inkella r-refuġjati Huguenot stabbilixxew?</v>
      </c>
    </row>
    <row r="21430" ht="15.75" customHeight="1">
      <c r="A21430" s="2" t="s">
        <v>21430</v>
      </c>
      <c r="B21430" s="2" t="str">
        <f>IFERROR(__xludf.DUMMYFUNCTION("GOOGLETRANSLATE(A21430, ""en"", ""mt"")"),"X'inhu l-inqas impatt fuq l-akkumulazzjoni tal-ġid u l-inugwaljanza tad-dħul li tirriżulta?")</f>
        <v>X'inhu l-inqas impatt fuq l-akkumulazzjoni tal-ġid u l-inugwaljanza tad-dħul li tirriżulta?</v>
      </c>
    </row>
    <row r="21431" ht="15.75" customHeight="1">
      <c r="A21431" s="2" t="s">
        <v>21431</v>
      </c>
      <c r="B21431" s="2" t="str">
        <f>IFERROR(__xludf.DUMMYFUNCTION("GOOGLETRANSLATE(A21431, ""en"", ""mt"")"),"Kemm-il darba Ekstraklasa rebaħ it-tazza?")</f>
        <v>Kemm-il darba Ekstraklasa rebaħ it-tazza?</v>
      </c>
    </row>
    <row r="21432" ht="15.75" customHeight="1">
      <c r="A21432" s="2" t="s">
        <v>21432</v>
      </c>
      <c r="B21432" s="2" t="str">
        <f>IFERROR(__xludf.DUMMYFUNCTION("GOOGLETRANSLATE(A21432, ""en"", ""mt"")"),"Neil Shubin u Paul Sereno")</f>
        <v>Neil Shubin u Paul Sereno</v>
      </c>
    </row>
    <row r="21433" ht="15.75" customHeight="1">
      <c r="A21433" s="2" t="s">
        <v>21433</v>
      </c>
      <c r="B21433" s="2" t="str">
        <f>IFERROR(__xludf.DUMMYFUNCTION("GOOGLETRANSLATE(A21433, ""en"", ""mt"")"),"Meta ġiet iffurmata r-Royal Society of Edinburgh?")</f>
        <v>Meta ġiet iffurmata r-Royal Society of Edinburgh?</v>
      </c>
    </row>
    <row r="21434" ht="15.75" customHeight="1">
      <c r="A21434" s="2" t="s">
        <v>21434</v>
      </c>
      <c r="B21434" s="2" t="str">
        <f>IFERROR(__xludf.DUMMYFUNCTION("GOOGLETRANSLATE(A21434, ""en"", ""mt"")"),"Min jgħix m'għadux bħala medja minn Griegi u New Zealanders?")</f>
        <v>Min jgħix m'għadux bħala medja minn Griegi u New Zealanders?</v>
      </c>
    </row>
    <row r="21435" ht="15.75" customHeight="1">
      <c r="A21435" s="2" t="s">
        <v>21435</v>
      </c>
      <c r="B21435" s="2" t="str">
        <f>IFERROR(__xludf.DUMMYFUNCTION("GOOGLETRANSLATE(A21435, ""en"", ""mt"")"),"It-telfa tat-truppi Għarab fil-gwerra ta ’sitt ijiem kienet tikkostitwixxi x’inhi għad-dinja Musulmana Għarbija?")</f>
        <v>It-telfa tat-truppi Għarab fil-gwerra ta ’sitt ijiem kienet tikkostitwixxi x’inhi għad-dinja Musulmana Għarbija?</v>
      </c>
    </row>
    <row r="21436" ht="15.75" customHeight="1">
      <c r="A21436" s="2" t="s">
        <v>21436</v>
      </c>
      <c r="B21436" s="2" t="str">
        <f>IFERROR(__xludf.DUMMYFUNCTION("GOOGLETRANSLATE(A21436, ""en"", ""mt"")"),"Kemm dam il-ġlied fi Gwerra ta 'Seba' Snin?")</f>
        <v>Kemm dam il-ġlied fi Gwerra ta 'Seba' Snin?</v>
      </c>
    </row>
    <row r="21437" ht="15.75" customHeight="1">
      <c r="A21437" s="2" t="s">
        <v>21437</v>
      </c>
      <c r="B21437" s="2" t="str">
        <f>IFERROR(__xludf.DUMMYFUNCTION("GOOGLETRANSLATE(A21437, ""en"", ""mt"")"),"X'jiġri għall-ilma tal-oċean meta jassorbi ċerti tulijiet ta 'mewġ?")</f>
        <v>X'jiġri għall-ilma tal-oċean meta jassorbi ċerti tulijiet ta 'mewġ?</v>
      </c>
    </row>
    <row r="21438" ht="15.75" customHeight="1">
      <c r="A21438" s="2" t="s">
        <v>21438</v>
      </c>
      <c r="B21438" s="2" t="str">
        <f>IFERROR(__xludf.DUMMYFUNCTION("GOOGLETRANSLATE(A21438, ""en"", ""mt"")"),"Min kien il-Gvernatur ta ’California fl-1895?")</f>
        <v>Min kien il-Gvernatur ta ’California fl-1895?</v>
      </c>
    </row>
    <row r="21439" ht="15.75" customHeight="1">
      <c r="A21439" s="2" t="s">
        <v>21439</v>
      </c>
      <c r="B21439" s="2" t="str">
        <f>IFERROR(__xludf.DUMMYFUNCTION("GOOGLETRANSLATE(A21439, ""en"", ""mt"")"),"X'inhu t-tip tat-temp ta 'Hopetoun u Melbourne?")</f>
        <v>X'inhu t-tip tat-temp ta 'Hopetoun u Melbourne?</v>
      </c>
    </row>
    <row r="21440" ht="15.75" customHeight="1">
      <c r="A21440" s="2" t="s">
        <v>21440</v>
      </c>
      <c r="B21440" s="2" t="str">
        <f>IFERROR(__xludf.DUMMYFUNCTION("GOOGLETRANSLATE(A21440, ""en"", ""mt"")"),"L-Iskandinavja u l-Ewropa tat-Tramuntana")</f>
        <v>L-Iskandinavja u l-Ewropa tat-Tramuntana</v>
      </c>
    </row>
    <row r="21441" ht="15.75" customHeight="1">
      <c r="A21441" s="2" t="s">
        <v>21441</v>
      </c>
      <c r="B21441" s="2" t="str">
        <f>IFERROR(__xludf.DUMMYFUNCTION("GOOGLETRANSLATE(A21441, ""en"", ""mt"")"),"X'tip ta 'klabb hija l-Assoċjazzjoni tal-Istat tal-Karozzi ta' California?")</f>
        <v>X'tip ta 'klabb hija l-Assoċjazzjoni tal-Istat tal-Karozzi ta' California?</v>
      </c>
    </row>
    <row r="21442" ht="15.75" customHeight="1">
      <c r="A21442" s="2" t="s">
        <v>21442</v>
      </c>
      <c r="B21442" s="2" t="str">
        <f>IFERROR(__xludf.DUMMYFUNCTION("GOOGLETRANSLATE(A21442, ""en"", ""mt"")"),"Kemm-il darba iktar in-nazzjonijiet l-oħra kellhom iħallsu għaż-żejt wara l-attakk ta 'sorpriża?")</f>
        <v>Kemm-il darba iktar in-nazzjonijiet l-oħra kellhom iħallsu għaż-żejt wara l-attakk ta 'sorpriża?</v>
      </c>
    </row>
    <row r="21443" ht="15.75" customHeight="1">
      <c r="A21443" s="2" t="s">
        <v>21443</v>
      </c>
      <c r="B21443" s="2" t="str">
        <f>IFERROR(__xludf.DUMMYFUNCTION("GOOGLETRANSLATE(A21443, ""en"", ""mt"")"),"Ir-riżultat ta 'dak li hu magħruf fis-sigħat?")</f>
        <v>Ir-riżultat ta 'dak li hu magħruf fis-sigħat?</v>
      </c>
    </row>
    <row r="21444" ht="15.75" customHeight="1">
      <c r="A21444" s="2" t="s">
        <v>21444</v>
      </c>
      <c r="B21444" s="2" t="str">
        <f>IFERROR(__xludf.DUMMYFUNCTION("GOOGLETRANSLATE(A21444, ""en"", ""mt"")"),"Magna tal-fwar taċ-ċilindru li joxxilla hija varjant tal-magna tal-fwar ta 'espansjoni sempliċi li ma teħtieġx valvi biex jidderieġu l-fwar lejn u barra miċ-ċilindru. Minflok il-valvi, iċ-ċilindru kollu blat, jew oscillates, tali li toqob wieħed jew aktar"&amp;" fiċ-ċilindru jallinjaw bit-toqob f'wiċċ tal-port fiss jew fl-immuntar tal-pern (trunnion). Dawn il-magni huma prinċipalment użati fil-ġugarelli u l-mudelli, minħabba s-sempliċità tagħhom, iżda ntużaw ukoll fil-magni tax-xogħol ta 'daqs sħiħ, prinċipalmen"&amp;"t fuq vapuri fejn il-kumpattezza tagħhom hija vvalutata. [Ċitazzjoni meħtieġa]")</f>
        <v>Magna tal-fwar taċ-ċilindru li joxxilla hija varjant tal-magna tal-fwar ta 'espansjoni sempliċi li ma teħtieġx valvi biex jidderieġu l-fwar lejn u barra miċ-ċilindru. Minflok il-valvi, iċ-ċilindru kollu blat, jew oscillates, tali li toqob wieħed jew aktar fiċ-ċilindru jallinjaw bit-toqob f'wiċċ tal-port fiss jew fl-immuntar tal-pern (trunnion). Dawn il-magni huma prinċipalment użati fil-ġugarelli u l-mudelli, minħabba s-sempliċità tagħhom, iżda ntużaw ukoll fil-magni tax-xogħol ta 'daqs sħiħ, prinċipalment fuq vapuri fejn il-kumpattezza tagħhom hija vvalutata. [Ċitazzjoni meħtieġa]</v>
      </c>
    </row>
    <row r="21445" ht="15.75" customHeight="1">
      <c r="A21445" s="2" t="s">
        <v>21445</v>
      </c>
      <c r="B21445" s="2" t="str">
        <f>IFERROR(__xludf.DUMMYFUNCTION("GOOGLETRANSLATE(A21445, ""en"", ""mt"")"),"Diviżjoni tal-funzjonijiet u kompiti bejn l-ospiti fit-tarf tan-netwerk u l-qalba tan-netwerk")</f>
        <v>Diviżjoni tal-funzjonijiet u kompiti bejn l-ospiti fit-tarf tan-netwerk u l-qalba tan-netwerk</v>
      </c>
    </row>
    <row r="21446" ht="15.75" customHeight="1">
      <c r="A21446" s="2" t="s">
        <v>21446</v>
      </c>
      <c r="B21446" s="2" t="str">
        <f>IFERROR(__xludf.DUMMYFUNCTION("GOOGLETRANSLATE(A21446, ""en"", ""mt"")"),"Il-Viċi President Agnew jiddeskrivi d-diżubbidjenza ċivili f'liema attivitajiet?")</f>
        <v>Il-Viċi President Agnew jiddeskrivi d-diżubbidjenza ċivili f'liema attivitajiet?</v>
      </c>
    </row>
    <row r="21447" ht="15.75" customHeight="1">
      <c r="A21447" s="2" t="s">
        <v>21447</v>
      </c>
      <c r="B21447" s="2" t="str">
        <f>IFERROR(__xludf.DUMMYFUNCTION("GOOGLETRANSLATE(A21447, ""en"", ""mt"")"),"X'kien l-isem tal-ewwel imbiegħed Huguenot f'Carolina t'Isfel?")</f>
        <v>X'kien l-isem tal-ewwel imbiegħed Huguenot f'Carolina t'Isfel?</v>
      </c>
    </row>
    <row r="21448" ht="15.75" customHeight="1">
      <c r="A21448" s="2" t="s">
        <v>21448</v>
      </c>
      <c r="B21448" s="2" t="str">
        <f>IFERROR(__xludf.DUMMYFUNCTION("GOOGLETRANSLATE(A21448, ""en"", ""mt"")"),"Il-mezzi tiegħu biex jaħtfu l-poter")</f>
        <v>Il-mezzi tiegħu biex jaħtfu l-poter</v>
      </c>
    </row>
    <row r="21449" ht="15.75" customHeight="1">
      <c r="A21449" s="2" t="s">
        <v>21449</v>
      </c>
      <c r="B21449" s="2" t="str">
        <f>IFERROR(__xludf.DUMMYFUNCTION("GOOGLETRANSLATE(A21449, ""en"", ""mt"")"),"11–13 seklu WK")</f>
        <v>11–13 seklu WK</v>
      </c>
    </row>
    <row r="21450" ht="15.75" customHeight="1">
      <c r="A21450" s="2" t="s">
        <v>21450</v>
      </c>
      <c r="B21450" s="2" t="str">
        <f>IFERROR(__xludf.DUMMYFUNCTION("GOOGLETRANSLATE(A21450, ""en"", ""mt"")"),"Meta japplikaw it-trattati ddikjarati?")</f>
        <v>Meta japplikaw it-trattati ddikjarati?</v>
      </c>
    </row>
    <row r="21451" ht="15.75" customHeight="1">
      <c r="A21451" s="2" t="s">
        <v>21451</v>
      </c>
      <c r="B21451" s="2" t="str">
        <f>IFERROR(__xludf.DUMMYFUNCTION("GOOGLETRANSLATE(A21451, ""en"", ""mt"")"),"l-ID tal-konnessjoni f'tabella")</f>
        <v>l-ID tal-konnessjoni f'tabella</v>
      </c>
    </row>
    <row r="21452" ht="15.75" customHeight="1">
      <c r="A21452" s="2" t="s">
        <v>21452</v>
      </c>
      <c r="B21452" s="2" t="str">
        <f>IFERROR(__xludf.DUMMYFUNCTION("GOOGLETRANSLATE(A21452, ""en"", ""mt"")"),"L-ostakli kimiċi jipproteġu wkoll kontra l-infezzjoni. Il-ġilda u l-passaġġ respiratorju jnixxu peptidi antimikrobiċi bħal β-defensins. Enżimi bħal-lisożima u l-fosfolipase A2 fil-bżieq, id-dmugħ u l-ħalib tas-sider huma wkoll antibatteriċi. It-tnixxija v"&amp;"aġinali sservi bħala barriera kimika wara l-menarche, meta jsiru kemmxejn aċidużi, filwaqt li l-isperma fiha difensini u żingu biex joqtlu patoġeni. Fl-istonku, l-aċidu gastriku u l-proteasi jservu bħala difiżi kimiċi qawwija kontra patoġeni inġeriti.")</f>
        <v>L-ostakli kimiċi jipproteġu wkoll kontra l-infezzjoni. Il-ġilda u l-passaġġ respiratorju jnixxu peptidi antimikrobiċi bħal β-defensins. Enżimi bħal-lisożima u l-fosfolipase A2 fil-bżieq, id-dmugħ u l-ħalib tas-sider huma wkoll antibatteriċi. It-tnixxija vaġinali sservi bħala barriera kimika wara l-menarche, meta jsiru kemmxejn aċidużi, filwaqt li l-isperma fiha difensini u żingu biex joqtlu patoġeni. Fl-istonku, l-aċidu gastriku u l-proteasi jservu bħala difiżi kimiċi qawwija kontra patoġeni inġeriti.</v>
      </c>
    </row>
    <row r="21453" ht="15.75" customHeight="1">
      <c r="A21453" s="2" t="s">
        <v>21453</v>
      </c>
      <c r="B21453" s="2" t="str">
        <f>IFERROR(__xludf.DUMMYFUNCTION("GOOGLETRANSLATE(A21453, ""en"", ""mt"")"),"Liema tattika użaw ir-riċerkaturi biex jikkumpensaw id-defiċit ta 'xogħol preċedenti li jdawwar il-kumplessità ta' problemi algoritmiċi?")</f>
        <v>Liema tattika użaw ir-riċerkaturi biex jikkumpensaw id-defiċit ta 'xogħol preċedenti li jdawwar il-kumplessità ta' problemi algoritmiċi?</v>
      </c>
    </row>
    <row r="21454" ht="15.75" customHeight="1">
      <c r="A21454" s="2" t="s">
        <v>21454</v>
      </c>
      <c r="B21454" s="2" t="str">
        <f>IFERROR(__xludf.DUMMYFUNCTION("GOOGLETRANSLATE(A21454, ""en"", ""mt"")"),"Londra Greater għandha aktar minn 900,000 Musulman, (il-biċċa l-kbira tal-oriġini tal-Asja t'Isfel u kkonċentrata fil-distretti tal-Lvant ta 'Newham, Hamlets Tower u Waltham Forest), u fosthom hemm uħud bi prospett Iżlamiku qawwi. Il-preżenza tagħhom, fli"&amp;"mkien ma 'politika Ingliża perċepita li tippermettilhom riedni ħielsa, imsaħħa minn esponimenti bħall-programm dokumentarju Channel 4 tal-2007, wasslet għat-terminu ta' Londonistan. Wara l-attakki tad-9/11, madankollu, Abu Hamza al-Masri, l-imam tal-Moske"&amp;"a tal-Park Finsbury, ġie arrestat u akkużat b'inċitament għat-terroriżmu li kkawża ħafna Iżlamisti jitilqu mir-Renju Unit biex jevitaw internament. [Ċitazzjoni meħtieġa]")</f>
        <v>Londra Greater għandha aktar minn 900,000 Musulman, (il-biċċa l-kbira tal-oriġini tal-Asja t'Isfel u kkonċentrata fil-distretti tal-Lvant ta 'Newham, Hamlets Tower u Waltham Forest), u fosthom hemm uħud bi prospett Iżlamiku qawwi. Il-preżenza tagħhom, flimkien ma 'politika Ingliża perċepita li tippermettilhom riedni ħielsa, imsaħħa minn esponimenti bħall-programm dokumentarju Channel 4 tal-2007, wasslet għat-terminu ta' Londonistan. Wara l-attakki tad-9/11, madankollu, Abu Hamza al-Masri, l-imam tal-Moskea tal-Park Finsbury, ġie arrestat u akkużat b'inċitament għat-terroriżmu li kkawża ħafna Iżlamisti jitilqu mir-Renju Unit biex jevitaw internament. [Ċitazzjoni meħtieġa]</v>
      </c>
    </row>
    <row r="21455" ht="15.75" customHeight="1">
      <c r="A21455" s="2" t="s">
        <v>21455</v>
      </c>
      <c r="B21455" s="2" t="str">
        <f>IFERROR(__xludf.DUMMYFUNCTION("GOOGLETRANSLATE(A21455, ""en"", ""mt"")"),"F'liema konferenza jilagħbu t-timijiet fin-Nofsinhar ta 'California?")</f>
        <v>F'liema konferenza jilagħbu t-timijiet fin-Nofsinhar ta 'California?</v>
      </c>
    </row>
    <row r="21456" ht="15.75" customHeight="1">
      <c r="A21456" s="2" t="s">
        <v>21456</v>
      </c>
      <c r="B21456" s="2" t="str">
        <f>IFERROR(__xludf.DUMMYFUNCTION("GOOGLETRANSLATE(A21456, ""en"", ""mt"")"),"Fejn il-Korea kienet il-fruntiera tat-territorju ta 'Kublai?")</f>
        <v>Fejn il-Korea kienet il-fruntiera tat-territorju ta 'Kublai?</v>
      </c>
    </row>
    <row r="21457" ht="15.75" customHeight="1">
      <c r="A21457" s="2" t="s">
        <v>21457</v>
      </c>
      <c r="B21457" s="2" t="str">
        <f>IFERROR(__xludf.DUMMYFUNCTION("GOOGLETRANSLATE(A21457, ""en"", ""mt"")"),"L-awtorità aħħarija tal-istati membri, l-impenn fattwali tagħha għad-drittijiet tal-bniedem, u r-rieda demokratika tal-poplu.")</f>
        <v>L-awtorità aħħarija tal-istati membri, l-impenn fattwali tagħha għad-drittijiet tal-bniedem, u r-rieda demokratika tal-poplu.</v>
      </c>
    </row>
    <row r="21458" ht="15.75" customHeight="1">
      <c r="A21458" s="2" t="s">
        <v>21458</v>
      </c>
      <c r="B21458" s="2" t="str">
        <f>IFERROR(__xludf.DUMMYFUNCTION("GOOGLETRANSLATE(A21458, ""en"", ""mt"")"),"Kemm mill-popolazzjoni ta 'Pariġi nqatlet mill-pesta?")</f>
        <v>Kemm mill-popolazzjoni ta 'Pariġi nqatlet mill-pesta?</v>
      </c>
    </row>
    <row r="21459" ht="15.75" customHeight="1">
      <c r="A21459" s="2" t="s">
        <v>21459</v>
      </c>
      <c r="B21459" s="2" t="str">
        <f>IFERROR(__xludf.DUMMYFUNCTION("GOOGLETRANSLATE(A21459, ""en"", ""mt"")"),"X'għandhom l-ormoni prodotti matul dan iż-żmien jieqfu milli jinteraġixxu?")</f>
        <v>X'għandhom l-ormoni prodotti matul dan iż-żmien jieqfu milli jinteraġixxu?</v>
      </c>
    </row>
    <row r="21460" ht="15.75" customHeight="1">
      <c r="A21460" s="2" t="s">
        <v>21460</v>
      </c>
      <c r="B21460" s="2" t="str">
        <f>IFERROR(__xludf.DUMMYFUNCTION("GOOGLETRANSLATE(A21460, ""en"", ""mt"")"),"X'jagħmlu livelli għoljin ta 'inugwaljanza għat-tkabbir ekonomiku f'pajjiżi aktar sinjuri?")</f>
        <v>X'jagħmlu livelli għoljin ta 'inugwaljanza għat-tkabbir ekonomiku f'pajjiżi aktar sinjuri?</v>
      </c>
    </row>
    <row r="21461" ht="15.75" customHeight="1">
      <c r="A21461" s="2" t="s">
        <v>21461</v>
      </c>
      <c r="B21461" s="2" t="str">
        <f>IFERROR(__xludf.DUMMYFUNCTION("GOOGLETRANSLATE(A21461, ""en"", ""mt"")"),"riżorsa tal-komputazzjoni")</f>
        <v>riżorsa tal-komputazzjoni</v>
      </c>
    </row>
    <row r="21462" ht="15.75" customHeight="1">
      <c r="A21462" s="2" t="s">
        <v>21462</v>
      </c>
      <c r="B21462" s="2" t="str">
        <f>IFERROR(__xludf.DUMMYFUNCTION("GOOGLETRANSLATE(A21462, ""en"", ""mt"")"),"Meta rkuprat il-popolazzjoni tad-dinja fl-aħħar mill-mewt l-Iswed?")</f>
        <v>Meta rkuprat il-popolazzjoni tad-dinja fl-aħħar mill-mewt l-Iswed?</v>
      </c>
    </row>
    <row r="21463" ht="15.75" customHeight="1">
      <c r="A21463" s="2" t="s">
        <v>21463</v>
      </c>
      <c r="B21463" s="2" t="str">
        <f>IFERROR(__xludf.DUMMYFUNCTION("GOOGLETRANSLATE(A21463, ""en"", ""mt"")"),"X'inhi l-kelma Ingliża għan-nitroġenu?")</f>
        <v>X'inhi l-kelma Ingliża għan-nitroġenu?</v>
      </c>
    </row>
    <row r="21464" ht="15.75" customHeight="1">
      <c r="A21464" s="2" t="s">
        <v>21464</v>
      </c>
      <c r="B21464" s="2" t="str">
        <f>IFERROR(__xludf.DUMMYFUNCTION("GOOGLETRANSLATE(A21464, ""en"", ""mt"")"),"Ftit mix-xogħol magħmul mill-Parlament Skoċċiż isir fejn?")</f>
        <v>Ftit mix-xogħol magħmul mill-Parlament Skoċċiż isir fejn?</v>
      </c>
    </row>
    <row r="21465" ht="15.75" customHeight="1">
      <c r="A21465" s="2" t="s">
        <v>21465</v>
      </c>
      <c r="B21465" s="2" t="str">
        <f>IFERROR(__xludf.DUMMYFUNCTION("GOOGLETRANSLATE(A21465, ""en"", ""mt"")"),"X'inhu prodott ta 'ġestjoni barranija tal-ħamrija?")</f>
        <v>X'inhu prodott ta 'ġestjoni barranija tal-ħamrija?</v>
      </c>
    </row>
    <row r="21466" ht="15.75" customHeight="1">
      <c r="A21466" s="2" t="s">
        <v>21466</v>
      </c>
      <c r="B21466" s="2" t="str">
        <f>IFERROR(__xludf.DUMMYFUNCTION("GOOGLETRANSLATE(A21466, ""en"", ""mt"")"),"Kuntrattur identifika ordnijiet ta 'bidla jew bidliet fil-proġett li żiedu l-ispejjeż")</f>
        <v>Kuntrattur identifika ordnijiet ta 'bidla jew bidliet fil-proġett li żiedu l-ispejjeż</v>
      </c>
    </row>
    <row r="21467" ht="15.75" customHeight="1">
      <c r="A21467" s="2" t="s">
        <v>21467</v>
      </c>
      <c r="B21467" s="2" t="str">
        <f>IFERROR(__xludf.DUMMYFUNCTION("GOOGLETRANSLATE(A21467, ""en"", ""mt"")"),"Min mexxa truppi Issacs lejn Ċipru?")</f>
        <v>Min mexxa truppi Issacs lejn Ċipru?</v>
      </c>
    </row>
    <row r="21468" ht="15.75" customHeight="1">
      <c r="A21468" s="2" t="s">
        <v>21468</v>
      </c>
      <c r="B21468" s="2" t="str">
        <f>IFERROR(__xludf.DUMMYFUNCTION("GOOGLETRANSLATE(A21468, ""en"", ""mt"")"),"X'inhu użat biex telimina patoġen li jinfetta l-ġisem darba?")</f>
        <v>X'inhu użat biex telimina patoġen li jinfetta l-ġisem darba?</v>
      </c>
    </row>
    <row r="21469" ht="15.75" customHeight="1">
      <c r="A21469" s="2" t="s">
        <v>21469</v>
      </c>
      <c r="B21469" s="2" t="str">
        <f>IFERROR(__xludf.DUMMYFUNCTION("GOOGLETRANSLATE(A21469, ""en"", ""mt"")"),"Kif jissejħu l-pjanċi tettoniċi differenti?")</f>
        <v>Kif jissejħu l-pjanċi tettoniċi differenti?</v>
      </c>
    </row>
    <row r="21470" ht="15.75" customHeight="1">
      <c r="A21470" s="2" t="s">
        <v>21470</v>
      </c>
      <c r="B21470" s="2" t="str">
        <f>IFERROR(__xludf.DUMMYFUNCTION("GOOGLETRANSLATE(A21470, ""en"", ""mt"")"),"X'inhu l-memorja immunoloġika qabel ma l-inizjali jirrispondi għal patoġen?")</f>
        <v>X'inhu l-memorja immunoloġika qabel ma l-inizjali jirrispondi għal patoġen?</v>
      </c>
    </row>
    <row r="21471" ht="15.75" customHeight="1">
      <c r="A21471" s="2" t="s">
        <v>21471</v>
      </c>
      <c r="B21471" s="2" t="str">
        <f>IFERROR(__xludf.DUMMYFUNCTION("GOOGLETRANSLATE(A21471, ""en"", ""mt"")"),"Meta bdiet il-ġuħ Ċiniż?")</f>
        <v>Meta bdiet il-ġuħ Ċiniż?</v>
      </c>
    </row>
    <row r="21472" ht="15.75" customHeight="1">
      <c r="A21472" s="2" t="s">
        <v>21472</v>
      </c>
      <c r="B21472" s="2" t="str">
        <f>IFERROR(__xludf.DUMMYFUNCTION("GOOGLETRANSLATE(A21472, ""en"", ""mt"")"),"indekompożizzjoni")</f>
        <v>indekompożizzjoni</v>
      </c>
    </row>
    <row r="21473" ht="15.75" customHeight="1">
      <c r="A21473" s="2" t="s">
        <v>21473</v>
      </c>
      <c r="B21473" s="2" t="str">
        <f>IFERROR(__xludf.DUMMYFUNCTION("GOOGLETRANSLATE(A21473, ""en"", ""mt"")"),"F'liema grad il-GPS per capita jistabbilixxi Victoria?")</f>
        <v>F'liema grad il-GPS per capita jistabbilixxi Victoria?</v>
      </c>
    </row>
    <row r="21474" ht="15.75" customHeight="1">
      <c r="A21474" s="2" t="s">
        <v>21474</v>
      </c>
      <c r="B21474" s="2" t="str">
        <f>IFERROR(__xludf.DUMMYFUNCTION("GOOGLETRANSLATE(A21474, ""en"", ""mt"")"),"X'inhu kunċett ġenerali ieħor li japplika għall-elementi tal-Ġeneral XY?")</f>
        <v>X'inhu kunċett ġenerali ieħor li japplika għall-elementi tal-Ġeneral XY?</v>
      </c>
    </row>
    <row r="21475" ht="15.75" customHeight="1">
      <c r="A21475" s="2" t="s">
        <v>21475</v>
      </c>
      <c r="B21475" s="2" t="str">
        <f>IFERROR(__xludf.DUMMYFUNCTION("GOOGLETRANSLATE(A21475, ""en"", ""mt"")"),"Fejn tinsab Kampinos Forest?")</f>
        <v>Fejn tinsab Kampinos Forest?</v>
      </c>
    </row>
    <row r="21476" ht="15.75" customHeight="1">
      <c r="A21476" s="2" t="s">
        <v>21476</v>
      </c>
      <c r="B21476" s="2" t="str">
        <f>IFERROR(__xludf.DUMMYFUNCTION("GOOGLETRANSLATE(A21476, ""en"", ""mt"")"),"Min ikkummissjona t-tapizzerija?")</f>
        <v>Min ikkummissjona t-tapizzerija?</v>
      </c>
    </row>
    <row r="21477" ht="15.75" customHeight="1">
      <c r="A21477" s="2" t="s">
        <v>21477</v>
      </c>
      <c r="B21477" s="2" t="str">
        <f>IFERROR(__xludf.DUMMYFUNCTION("GOOGLETRANSLATE(A21477, ""en"", ""mt"")"),"Gvern tal-Unjoni")</f>
        <v>Gvern tal-Unjoni</v>
      </c>
    </row>
    <row r="21478" ht="15.75" customHeight="1">
      <c r="A21478" s="2" t="s">
        <v>21478</v>
      </c>
      <c r="B21478" s="2" t="str">
        <f>IFERROR(__xludf.DUMMYFUNCTION("GOOGLETRANSLATE(A21478, ""en"", ""mt"")"),"tixrid ta 'mard mill-Ewropa")</f>
        <v>tixrid ta 'mard mill-Ewropa</v>
      </c>
    </row>
    <row r="21479" ht="15.75" customHeight="1">
      <c r="A21479" s="2" t="s">
        <v>21479</v>
      </c>
      <c r="B21479" s="2" t="str">
        <f>IFERROR(__xludf.DUMMYFUNCTION("GOOGLETRANSLATE(A21479, ""en"", ""mt"")"),"Għaliex l-applikazzjonijiet tal-istudenti żdiedu matul l-1950?")</f>
        <v>Għaliex l-applikazzjonijiet tal-istudenti żdiedu matul l-1950?</v>
      </c>
    </row>
    <row r="21480" ht="15.75" customHeight="1">
      <c r="A21480" s="2" t="s">
        <v>21480</v>
      </c>
      <c r="B21480" s="2" t="str">
        <f>IFERROR(__xludf.DUMMYFUNCTION("GOOGLETRANSLATE(A21480, ""en"", ""mt"")"),"X'waqfa riċerkaturi konservattivi għandhom ikunu miżura ta 'inugwaljanza?")</f>
        <v>X'waqfa riċerkaturi konservattivi għandhom ikunu miżura ta 'inugwaljanza?</v>
      </c>
    </row>
    <row r="21481" ht="15.75" customHeight="1">
      <c r="A21481" s="2" t="s">
        <v>21481</v>
      </c>
      <c r="B21481" s="2" t="str">
        <f>IFERROR(__xludf.DUMMYFUNCTION("GOOGLETRANSLATE(A21481, ""en"", ""mt"")"),"Kif jiġu ddeterminati l-kejl tal-laboratorju tal-forzi?")</f>
        <v>Kif jiġu ddeterminati l-kejl tal-laboratorju tal-forzi?</v>
      </c>
    </row>
    <row r="21482" ht="15.75" customHeight="1">
      <c r="A21482" s="2" t="s">
        <v>21482</v>
      </c>
      <c r="B21482" s="2" t="str">
        <f>IFERROR(__xludf.DUMMYFUNCTION("GOOGLETRANSLATE(A21482, ""en"", ""mt"")"),"ċittadini")</f>
        <v>ċittadini</v>
      </c>
    </row>
    <row r="21483" ht="15.75" customHeight="1">
      <c r="A21483" s="2" t="s">
        <v>21483</v>
      </c>
      <c r="B21483" s="2" t="str">
        <f>IFERROR(__xludf.DUMMYFUNCTION("GOOGLETRANSLATE(A21483, ""en"", ""mt"")"),"F'liema sena twaqqaf il-fakultà medika f'Pariġi?")</f>
        <v>F'liema sena twaqqaf il-fakultà medika f'Pariġi?</v>
      </c>
    </row>
    <row r="21484" ht="15.75" customHeight="1">
      <c r="A21484" s="2" t="s">
        <v>21484</v>
      </c>
      <c r="B21484" s="2" t="str">
        <f>IFERROR(__xludf.DUMMYFUNCTION("GOOGLETRANSLATE(A21484, ""en"", ""mt"")"),"Acura")</f>
        <v>Acura</v>
      </c>
    </row>
    <row r="21485" ht="15.75" customHeight="1">
      <c r="A21485" s="2" t="s">
        <v>21485</v>
      </c>
      <c r="B21485" s="2" t="str">
        <f>IFERROR(__xludf.DUMMYFUNCTION("GOOGLETRANSLATE(A21485, ""en"", ""mt"")"),"Lejn l-Atlantiku")</f>
        <v>Lejn l-Atlantiku</v>
      </c>
    </row>
    <row r="21486" ht="15.75" customHeight="1">
      <c r="A21486" s="2" t="s">
        <v>21486</v>
      </c>
      <c r="B21486" s="2" t="str">
        <f>IFERROR(__xludf.DUMMYFUNCTION("GOOGLETRANSLATE(A21486, ""en"", ""mt"")"),"KPN irrefera għal DataNet 1 bħala")</f>
        <v>KPN irrefera għal DataNet 1 bħala</v>
      </c>
    </row>
    <row r="21487" ht="15.75" customHeight="1">
      <c r="A21487" s="2" t="s">
        <v>21487</v>
      </c>
      <c r="B21487" s="2" t="str">
        <f>IFERROR(__xludf.DUMMYFUNCTION("GOOGLETRANSLATE(A21487, ""en"", ""mt"")"),"Liema isem jingħata lil xi numru ewlieni akbar minn 2?")</f>
        <v>Liema isem jingħata lil xi numru ewlieni akbar minn 2?</v>
      </c>
    </row>
    <row r="21488" ht="15.75" customHeight="1">
      <c r="A21488" s="2" t="s">
        <v>21488</v>
      </c>
      <c r="B21488" s="2" t="str">
        <f>IFERROR(__xludf.DUMMYFUNCTION("GOOGLETRANSLATE(A21488, ""en"", ""mt"")"),"X'tip ta 'aċċess għal dawk li għadhom ma ggradwawx għandhom l-Arkivji tal-Università ta' Harvard?")</f>
        <v>X'tip ta 'aċċess għal dawk li għadhom ma ggradwawx għandhom l-Arkivji tal-Università ta' Harvard?</v>
      </c>
    </row>
    <row r="21489" ht="15.75" customHeight="1">
      <c r="A21489" s="2" t="s">
        <v>21489</v>
      </c>
      <c r="B21489" s="2" t="str">
        <f>IFERROR(__xludf.DUMMYFUNCTION("GOOGLETRANSLATE(A21489, ""en"", ""mt"")"),"X'inhu t-tagħlim għall-2012 - 13-il sena f'Harvard?")</f>
        <v>X'inhu t-tagħlim għall-2012 - 13-il sena f'Harvard?</v>
      </c>
    </row>
    <row r="21490" ht="15.75" customHeight="1">
      <c r="A21490" s="2" t="s">
        <v>21490</v>
      </c>
      <c r="B21490" s="2" t="str">
        <f>IFERROR(__xludf.DUMMYFUNCTION("GOOGLETRANSLATE(A21490, ""en"", ""mt"")"),"Il-Fresno Barn")</f>
        <v>Il-Fresno Barn</v>
      </c>
    </row>
    <row r="21491" ht="15.75" customHeight="1">
      <c r="A21491" s="2" t="s">
        <v>21491</v>
      </c>
      <c r="B21491" s="2" t="str">
        <f>IFERROR(__xludf.DUMMYFUNCTION("GOOGLETRANSLATE(A21491, ""en"", ""mt"")"),"Meta Washington ma tgħallimx dwar l-irtir ta 'Trent?")</f>
        <v>Meta Washington ma tgħallimx dwar l-irtir ta 'Trent?</v>
      </c>
    </row>
    <row r="21492" ht="15.75" customHeight="1">
      <c r="A21492" s="2" t="s">
        <v>21492</v>
      </c>
      <c r="B21492" s="2" t="str">
        <f>IFERROR(__xludf.DUMMYFUNCTION("GOOGLETRANSLATE(A21492, ""en"", ""mt"")"),"X’kienu ħadu sehem in-Normanni fis-seklu 10?")</f>
        <v>X’kienu ħadu sehem in-Normanni fis-seklu 10?</v>
      </c>
    </row>
    <row r="21493" ht="15.75" customHeight="1">
      <c r="A21493" s="2" t="s">
        <v>21493</v>
      </c>
      <c r="B21493" s="2" t="str">
        <f>IFERROR(__xludf.DUMMYFUNCTION("GOOGLETRANSLATE(A21493, ""en"", ""mt"")"),"Channing kienet l-iktar figura kruċjali biex tinkiseb dak fl-universitajiet tal-Istati Uniti?")</f>
        <v>Channing kienet l-iktar figura kruċjali biex tinkiseb dak fl-universitajiet tal-Istati Uniti?</v>
      </c>
    </row>
    <row r="21494" ht="15.75" customHeight="1">
      <c r="A21494" s="2" t="s">
        <v>21494</v>
      </c>
      <c r="B21494" s="2" t="str">
        <f>IFERROR(__xludf.DUMMYFUNCTION("GOOGLETRANSLATE(A21494, ""en"", ""mt"")"),"Liema dipartiment tal-gvern għalaq Buyantu?")</f>
        <v>Liema dipartiment tal-gvern għalaq Buyantu?</v>
      </c>
    </row>
    <row r="21495" ht="15.75" customHeight="1">
      <c r="A21495" s="2" t="s">
        <v>21495</v>
      </c>
      <c r="B21495" s="2" t="str">
        <f>IFERROR(__xludf.DUMMYFUNCTION("GOOGLETRANSLATE(A21495, ""en"", ""mt"")"),"Liema karatteristika tal-Amażonja għamlet lin-nies jemmnu li ma jistax ikollhom ħafna abitanti?")</f>
        <v>Liema karatteristika tal-Amażonja għamlet lin-nies jemmnu li ma jistax ikollhom ħafna abitanti?</v>
      </c>
    </row>
    <row r="21496" ht="15.75" customHeight="1">
      <c r="A21496" s="2" t="s">
        <v>21496</v>
      </c>
      <c r="B21496" s="2" t="str">
        <f>IFERROR(__xludf.DUMMYFUNCTION("GOOGLETRANSLATE(A21496, ""en"", ""mt"")")," Turabi kif bena bażi ekonomika dgħajfa?")</f>
        <v> Turabi kif bena bażi ekonomika dgħajfa?</v>
      </c>
    </row>
    <row r="21497" ht="15.75" customHeight="1">
      <c r="A21497" s="2" t="s">
        <v>21497</v>
      </c>
      <c r="B21497" s="2" t="str">
        <f>IFERROR(__xludf.DUMMYFUNCTION("GOOGLETRANSLATE(A21497, ""en"", ""mt"")"),"1 ta ’Ottubru 1998")</f>
        <v>1 ta ’Ottubru 1998</v>
      </c>
    </row>
    <row r="21498" ht="15.75" customHeight="1">
      <c r="A21498" s="2" t="s">
        <v>21498</v>
      </c>
      <c r="B21498" s="2" t="str">
        <f>IFERROR(__xludf.DUMMYFUNCTION("GOOGLETRANSLATE(A21498, ""en"", ""mt"")"),"valur assolut")</f>
        <v>valur assolut</v>
      </c>
    </row>
    <row r="21499" ht="15.75" customHeight="1">
      <c r="A21499" s="2" t="s">
        <v>21499</v>
      </c>
      <c r="B21499" s="2" t="str">
        <f>IFERROR(__xludf.DUMMYFUNCTION("GOOGLETRANSLATE(A21499, ""en"", ""mt"")"),"agrikoltura")</f>
        <v>agrikoltura</v>
      </c>
    </row>
    <row r="21500" ht="15.75" customHeight="1">
      <c r="A21500" s="2" t="s">
        <v>21500</v>
      </c>
      <c r="B21500" s="2" t="str">
        <f>IFERROR(__xludf.DUMMYFUNCTION("GOOGLETRANSLATE(A21500, ""en"", ""mt"")"),"In-Normanni kienu f'kuntatt mal-Ingilterra minn data bikrija. Mhux biss ħutna oriġinali tagħhom tal-Viking għadhom ħarbu mill-kosti Ingliżi, iżda okkupaw ħafna mill-portijiet importanti faċċata tal-Ingilterra madwar il-Kanal Ingliż. Din ir-relazzjoni even"&amp;"twalment ipproduċiet rabtiet aktar mill-qrib ta 'demm permezz taż-żwieġ ta' Emma, ​​oħt id-Duka Richard II tan-Normandija, u r-Re Ethelred II tal-Ingilterra. Minħabba dan, Ethelred ħarab lejn in-Normandija fl-1013, meta kien sfurzat mir-renju tiegħu minn "&amp;"Sweyn Forkbeard. Il-waqfa tiegħu fin-Normandija (sal-1016) influwenzat lilu u lil uliedu minn Emma, ​​li baqgħu fin-Normandija wara Cnut the Great's Conquest of the Isle.")</f>
        <v>In-Normanni kienu f'kuntatt mal-Ingilterra minn data bikrija. Mhux biss ħutna oriġinali tagħhom tal-Viking għadhom ħarbu mill-kosti Ingliżi, iżda okkupaw ħafna mill-portijiet importanti faċċata tal-Ingilterra madwar il-Kanal Ingliż. Din ir-relazzjoni eventwalment ipproduċiet rabtiet aktar mill-qrib ta 'demm permezz taż-żwieġ ta' Emma, ​​oħt id-Duka Richard II tan-Normandija, u r-Re Ethelred II tal-Ingilterra. Minħabba dan, Ethelred ħarab lejn in-Normandija fl-1013, meta kien sfurzat mir-renju tiegħu minn Sweyn Forkbeard. Il-waqfa tiegħu fin-Normandija (sal-1016) influwenzat lilu u lil uliedu minn Emma, ​​li baqgħu fin-Normandija wara Cnut the Great's Conquest of the Isle.</v>
      </c>
    </row>
    <row r="21501" ht="15.75" customHeight="1">
      <c r="A21501" s="2" t="s">
        <v>21501</v>
      </c>
      <c r="B21501" s="2" t="str">
        <f>IFERROR(__xludf.DUMMYFUNCTION("GOOGLETRANSLATE(A21501, ""en"", ""mt"")"),"Il-provvisti minn Jacksonville kienu jappoġġjaw liema fazzjoni fil-Gwerra Ċivili?")</f>
        <v>Il-provvisti minn Jacksonville kienu jappoġġjaw liema fazzjoni fil-Gwerra Ċivili?</v>
      </c>
    </row>
    <row r="21502" ht="15.75" customHeight="1">
      <c r="A21502" s="2" t="s">
        <v>21502</v>
      </c>
      <c r="B21502" s="2" t="str">
        <f>IFERROR(__xludf.DUMMYFUNCTION("GOOGLETRANSLATE(A21502, ""en"", ""mt"")"),"Kemm hu Huguenots Pedro Menendez qatel f'San Wistin?")</f>
        <v>Kemm hu Huguenots Pedro Menendez qatel f'San Wistin?</v>
      </c>
    </row>
    <row r="21503" ht="15.75" customHeight="1">
      <c r="A21503" s="2" t="s">
        <v>21503</v>
      </c>
      <c r="B21503" s="2" t="str">
        <f>IFERROR(__xludf.DUMMYFUNCTION("GOOGLETRANSLATE(A21503, ""en"", ""mt"")"),"Liema sena waqfu jħaffru l-kanal Pannerdens?")</f>
        <v>Liema sena waqfu jħaffru l-kanal Pannerdens?</v>
      </c>
    </row>
    <row r="21504" ht="15.75" customHeight="1">
      <c r="A21504" s="2" t="s">
        <v>21504</v>
      </c>
      <c r="B21504" s="2" t="str">
        <f>IFERROR(__xludf.DUMMYFUNCTION("GOOGLETRANSLATE(A21504, ""en"", ""mt"")"),"Liema azzjonijiet mill-istituzzjonijiet tal-UE jistgħu jkunu soġġetti għal reviżjoni ġudizzjarja?")</f>
        <v>Liema azzjonijiet mill-istituzzjonijiet tal-UE jistgħu jkunu soġġetti għal reviżjoni ġudizzjarja?</v>
      </c>
    </row>
    <row r="21505" ht="15.75" customHeight="1">
      <c r="A21505" s="2" t="s">
        <v>21505</v>
      </c>
      <c r="B21505" s="2" t="str">
        <f>IFERROR(__xludf.DUMMYFUNCTION("GOOGLETRANSLATE(A21505, ""en"", ""mt"")"),"Cambaluc")</f>
        <v>Cambaluc</v>
      </c>
    </row>
    <row r="21506" ht="15.75" customHeight="1">
      <c r="A21506" s="2" t="s">
        <v>21506</v>
      </c>
      <c r="B21506" s="2" t="str">
        <f>IFERROR(__xludf.DUMMYFUNCTION("GOOGLETRANSLATE(A21506, ""en"", ""mt"")"),"Liema persentaġġ ta 'elettriku sar mill-impjanti tal-enerġija fis-snin disgħin?")</f>
        <v>Liema persentaġġ ta 'elettriku sar mill-impjanti tal-enerġija fis-snin disgħin?</v>
      </c>
    </row>
    <row r="21507" ht="15.75" customHeight="1">
      <c r="A21507" s="2" t="s">
        <v>21507</v>
      </c>
      <c r="B21507" s="2" t="str">
        <f>IFERROR(__xludf.DUMMYFUNCTION("GOOGLETRANSLATE(A21507, ""en"", ""mt"")"),"X'għandhom bżonn jagħmlu nies b'esperjenza?")</f>
        <v>X'għandhom bżonn jagħmlu nies b'esperjenza?</v>
      </c>
    </row>
    <row r="21508" ht="15.75" customHeight="1">
      <c r="A21508" s="2" t="s">
        <v>21508</v>
      </c>
      <c r="B21508" s="2" t="str">
        <f>IFERROR(__xludf.DUMMYFUNCTION("GOOGLETRANSLATE(A21508, ""en"", ""mt"")"),"L-eks kwartieri ġenerali tiegħu kienet il-WSE li tinsab fl-2000?")</f>
        <v>L-eks kwartieri ġenerali tiegħu kienet il-WSE li tinsab fl-2000?</v>
      </c>
    </row>
    <row r="21509" ht="15.75" customHeight="1">
      <c r="A21509" s="2" t="s">
        <v>21509</v>
      </c>
      <c r="B21509" s="2" t="str">
        <f>IFERROR(__xludf.DUMMYFUNCTION("GOOGLETRANSLATE(A21509, ""en"", ""mt"")"),"importanti")</f>
        <v>importanti</v>
      </c>
    </row>
    <row r="21510" ht="15.75" customHeight="1">
      <c r="A21510" s="2" t="s">
        <v>21510</v>
      </c>
      <c r="B21510" s="2" t="str">
        <f>IFERROR(__xludf.DUMMYFUNCTION("GOOGLETRANSLATE(A21510, ""en"", ""mt"")"),"Front Nazzjonali Iżlamiku")</f>
        <v>Front Nazzjonali Iżlamiku</v>
      </c>
    </row>
    <row r="21511" ht="15.75" customHeight="1">
      <c r="A21511" s="2" t="s">
        <v>21511</v>
      </c>
      <c r="B21511" s="2" t="str">
        <f>IFERROR(__xludf.DUMMYFUNCTION("GOOGLETRANSLATE(A21511, ""en"", ""mt"")"),"Meta l-Ingilterra ddikjarat formalment il-gwerra fuq Franza?")</f>
        <v>Meta l-Ingilterra ddikjarat formalment il-gwerra fuq Franza?</v>
      </c>
    </row>
    <row r="21512" ht="15.75" customHeight="1">
      <c r="A21512" s="2" t="s">
        <v>21512</v>
      </c>
      <c r="B21512" s="2" t="str">
        <f>IFERROR(__xludf.DUMMYFUNCTION("GOOGLETRANSLATE(A21512, ""en"", ""mt"")"),"Meta ġie ppruvat it-teorema tan-numru bl-addoċċ?")</f>
        <v>Meta ġie ppruvat it-teorema tan-numru bl-addoċċ?</v>
      </c>
    </row>
    <row r="21513" ht="15.75" customHeight="1">
      <c r="A21513" s="2" t="s">
        <v>21513</v>
      </c>
      <c r="B21513" s="2" t="str">
        <f>IFERROR(__xludf.DUMMYFUNCTION("GOOGLETRANSLATE(A21513, ""en"", ""mt"")"),"Il-kuntratti għandhom ikunu ddisinjati biex jiżguraw xiex?")</f>
        <v>Il-kuntratti għandhom ikunu ddisinjati biex jiżguraw xiex?</v>
      </c>
    </row>
    <row r="21514" ht="15.75" customHeight="1">
      <c r="A21514" s="2" t="s">
        <v>21514</v>
      </c>
      <c r="B21514" s="2" t="str">
        <f>IFERROR(__xludf.DUMMYFUNCTION("GOOGLETRANSLATE(A21514, ""en"", ""mt"")"),"X'għandu ma jikkompetix mal-flora kommensali għall-ikel u l-ispazju?")</f>
        <v>X'għandu ma jikkompetix mal-flora kommensali għall-ikel u l-ispazju?</v>
      </c>
    </row>
    <row r="21515" ht="15.75" customHeight="1">
      <c r="A21515" s="2" t="s">
        <v>21515</v>
      </c>
      <c r="B21515" s="2" t="str">
        <f>IFERROR(__xludf.DUMMYFUNCTION("GOOGLETRANSLATE(A21515, ""en"", ""mt"")"),"Meta wieħed m'għandux għalfejn juri biss li hemm algoritmu partikolari ħin ta 'tħaddim f'Mons T (le?")</f>
        <v>Meta wieħed m'għandux għalfejn juri biss li hemm algoritmu partikolari ħin ta 'tħaddim f'Mons T (le?</v>
      </c>
    </row>
    <row r="21516" ht="15.75" customHeight="1">
      <c r="A21516" s="2" t="s">
        <v>21516</v>
      </c>
      <c r="B21516" s="2" t="str">
        <f>IFERROR(__xludf.DUMMYFUNCTION("GOOGLETRANSLATE(A21516, ""en"", ""mt"")"),"Huma jipproduċu sekrezzjonijiet (linka) li jdawwru ħafna bl-istess tul ta 'mewġ bħall-korpi tagħhom")</f>
        <v>Huma jipproduċu sekrezzjonijiet (linka) li jdawwru ħafna bl-istess tul ta 'mewġ bħall-korpi tagħhom</v>
      </c>
    </row>
    <row r="21517" ht="15.75" customHeight="1">
      <c r="A21517" s="2" t="s">
        <v>21517</v>
      </c>
      <c r="B21517" s="2" t="str">
        <f>IFERROR(__xludf.DUMMYFUNCTION("GOOGLETRANSLATE(A21517, ""en"", ""mt"")"),"Alberta u l-Kolumbja Brittanika")</f>
        <v>Alberta u l-Kolumbja Brittanika</v>
      </c>
    </row>
    <row r="21518" ht="15.75" customHeight="1">
      <c r="A21518" s="2" t="s">
        <v>21518</v>
      </c>
      <c r="B21518" s="2" t="str">
        <f>IFERROR(__xludf.DUMMYFUNCTION("GOOGLETRANSLATE(A21518, ""en"", ""mt"")"),"Dak li huwa komunement maħsub li huwa r-relazzjoni ta 'valur bejn p u ko-np")</f>
        <v>Dak li huwa komunement maħsub li huwa r-relazzjoni ta 'valur bejn p u ko-np</v>
      </c>
    </row>
    <row r="21519" ht="15.75" customHeight="1">
      <c r="A21519" s="2" t="s">
        <v>21519</v>
      </c>
      <c r="B21519" s="2" t="str">
        <f>IFERROR(__xludf.DUMMYFUNCTION("GOOGLETRANSLATE(A21519, ""en"", ""mt"")"),"X'tip ta 'kastig xi kultant jiġi offrut lid-diżubbidjenti ċivili?")</f>
        <v>X'tip ta 'kastig xi kultant jiġi offrut lid-diżubbidjenti ċivili?</v>
      </c>
    </row>
    <row r="21520" ht="15.75" customHeight="1">
      <c r="A21520" s="2" t="s">
        <v>21520</v>
      </c>
      <c r="B21520" s="2" t="str">
        <f>IFERROR(__xludf.DUMMYFUNCTION("GOOGLETRANSLATE(A21520, ""en"", ""mt"")"),"X'kien konkluż minn Richard Harbison fl-2001 dwar Beroids?")</f>
        <v>X'kien konkluż minn Richard Harbison fl-2001 dwar Beroids?</v>
      </c>
    </row>
    <row r="21521" ht="15.75" customHeight="1">
      <c r="A21521" s="2" t="s">
        <v>21521</v>
      </c>
      <c r="B21521" s="2" t="str">
        <f>IFERROR(__xludf.DUMMYFUNCTION("GOOGLETRANSLATE(A21521, ""en"", ""mt"")"),"Għaliex l-università rat waqgħa fl-applikanti?")</f>
        <v>Għaliex l-università rat waqgħa fl-applikanti?</v>
      </c>
    </row>
    <row r="21522" ht="15.75" customHeight="1">
      <c r="A21522" s="2" t="s">
        <v>21522</v>
      </c>
      <c r="B21522" s="2" t="str">
        <f>IFERROR(__xludf.DUMMYFUNCTION("GOOGLETRANSLATE(A21522, ""en"", ""mt"")"),"X'jiġri ħdejn il-Millingen Aan de Rijn?")</f>
        <v>X'jiġri ħdejn il-Millingen Aan de Rijn?</v>
      </c>
    </row>
    <row r="21523" ht="15.75" customHeight="1">
      <c r="A21523" s="2" t="s">
        <v>21523</v>
      </c>
      <c r="B21523" s="2" t="str">
        <f>IFERROR(__xludf.DUMMYFUNCTION("GOOGLETRANSLATE(A21523, ""en"", ""mt"")"),"Kanali HD u vidjow fuq talba")</f>
        <v>Kanali HD u vidjow fuq talba</v>
      </c>
    </row>
    <row r="21524" ht="15.75" customHeight="1">
      <c r="A21524" s="2" t="s">
        <v>21524</v>
      </c>
      <c r="B21524" s="2" t="str">
        <f>IFERROR(__xludf.DUMMYFUNCTION("GOOGLETRANSLATE(A21524, ""en"", ""mt"")"),"farinġi kbir")</f>
        <v>farinġi kbir</v>
      </c>
    </row>
    <row r="21525" ht="15.75" customHeight="1">
      <c r="A21525" s="2" t="s">
        <v>21525</v>
      </c>
      <c r="B21525" s="2" t="str">
        <f>IFERROR(__xludf.DUMMYFUNCTION("GOOGLETRANSLATE(A21525, ""en"", ""mt"")"),"X'tip ta 'motivaturi huma kkunsidrati ikel u kenn?")</f>
        <v>X'tip ta 'motivaturi huma kkunsidrati ikel u kenn?</v>
      </c>
    </row>
    <row r="21526" ht="15.75" customHeight="1">
      <c r="A21526" s="2" t="s">
        <v>21526</v>
      </c>
      <c r="B21526" s="2" t="str">
        <f>IFERROR(__xludf.DUMMYFUNCTION("GOOGLETRANSLATE(A21526, ""en"", ""mt"")"),"Liema sena kkonsolida Jacksonville mal-Kontea ta 'Davis?")</f>
        <v>Liema sena kkonsolida Jacksonville mal-Kontea ta 'Davis?</v>
      </c>
    </row>
    <row r="21527" ht="15.75" customHeight="1">
      <c r="A21527" s="2" t="s">
        <v>21527</v>
      </c>
      <c r="B21527" s="2" t="str">
        <f>IFERROR(__xludf.DUMMYFUNCTION("GOOGLETRANSLATE(A21527, ""en"", ""mt"")"),"X'tip ta 'element ta' tisħin spiss jintuża f'magni ta 'spazju magħluq?")</f>
        <v>X'tip ta 'element ta' tisħin spiss jintuża f'magni ta 'spazju magħluq?</v>
      </c>
    </row>
    <row r="21528" ht="15.75" customHeight="1">
      <c r="A21528" s="2" t="s">
        <v>21528</v>
      </c>
      <c r="B21528" s="2" t="str">
        <f>IFERROR(__xludf.DUMMYFUNCTION("GOOGLETRANSLATE(A21528, ""en"", ""mt"")"),"Kublai Khan ippromwova tkabbir kummerċjali, xjentifiku u kulturali. Huwa appoġġa n-negozjanti tan-netwerk tal-kummerċ tat-toroq tal-ħarir billi pproteġi s-sistema postali Mongoljana, jibni infrastruttura, jipprovdi self li ffinanzjaw karavans tal-kummerċ,"&amp;" u jħeġġeġ iċ-ċirkolazzjoni tal-karti tal-karti tal-karti (鈔, Chao). Pax Mongolica, il-paċi Mongol, ippermetta t-tixrid ta 'teknoloġiji, prodotti, u kultura bejn iċ-Ċina u l-Punent. Kublai espandiet il-Grand Canal miċ-Ċina tan-Nofsinhar għal Daidu fit-Tra"&amp;"muntana. Ir-regola tal-Mongolja kienet kożmopolitana taħt Kublai Khan. Huwa laqa 'viżitaturi barranin fil-qorti tiegħu, bħall-merkant Venezjan Marco Polo, li kiteb il-kont Ewropew l-iktar influwenti taċ-Ċina Yuan. Il-vjaġġi ta 'Marco Polo aktar tard jispi"&amp;"raw ħafna oħrajn bħal Christopher Columbus biex jiċċarġjaw silta lejn il-Lvant Imbiegħed fit-tfittxija tal-ġid leġġendarju tiegħu.")</f>
        <v>Kublai Khan ippromwova tkabbir kummerċjali, xjentifiku u kulturali. Huwa appoġġa n-negozjanti tan-netwerk tal-kummerċ tat-toroq tal-ħarir billi pproteġi s-sistema postali Mongoljana, jibni infrastruttura, jipprovdi self li ffinanzjaw karavans tal-kummerċ, u jħeġġeġ iċ-ċirkolazzjoni tal-karti tal-karti tal-karti (鈔, Chao). Pax Mongolica, il-paċi Mongol, ippermetta t-tixrid ta 'teknoloġiji, prodotti, u kultura bejn iċ-Ċina u l-Punent. Kublai espandiet il-Grand Canal miċ-Ċina tan-Nofsinhar għal Daidu fit-Tramuntana. Ir-regola tal-Mongolja kienet kożmopolitana taħt Kublai Khan. Huwa laqa 'viżitaturi barranin fil-qorti tiegħu, bħall-merkant Venezjan Marco Polo, li kiteb il-kont Ewropew l-iktar influwenti taċ-Ċina Yuan. Il-vjaġġi ta 'Marco Polo aktar tard jispiraw ħafna oħrajn bħal Christopher Columbus biex jiċċarġjaw silta lejn il-Lvant Imbiegħed fit-tfittxija tal-ġid leġġendarju tiegħu.</v>
      </c>
    </row>
    <row r="21529" ht="15.75" customHeight="1">
      <c r="A21529" s="2" t="s">
        <v>21529</v>
      </c>
      <c r="B21529" s="2" t="str">
        <f>IFERROR(__xludf.DUMMYFUNCTION("GOOGLETRANSLATE(A21529, ""en"", ""mt"")"),"X'periklu jissottovaluta l-IPCC?")</f>
        <v>X'periklu jissottovaluta l-IPCC?</v>
      </c>
    </row>
    <row r="21530" ht="15.75" customHeight="1">
      <c r="A21530" s="2" t="s">
        <v>21530</v>
      </c>
      <c r="B21530" s="2" t="str">
        <f>IFERROR(__xludf.DUMMYFUNCTION("GOOGLETRANSLATE(A21530, ""en"", ""mt"")"),"1221")</f>
        <v>1221</v>
      </c>
    </row>
    <row r="21531" ht="15.75" customHeight="1">
      <c r="A21531" s="2" t="s">
        <v>21531</v>
      </c>
      <c r="B21531" s="2" t="str">
        <f>IFERROR(__xludf.DUMMYFUNCTION("GOOGLETRANSLATE(A21531, ""en"", ""mt"")"),"X'kien l-ewwel stazzjon tat-televiżjoni li xxandar fi Fresno?")</f>
        <v>X'kien l-ewwel stazzjon tat-televiżjoni li xxandar fi Fresno?</v>
      </c>
    </row>
    <row r="21532" ht="15.75" customHeight="1">
      <c r="A21532" s="2" t="s">
        <v>21532</v>
      </c>
      <c r="B21532" s="2" t="str">
        <f>IFERROR(__xludf.DUMMYFUNCTION("GOOGLETRANSLATE(A21532, ""en"", ""mt"")"),"Liema xahar irriżenja mill-kreatur Bankamericard?")</f>
        <v>Liema xahar irriżenja mill-kreatur Bankamericard?</v>
      </c>
    </row>
    <row r="21533" ht="15.75" customHeight="1">
      <c r="A21533" s="2" t="s">
        <v>21533</v>
      </c>
      <c r="B21533" s="2" t="str">
        <f>IFERROR(__xludf.DUMMYFUNCTION("GOOGLETRANSLATE(A21533, ""en"", ""mt"")"),"X'inhi s-sistema proprjetarja li tuża Sky + HD?")</f>
        <v>X'inhi s-sistema proprjetarja li tuża Sky + HD?</v>
      </c>
    </row>
    <row r="21534" ht="15.75" customHeight="1">
      <c r="A21534" s="2" t="s">
        <v>21534</v>
      </c>
      <c r="B21534" s="2" t="str">
        <f>IFERROR(__xludf.DUMMYFUNCTION("GOOGLETRANSLATE(A21534, ""en"", ""mt"")"),"It-tieni l-akbar produttur globali")</f>
        <v>It-tieni l-akbar produttur globali</v>
      </c>
    </row>
    <row r="21535" ht="15.75" customHeight="1">
      <c r="A21535" s="2" t="s">
        <v>21535</v>
      </c>
      <c r="B21535" s="2" t="str">
        <f>IFERROR(__xludf.DUMMYFUNCTION("GOOGLETRANSLATE(A21535, ""en"", ""mt"")"),"Tijuana")</f>
        <v>Tijuana</v>
      </c>
    </row>
    <row r="21536" ht="15.75" customHeight="1">
      <c r="A21536" s="2" t="s">
        <v>21536</v>
      </c>
      <c r="B21536" s="2" t="str">
        <f>IFERROR(__xludf.DUMMYFUNCTION("GOOGLETRANSLATE(A21536, ""en"", ""mt"")"),"Forza elettromanjetika")</f>
        <v>Forza elettromanjetika</v>
      </c>
    </row>
    <row r="21537" ht="15.75" customHeight="1">
      <c r="A21537" s="2" t="s">
        <v>21537</v>
      </c>
      <c r="B21537" s="2" t="str">
        <f>IFERROR(__xludf.DUMMYFUNCTION("GOOGLETRANSLATE(A21537, ""en"", ""mt"")"),"kosta tal-Lvant tal-kontinent,")</f>
        <v>kosta tal-Lvant tal-kontinent,</v>
      </c>
    </row>
    <row r="21538" ht="15.75" customHeight="1">
      <c r="A21538" s="2" t="s">
        <v>21538</v>
      </c>
      <c r="B21538" s="2" t="str">
        <f>IFERROR(__xludf.DUMMYFUNCTION("GOOGLETRANSLATE(A21538, ""en"", ""mt"")"),"Skond l-ipoteżi ta 'Riemann, iż-żero kollha tal-funzjoni ζ għandhom parti reali daqs 1/2 ħlief għal liema valuri ta' S?")</f>
        <v>Skond l-ipoteżi ta 'Riemann, iż-żero kollha tal-funzjoni ζ għandhom parti reali daqs 1/2 ħlief għal liema valuri ta' S?</v>
      </c>
    </row>
    <row r="21539" ht="15.75" customHeight="1">
      <c r="A21539" s="2" t="s">
        <v>21539</v>
      </c>
      <c r="B21539" s="2" t="str">
        <f>IFERROR(__xludf.DUMMYFUNCTION("GOOGLETRANSLATE(A21539, ""en"", ""mt"")"),"Duka Kent-Brown")</f>
        <v>Duka Kent-Brown</v>
      </c>
    </row>
    <row r="21540" ht="15.75" customHeight="1">
      <c r="A21540" s="2" t="s">
        <v>21540</v>
      </c>
      <c r="B21540" s="2" t="str">
        <f>IFERROR(__xludf.DUMMYFUNCTION("GOOGLETRANSLATE(A21540, ""en"", ""mt"")"),"postijiet fejn l-ilma jiswa ħafna")</f>
        <v>postijiet fejn l-ilma jiswa ħafna</v>
      </c>
    </row>
    <row r="21541" ht="15.75" customHeight="1">
      <c r="A21541" s="2" t="s">
        <v>21541</v>
      </c>
      <c r="B21541" s="2" t="str">
        <f>IFERROR(__xludf.DUMMYFUNCTION("GOOGLETRANSLATE(A21541, ""en"", ""mt"")"),"F'liema sena kien għamel Ludwig von Nassau-Saarbrucken?")</f>
        <v>F'liema sena kien għamel Ludwig von Nassau-Saarbrucken?</v>
      </c>
    </row>
    <row r="21542" ht="15.75" customHeight="1">
      <c r="A21542" s="2" t="s">
        <v>21542</v>
      </c>
      <c r="B21542" s="2" t="str">
        <f>IFERROR(__xludf.DUMMYFUNCTION("GOOGLETRANSLATE(A21542, ""en"", ""mt"")"),"Fuq xiex jiddependi l-fluss tar-Rhine li jkun viżibbli?")</f>
        <v>Fuq xiex jiddependi l-fluss tar-Rhine li jkun viżibbli?</v>
      </c>
    </row>
    <row r="21543" ht="15.75" customHeight="1">
      <c r="A21543" s="2" t="s">
        <v>21543</v>
      </c>
      <c r="B21543" s="2" t="str">
        <f>IFERROR(__xludf.DUMMYFUNCTION("GOOGLETRANSLATE(A21543, ""en"", ""mt"")"),"Sky UK Limited issa huwa magħruf b'liema isem?")</f>
        <v>Sky UK Limited issa huwa magħruf b'liema isem?</v>
      </c>
    </row>
    <row r="21544" ht="15.75" customHeight="1">
      <c r="A21544" s="2" t="s">
        <v>21544</v>
      </c>
      <c r="B21544" s="2" t="str">
        <f>IFERROR(__xludf.DUMMYFUNCTION("GOOGLETRANSLATE(A21544, ""en"", ""mt"")"),"X'tum l-armata Mongoljana fil-katapulti tagħhom?")</f>
        <v>X'tum l-armata Mongoljana fil-katapulti tagħhom?</v>
      </c>
    </row>
    <row r="21545" ht="15.75" customHeight="1">
      <c r="A21545" s="2" t="s">
        <v>21545</v>
      </c>
      <c r="B21545" s="2" t="str">
        <f>IFERROR(__xludf.DUMMYFUNCTION("GOOGLETRANSLATE(A21545, ""en"", ""mt"")"),"X'kienet id-difiża Ingliża anormali?")</f>
        <v>X'kienet id-difiża Ingliża anormali?</v>
      </c>
    </row>
    <row r="21546" ht="15.75" customHeight="1">
      <c r="A21546" s="2" t="s">
        <v>21546</v>
      </c>
      <c r="B21546" s="2" t="str">
        <f>IFERROR(__xludf.DUMMYFUNCTION("GOOGLETRANSLATE(A21546, ""en"", ""mt"")"),"X'għandhom l-ajruplani u l-karozzi biex jinqasmu separatament?")</f>
        <v>X'għandhom l-ajruplani u l-karozzi biex jinqasmu separatament?</v>
      </c>
    </row>
    <row r="21547" ht="15.75" customHeight="1">
      <c r="A21547" s="2" t="s">
        <v>21547</v>
      </c>
      <c r="B21547" s="2" t="str">
        <f>IFERROR(__xludf.DUMMYFUNCTION("GOOGLETRANSLATE(A21547, ""en"", ""mt"")"),"forza dgħajfa")</f>
        <v>forza dgħajfa</v>
      </c>
    </row>
    <row r="21548" ht="15.75" customHeight="1">
      <c r="A21548" s="2" t="s">
        <v>21548</v>
      </c>
      <c r="B21548" s="2" t="str">
        <f>IFERROR(__xludf.DUMMYFUNCTION("GOOGLETRANSLATE(A21548, ""en"", ""mt"")"),"Liema parir Thoreau ta lill-kollettur tat-taxxa meta ma setax iwettaq id-dmir tiegħu?")</f>
        <v>Liema parir Thoreau ta lill-kollettur tat-taxxa meta ma setax iwettaq id-dmir tiegħu?</v>
      </c>
    </row>
    <row r="21549" ht="15.75" customHeight="1">
      <c r="A21549" s="2" t="s">
        <v>21549</v>
      </c>
      <c r="B21549" s="2" t="str">
        <f>IFERROR(__xludf.DUMMYFUNCTION("GOOGLETRANSLATE(A21549, ""en"", ""mt"")"),"il-ġarr tal-kanali bażiċi rispettivi tagħhom")</f>
        <v>il-ġarr tal-kanali bażiċi rispettivi tagħhom</v>
      </c>
    </row>
    <row r="21550" ht="15.75" customHeight="1">
      <c r="A21550" s="2" t="s">
        <v>21550</v>
      </c>
      <c r="B21550" s="2" t="str">
        <f>IFERROR(__xludf.DUMMYFUNCTION("GOOGLETRANSLATE(A21550, ""en"", ""mt"")")," L-imperjalizmu huwa inqas spiss assoċjat ma 'liema sovranità?")</f>
        <v> L-imperjalizmu huwa inqas spiss assoċjat ma 'liema sovranità?</v>
      </c>
    </row>
    <row r="21551" ht="15.75" customHeight="1">
      <c r="A21551" s="2" t="s">
        <v>21551</v>
      </c>
      <c r="B21551" s="2" t="str">
        <f>IFERROR(__xludf.DUMMYFUNCTION("GOOGLETRANSLATE(A21551, ""en"", ""mt"")"),"Jekk kwistjoni mhix riservata speċifikament, għal min hu devolut?")</f>
        <v>Jekk kwistjoni mhix riservata speċifikament, għal min hu devolut?</v>
      </c>
    </row>
    <row r="21552" ht="15.75" customHeight="1">
      <c r="A21552" s="2" t="s">
        <v>21552</v>
      </c>
      <c r="B21552" s="2" t="str">
        <f>IFERROR(__xludf.DUMMYFUNCTION("GOOGLETRANSLATE(A21552, ""en"", ""mt"")"),"Fuq liema kantuniera jinsab iċ-ċentru tax-xiri?")</f>
        <v>Fuq liema kantuniera jinsab iċ-ċentru tax-xiri?</v>
      </c>
    </row>
    <row r="21553" ht="15.75" customHeight="1">
      <c r="A21553" s="2" t="s">
        <v>21553</v>
      </c>
      <c r="B21553" s="2" t="str">
        <f>IFERROR(__xludf.DUMMYFUNCTION("GOOGLETRANSLATE(A21553, ""en"", ""mt"")"),"Madwar 30 kPa")</f>
        <v>Madwar 30 kPa</v>
      </c>
    </row>
    <row r="21554" ht="15.75" customHeight="1">
      <c r="A21554" s="2" t="s">
        <v>21554</v>
      </c>
      <c r="B21554" s="2" t="str">
        <f>IFERROR(__xludf.DUMMYFUNCTION("GOOGLETRANSLATE(A21554, ""en"", ""mt"")"),"X'inhu ppreservat f'sistema magħluqa ta 'forzi meta aġixxiet?")</f>
        <v>X'inhu ppreservat f'sistema magħluqa ta 'forzi meta aġixxiet?</v>
      </c>
    </row>
    <row r="21555" ht="15.75" customHeight="1">
      <c r="A21555" s="2" t="s">
        <v>21555</v>
      </c>
      <c r="B21555" s="2" t="str">
        <f>IFERROR(__xludf.DUMMYFUNCTION("GOOGLETRANSLATE(A21555, ""en"", ""mt"")"),"Henry Laurens")</f>
        <v>Henry Laurens</v>
      </c>
    </row>
    <row r="21556" ht="15.75" customHeight="1">
      <c r="A21556" s="2" t="s">
        <v>21556</v>
      </c>
      <c r="B21556" s="2" t="str">
        <f>IFERROR(__xludf.DUMMYFUNCTION("GOOGLETRANSLATE(A21556, ""en"", ""mt"")"),"miġbura fit-toroq")</f>
        <v>miġbura fit-toroq</v>
      </c>
    </row>
    <row r="21557" ht="15.75" customHeight="1">
      <c r="A21557" s="2" t="s">
        <v>21557</v>
      </c>
      <c r="B21557" s="2" t="str">
        <f>IFERROR(__xludf.DUMMYFUNCTION("GOOGLETRANSLATE(A21557, ""en"", ""mt"")"),"Meta bdiet tiżdied l-inugwaljanza fid-dħul fl-Istati Uniti?")</f>
        <v>Meta bdiet tiżdied l-inugwaljanza fid-dħul fl-Istati Uniti?</v>
      </c>
    </row>
    <row r="21558" ht="15.75" customHeight="1">
      <c r="A21558" s="2" t="s">
        <v>21558</v>
      </c>
      <c r="B21558" s="2" t="str">
        <f>IFERROR(__xludf.DUMMYFUNCTION("GOOGLETRANSLATE(A21558, ""en"", ""mt"")"),"Madwar 30 kPa (1.4 darbiet normali)")</f>
        <v>Madwar 30 kPa (1.4 darbiet normali)</v>
      </c>
    </row>
    <row r="21559" ht="15.75" customHeight="1">
      <c r="A21559" s="2" t="s">
        <v>21559</v>
      </c>
      <c r="B21559" s="2" t="str">
        <f>IFERROR(__xludf.DUMMYFUNCTION("GOOGLETRANSLATE(A21559, ""en"", ""mt"")"),"X'kien l-attakk fuq id-dgħjufija Ingliża?")</f>
        <v>X'kien l-attakk fuq id-dgħjufija Ingliża?</v>
      </c>
    </row>
    <row r="21560" ht="15.75" customHeight="1">
      <c r="A21560" s="2" t="s">
        <v>21560</v>
      </c>
      <c r="B21560" s="2" t="str">
        <f>IFERROR(__xludf.DUMMYFUNCTION("GOOGLETRANSLATE(A21560, ""en"", ""mt"")"),"Fejn kienet l-ewwel ftehim fir-Rabat?")</f>
        <v>Fejn kienet l-ewwel ftehim fir-Rabat?</v>
      </c>
    </row>
    <row r="21561" ht="15.75" customHeight="1">
      <c r="A21561" s="2" t="s">
        <v>21561</v>
      </c>
      <c r="B21561" s="2" t="str">
        <f>IFERROR(__xludf.DUMMYFUNCTION("GOOGLETRANSLATE(A21561, ""en"", ""mt"")"),"X'tip ta 'delta huwa r-Rhine-Meuse?")</f>
        <v>X'tip ta 'delta huwa r-Rhine-Meuse?</v>
      </c>
    </row>
    <row r="21562" ht="15.75" customHeight="1">
      <c r="A21562" s="2" t="s">
        <v>21562</v>
      </c>
      <c r="B21562" s="2" t="str">
        <f>IFERROR(__xludf.DUMMYFUNCTION("GOOGLETRANSLATE(A21562, ""en"", ""mt"")"),"X'inhi l-forza msejħa rgarding għal qasam potenzjali bejn żewġ postijiet?")</f>
        <v>X'inhi l-forza msejħa rgarding għal qasam potenzjali bejn żewġ postijiet?</v>
      </c>
    </row>
    <row r="21563" ht="15.75" customHeight="1">
      <c r="A21563" s="2" t="s">
        <v>21563</v>
      </c>
      <c r="B21563" s="2" t="str">
        <f>IFERROR(__xludf.DUMMYFUNCTION("GOOGLETRANSLATE(A21563, ""en"", ""mt"")"),"L-awturi ewlenin li jikkoordinaw")</f>
        <v>L-awturi ewlenin li jikkoordinaw</v>
      </c>
    </row>
    <row r="21564" ht="15.75" customHeight="1">
      <c r="A21564" s="2" t="s">
        <v>21564</v>
      </c>
      <c r="B21564" s="2" t="str">
        <f>IFERROR(__xludf.DUMMYFUNCTION("GOOGLETRANSLATE(A21564, ""en"", ""mt"")"),"William ta 'Volpiano u John ta' Ravenna")</f>
        <v>William ta 'Volpiano u John ta' Ravenna</v>
      </c>
    </row>
    <row r="21565" ht="15.75" customHeight="1">
      <c r="A21565" s="2" t="s">
        <v>21565</v>
      </c>
      <c r="B21565" s="2" t="str">
        <f>IFERROR(__xludf.DUMMYFUNCTION("GOOGLETRANSLATE(A21565, ""en"", ""mt"")"),"Padlocking il-bibien")</f>
        <v>Padlocking il-bibien</v>
      </c>
    </row>
    <row r="21566" ht="15.75" customHeight="1">
      <c r="A21566" s="2" t="s">
        <v>21566</v>
      </c>
      <c r="B21566" s="2" t="str">
        <f>IFERROR(__xludf.DUMMYFUNCTION("GOOGLETRANSLATE(A21566, ""en"", ""mt"")"),"Jirregola l-prattika tal-ispiżjara u t-tekniċi tal-ispiżerija")</f>
        <v>Jirregola l-prattika tal-ispiżjara u t-tekniċi tal-ispiżerija</v>
      </c>
    </row>
    <row r="21567" ht="15.75" customHeight="1">
      <c r="A21567" s="2" t="s">
        <v>21567</v>
      </c>
      <c r="B21567" s="2" t="str">
        <f>IFERROR(__xludf.DUMMYFUNCTION("GOOGLETRANSLATE(A21567, ""en"", ""mt"")"),"Netwerk tad-dejta bbażat fuq dan in-netwerk tal-vuċi tat-telefown kien iddisinjat biex jgħaqqad l-erba 'ċentri tal-bejgħ u s-servizzi tal-kompjuter ta' GE")</f>
        <v>Netwerk tad-dejta bbażat fuq dan in-netwerk tal-vuċi tat-telefown kien iddisinjat biex jgħaqqad l-erba 'ċentri tal-bejgħ u s-servizzi tal-kompjuter ta' GE</v>
      </c>
    </row>
    <row r="21568" ht="15.75" customHeight="1">
      <c r="A21568" s="2" t="s">
        <v>21568</v>
      </c>
      <c r="B21568" s="2" t="str">
        <f>IFERROR(__xludf.DUMMYFUNCTION("GOOGLETRANSLATE(A21568, ""en"", ""mt"")"),"Konġettura Twin Prime")</f>
        <v>Konġettura Twin Prime</v>
      </c>
    </row>
    <row r="21569" ht="15.75" customHeight="1">
      <c r="A21569" s="2" t="s">
        <v>21569</v>
      </c>
      <c r="B21569" s="2" t="str">
        <f>IFERROR(__xludf.DUMMYFUNCTION("GOOGLETRANSLATE(A21569, ""en"", ""mt"")"),"kemm adattivi kif ukoll innati")</f>
        <v>kemm adattivi kif ukoll innati</v>
      </c>
    </row>
    <row r="21570" ht="15.75" customHeight="1">
      <c r="A21570" s="2" t="s">
        <v>21570</v>
      </c>
      <c r="B21570" s="2" t="str">
        <f>IFERROR(__xludf.DUMMYFUNCTION("GOOGLETRANSLATE(A21570, ""en"", ""mt"")"),"X'kienet l-affiljazzjoni reliġjuża tal-mexxej Olandiż?")</f>
        <v>X'kienet l-affiljazzjoni reliġjuża tal-mexxej Olandiż?</v>
      </c>
    </row>
    <row r="21571" ht="15.75" customHeight="1">
      <c r="A21571" s="2" t="s">
        <v>21571</v>
      </c>
      <c r="B21571" s="2" t="str">
        <f>IFERROR(__xludf.DUMMYFUNCTION("GOOGLETRANSLATE(A21571, ""en"", ""mt"")"),"Kemm speċi ta 'rotifers għadhom iridu jissemmew?")</f>
        <v>Kemm speċi ta 'rotifers għadhom iridu jissemmew?</v>
      </c>
    </row>
    <row r="21572" ht="15.75" customHeight="1">
      <c r="A21572" s="2" t="s">
        <v>21572</v>
      </c>
      <c r="B21572" s="2" t="str">
        <f>IFERROR(__xludf.DUMMYFUNCTION("GOOGLETRANSLATE(A21572, ""en"", ""mt"")"),"Fi ftit mijiet ta 'piedi minn xulxin")</f>
        <v>Fi ftit mijiet ta 'piedi minn xulxin</v>
      </c>
    </row>
    <row r="21573" ht="15.75" customHeight="1">
      <c r="A21573" s="2" t="s">
        <v>21573</v>
      </c>
      <c r="B21573" s="2" t="str">
        <f>IFERROR(__xludf.DUMMYFUNCTION("GOOGLETRANSLATE(A21573, ""en"", ""mt"")"),"Tqassar il-cutoff")</f>
        <v>Tqassar il-cutoff</v>
      </c>
    </row>
    <row r="21574" ht="15.75" customHeight="1">
      <c r="A21574" s="2" t="s">
        <v>21574</v>
      </c>
      <c r="B21574" s="2" t="str">
        <f>IFERROR(__xludf.DUMMYFUNCTION("GOOGLETRANSLATE(A21574, ""en"", ""mt"")"),"1 ta 'Frar 2007")</f>
        <v>1 ta 'Frar 2007</v>
      </c>
    </row>
    <row r="21575" ht="15.75" customHeight="1">
      <c r="A21575" s="2" t="s">
        <v>21575</v>
      </c>
      <c r="B21575" s="2" t="str">
        <f>IFERROR(__xludf.DUMMYFUNCTION("GOOGLETRANSLATE(A21575, ""en"", ""mt"")"),"Lil min għamel parti mill-artijiet fiċ-Ċina wara l-kompromess tal-iskola?")</f>
        <v>Lil min għamel parti mill-artijiet fiċ-Ċina wara l-kompromess tal-iskola?</v>
      </c>
    </row>
    <row r="21576" ht="15.75" customHeight="1">
      <c r="A21576" s="2" t="s">
        <v>21576</v>
      </c>
      <c r="B21576" s="2" t="str">
        <f>IFERROR(__xludf.DUMMYFUNCTION("GOOGLETRANSLATE(A21576, ""en"", ""mt"")"),"40")</f>
        <v>40</v>
      </c>
    </row>
    <row r="21577" ht="15.75" customHeight="1">
      <c r="A21577" s="2" t="s">
        <v>21577</v>
      </c>
      <c r="B21577" s="2" t="str">
        <f>IFERROR(__xludf.DUMMYFUNCTION("GOOGLETRANSLATE(A21577, ""en"", ""mt"")"),"X'inhu t-terminu mogħti lill-algoritmi li jużaw bits bl-addoċċ?")</f>
        <v>X'inhu t-terminu mogħti lill-algoritmi li jużaw bits bl-addoċċ?</v>
      </c>
    </row>
    <row r="21578" ht="15.75" customHeight="1">
      <c r="A21578" s="2" t="s">
        <v>21578</v>
      </c>
      <c r="B21578" s="2" t="str">
        <f>IFERROR(__xludf.DUMMYFUNCTION("GOOGLETRANSLATE(A21578, ""en"", ""mt"")"),"Ibbażat fuq il-ħtieġa")</f>
        <v>Ibbażat fuq il-ħtieġa</v>
      </c>
    </row>
    <row r="21579" ht="15.75" customHeight="1">
      <c r="A21579" s="2" t="s">
        <v>21579</v>
      </c>
      <c r="B21579" s="2" t="str">
        <f>IFERROR(__xludf.DUMMYFUNCTION("GOOGLETRANSLATE(A21579, ""en"", ""mt"")"),"Il-Ġappun ħa parti mill-Gżira Sakhalin mir-Russja")</f>
        <v>Il-Ġappun ħa parti mill-Gżira Sakhalin mir-Russja</v>
      </c>
    </row>
    <row r="21580" ht="15.75" customHeight="1">
      <c r="A21580" s="2" t="s">
        <v>21580</v>
      </c>
      <c r="B21580" s="2" t="str">
        <f>IFERROR(__xludf.DUMMYFUNCTION("GOOGLETRANSLATE(A21580, ""en"", ""mt"")"),"l-aħjar, l-agħar u l-medja tal-kumplessità tal-każ")</f>
        <v>l-aħjar, l-agħar u l-medja tal-kumplessità tal-każ</v>
      </c>
    </row>
    <row r="21581" ht="15.75" customHeight="1">
      <c r="A21581" s="2" t="s">
        <v>21581</v>
      </c>
      <c r="B21581" s="2" t="str">
        <f>IFERROR(__xludf.DUMMYFUNCTION("GOOGLETRANSLATE(A21581, ""en"", ""mt"")"),"Stromatoveris")</f>
        <v>Stromatoveris</v>
      </c>
    </row>
    <row r="21582" ht="15.75" customHeight="1">
      <c r="A21582" s="2" t="s">
        <v>21582</v>
      </c>
      <c r="B21582" s="2" t="str">
        <f>IFERROR(__xludf.DUMMYFUNCTION("GOOGLETRANSLATE(A21582, ""en"", ""mt"")"),"F’Ottubru 2010, il-ġurnal xjentifiku b’aċċess miftuħ PLOS PATHOGENS ippubblika dokument minn tim multinazzjonali li wettaq investigazzjoni ġdida dwar ir-rwol ta ’Yersinia pestis fil-mewt sewda wara l-identifikazzjoni kkontestata minn Drancourt u Raoult fl"&amp;"-1998. Huma evalwaw il-preżenza ta’ DNA / RNA b'tekniki ta 'reazzjoni fil-katina tal-polimerażi (PCR) għal Y. pestis mis-sokits tas-snien fl-iskeletri umani mill-oqbra tal-massa fit-tramuntana, l-Ewropa ċentrali u fin-nofsinhar li kienu assoċjati arkeoloġ"&amp;"ikament mal-mewt sewda u r-qawmien mill-ġdid sussegwenti. L-awturi kkonkludew li din ir-riċerka l-ġdida, flimkien ma 'analiżi minn qabel min-nofsinhar ta' Franza u l-Ġermanja, ""... itemm id-dibattitu dwar l-etjoloġija tal-mewt sewda, u mingħajr ambigwità"&amp;" turi li Y. pestis kien l-aġent kawżattiv tal-pesta epidemika li ħerba l-Ewropa matul il-Medju Evu "".")</f>
        <v>F’Ottubru 2010, il-ġurnal xjentifiku b’aċċess miftuħ PLOS PATHOGENS ippubblika dokument minn tim multinazzjonali li wettaq investigazzjoni ġdida dwar ir-rwol ta ’Yersinia pestis fil-mewt sewda wara l-identifikazzjoni kkontestata minn Drancourt u Raoult fl-1998. Huma evalwaw il-preżenza ta’ DNA / RNA b'tekniki ta 'reazzjoni fil-katina tal-polimerażi (PCR) għal Y. pestis mis-sokits tas-snien fl-iskeletri umani mill-oqbra tal-massa fit-tramuntana, l-Ewropa ċentrali u fin-nofsinhar li kienu assoċjati arkeoloġikament mal-mewt sewda u r-qawmien mill-ġdid sussegwenti. L-awturi kkonkludew li din ir-riċerka l-ġdida, flimkien ma 'analiżi minn qabel min-nofsinhar ta' Franza u l-Ġermanja, "... itemm id-dibattitu dwar l-etjoloġija tal-mewt sewda, u mingħajr ambigwità turi li Y. pestis kien l-aġent kawżattiv tal-pesta epidemika li ħerba l-Ewropa matul il-Medju Evu ".</v>
      </c>
    </row>
    <row r="21583" ht="15.75" customHeight="1">
      <c r="A21583" s="2" t="s">
        <v>21583</v>
      </c>
      <c r="B21583" s="2" t="str">
        <f>IFERROR(__xludf.DUMMYFUNCTION("GOOGLETRANSLATE(A21583, ""en"", ""mt"")"),"1930")</f>
        <v>1930</v>
      </c>
    </row>
    <row r="21584" ht="15.75" customHeight="1">
      <c r="A21584" s="2" t="s">
        <v>21584</v>
      </c>
      <c r="B21584" s="2" t="str">
        <f>IFERROR(__xludf.DUMMYFUNCTION("GOOGLETRANSLATE(A21584, ""en"", ""mt"")"),"Meta Rollo beda jasal fin-Normandija?")</f>
        <v>Meta Rollo beda jasal fin-Normandija?</v>
      </c>
    </row>
    <row r="21585" ht="15.75" customHeight="1">
      <c r="A21585" s="2" t="s">
        <v>21585</v>
      </c>
      <c r="B21585" s="2" t="str">
        <f>IFERROR(__xludf.DUMMYFUNCTION("GOOGLETRANSLATE(A21585, ""en"", ""mt"")"),"Ögedei Khan")</f>
        <v>Ögedei Khan</v>
      </c>
    </row>
    <row r="21586" ht="15.75" customHeight="1">
      <c r="A21586" s="2" t="s">
        <v>21586</v>
      </c>
      <c r="B21586" s="2" t="str">
        <f>IFERROR(__xludf.DUMMYFUNCTION("GOOGLETRANSLATE(A21586, ""en"", ""mt"")"),"X'inhi r-rata ta 'mortalità tal-pesta bubonika moderna?")</f>
        <v>X'inhi r-rata ta 'mortalità tal-pesta bubonika moderna?</v>
      </c>
    </row>
    <row r="21587" ht="15.75" customHeight="1">
      <c r="A21587" s="2" t="s">
        <v>21587</v>
      </c>
      <c r="B21587" s="2" t="str">
        <f>IFERROR(__xludf.DUMMYFUNCTION("GOOGLETRANSLATE(A21587, ""en"", ""mt"")"),"Kontea ta 'Duval")</f>
        <v>Kontea ta 'Duval</v>
      </c>
    </row>
    <row r="21588" ht="15.75" customHeight="1">
      <c r="A21588" s="2" t="s">
        <v>21588</v>
      </c>
      <c r="B21588" s="2" t="str">
        <f>IFERROR(__xludf.DUMMYFUNCTION("GOOGLETRANSLATE(A21588, ""en"", ""mt"")"),"jinkorporaw in-nematokisti tal-priża tagħhom (ċelloli stinging) fit-tentakli tagħhom stess")</f>
        <v>jinkorporaw in-nematokisti tal-priża tagħhom (ċelloli stinging) fit-tentakli tagħhom stess</v>
      </c>
    </row>
    <row r="21589" ht="15.75" customHeight="1">
      <c r="A21589" s="2" t="s">
        <v>21589</v>
      </c>
      <c r="B21589" s="2" t="str">
        <f>IFERROR(__xludf.DUMMYFUNCTION("GOOGLETRANSLATE(A21589, ""en"", ""mt"")"),"Istitut tas-Saħħa tat-Tfal tat-Tfal")</f>
        <v>Istitut tas-Saħħa tat-Tfal tat-Tfal</v>
      </c>
    </row>
    <row r="21590" ht="15.75" customHeight="1">
      <c r="A21590" s="2" t="s">
        <v>21590</v>
      </c>
      <c r="B21590" s="2" t="str">
        <f>IFERROR(__xludf.DUMMYFUNCTION("GOOGLETRANSLATE(A21590, ""en"", ""mt"")"),"Min iridu xi aġenti tat-taxxa jridu jagħmlu u impressjoni fuq arrest?")</f>
        <v>Min iridu xi aġenti tat-taxxa jridu jagħmlu u impressjoni fuq arrest?</v>
      </c>
    </row>
    <row r="21591" ht="15.75" customHeight="1">
      <c r="A21591" s="2" t="s">
        <v>21591</v>
      </c>
      <c r="B21591" s="2" t="str">
        <f>IFERROR(__xludf.DUMMYFUNCTION("GOOGLETRANSLATE(A21591, ""en"", ""mt"")"),"NFL")</f>
        <v>NFL</v>
      </c>
    </row>
    <row r="21592" ht="15.75" customHeight="1">
      <c r="A21592" s="2" t="s">
        <v>21592</v>
      </c>
      <c r="B21592" s="2" t="str">
        <f>IFERROR(__xludf.DUMMYFUNCTION("GOOGLETRANSLATE(A21592, ""en"", ""mt"")"),"s = −2, −4")</f>
        <v>s = −2, −4</v>
      </c>
    </row>
    <row r="21593" ht="15.75" customHeight="1">
      <c r="A21593" s="2" t="s">
        <v>21593</v>
      </c>
      <c r="B21593" s="2" t="str">
        <f>IFERROR(__xludf.DUMMYFUNCTION("GOOGLETRANSLATE(A21593, ""en"", ""mt"")"),"il-bidu tas-snin 1960")</f>
        <v>il-bidu tas-snin 1960</v>
      </c>
    </row>
    <row r="21594" ht="15.75" customHeight="1">
      <c r="A21594" s="2" t="s">
        <v>21594</v>
      </c>
      <c r="B21594" s="2" t="str">
        <f>IFERROR(__xludf.DUMMYFUNCTION("GOOGLETRANSLATE(A21594, ""en"", ""mt"")"),"counterflow")</f>
        <v>counterflow</v>
      </c>
    </row>
    <row r="21595" ht="15.75" customHeight="1">
      <c r="A21595" s="2" t="s">
        <v>21595</v>
      </c>
      <c r="B21595" s="2" t="str">
        <f>IFERROR(__xludf.DUMMYFUNCTION("GOOGLETRANSLATE(A21595, ""en"", ""mt"")"),"fihom muskolu strijat,")</f>
        <v>fihom muskolu strijat,</v>
      </c>
    </row>
    <row r="21596" ht="15.75" customHeight="1">
      <c r="A21596" s="2" t="s">
        <v>21596</v>
      </c>
      <c r="B21596" s="2" t="str">
        <f>IFERROR(__xludf.DUMMYFUNCTION("GOOGLETRANSLATE(A21596, ""en"", ""mt"")"),"X'informazzjoni tagħti l-istorja tad-deformazzjoni tal-blat dwar l-istruttura tal-kristall?")</f>
        <v>X'informazzjoni tagħti l-istorja tad-deformazzjoni tal-blat dwar l-istruttura tal-kristall?</v>
      </c>
    </row>
    <row r="21597" ht="15.75" customHeight="1">
      <c r="A21597" s="2" t="s">
        <v>21597</v>
      </c>
      <c r="B21597" s="2" t="str">
        <f>IFERROR(__xludf.DUMMYFUNCTION("GOOGLETRANSLATE(A21597, ""en"", ""mt"")"),"Mhux konservattiv")</f>
        <v>Mhux konservattiv</v>
      </c>
    </row>
    <row r="21598" ht="15.75" customHeight="1">
      <c r="A21598" s="2" t="s">
        <v>21598</v>
      </c>
      <c r="B21598" s="2" t="str">
        <f>IFERROR(__xludf.DUMMYFUNCTION("GOOGLETRANSLATE(A21598, ""en"", ""mt"")"),"Għal xiex ġiet attribwita x-xita baxxa fl-Amażonja waqt l-LGM?")</f>
        <v>Għal xiex ġiet attribwita x-xita baxxa fl-Amażonja waqt l-LGM?</v>
      </c>
    </row>
    <row r="21599" ht="15.75" customHeight="1">
      <c r="A21599" s="2" t="s">
        <v>21599</v>
      </c>
      <c r="B21599" s="2" t="str">
        <f>IFERROR(__xludf.DUMMYFUNCTION("GOOGLETRANSLATE(A21599, ""en"", ""mt"")"),"Minbarra Watt, Boulton, u Smeaton, li l-magna tagħhom kienet disinn tal-kondensatur parzjali?")</f>
        <v>Minbarra Watt, Boulton, u Smeaton, li l-magna tagħhom kienet disinn tal-kondensatur parzjali?</v>
      </c>
    </row>
    <row r="21600" ht="15.75" customHeight="1">
      <c r="A21600" s="2" t="s">
        <v>21600</v>
      </c>
      <c r="B21600" s="2" t="str">
        <f>IFERROR(__xludf.DUMMYFUNCTION("GOOGLETRANSLATE(A21600, ""en"", ""mt"")")," Meta Kublai jiddefendi lil Xiangyang?")</f>
        <v> Meta Kublai jiddefendi lil Xiangyang?</v>
      </c>
    </row>
    <row r="21601" ht="15.75" customHeight="1">
      <c r="A21601" s="2" t="s">
        <v>21601</v>
      </c>
      <c r="B21601" s="2" t="str">
        <f>IFERROR(__xludf.DUMMYFUNCTION("GOOGLETRANSLATE(A21601, ""en"", ""mt"")"),"Kanali ta 'partijiet terzi")</f>
        <v>Kanali ta 'partijiet terzi</v>
      </c>
    </row>
    <row r="21602" ht="15.75" customHeight="1">
      <c r="A21602" s="2" t="s">
        <v>21602</v>
      </c>
      <c r="B21602" s="2" t="str">
        <f>IFERROR(__xludf.DUMMYFUNCTION("GOOGLETRANSLATE(A21602, ""en"", ""mt"")"),"X'inhu l-livell ta 'inugwaljanza f'pajjiżi sottożviluppati?")</f>
        <v>X'inhu l-livell ta 'inugwaljanza f'pajjiżi sottożviluppati?</v>
      </c>
    </row>
    <row r="21603" ht="15.75" customHeight="1">
      <c r="A21603" s="2" t="s">
        <v>21603</v>
      </c>
      <c r="B21603" s="2" t="str">
        <f>IFERROR(__xludf.DUMMYFUNCTION("GOOGLETRANSLATE(A21603, ""en"", ""mt"")"),"60,000 kolonizzaturi Ewropej")</f>
        <v>60,000 kolonizzaturi Ewropej</v>
      </c>
    </row>
    <row r="21604" ht="15.75" customHeight="1">
      <c r="A21604" s="2" t="s">
        <v>21604</v>
      </c>
      <c r="B21604" s="2" t="str">
        <f>IFERROR(__xludf.DUMMYFUNCTION("GOOGLETRANSLATE(A21604, ""en"", ""mt"")"),"Liema distretti tan-negozju jinsabu fiż-żona tal-belt ta 'Los Angeles?")</f>
        <v>Liema distretti tan-negozju jinsabu fiż-żona tal-belt ta 'Los Angeles?</v>
      </c>
    </row>
    <row r="21605" ht="15.75" customHeight="1">
      <c r="A21605" s="2" t="s">
        <v>21605</v>
      </c>
      <c r="B21605" s="2" t="str">
        <f>IFERROR(__xludf.DUMMYFUNCTION("GOOGLETRANSLATE(A21605, ""en"", ""mt"")"),"Kemm Huguenots ħarbu lejn l-Ingilterra wara li għadda l-Att dwar in-Naturalizzazzjoni tal-Protestanti Barranin?")</f>
        <v>Kemm Huguenots ħarbu lejn l-Ingilterra wara li għadda l-Att dwar in-Naturalizzazzjoni tal-Protestanti Barranin?</v>
      </c>
    </row>
    <row r="21606" ht="15.75" customHeight="1">
      <c r="A21606" s="2" t="s">
        <v>21606</v>
      </c>
      <c r="B21606" s="2" t="str">
        <f>IFERROR(__xludf.DUMMYFUNCTION("GOOGLETRANSLATE(A21606, ""en"", ""mt"")"),"Il-pesta ġiet rappurtata l-ewwel introdotta fl-Ewropa permezz ta 'negozjanti Ġenesi fil-belt tal-port ta' Kaffa fil-Krimea fl-1347. Wara assedju fit-tul, li matulu l-armata Mongolja taħt Jani Beg kienet tbati mill-marda, l-armata qabdet il-kadavri infetta"&amp;"ti fuq il-belt Ħitan ta ’Kaffa biex jinfettaw lill-abitanti. In-negozjanti Ġenesi ħarbu, billi ħadu l-pesta bil-vapur lejn Sqallija u fin-nofsinhar tal-Ewropa, minn fejn tinfirex lejn it-tramuntana. Jekk din l-ipoteżi hijiex eżatta jew le, huwa ċar li div"&amp;"ersi kundizzjonijiet eżistenti bħall-gwerra, il-ġuħ, u t-temp ikkontribwew għas-severità tal-mewt sewda.")</f>
        <v>Il-pesta ġiet rappurtata l-ewwel introdotta fl-Ewropa permezz ta 'negozjanti Ġenesi fil-belt tal-port ta' Kaffa fil-Krimea fl-1347. Wara assedju fit-tul, li matulu l-armata Mongolja taħt Jani Beg kienet tbati mill-marda, l-armata qabdet il-kadavri infettati fuq il-belt Ħitan ta ’Kaffa biex jinfettaw lill-abitanti. In-negozjanti Ġenesi ħarbu, billi ħadu l-pesta bil-vapur lejn Sqallija u fin-nofsinhar tal-Ewropa, minn fejn tinfirex lejn it-tramuntana. Jekk din l-ipoteżi hijiex eżatta jew le, huwa ċar li diversi kundizzjonijiet eżistenti bħall-gwerra, il-ġuħ, u t-temp ikkontribwew għas-severità tal-mewt sewda.</v>
      </c>
    </row>
    <row r="21607" ht="15.75" customHeight="1">
      <c r="A21607" s="2" t="s">
        <v>21607</v>
      </c>
      <c r="B21607" s="2" t="str">
        <f>IFERROR(__xludf.DUMMYFUNCTION("GOOGLETRANSLATE(A21607, ""en"", ""mt"")"),"1,320 kilometru")</f>
        <v>1,320 kilometru</v>
      </c>
    </row>
    <row r="21608" ht="15.75" customHeight="1">
      <c r="A21608" s="2" t="s">
        <v>21608</v>
      </c>
      <c r="B21608" s="2" t="str">
        <f>IFERROR(__xludf.DUMMYFUNCTION("GOOGLETRANSLATE(A21608, ""en"", ""mt"")"),"Ibbażat fuq il-popolazzjoni biss, x'inhi l-klassifika ta 'Jacksonville fl-Istati Uniti?")</f>
        <v>Ibbażat fuq il-popolazzjoni biss, x'inhi l-klassifika ta 'Jacksonville fl-Istati Uniti?</v>
      </c>
    </row>
    <row r="21609" ht="15.75" customHeight="1">
      <c r="A21609" s="2" t="s">
        <v>21609</v>
      </c>
      <c r="B21609" s="2" t="str">
        <f>IFERROR(__xludf.DUMMYFUNCTION("GOOGLETRANSLATE(A21609, ""en"", ""mt"")"),"X'inhu mwarrab għal perjodi ta 'mistoqsijiet fil-kamra tad-dibattitu?")</f>
        <v>X'inhu mwarrab għal perjodi ta 'mistoqsijiet fil-kamra tad-dibattitu?</v>
      </c>
    </row>
    <row r="21610" ht="15.75" customHeight="1">
      <c r="A21610" s="2" t="s">
        <v>21610</v>
      </c>
      <c r="B21610" s="2" t="str">
        <f>IFERROR(__xludf.DUMMYFUNCTION("GOOGLETRANSLATE(A21610, ""en"", ""mt"")"),"Estwarju simili għall-Arċipelagu")</f>
        <v>Estwarju simili għall-Arċipelagu</v>
      </c>
    </row>
    <row r="21611" ht="15.75" customHeight="1">
      <c r="A21611" s="2" t="s">
        <v>21611</v>
      </c>
      <c r="B21611" s="2" t="str">
        <f>IFERROR(__xludf.DUMMYFUNCTION("GOOGLETRANSLATE(A21611, ""en"", ""mt"")"),"djagonali tal-matriċi tat-tensjoni)")</f>
        <v>djagonali tal-matriċi tat-tensjoni)</v>
      </c>
    </row>
    <row r="21612" ht="15.75" customHeight="1">
      <c r="A21612" s="2" t="s">
        <v>21612</v>
      </c>
      <c r="B21612" s="2" t="str">
        <f>IFERROR(__xludf.DUMMYFUNCTION("GOOGLETRANSLATE(A21612, ""en"", ""mt"")"),"Iroquois regola, u kienu limitati minnhom fl-awtorità li jagħmlu ftehim")</f>
        <v>Iroquois regola, u kienu limitati minnhom fl-awtorità li jagħmlu ftehim</v>
      </c>
    </row>
    <row r="21613" ht="15.75" customHeight="1">
      <c r="A21613" s="2" t="s">
        <v>21613</v>
      </c>
      <c r="B21613" s="2" t="str">
        <f>IFERROR(__xludf.DUMMYFUNCTION("GOOGLETRANSLATE(A21613, ""en"", ""mt"")"),"Liema servizz uża Astra 2A fl-1995?")</f>
        <v>Liema servizz uża Astra 2A fl-1995?</v>
      </c>
    </row>
    <row r="21614" ht="15.75" customHeight="1">
      <c r="A21614" s="2" t="s">
        <v>21614</v>
      </c>
      <c r="B21614" s="2" t="str">
        <f>IFERROR(__xludf.DUMMYFUNCTION("GOOGLETRANSLATE(A21614, ""en"", ""mt"")"),"Fejn intużaw b'mod partikolari lokomottivi li ma jikkondensawx id-drajv dirett għall-ferroviji tal-passiġġieri veloċi?")</f>
        <v>Fejn intużaw b'mod partikolari lokomottivi li ma jikkondensawx id-drajv dirett għall-ferroviji tal-passiġġieri veloċi?</v>
      </c>
    </row>
    <row r="21615" ht="15.75" customHeight="1">
      <c r="A21615" s="2" t="s">
        <v>21615</v>
      </c>
      <c r="B21615" s="2" t="str">
        <f>IFERROR(__xludf.DUMMYFUNCTION("GOOGLETRANSLATE(A21615, ""en"", ""mt"")"),"kadavri infettati")</f>
        <v>kadavri infettati</v>
      </c>
    </row>
    <row r="21616" ht="15.75" customHeight="1">
      <c r="A21616" s="2" t="s">
        <v>21616</v>
      </c>
      <c r="B21616" s="2" t="str">
        <f>IFERROR(__xludf.DUMMYFUNCTION("GOOGLETRANSLATE(A21616, ""en"", ""mt"")"),"Liema vaganza Sirja u l-Eġittu nedew attakk?")</f>
        <v>Liema vaganza Sirja u l-Eġittu nedew attakk?</v>
      </c>
    </row>
    <row r="21617" ht="15.75" customHeight="1">
      <c r="A21617" s="2" t="s">
        <v>21617</v>
      </c>
      <c r="B21617" s="2" t="str">
        <f>IFERROR(__xludf.DUMMYFUNCTION("GOOGLETRANSLATE(A21617, ""en"", ""mt"")"),"Miralles enriċi")</f>
        <v>Miralles enriċi</v>
      </c>
    </row>
    <row r="21618" ht="15.75" customHeight="1">
      <c r="A21618" s="2" t="s">
        <v>21618</v>
      </c>
      <c r="B21618" s="2" t="str">
        <f>IFERROR(__xludf.DUMMYFUNCTION("GOOGLETRANSLATE(A21618, ""en"", ""mt"")"),"mehrież u lida u l-karattru ℞ (reċipjent)")</f>
        <v>mehrież u lida u l-karattru ℞ (reċipjent)</v>
      </c>
    </row>
    <row r="21619" ht="15.75" customHeight="1">
      <c r="A21619" s="2" t="s">
        <v>21619</v>
      </c>
      <c r="B21619" s="2" t="str">
        <f>IFERROR(__xludf.DUMMYFUNCTION("GOOGLETRANSLATE(A21619, ""en"", ""mt"")"),"Fejn intwera l-magna tal-istim Charles Porter?")</f>
        <v>Fejn intwera l-magna tal-istim Charles Porter?</v>
      </c>
    </row>
    <row r="21620" ht="15.75" customHeight="1">
      <c r="A21620" s="2" t="s">
        <v>21620</v>
      </c>
      <c r="B21620" s="2" t="str">
        <f>IFERROR(__xludf.DUMMYFUNCTION("GOOGLETRANSLATE(A21620, ""en"", ""mt"")"),"68,511")</f>
        <v>68,511</v>
      </c>
    </row>
    <row r="21621" ht="15.75" customHeight="1">
      <c r="A21621" s="2" t="s">
        <v>21621</v>
      </c>
      <c r="B21621" s="2" t="str">
        <f>IFERROR(__xludf.DUMMYFUNCTION("GOOGLETRANSLATE(A21621, ""en"", ""mt"")"),"Kemm nies attendew il-laqgħa tal-IPCC tal-2003?")</f>
        <v>Kemm nies attendew il-laqgħa tal-IPCC tal-2003?</v>
      </c>
    </row>
    <row r="21622" ht="15.75" customHeight="1">
      <c r="A21622" s="2" t="s">
        <v>21622</v>
      </c>
      <c r="B21622" s="2" t="str">
        <f>IFERROR(__xludf.DUMMYFUNCTION("GOOGLETRANSLATE(A21622, ""en"", ""mt"")"),"Chebyshev")</f>
        <v>Chebyshev</v>
      </c>
    </row>
    <row r="21623" ht="15.75" customHeight="1">
      <c r="A21623" s="2" t="s">
        <v>21623</v>
      </c>
      <c r="B21623" s="2" t="str">
        <f>IFERROR(__xludf.DUMMYFUNCTION("GOOGLETRANSLATE(A21623, ""en"", ""mt"")"),"L-istudju sab ukoll li kien hemm żewġ clades li qabel kienu magħrufa iżda relatati (fergħat ġenetiċi) tal-ġenoma ta 'Y. pestis assoċjati ma' oqbra tal-massa medjevali. Dawn il-klades (li huma maħsuba li huma estinti) instabu li huma antenati għall-iżolati"&amp;" moderni tar-razez moderni ta ’Y. pestis Y. p. Orientalis u Y. p. Medevalis, li jissuġġerixxi li l-pesta setgħet daħlet fl-Ewropa f'żewġ mewġ. Stħarriġ ta 'Plague Pit jibqa' fi Franza u l-Ingilterra jindikaw li l-ewwel varjant daħal fl-Ewropa permezz tal-"&amp;"port ta 'Marsilja madwar Novembru 1347 u nfirex minn Franza matul is-sentejn li ġejjin, eventwalment jilħaq l-Ingilterra fir-rebbiegħa tal-1349, fejn infirex mill-pajjiż fi tlieta Epidemiji. L-istħarriġ tal-fossa tal-pesta li jibqa 'mill-belt Olandiża ta'"&amp;" Bergen Op Zoom wera l-ġenotip Y. pestis responsabbli għall-pandemija li jinfirex mill-pajjiżi baxxi mill-1350 kien differenti minn dak misjub fil-Gran Brittanja u Franza, li jimplika Bergen op zoom (u possibbilment partijiet oħra ta ' In-Nofsinhar tal-Pa"&amp;"jjiżi l-Baxxi) ma kienx infettat direttament mill-Ingilterra jew Franza fl-1349 u jissuġġerixxi t-tieni mewġa ta 'pesta, differenti minn dawk fil-Gran Brittanja u Franza, setgħet ġiet imwettqa lejn il-pajjiżi baxxi min-Norveġja, il-bliet Hanseatic jew sit"&amp;" ieħor.")</f>
        <v>L-istudju sab ukoll li kien hemm żewġ clades li qabel kienu magħrufa iżda relatati (fergħat ġenetiċi) tal-ġenoma ta 'Y. pestis assoċjati ma' oqbra tal-massa medjevali. Dawn il-klades (li huma maħsuba li huma estinti) instabu li huma antenati għall-iżolati moderni tar-razez moderni ta ’Y. pestis Y. p. Orientalis u Y. p. Medevalis, li jissuġġerixxi li l-pesta setgħet daħlet fl-Ewropa f'żewġ mewġ. Stħarriġ ta 'Plague Pit jibqa' fi Franza u l-Ingilterra jindikaw li l-ewwel varjant daħal fl-Ewropa permezz tal-port ta 'Marsilja madwar Novembru 1347 u nfirex minn Franza matul is-sentejn li ġejjin, eventwalment jilħaq l-Ingilterra fir-rebbiegħa tal-1349, fejn infirex mill-pajjiż fi tlieta Epidemiji. L-istħarriġ tal-fossa tal-pesta li jibqa 'mill-belt Olandiża ta' Bergen Op Zoom wera l-ġenotip Y. pestis responsabbli għall-pandemija li jinfirex mill-pajjiżi baxxi mill-1350 kien differenti minn dak misjub fil-Gran Brittanja u Franza, li jimplika Bergen op zoom (u possibbilment partijiet oħra ta ' In-Nofsinhar tal-Pajjiżi l-Baxxi) ma kienx infettat direttament mill-Ingilterra jew Franza fl-1349 u jissuġġerixxi t-tieni mewġa ta 'pesta, differenti minn dawk fil-Gran Brittanja u Franza, setgħet ġiet imwettqa lejn il-pajjiżi baxxi min-Norveġja, il-bliet Hanseatic jew sit ieħor.</v>
      </c>
    </row>
    <row r="21624" ht="15.75" customHeight="1">
      <c r="A21624" s="2" t="s">
        <v>21624</v>
      </c>
      <c r="B21624" s="2" t="str">
        <f>IFERROR(__xludf.DUMMYFUNCTION("GOOGLETRANSLATE(A21624, ""en"", ""mt"")"),"X'għandu ma jgħinx il-moviment liberu tal-merkanzija?")</f>
        <v>X'għandu ma jgħinx il-moviment liberu tal-merkanzija?</v>
      </c>
    </row>
    <row r="21625" ht="15.75" customHeight="1">
      <c r="A21625" s="2" t="s">
        <v>21625</v>
      </c>
      <c r="B21625" s="2" t="str">
        <f>IFERROR(__xludf.DUMMYFUNCTION("GOOGLETRANSLATE(A21625, ""en"", ""mt"")"),"Tentakli li jġorru t-Tentilla")</f>
        <v>Tentakli li jġorru t-Tentilla</v>
      </c>
    </row>
    <row r="21626" ht="15.75" customHeight="1">
      <c r="A21626" s="2" t="s">
        <v>21626</v>
      </c>
      <c r="B21626" s="2" t="str">
        <f>IFERROR(__xludf.DUMMYFUNCTION("GOOGLETRANSLATE(A21626, ""en"", ""mt"")"),"primarjament tul il-fruntieri bejn Franza l-ġdida u l-kolonji Ingliżi")</f>
        <v>primarjament tul il-fruntieri bejn Franza l-ġdida u l-kolonji Ingliżi</v>
      </c>
    </row>
    <row r="21627" ht="15.75" customHeight="1">
      <c r="A21627" s="2" t="s">
        <v>21627</v>
      </c>
      <c r="B21627" s="2" t="str">
        <f>IFERROR(__xludf.DUMMYFUNCTION("GOOGLETRANSLATE(A21627, ""en"", ""mt"")"),"Ġie argumentat li t-terminu ""diżubbidjenza ċivili"" dejjem sofra minn ambigwità u fi żminijiet moderni, sar kompletament imnaqqas. Marshall Cohen jinnota, ""Intuża biex jiddeskrivi kollox mill-ġbir ta 'każ fil-qrati federali biex jieħu l-għan lejn uffiċj"&amp;"al federali. Tassew, għall-Viċi President Agnew sar kelma ta' kodiċi li tiddeskrivi l-attivitajiet ta 'muggers, Arsonists , Abbozzi ta 'Evaders, Hecklers tal-Kampanja, Militanti tal-Kampus, Dimostranti Kontra l-Gwerra, Delinkwenti tal-Minorenni u Assassin"&amp;"i Politiċi. """)</f>
        <v>Ġie argumentat li t-terminu "diżubbidjenza ċivili" dejjem sofra minn ambigwità u fi żminijiet moderni, sar kompletament imnaqqas. Marshall Cohen jinnota, "Intuża biex jiddeskrivi kollox mill-ġbir ta 'każ fil-qrati federali biex jieħu l-għan lejn uffiċjal federali. Tassew, għall-Viċi President Agnew sar kelma ta' kodiċi li tiddeskrivi l-attivitajiet ta 'muggers, Arsonists , Abbozzi ta 'Evaders, Hecklers tal-Kampanja, Militanti tal-Kampus, Dimostranti Kontra l-Gwerra, Delinkwenti tal-Minorenni u Assassini Politiċi. "</v>
      </c>
    </row>
    <row r="21628" ht="15.75" customHeight="1">
      <c r="A21628" s="2" t="s">
        <v>21628</v>
      </c>
      <c r="B21628" s="2" t="str">
        <f>IFERROR(__xludf.DUMMYFUNCTION("GOOGLETRANSLATE(A21628, ""en"", ""mt"")"),"Porzjon żgħir tal-popolazzjoni jgħix dħul mill-proprjetà mhux mistħoqq")</f>
        <v>Porzjon żgħir tal-popolazzjoni jgħix dħul mill-proprjetà mhux mistħoqq</v>
      </c>
    </row>
    <row r="21629" ht="15.75" customHeight="1">
      <c r="A21629" s="2" t="s">
        <v>21629</v>
      </c>
      <c r="B21629" s="2" t="str">
        <f>IFERROR(__xludf.DUMMYFUNCTION("GOOGLETRANSLATE(A21629, ""en"", ""mt"")"),"La Nativité du Seigneur")</f>
        <v>La Nativité du Seigneur</v>
      </c>
    </row>
    <row r="21630" ht="15.75" customHeight="1">
      <c r="A21630" s="2" t="s">
        <v>21630</v>
      </c>
      <c r="B21630" s="2" t="str">
        <f>IFERROR(__xludf.DUMMYFUNCTION("GOOGLETRANSLATE(A21630, ""en"", ""mt"")"),"Stratigraphers jippruvaw isibu żoni għal liema tipi ta 'estrazzjoni?")</f>
        <v>Stratigraphers jippruvaw isibu żoni għal liema tipi ta 'estrazzjoni?</v>
      </c>
    </row>
    <row r="21631" ht="15.75" customHeight="1">
      <c r="A21631" s="2" t="s">
        <v>21631</v>
      </c>
      <c r="B21631" s="2" t="str">
        <f>IFERROR(__xludf.DUMMYFUNCTION("GOOGLETRANSLATE(A21631, ""en"", ""mt"")"),"Kalendarju għall-iffissar tal-istaġuni")</f>
        <v>Kalendarju għall-iffissar tal-istaġuni</v>
      </c>
    </row>
    <row r="21632" ht="15.75" customHeight="1">
      <c r="A21632" s="2" t="s">
        <v>21632</v>
      </c>
      <c r="B21632" s="2" t="str">
        <f>IFERROR(__xludf.DUMMYFUNCTION("GOOGLETRANSLATE(A21632, ""en"", ""mt"")")," Liema ħsad ewlieni nġieb fil-Ġappun mill-Punent?")</f>
        <v> Liema ħsad ewlieni nġieb fil-Ġappun mill-Punent?</v>
      </c>
    </row>
    <row r="21633" ht="15.75" customHeight="1">
      <c r="A21633" s="2" t="s">
        <v>21633</v>
      </c>
      <c r="B21633" s="2" t="str">
        <f>IFERROR(__xludf.DUMMYFUNCTION("GOOGLETRANSLATE(A21633, ""en"", ""mt"")"),"Trasmissjoni turbo-elettrika")</f>
        <v>Trasmissjoni turbo-elettrika</v>
      </c>
    </row>
    <row r="21634" ht="15.75" customHeight="1">
      <c r="A21634" s="2" t="s">
        <v>21634</v>
      </c>
      <c r="B21634" s="2" t="str">
        <f>IFERROR(__xludf.DUMMYFUNCTION("GOOGLETRANSLATE(A21634, ""en"", ""mt"")"),"Liema att jistabbilixxi l-funzjonijiet tal-Parlament Skoċċiż?")</f>
        <v>Liema att jistabbilixxi l-funzjonijiet tal-Parlament Skoċċiż?</v>
      </c>
    </row>
    <row r="21635" ht="15.75" customHeight="1">
      <c r="A21635" s="2" t="s">
        <v>21635</v>
      </c>
      <c r="B21635" s="2" t="str">
        <f>IFERROR(__xludf.DUMMYFUNCTION("GOOGLETRANSLATE(A21635, ""en"", ""mt"")"),"Uża analiżi mikroskopika ta 'sezzjonijiet irqaq orjentati ta' kampjuni ġeoloġiċi")</f>
        <v>Uża analiżi mikroskopika ta 'sezzjonijiet irqaq orjentati ta' kampjuni ġeoloġiċi</v>
      </c>
    </row>
    <row r="21636" ht="15.75" customHeight="1">
      <c r="A21636" s="2" t="s">
        <v>21636</v>
      </c>
      <c r="B21636" s="2" t="str">
        <f>IFERROR(__xludf.DUMMYFUNCTION("GOOGLETRANSLATE(A21636, ""en"", ""mt"")"),"Sistemi tax-Xmara")</f>
        <v>Sistemi tax-Xmara</v>
      </c>
    </row>
    <row r="21637" ht="15.75" customHeight="1">
      <c r="A21637" s="2" t="s">
        <v>21637</v>
      </c>
      <c r="B21637" s="2" t="str">
        <f>IFERROR(__xludf.DUMMYFUNCTION("GOOGLETRANSLATE(A21637, ""en"", ""mt"")"),"Iddetermina l-limiti prattiċi fuq dak li l-kompjuters jistgħu u ma jistgħux jagħmlu")</f>
        <v>Iddetermina l-limiti prattiċi fuq dak li l-kompjuters jistgħu u ma jistgħux jagħmlu</v>
      </c>
    </row>
    <row r="21638" ht="15.75" customHeight="1">
      <c r="A21638" s="2" t="s">
        <v>21638</v>
      </c>
      <c r="B21638" s="2" t="str">
        <f>IFERROR(__xludf.DUMMYFUNCTION("GOOGLETRANSLATE(A21638, ""en"", ""mt"")"),"X'inhuma l-peptidi anitmikrobiċi msejħa mill-ġilda?")</f>
        <v>X'inhuma l-peptidi anitmikrobiċi msejħa mill-ġilda?</v>
      </c>
    </row>
    <row r="21639" ht="15.75" customHeight="1">
      <c r="A21639" s="2" t="s">
        <v>21639</v>
      </c>
      <c r="B21639" s="2" t="str">
        <f>IFERROR(__xludf.DUMMYFUNCTION("GOOGLETRANSLATE(A21639, ""en"", ""mt"")"),"Min rebaħ il-Kampjonat PZPN fl-2000?")</f>
        <v>Min rebaħ il-Kampjonat PZPN fl-2000?</v>
      </c>
    </row>
    <row r="21640" ht="15.75" customHeight="1">
      <c r="A21640" s="2" t="s">
        <v>21640</v>
      </c>
      <c r="B21640" s="2" t="str">
        <f>IFERROR(__xludf.DUMMYFUNCTION("GOOGLETRANSLATE(A21640, ""en"", ""mt"")"),"X'inhu l-effett finali li żżid aktar u aktar kordi ta 'idea ma' tagħbija?")</f>
        <v>X'inhu l-effett finali li żżid aktar u aktar kordi ta 'idea ma' tagħbija?</v>
      </c>
    </row>
    <row r="21641" ht="15.75" customHeight="1">
      <c r="A21641" s="2" t="s">
        <v>21641</v>
      </c>
      <c r="B21641" s="2" t="str">
        <f>IFERROR(__xludf.DUMMYFUNCTION("GOOGLETRANSLATE(A21641, ""en"", ""mt"")"),"Kemm idum biex tibni faċilitajiet elettriċi?")</f>
        <v>Kemm idum biex tibni faċilitajiet elettriċi?</v>
      </c>
    </row>
    <row r="21642" ht="15.75" customHeight="1">
      <c r="A21642" s="2" t="s">
        <v>21642</v>
      </c>
      <c r="B21642" s="2" t="str">
        <f>IFERROR(__xludf.DUMMYFUNCTION("GOOGLETRANSLATE(A21642, ""en"", ""mt"")"),"Mudelli ta 'prezz aktar baxxi")</f>
        <v>Mudelli ta 'prezz aktar baxxi</v>
      </c>
    </row>
    <row r="21643" ht="15.75" customHeight="1">
      <c r="A21643" s="2" t="s">
        <v>21643</v>
      </c>
      <c r="B21643" s="2" t="str">
        <f>IFERROR(__xludf.DUMMYFUNCTION("GOOGLETRANSLATE(A21643, ""en"", ""mt"")"),"X'numru darbtejn il-California Times?")</f>
        <v>X'numru darbtejn il-California Times?</v>
      </c>
    </row>
    <row r="21644" ht="15.75" customHeight="1">
      <c r="A21644" s="2" t="s">
        <v>21644</v>
      </c>
      <c r="B21644" s="2" t="str">
        <f>IFERROR(__xludf.DUMMYFUNCTION("GOOGLETRANSLATE(A21644, ""en"", ""mt"")"),"X'inhi l-pożizzjoni tas-satellita li ppermettiet lil Sky ixandar il-kanali kważi elclusively għar-Renju Unit?")</f>
        <v>X'inhi l-pożizzjoni tas-satellita li ppermettiet lil Sky ixandar il-kanali kważi elclusively għar-Renju Unit?</v>
      </c>
    </row>
    <row r="21645" ht="15.75" customHeight="1">
      <c r="A21645" s="2" t="s">
        <v>21645</v>
      </c>
      <c r="B21645" s="2" t="str">
        <f>IFERROR(__xludf.DUMMYFUNCTION("GOOGLETRANSLATE(A21645, ""en"", ""mt"")"),"Liema battalja tinvolvi l-Kalvarju Konfederat fl-1862?")</f>
        <v>Liema battalja tinvolvi l-Kalvarju Konfederat fl-1862?</v>
      </c>
    </row>
    <row r="21646" ht="15.75" customHeight="1">
      <c r="A21646" s="2" t="s">
        <v>21646</v>
      </c>
      <c r="B21646" s="2" t="str">
        <f>IFERROR(__xludf.DUMMYFUNCTION("GOOGLETRANSLATE(A21646, ""en"", ""mt"")"),"X'inhu t-terminu komuni għat-telf tal-membri ewlenin tas-soċjetà Franċiża għall-emigrazzjoni Huguenot?")</f>
        <v>X'inhu t-terminu komuni għat-telf tal-membri ewlenin tas-soċjetà Franċiża għall-emigrazzjoni Huguenot?</v>
      </c>
    </row>
    <row r="21647" ht="15.75" customHeight="1">
      <c r="A21647" s="2" t="s">
        <v>21647</v>
      </c>
      <c r="B21647" s="2" t="str">
        <f>IFERROR(__xludf.DUMMYFUNCTION("GOOGLETRANSLATE(A21647, ""en"", ""mt"")"),"unità")</f>
        <v>unità</v>
      </c>
    </row>
    <row r="21648" ht="15.75" customHeight="1">
      <c r="A21648" s="2" t="s">
        <v>21648</v>
      </c>
      <c r="B21648" s="2" t="str">
        <f>IFERROR(__xludf.DUMMYFUNCTION("GOOGLETRANSLATE(A21648, ""en"", ""mt"")"),"Meta rritornaw il-mekkaniżmi istituzzjonali fl-aħħar għal-livelli ta 'Bretton Woods?")</f>
        <v>Meta rritornaw il-mekkaniżmi istituzzjonali fl-aħħar għal-livelli ta 'Bretton Woods?</v>
      </c>
    </row>
    <row r="21649" ht="15.75" customHeight="1">
      <c r="A21649" s="2" t="s">
        <v>21649</v>
      </c>
      <c r="B21649" s="2" t="str">
        <f>IFERROR(__xludf.DUMMYFUNCTION("GOOGLETRANSLATE(A21649, ""en"", ""mt"")"),"Meta r-Rhine saret fruntieri ma 'Francia?")</f>
        <v>Meta r-Rhine saret fruntieri ma 'Francia?</v>
      </c>
    </row>
    <row r="21650" ht="15.75" customHeight="1">
      <c r="A21650" s="2" t="s">
        <v>21650</v>
      </c>
      <c r="B21650" s="2" t="str">
        <f>IFERROR(__xludf.DUMMYFUNCTION("GOOGLETRANSLATE(A21650, ""en"", ""mt"")"),"Antisimetriċi")</f>
        <v>Antisimetriċi</v>
      </c>
    </row>
    <row r="21651" ht="15.75" customHeight="1">
      <c r="A21651" s="2" t="s">
        <v>21651</v>
      </c>
      <c r="B21651" s="2" t="str">
        <f>IFERROR(__xludf.DUMMYFUNCTION("GOOGLETRANSLATE(A21651, ""en"", ""mt"")"),"Kif jista 'xi għoqda tkun qasam ta' f?")</f>
        <v>Kif jista 'xi għoqda tkun qasam ta' f?</v>
      </c>
    </row>
    <row r="21652" ht="15.75" customHeight="1">
      <c r="A21652" s="2" t="s">
        <v>21652</v>
      </c>
      <c r="B21652" s="2" t="str">
        <f>IFERROR(__xludf.DUMMYFUNCTION("GOOGLETRANSLATE(A21652, ""en"", ""mt"")"),"Grigal")</f>
        <v>Grigal</v>
      </c>
    </row>
    <row r="21653" ht="15.75" customHeight="1">
      <c r="A21653" s="2" t="s">
        <v>21653</v>
      </c>
      <c r="B21653" s="2" t="str">
        <f>IFERROR(__xludf.DUMMYFUNCTION("GOOGLETRANSLATE(A21653, ""en"", ""mt"")"),"Minbarra Watt, Boulton u Smeaton, li l-magna tagħhom kienet disinn ta 'atmosfera?")</f>
        <v>Minbarra Watt, Boulton u Smeaton, li l-magna tagħhom kienet disinn ta 'atmosfera?</v>
      </c>
    </row>
    <row r="21654" ht="15.75" customHeight="1">
      <c r="A21654" s="2" t="s">
        <v>21654</v>
      </c>
      <c r="B21654" s="2" t="str">
        <f>IFERROR(__xludf.DUMMYFUNCTION("GOOGLETRANSLATE(A21654, ""en"", ""mt"")"),"numru sħiħ arbitrarji")</f>
        <v>numru sħiħ arbitrarji</v>
      </c>
    </row>
    <row r="21655" ht="15.75" customHeight="1">
      <c r="A21655" s="2" t="s">
        <v>21655</v>
      </c>
      <c r="B21655" s="2" t="str">
        <f>IFERROR(__xludf.DUMMYFUNCTION("GOOGLETRANSLATE(A21655, ""en"", ""mt"")"),"Il-Markiz de Vaudreuil")</f>
        <v>Il-Markiz de Vaudreuil</v>
      </c>
    </row>
    <row r="21656" ht="15.75" customHeight="1">
      <c r="A21656" s="2" t="s">
        <v>21656</v>
      </c>
      <c r="B21656" s="2" t="str">
        <f>IFERROR(__xludf.DUMMYFUNCTION("GOOGLETRANSLATE(A21656, ""en"", ""mt"")"),"Fejn intużaw b'mod partikolari lokomottivi li ma jikkondensawx il-lokomottivi tal-passiġġieri veloċi?")</f>
        <v>Fejn intużaw b'mod partikolari lokomottivi li ma jikkondensawx il-lokomottivi tal-passiġġieri veloċi?</v>
      </c>
    </row>
    <row r="21657" ht="15.75" customHeight="1">
      <c r="A21657" s="2" t="s">
        <v>21657</v>
      </c>
      <c r="B21657" s="2" t="str">
        <f>IFERROR(__xludf.DUMMYFUNCTION("GOOGLETRANSLATE(A21657, ""en"", ""mt"")"),"Kemm djar kellhom is-servizz satellitari dirett għal dar ta 'BSKYB disponibbli għalihom fl-2010?")</f>
        <v>Kemm djar kellhom is-servizz satellitari dirett għal dar ta 'BSKYB disponibbli għalihom fl-2010?</v>
      </c>
    </row>
    <row r="21658" ht="15.75" customHeight="1">
      <c r="A21658" s="2" t="s">
        <v>21658</v>
      </c>
      <c r="B21658" s="2" t="str">
        <f>IFERROR(__xludf.DUMMYFUNCTION("GOOGLETRANSLATE(A21658, ""en"", ""mt"")"),"Liema tekniki inkludew il-mediċina Ċiniża?")</f>
        <v>Liema tekniki inkludew il-mediċina Ċiniża?</v>
      </c>
    </row>
    <row r="21659" ht="15.75" customHeight="1">
      <c r="A21659" s="2" t="s">
        <v>21659</v>
      </c>
      <c r="B21659" s="2" t="str">
        <f>IFERROR(__xludf.DUMMYFUNCTION("GOOGLETRANSLATE(A21659, ""en"", ""mt"")"),"Kemm ikel jiekol ctenophora kuljum?")</f>
        <v>Kemm ikel jiekol ctenophora kuljum?</v>
      </c>
    </row>
    <row r="21660" ht="15.75" customHeight="1">
      <c r="A21660" s="2" t="s">
        <v>21660</v>
      </c>
      <c r="B21660" s="2" t="str">
        <f>IFERROR(__xludf.DUMMYFUNCTION("GOOGLETRANSLATE(A21660, ""en"", ""mt"")"),"""Imperjalizmu informali")</f>
        <v>"Imperjalizmu informali</v>
      </c>
    </row>
    <row r="21661" ht="15.75" customHeight="1">
      <c r="A21661" s="2" t="s">
        <v>21661</v>
      </c>
      <c r="B21661" s="2" t="str">
        <f>IFERROR(__xludf.DUMMYFUNCTION("GOOGLETRANSLATE(A21661, ""en"", ""mt"")"),"Min wieġeb għall-kritika ta 'Lindzen?")</f>
        <v>Min wieġeb għall-kritika ta 'Lindzen?</v>
      </c>
    </row>
    <row r="21662" ht="15.75" customHeight="1">
      <c r="A21662" s="2" t="s">
        <v>21662</v>
      </c>
      <c r="B21662" s="2" t="str">
        <f>IFERROR(__xludf.DUMMYFUNCTION("GOOGLETRANSLATE(A21662, ""en"", ""mt"")"),"X'inhu li jifred is-sistema newroimmuni u s-sistema immuni periferali fil-bnedmin?")</f>
        <v>X'inhu li jifred is-sistema newroimmuni u s-sistema immuni periferali fil-bnedmin?</v>
      </c>
    </row>
    <row r="21663" ht="15.75" customHeight="1">
      <c r="A21663" s="2" t="s">
        <v>21663</v>
      </c>
      <c r="B21663" s="2" t="str">
        <f>IFERROR(__xludf.DUMMYFUNCTION("GOOGLETRANSLATE(A21663, ""en"", ""mt"")"),"Liema organizzazzjoni tmexxi l-iskejjel pubbliċi fir-Rabat?")</f>
        <v>Liema organizzazzjoni tmexxi l-iskejjel pubbliċi fir-Rabat?</v>
      </c>
    </row>
    <row r="21664" ht="15.75" customHeight="1">
      <c r="A21664" s="2" t="s">
        <v>21664</v>
      </c>
      <c r="B21664" s="2" t="str">
        <f>IFERROR(__xludf.DUMMYFUNCTION("GOOGLETRANSLATE(A21664, ""en"", ""mt"")"),"F'liema sena nbena Fort Coligny?")</f>
        <v>F'liema sena nbena Fort Coligny?</v>
      </c>
    </row>
    <row r="21665" ht="15.75" customHeight="1">
      <c r="A21665" s="2" t="s">
        <v>21665</v>
      </c>
      <c r="B21665" s="2" t="str">
        <f>IFERROR(__xludf.DUMMYFUNCTION("GOOGLETRANSLATE(A21665, ""en"", ""mt"")"),"Minbarra Alexandre Yersin li kien xjenzat ieħor li żar Ħong Kong fl-1894?")</f>
        <v>Minbarra Alexandre Yersin li kien xjenzat ieħor li żar Ħong Kong fl-1894?</v>
      </c>
    </row>
    <row r="21666" ht="15.75" customHeight="1">
      <c r="A21666" s="2" t="s">
        <v>21666</v>
      </c>
      <c r="B21666" s="2" t="str">
        <f>IFERROR(__xludf.DUMMYFUNCTION("GOOGLETRANSLATE(A21666, ""en"", ""mt"")"),"djar tal-anzjani")</f>
        <v>djar tal-anzjani</v>
      </c>
    </row>
    <row r="21667" ht="15.75" customHeight="1">
      <c r="A21667" s="2" t="s">
        <v>21667</v>
      </c>
      <c r="B21667" s="2" t="str">
        <f>IFERROR(__xludf.DUMMYFUNCTION("GOOGLETRANSLATE(A21667, ""en"", ""mt"")"),"Turiżmu sportiv")</f>
        <v>Turiżmu sportiv</v>
      </c>
    </row>
    <row r="21668" ht="15.75" customHeight="1">
      <c r="A21668" s="2" t="s">
        <v>21668</v>
      </c>
      <c r="B21668" s="2" t="str">
        <f>IFERROR(__xludf.DUMMYFUNCTION("GOOGLETRANSLATE(A21668, ""en"", ""mt"")"),"Dukes")</f>
        <v>Dukes</v>
      </c>
    </row>
    <row r="21669" ht="15.75" customHeight="1">
      <c r="A21669" s="2" t="s">
        <v>21669</v>
      </c>
      <c r="B21669" s="2" t="str">
        <f>IFERROR(__xludf.DUMMYFUNCTION("GOOGLETRANSLATE(A21669, ""en"", ""mt"")"),"Meta bdew il-ġeoloġi li jqabblu l-fossili ma 'xulxin?")</f>
        <v>Meta bdew il-ġeoloġi li jqabblu l-fossili ma 'xulxin?</v>
      </c>
    </row>
    <row r="21670" ht="15.75" customHeight="1">
      <c r="A21670" s="2" t="s">
        <v>21670</v>
      </c>
      <c r="B21670" s="2" t="str">
        <f>IFERROR(__xludf.DUMMYFUNCTION("GOOGLETRANSLATE(A21670, ""en"", ""mt"")"),"it-tradizzjonijiet kostituzzjonali komuni għall-istati membri")</f>
        <v>it-tradizzjonijiet kostituzzjonali komuni għall-istati membri</v>
      </c>
    </row>
    <row r="21671" ht="15.75" customHeight="1">
      <c r="A21671" s="2" t="s">
        <v>21671</v>
      </c>
      <c r="B21671" s="2" t="str">
        <f>IFERROR(__xludf.DUMMYFUNCTION("GOOGLETRANSLATE(A21671, ""en"", ""mt"")"),"Kanada")</f>
        <v>Kanada</v>
      </c>
    </row>
    <row r="21672" ht="15.75" customHeight="1">
      <c r="A21672" s="2" t="s">
        <v>21672</v>
      </c>
      <c r="B21672" s="2" t="str">
        <f>IFERROR(__xludf.DUMMYFUNCTION("GOOGLETRANSLATE(A21672, ""en"", ""mt"")"),"Għaliex l-iktar era reċenti hija estiża fl-ewwel skala?")</f>
        <v>Għaliex l-iktar era reċenti hija estiża fl-ewwel skala?</v>
      </c>
    </row>
    <row r="21673" ht="15.75" customHeight="1">
      <c r="A21673" s="2" t="s">
        <v>21673</v>
      </c>
      <c r="B21673" s="2" t="str">
        <f>IFERROR(__xludf.DUMMYFUNCTION("GOOGLETRANSLATE(A21673, ""en"", ""mt"")"),"Cadillac DeVille")</f>
        <v>Cadillac DeVille</v>
      </c>
    </row>
    <row r="21674" ht="15.75" customHeight="1">
      <c r="A21674" s="2" t="s">
        <v>21674</v>
      </c>
      <c r="B21674" s="2" t="str">
        <f>IFERROR(__xludf.DUMMYFUNCTION("GOOGLETRANSLATE(A21674, ""en"", ""mt"")"),"L-Iskandinavja bdiet issejjaħ il-pesta l-mewt sewda f'liema sena?")</f>
        <v>L-Iskandinavja bdiet issejjaħ il-pesta l-mewt sewda f'liema sena?</v>
      </c>
    </row>
    <row r="21675" ht="15.75" customHeight="1">
      <c r="A21675" s="2" t="s">
        <v>21675</v>
      </c>
      <c r="B21675" s="2" t="str">
        <f>IFERROR(__xludf.DUMMYFUNCTION("GOOGLETRANSLATE(A21675, ""en"", ""mt"")"),"Ewklide")</f>
        <v>Ewklide</v>
      </c>
    </row>
    <row r="21676" ht="15.75" customHeight="1">
      <c r="A21676" s="2" t="s">
        <v>21676</v>
      </c>
      <c r="B21676" s="2" t="str">
        <f>IFERROR(__xludf.DUMMYFUNCTION("GOOGLETRANSLATE(A21676, ""en"", ""mt"")"),"sitt snin")</f>
        <v>sitt snin</v>
      </c>
    </row>
    <row r="21677" ht="15.75" customHeight="1">
      <c r="A21677" s="2" t="s">
        <v>21677</v>
      </c>
      <c r="B21677" s="2" t="str">
        <f>IFERROR(__xludf.DUMMYFUNCTION("GOOGLETRANSLATE(A21677, ""en"", ""mt"")"),"L-imperjalizmu huwa tip ta ’promozzjoni tal-imperu. Ismu oriġina mill-kelma Latina ""Imperium"", li jfisser li tiddeċiedi fuq territorji kbar. L-imperjalizmu huwa ""politika li testendi l-poter u l-influwenza ta 'pajjiż permezz tal-kolonizzazzjoni, l-użu "&amp;"tal-forza militari, jew mezzi oħra"". L-imperjalizmu ffurma ħafna d-dinja kontemporanja. Ippermettiet ukoll it-tixrid rapidu ta 'teknoloġiji u ideat. It-terminu imperjalizmu ġie applikat għad-dominanza politika u ekonomika tal-Punent (u Ġappuniż) speċjalm"&amp;"ent fl-Asja u l-Afrika fis-sekli 19 u 20. It-tifsira preċiża tagħha tkompli tiġi diskussa mill-istudjużi. Xi kittieba, bħal Edward qal, jużaw it-terminu b'mod aktar wiesa 'biex jiddeskrivu kwalunkwe sistema ta' ħakma u subordinazzjoni organizzata b'ċentru"&amp;" imperjali u periferija.")</f>
        <v>L-imperjalizmu huwa tip ta ’promozzjoni tal-imperu. Ismu oriġina mill-kelma Latina "Imperium", li jfisser li tiddeċiedi fuq territorji kbar. L-imperjalizmu huwa "politika li testendi l-poter u l-influwenza ta 'pajjiż permezz tal-kolonizzazzjoni, l-użu tal-forza militari, jew mezzi oħra". L-imperjalizmu ffurma ħafna d-dinja kontemporanja. Ippermettiet ukoll it-tixrid rapidu ta 'teknoloġiji u ideat. It-terminu imperjalizmu ġie applikat għad-dominanza politika u ekonomika tal-Punent (u Ġappuniż) speċjalment fl-Asja u l-Afrika fis-sekli 19 u 20. It-tifsira preċiża tagħha tkompli tiġi diskussa mill-istudjużi. Xi kittieba, bħal Edward qal, jużaw it-terminu b'mod aktar wiesa 'biex jiddeskrivu kwalunkwe sistema ta' ħakma u subordinazzjoni organizzata b'ċentru imperjali u periferija.</v>
      </c>
    </row>
    <row r="21678" ht="15.75" customHeight="1">
      <c r="A21678" s="2" t="s">
        <v>21678</v>
      </c>
      <c r="B21678" s="2" t="str">
        <f>IFERROR(__xludf.DUMMYFUNCTION("GOOGLETRANSLATE(A21678, ""en"", ""mt"")"),"Alġebriku")</f>
        <v>Alġebriku</v>
      </c>
    </row>
    <row r="21679" ht="15.75" customHeight="1">
      <c r="A21679" s="2" t="s">
        <v>21679</v>
      </c>
      <c r="B21679" s="2" t="str">
        <f>IFERROR(__xludf.DUMMYFUNCTION("GOOGLETRANSLATE(A21679, ""en"", ""mt"")"),"Lewkoċiti")</f>
        <v>Lewkoċiti</v>
      </c>
    </row>
    <row r="21680" ht="15.75" customHeight="1">
      <c r="A21680" s="2" t="s">
        <v>21680</v>
      </c>
      <c r="B21680" s="2" t="str">
        <f>IFERROR(__xludf.DUMMYFUNCTION("GOOGLETRANSLATE(A21680, ""en"", ""mt"")"),"Meta Kublai attakka lil Xiangyang?")</f>
        <v>Meta Kublai attakka lil Xiangyang?</v>
      </c>
    </row>
    <row r="21681" ht="15.75" customHeight="1">
      <c r="A21681" s="2" t="s">
        <v>21681</v>
      </c>
      <c r="B21681" s="2" t="str">
        <f>IFERROR(__xludf.DUMMYFUNCTION("GOOGLETRANSLATE(A21681, ""en"", ""mt"")"),"L-esperimenti tagħhom bl-ossiġnu wasslu għat-teorija popolari tal-kombustjoni u l-korrużjoni?")</f>
        <v>L-esperimenti tagħhom bl-ossiġnu wasslu għat-teorija popolari tal-kombustjoni u l-korrużjoni?</v>
      </c>
    </row>
    <row r="21682" ht="15.75" customHeight="1">
      <c r="A21682" s="2" t="s">
        <v>21682</v>
      </c>
      <c r="B21682" s="2" t="str">
        <f>IFERROR(__xludf.DUMMYFUNCTION("GOOGLETRANSLATE(A21682, ""en"", ""mt"")"),"disa '")</f>
        <v>disa '</v>
      </c>
    </row>
    <row r="21683" ht="15.75" customHeight="1">
      <c r="A21683" s="2" t="s">
        <v>21683</v>
      </c>
      <c r="B21683" s="2" t="str">
        <f>IFERROR(__xludf.DUMMYFUNCTION("GOOGLETRANSLATE(A21683, ""en"", ""mt"")"),"distribuzzjoni")</f>
        <v>distribuzzjoni</v>
      </c>
    </row>
    <row r="21684" ht="15.75" customHeight="1">
      <c r="A21684" s="2" t="s">
        <v>21684</v>
      </c>
      <c r="B21684" s="2" t="str">
        <f>IFERROR(__xludf.DUMMYFUNCTION("GOOGLETRANSLATE(A21684, ""en"", ""mt"")"),"X'inhu t-tul tal-pont tar-Rhine qadim f'Konstance?")</f>
        <v>X'inhu t-tul tal-pont tar-Rhine qadim f'Konstance?</v>
      </c>
    </row>
    <row r="21685" ht="15.75" customHeight="1">
      <c r="A21685" s="2" t="s">
        <v>21685</v>
      </c>
      <c r="B21685" s="2" t="str">
        <f>IFERROR(__xludf.DUMMYFUNCTION("GOOGLETRANSLATE(A21685, ""en"", ""mt"")"),"X’sejjaħ lilhom infushom il-grupp Huguenot tas-seklu 18?")</f>
        <v>X’sejjaħ lilhom infushom il-grupp Huguenot tas-seklu 18?</v>
      </c>
    </row>
    <row r="21686" ht="15.75" customHeight="1">
      <c r="A21686" s="2" t="s">
        <v>21686</v>
      </c>
      <c r="B21686" s="2" t="str">
        <f>IFERROR(__xludf.DUMMYFUNCTION("GOOGLETRANSLATE(A21686, ""en"", ""mt"")"),"Kemm awturi ewlenin għandu kapitolu ta 'rapport tal-IPCC?")</f>
        <v>Kemm awturi ewlenin għandu kapitolu ta 'rapport tal-IPCC?</v>
      </c>
    </row>
    <row r="21687" ht="15.75" customHeight="1">
      <c r="A21687" s="2" t="s">
        <v>21687</v>
      </c>
      <c r="B21687" s="2" t="str">
        <f>IFERROR(__xludf.DUMMYFUNCTION("GOOGLETRANSLATE(A21687, ""en"", ""mt"")"),"Nds")</f>
        <v>Nds</v>
      </c>
    </row>
    <row r="21688" ht="15.75" customHeight="1">
      <c r="A21688" s="2" t="s">
        <v>21688</v>
      </c>
      <c r="B21688" s="2" t="str">
        <f>IFERROR(__xludf.DUMMYFUNCTION("GOOGLETRANSLATE(A21688, ""en"", ""mt"")"),"66")</f>
        <v>66</v>
      </c>
    </row>
    <row r="21689" ht="15.75" customHeight="1">
      <c r="A21689" s="2" t="s">
        <v>21689</v>
      </c>
      <c r="B21689" s="2" t="str">
        <f>IFERROR(__xludf.DUMMYFUNCTION("GOOGLETRANSLATE(A21689, ""en"", ""mt"")"),"X'inhuma prodotti ta 'użu ta' ossiġnu fl-organiżmi?")</f>
        <v>X'inhuma prodotti ta 'użu ta' ossiġnu fl-organiżmi?</v>
      </c>
    </row>
    <row r="21690" ht="15.75" customHeight="1">
      <c r="A21690" s="2" t="s">
        <v>21690</v>
      </c>
      <c r="B21690" s="2" t="str">
        <f>IFERROR(__xludf.DUMMYFUNCTION("GOOGLETRANSLATE(A21690, ""en"", ""mt"")"),"X'jiġri wara li l-Firebox idub?")</f>
        <v>X'jiġri wara li l-Firebox idub?</v>
      </c>
    </row>
    <row r="21691" ht="15.75" customHeight="1">
      <c r="A21691" s="2" t="s">
        <v>21691</v>
      </c>
      <c r="B21691" s="2" t="str">
        <f>IFERROR(__xludf.DUMMYFUNCTION("GOOGLETRANSLATE(A21691, ""en"", ""mt"")"),"3000 yr bp")</f>
        <v>3000 yr bp</v>
      </c>
    </row>
    <row r="21692" ht="15.75" customHeight="1">
      <c r="A21692" s="2" t="s">
        <v>21692</v>
      </c>
      <c r="B21692" s="2" t="str">
        <f>IFERROR(__xludf.DUMMYFUNCTION("GOOGLETRANSLATE(A21692, ""en"", ""mt"")"),"2.5 miljun")</f>
        <v>2.5 miljun</v>
      </c>
    </row>
    <row r="21693" ht="15.75" customHeight="1">
      <c r="A21693" s="2" t="s">
        <v>21693</v>
      </c>
      <c r="B21693" s="2" t="str">
        <f>IFERROR(__xludf.DUMMYFUNCTION("GOOGLETRANSLATE(A21693, ""en"", ""mt"")"),"Fejn Barack Obama ta l-aħħar diskors tiegħu fl-2016?")</f>
        <v>Fejn Barack Obama ta l-aħħar diskors tiegħu fl-2016?</v>
      </c>
    </row>
    <row r="21694" ht="15.75" customHeight="1">
      <c r="A21694" s="2" t="s">
        <v>21694</v>
      </c>
      <c r="B21694" s="2" t="str">
        <f>IFERROR(__xludf.DUMMYFUNCTION("GOOGLETRANSLATE(A21694, ""en"", ""mt"")"),"X'kien l-isem Ċiniż tal-kalendarju ta 'Gou?")</f>
        <v>X'kien l-isem Ċiniż tal-kalendarju ta 'Gou?</v>
      </c>
    </row>
    <row r="21695" ht="15.75" customHeight="1">
      <c r="A21695" s="2" t="s">
        <v>21695</v>
      </c>
      <c r="B21695" s="2" t="str">
        <f>IFERROR(__xludf.DUMMYFUNCTION("GOOGLETRANSLATE(A21695, ""en"", ""mt"")"),"Min jiddeċiedi min ikellem fid-dibattiti tal-kamra?")</f>
        <v>Min jiddeċiedi min ikellem fid-dibattiti tal-kamra?</v>
      </c>
    </row>
    <row r="21696" ht="15.75" customHeight="1">
      <c r="A21696" s="2" t="s">
        <v>21696</v>
      </c>
      <c r="B21696" s="2" t="str">
        <f>IFERROR(__xludf.DUMMYFUNCTION("GOOGLETRANSLATE(A21696, ""en"", ""mt"")"),"Edward Teller")</f>
        <v>Edward Teller</v>
      </c>
    </row>
    <row r="21697" ht="15.75" customHeight="1">
      <c r="A21697" s="2" t="s">
        <v>21697</v>
      </c>
      <c r="B21697" s="2" t="str">
        <f>IFERROR(__xludf.DUMMYFUNCTION("GOOGLETRANSLATE(A21697, ""en"", ""mt"")"),"Datanet 1 irrefera biss għan-netwerk u l-utenti konnessi permezz ta 'linji mikrija")</f>
        <v>Datanet 1 irrefera biss għan-netwerk u l-utenti konnessi permezz ta 'linji mikrija</v>
      </c>
    </row>
    <row r="21698" ht="15.75" customHeight="1">
      <c r="A21698" s="2" t="s">
        <v>21698</v>
      </c>
      <c r="B21698" s="2" t="str">
        <f>IFERROR(__xludf.DUMMYFUNCTION("GOOGLETRANSLATE(A21698, ""en"", ""mt"")"),"Liema raġuni qed tingħata li għandek tipprotesta wkoll kumpaniji pubbliċi?")</f>
        <v>Liema raġuni qed tingħata li għandek tipprotesta wkoll kumpaniji pubbliċi?</v>
      </c>
    </row>
    <row r="21699" ht="15.75" customHeight="1">
      <c r="A21699" s="2" t="s">
        <v>21699</v>
      </c>
      <c r="B21699" s="2" t="str">
        <f>IFERROR(__xludf.DUMMYFUNCTION("GOOGLETRANSLATE(A21699, ""en"", ""mt"")"),"Kunsill Eżekuttiv tal-WMO u Kunsill Governattiv tal-UNEP")</f>
        <v>Kunsill Eżekuttiv tal-WMO u Kunsill Governattiv tal-UNEP</v>
      </c>
    </row>
    <row r="21700" ht="15.75" customHeight="1">
      <c r="A21700" s="2" t="s">
        <v>21700</v>
      </c>
      <c r="B21700" s="2" t="str">
        <f>IFERROR(__xludf.DUMMYFUNCTION("GOOGLETRANSLATE(A21700, ""en"", ""mt"")")," Meta waqqgħet ir-Repubblika Demokratika tal-Iraq?")</f>
        <v> Meta waqqgħet ir-Repubblika Demokratika tal-Iraq?</v>
      </c>
    </row>
    <row r="21701" ht="15.75" customHeight="1">
      <c r="A21701" s="2" t="s">
        <v>21701</v>
      </c>
      <c r="B21701" s="2" t="str">
        <f>IFERROR(__xludf.DUMMYFUNCTION("GOOGLETRANSLATE(A21701, ""en"", ""mt"")"),"Meta jista 'jagħmel xi plankton tal-minorenni qabel ma jsir adult?")</f>
        <v>Meta jista 'jagħmel xi plankton tal-minorenni qabel ma jsir adult?</v>
      </c>
    </row>
    <row r="21702" ht="15.75" customHeight="1">
      <c r="A21702" s="2" t="s">
        <v>21702</v>
      </c>
      <c r="B21702" s="2" t="str">
        <f>IFERROR(__xludf.DUMMYFUNCTION("GOOGLETRANSLATE(A21702, ""en"", ""mt"")"),"Alta California")</f>
        <v>Alta California</v>
      </c>
    </row>
    <row r="21703" ht="15.75" customHeight="1">
      <c r="A21703" s="2" t="s">
        <v>21703</v>
      </c>
      <c r="B21703" s="2" t="str">
        <f>IFERROR(__xludf.DUMMYFUNCTION("GOOGLETRANSLATE(A21703, ""en"", ""mt"")"),"L-ewwel xokk taż-żejt")</f>
        <v>L-ewwel xokk taż-żejt</v>
      </c>
    </row>
    <row r="21704" ht="15.75" customHeight="1">
      <c r="A21704" s="2" t="s">
        <v>21704</v>
      </c>
      <c r="B21704" s="2" t="str">
        <f>IFERROR(__xludf.DUMMYFUNCTION("GOOGLETRANSLATE(A21704, ""en"", ""mt"")"),"Min ma jaqbilx mal-iskeda tan-negozju fil-kamra?")</f>
        <v>Min ma jaqbilx mal-iskeda tan-negozju fil-kamra?</v>
      </c>
    </row>
    <row r="21705" ht="15.75" customHeight="1">
      <c r="A21705" s="2" t="s">
        <v>21705</v>
      </c>
      <c r="B21705" s="2" t="str">
        <f>IFERROR(__xludf.DUMMYFUNCTION("GOOGLETRANSLATE(A21705, ""en"", ""mt"")"),"L-Att tal-2002 ingħata aktar devoluzzjoni fiskali inkluż xiex?")</f>
        <v>L-Att tal-2002 ingħata aktar devoluzzjoni fiskali inkluż xiex?</v>
      </c>
    </row>
    <row r="21706" ht="15.75" customHeight="1">
      <c r="A21706" s="2" t="s">
        <v>21706</v>
      </c>
      <c r="B21706" s="2" t="str">
        <f>IFERROR(__xludf.DUMMYFUNCTION("GOOGLETRANSLATE(A21706, ""en"", ""mt"")"),"X'inhi l-liġi primarja tal-UE?")</f>
        <v>X'inhi l-liġi primarja tal-UE?</v>
      </c>
    </row>
    <row r="21707" ht="15.75" customHeight="1">
      <c r="A21707" s="2" t="s">
        <v>21707</v>
      </c>
      <c r="B21707" s="2" t="str">
        <f>IFERROR(__xludf.DUMMYFUNCTION("GOOGLETRANSLATE(A21707, ""en"", ""mt"")"),"F’liema sena kien ikkuntrattat Owings biex jiżviluppa t-tieni master plan?")</f>
        <v>F’liema sena kien ikkuntrattat Owings biex jiżviluppa t-tieni master plan?</v>
      </c>
    </row>
    <row r="21708" ht="15.75" customHeight="1">
      <c r="A21708" s="2" t="s">
        <v>21708</v>
      </c>
      <c r="B21708" s="2" t="str">
        <f>IFERROR(__xludf.DUMMYFUNCTION("GOOGLETRANSLATE(A21708, ""en"", ""mt"")"),"X'kienet is-sinifikat tat-telf Ingliż?")</f>
        <v>X'kienet is-sinifikat tat-telf Ingliż?</v>
      </c>
    </row>
    <row r="21709" ht="15.75" customHeight="1">
      <c r="A21709" s="2" t="s">
        <v>21709</v>
      </c>
      <c r="B21709" s="2" t="str">
        <f>IFERROR(__xludf.DUMMYFUNCTION("GOOGLETRANSLATE(A21709, ""en"", ""mt"")"),"Malnutrizzjoni")</f>
        <v>Malnutrizzjoni</v>
      </c>
    </row>
    <row r="21710" ht="15.75" customHeight="1">
      <c r="A21710" s="2" t="s">
        <v>21710</v>
      </c>
      <c r="B21710" s="2" t="str">
        <f>IFERROR(__xludf.DUMMYFUNCTION("GOOGLETRANSLATE(A21710, ""en"", ""mt"")"),"X'inhu eżempju ta 'diżubbidjenza ċivili ewlenija fl-Afrika t'Isfel?")</f>
        <v>X'inhu eżempju ta 'diżubbidjenza ċivili ewlenija fl-Afrika t'Isfel?</v>
      </c>
    </row>
    <row r="21711" ht="15.75" customHeight="1">
      <c r="A21711" s="2" t="s">
        <v>21711</v>
      </c>
      <c r="B21711" s="2" t="str">
        <f>IFERROR(__xludf.DUMMYFUNCTION("GOOGLETRANSLATE(A21711, ""en"", ""mt"")"),"Valur marġinali miżjud ta 'kull attur ekonomiku")</f>
        <v>Valur marġinali miżjud ta 'kull attur ekonomiku</v>
      </c>
    </row>
    <row r="21712" ht="15.75" customHeight="1">
      <c r="A21712" s="2" t="s">
        <v>21712</v>
      </c>
      <c r="B21712" s="2" t="str">
        <f>IFERROR(__xludf.DUMMYFUNCTION("GOOGLETRANSLATE(A21712, ""en"", ""mt"")"),"il-mudell tad-datagramma")</f>
        <v>il-mudell tad-datagramma</v>
      </c>
    </row>
    <row r="21713" ht="15.75" customHeight="1">
      <c r="A21713" s="2" t="s">
        <v>21713</v>
      </c>
      <c r="B21713" s="2" t="str">
        <f>IFERROR(__xludf.DUMMYFUNCTION("GOOGLETRANSLATE(A21713, ""en"", ""mt"")"),"ħin esponenzjali")</f>
        <v>ħin esponenzjali</v>
      </c>
    </row>
    <row r="21714" ht="15.75" customHeight="1">
      <c r="A21714" s="2" t="s">
        <v>21714</v>
      </c>
      <c r="B21714" s="2" t="str">
        <f>IFERROR(__xludf.DUMMYFUNCTION("GOOGLETRANSLATE(A21714, ""en"", ""mt"")"),"UCLA")</f>
        <v>UCLA</v>
      </c>
    </row>
    <row r="21715" ht="15.75" customHeight="1">
      <c r="A21715" s="2" t="s">
        <v>21715</v>
      </c>
      <c r="B21715" s="2" t="str">
        <f>IFERROR(__xludf.DUMMYFUNCTION("GOOGLETRANSLATE(A21715, ""en"", ""mt"")"),"Artikolu 5")</f>
        <v>Artikolu 5</v>
      </c>
    </row>
    <row r="21716" ht="15.75" customHeight="1">
      <c r="A21716" s="2" t="s">
        <v>21716</v>
      </c>
      <c r="B21716" s="2" t="str">
        <f>IFERROR(__xludf.DUMMYFUNCTION("GOOGLETRANSLATE(A21716, ""en"", ""mt"")"),"L-istess forza tal-gravità jekk l-aċċellerazzjoni minħabba l-gravità naqset bħala liġi kwadra inversa.")</f>
        <v>L-istess forza tal-gravità jekk l-aċċellerazzjoni minħabba l-gravità naqset bħala liġi kwadra inversa.</v>
      </c>
    </row>
    <row r="21717" ht="15.75" customHeight="1">
      <c r="A21717" s="2" t="s">
        <v>21717</v>
      </c>
      <c r="B21717" s="2" t="str">
        <f>IFERROR(__xludf.DUMMYFUNCTION("GOOGLETRANSLATE(A21717, ""en"", ""mt"")"),"F'liema sena Jeronimo de Ayanz y Beaumont brevett pompa tal-ilma biex tiskula l-pazjenti?")</f>
        <v>F'liema sena Jeronimo de Ayanz y Beaumont brevett pompa tal-ilma biex tiskula l-pazjenti?</v>
      </c>
    </row>
    <row r="21718" ht="15.75" customHeight="1">
      <c r="A21718" s="2" t="s">
        <v>21718</v>
      </c>
      <c r="B21718" s="2" t="str">
        <f>IFERROR(__xludf.DUMMYFUNCTION("GOOGLETRANSLATE(A21718, ""en"", ""mt"")"),"Kemm Stati Membri adottaw il-Karta Soċjali fl-1989?")</f>
        <v>Kemm Stati Membri adottaw il-Karta Soċjali fl-1989?</v>
      </c>
    </row>
    <row r="21719" ht="15.75" customHeight="1">
      <c r="A21719" s="2" t="s">
        <v>21719</v>
      </c>
      <c r="B21719" s="2" t="str">
        <f>IFERROR(__xludf.DUMMYFUNCTION("GOOGLETRANSLATE(A21719, ""en"", ""mt"")"),"L-NSF żviluppaw f'liema permezz ta 'finanzjament pubbliku u sħubijiet privati?")</f>
        <v>L-NSF żviluppaw f'liema permezz ta 'finanzjament pubbliku u sħubijiet privati?</v>
      </c>
    </row>
    <row r="21720" ht="15.75" customHeight="1">
      <c r="A21720" s="2" t="s">
        <v>21720</v>
      </c>
      <c r="B21720" s="2" t="str">
        <f>IFERROR(__xludf.DUMMYFUNCTION("GOOGLETRANSLATE(A21720, ""en"", ""mt"")"),"Meta għadda dan l-att tan-naturalizzazzjoni?")</f>
        <v>Meta għadda dan l-att tan-naturalizzazzjoni?</v>
      </c>
    </row>
    <row r="21721" ht="15.75" customHeight="1">
      <c r="A21721" s="2" t="s">
        <v>21721</v>
      </c>
      <c r="B21721" s="2" t="str">
        <f>IFERROR(__xludf.DUMMYFUNCTION("GOOGLETRANSLATE(A21721, ""en"", ""mt"")"),"Nixon talab lill-Kungress biex ikun xieraq $ 2.2 biljun f'għajnuna ta 'emerġenza lill-Iżrael")</f>
        <v>Nixon talab lill-Kungress biex ikun xieraq $ 2.2 biljun f'għajnuna ta 'emerġenza lill-Iżrael</v>
      </c>
    </row>
    <row r="21722" ht="15.75" customHeight="1">
      <c r="A21722" s="2" t="s">
        <v>21722</v>
      </c>
      <c r="B21722" s="2" t="str">
        <f>IFERROR(__xludf.DUMMYFUNCTION("GOOGLETRANSLATE(A21722, ""en"", ""mt"")"),"Kumitati jinkludu numru żgħir ta 'MSPs, bis-sħubija tirrifletti l-bilanċ tal-partijiet madwar il-Parlament. Hemm kumitati differenti bil-funzjonijiet tagħhom stabbiliti b'modi differenti. Kumitati obbligatorji huma kumitati li huma stabbiliti taħt l-ordni"&amp;"jiet permanenti tal-Parlament Skoċċiż, li jirregolaw il-membri u l-proċeduri tagħhom. Il-kumitati obbligatorji attwali fir-raba 'sessjoni tal-Parlament Skoċċiż huma: verifika pubblika; Opportunitajiet ugwali; Relazzjonijiet Ewropej u esterni; Finanzi; Pet"&amp;"izzjonijiet pubbliċi; Standards, proċeduri u ħatriet pubbliċi; u setgħat delegati u riforma tal-liġi.")</f>
        <v>Kumitati jinkludu numru żgħir ta 'MSPs, bis-sħubija tirrifletti l-bilanċ tal-partijiet madwar il-Parlament. Hemm kumitati differenti bil-funzjonijiet tagħhom stabbiliti b'modi differenti. Kumitati obbligatorji huma kumitati li huma stabbiliti taħt l-ordnijiet permanenti tal-Parlament Skoċċiż, li jirregolaw il-membri u l-proċeduri tagħhom. Il-kumitati obbligatorji attwali fir-raba 'sessjoni tal-Parlament Skoċċiż huma: verifika pubblika; Opportunitajiet ugwali; Relazzjonijiet Ewropej u esterni; Finanzi; Petizzjonijiet pubbliċi; Standards, proċeduri u ħatriet pubbliċi; u setgħat delegati u riforma tal-liġi.</v>
      </c>
    </row>
    <row r="21723" ht="15.75" customHeight="1">
      <c r="A21723" s="2" t="s">
        <v>21723</v>
      </c>
      <c r="B21723" s="2" t="str">
        <f>IFERROR(__xludf.DUMMYFUNCTION("GOOGLETRANSLATE(A21723, ""en"", ""mt"")"),"Min kultant ikollu provvisti supplimentari?")</f>
        <v>Min kultant ikollu provvisti supplimentari?</v>
      </c>
    </row>
    <row r="21724" ht="15.75" customHeight="1">
      <c r="A21724" s="2" t="s">
        <v>21724</v>
      </c>
      <c r="B21724" s="2" t="str">
        <f>IFERROR(__xludf.DUMMYFUNCTION("GOOGLETRANSLATE(A21724, ""en"", ""mt"")"),"Ċerti pakketti jieħdu prijorità fuq oħrajn jekk jintbagħtu fl-istess ħin eżatt?")</f>
        <v>Ċerti pakketti jieħdu prijorità fuq oħrajn jekk jintbagħtu fl-istess ħin eżatt?</v>
      </c>
    </row>
    <row r="21725" ht="15.75" customHeight="1">
      <c r="A21725" s="2" t="s">
        <v>21725</v>
      </c>
      <c r="B21725" s="2" t="str">
        <f>IFERROR(__xludf.DUMMYFUNCTION("GOOGLETRANSLATE(A21725, ""en"", ""mt"")"),"Bħala ewforika kif jintuża l-ossiġnu fil-vireg?")</f>
        <v>Bħala ewforika kif jintuża l-ossiġnu fil-vireg?</v>
      </c>
    </row>
    <row r="21726" ht="15.75" customHeight="1">
      <c r="A21726" s="2" t="s">
        <v>21726</v>
      </c>
      <c r="B21726" s="2" t="str">
        <f>IFERROR(__xludf.DUMMYFUNCTION("GOOGLETRANSLATE(A21726, ""en"", ""mt"")"),"X'eżamina studju tal-1996 minn Perotti?")</f>
        <v>X'eżamina studju tal-1996 minn Perotti?</v>
      </c>
    </row>
    <row r="21727" ht="15.75" customHeight="1">
      <c r="A21727" s="2" t="s">
        <v>21727</v>
      </c>
      <c r="B21727" s="2" t="str">
        <f>IFERROR(__xludf.DUMMYFUNCTION("GOOGLETRANSLATE(A21727, ""en"", ""mt"")"),"Liema virus Walter Reed skopra?")</f>
        <v>Liema virus Walter Reed skopra?</v>
      </c>
    </row>
    <row r="21728" ht="15.75" customHeight="1">
      <c r="A21728" s="2" t="s">
        <v>21728</v>
      </c>
      <c r="B21728" s="2" t="str">
        <f>IFERROR(__xludf.DUMMYFUNCTION("GOOGLETRANSLATE(A21728, ""en"", ""mt"")"),"Skala Saffir-Simpson")</f>
        <v>Skala Saffir-Simpson</v>
      </c>
    </row>
    <row r="21729" ht="15.75" customHeight="1">
      <c r="A21729" s="2" t="s">
        <v>21729</v>
      </c>
      <c r="B21729" s="2" t="str">
        <f>IFERROR(__xludf.DUMMYFUNCTION("GOOGLETRANSLATE(A21729, ""en"", ""mt"")"),"Minbarra ċ-ċelloli T, liema ċelloli immuni oħra jesprimu CYP27B1?")</f>
        <v>Minbarra ċ-ċelloli T, liema ċelloli immuni oħra jesprimu CYP27B1?</v>
      </c>
    </row>
    <row r="21730" ht="15.75" customHeight="1">
      <c r="A21730" s="2" t="s">
        <v>21730</v>
      </c>
      <c r="B21730" s="2" t="str">
        <f>IFERROR(__xludf.DUMMYFUNCTION("GOOGLETRANSLATE(A21730, ""en"", ""mt"")"),"Liema terminu jikkorrispondi għall-kejl minimu tal-ħin fil-funzjonijiet kollha ta 'N?")</f>
        <v>Liema terminu jikkorrispondi għall-kejl minimu tal-ħin fil-funzjonijiet kollha ta 'N?</v>
      </c>
    </row>
    <row r="21731" ht="15.75" customHeight="1">
      <c r="A21731" s="2" t="s">
        <v>21731</v>
      </c>
      <c r="B21731" s="2" t="str">
        <f>IFERROR(__xludf.DUMMYFUNCTION("GOOGLETRANSLATE(A21731, ""en"", ""mt"")"),"X'qed jimxi b'veloċità żero?")</f>
        <v>X'qed jimxi b'veloċità żero?</v>
      </c>
    </row>
    <row r="21732" ht="15.75" customHeight="1">
      <c r="A21732" s="2" t="s">
        <v>21732</v>
      </c>
      <c r="B21732" s="2" t="str">
        <f>IFERROR(__xludf.DUMMYFUNCTION("GOOGLETRANSLATE(A21732, ""en"", ""mt"")"),"pubbliku")</f>
        <v>pubbliku</v>
      </c>
    </row>
    <row r="21733" ht="15.75" customHeight="1">
      <c r="A21733" s="2" t="s">
        <v>21733</v>
      </c>
      <c r="B21733" s="2" t="str">
        <f>IFERROR(__xludf.DUMMYFUNCTION("GOOGLETRANSLATE(A21733, ""en"", ""mt"")"),"Minn Settembru 2004, id-dar uffiċjali tal-Parlament Skoċċiż kienet bini ġdid tal-Parlament Skoċċiż, fiż-żona ta 'Holyrood ta' Edinburgh. Il-bini tal-Parlament Skoċċiż kien iddisinjat mill-perit Spanjol Enric Miralles bi sħab mad-ditta lokali ta ’arkitettu"&amp;"ra ta’ Edinburgh RMJM li kienet immexxija mill-prinċipal tad-disinn Tony Kettle. Uħud mill-karatteristiċi ewlenin tal-kumpless jinkludu bini b'forma ta 'weraq, fergħa msaqqda bil-ħaxix li tgħaqqad f'parkland li jmissu magħhom u ħitan tal-gabion iffurmati "&amp;"mill-ġebel ta' bini preċedenti. Matul il-bini hemm ħafna motivi ripetuti, bħal forom ibbażati fuq il-ministru tal-iskejjel ta 'Raeburn. Gables imxerrda bil-crow u t-tamboċċi tad-dgħajsa mdawra tal-lobby tal-ġnien, itemmu l-arkitettura unika. Ir-Reġina Eli"&amp;"żabetta II fetħet il-bini l-ġdid fid-9 ta ’Ottubru 2004.")</f>
        <v>Minn Settembru 2004, id-dar uffiċjali tal-Parlament Skoċċiż kienet bini ġdid tal-Parlament Skoċċiż, fiż-żona ta 'Holyrood ta' Edinburgh. Il-bini tal-Parlament Skoċċiż kien iddisinjat mill-perit Spanjol Enric Miralles bi sħab mad-ditta lokali ta ’arkitettura ta’ Edinburgh RMJM li kienet immexxija mill-prinċipal tad-disinn Tony Kettle. Uħud mill-karatteristiċi ewlenin tal-kumpless jinkludu bini b'forma ta 'weraq, fergħa msaqqda bil-ħaxix li tgħaqqad f'parkland li jmissu magħhom u ħitan tal-gabion iffurmati mill-ġebel ta' bini preċedenti. Matul il-bini hemm ħafna motivi ripetuti, bħal forom ibbażati fuq il-ministru tal-iskejjel ta 'Raeburn. Gables imxerrda bil-crow u t-tamboċċi tad-dgħajsa mdawra tal-lobby tal-ġnien, itemmu l-arkitettura unika. Ir-Reġina Eliżabetta II fetħet il-bini l-ġdid fid-9 ta ’Ottubru 2004.</v>
      </c>
    </row>
    <row r="21734" ht="15.75" customHeight="1">
      <c r="A21734" s="2" t="s">
        <v>21734</v>
      </c>
      <c r="B21734" s="2" t="str">
        <f>IFERROR(__xludf.DUMMYFUNCTION("GOOGLETRANSLATE(A21734, ""en"", ""mt"")"),"Jekk lista kompluta ta 'primes sa hija magħrufa")</f>
        <v>Jekk lista kompluta ta 'primes sa hija magħrufa</v>
      </c>
    </row>
    <row r="21735" ht="15.75" customHeight="1">
      <c r="A21735" s="2" t="s">
        <v>21735</v>
      </c>
      <c r="B21735" s="2" t="str">
        <f>IFERROR(__xludf.DUMMYFUNCTION("GOOGLETRANSLATE(A21735, ""en"", ""mt"")"),"Kemm malajr qed jiżdied il-livell tal-baħar?")</f>
        <v>Kemm malajr qed jiżdied il-livell tal-baħar?</v>
      </c>
    </row>
    <row r="21736" ht="15.75" customHeight="1">
      <c r="A21736" s="2" t="s">
        <v>21736</v>
      </c>
      <c r="B21736" s="2" t="str">
        <f>IFERROR(__xludf.DUMMYFUNCTION("GOOGLETRANSLATE(A21736, ""en"", ""mt"")"),"Ekosistema naturali")</f>
        <v>Ekosistema naturali</v>
      </c>
    </row>
    <row r="21737" ht="15.75" customHeight="1">
      <c r="A21737" s="2" t="s">
        <v>21737</v>
      </c>
      <c r="B21737" s="2" t="str">
        <f>IFERROR(__xludf.DUMMYFUNCTION("GOOGLETRANSLATE(A21737, ""en"", ""mt"")"),"L-etajiet assoluti kellhom jiġu kkonvertiti f'liema?")</f>
        <v>L-etajiet assoluti kellhom jiġu kkonvertiti f'liema?</v>
      </c>
    </row>
    <row r="21738" ht="15.75" customHeight="1">
      <c r="A21738" s="2" t="s">
        <v>21738</v>
      </c>
      <c r="B21738" s="2" t="str">
        <f>IFERROR(__xludf.DUMMYFUNCTION("GOOGLETRANSLATE(A21738, ""en"", ""mt"")"),"Armata Ġermaniża")</f>
        <v>Armata Ġermaniża</v>
      </c>
    </row>
    <row r="21739" ht="15.75" customHeight="1">
      <c r="A21739" s="2" t="s">
        <v>21739</v>
      </c>
      <c r="B21739" s="2" t="str">
        <f>IFERROR(__xludf.DUMMYFUNCTION("GOOGLETRANSLATE(A21739, ""en"", ""mt"")"),"tirbaħ l-artijiet tal-istat l-oħra u għalhekk iżżid id-dominanza tiegħu stess")</f>
        <v>tirbaħ l-artijiet tal-istat l-oħra u għalhekk iżżid id-dominanza tiegħu stess</v>
      </c>
    </row>
    <row r="21740" ht="15.75" customHeight="1">
      <c r="A21740" s="2" t="s">
        <v>21740</v>
      </c>
      <c r="B21740" s="2" t="str">
        <f>IFERROR(__xludf.DUMMYFUNCTION("GOOGLETRANSLATE(A21740, ""en"", ""mt"")"),"il-perspettiva bi tliet reġjuni")</f>
        <v>il-perspettiva bi tliet reġjuni</v>
      </c>
    </row>
    <row r="21741" ht="15.75" customHeight="1">
      <c r="A21741" s="2" t="s">
        <v>21741</v>
      </c>
      <c r="B21741" s="2" t="str">
        <f>IFERROR(__xludf.DUMMYFUNCTION("GOOGLETRANSLATE(A21741, ""en"", ""mt"")"),"Meta ġie stabbilit id-Direttorat tal-Librerija Imperjali?")</f>
        <v>Meta ġie stabbilit id-Direttorat tal-Librerija Imperjali?</v>
      </c>
    </row>
    <row r="21742" ht="15.75" customHeight="1">
      <c r="A21742" s="2" t="s">
        <v>21742</v>
      </c>
      <c r="B21742" s="2" t="str">
        <f>IFERROR(__xludf.DUMMYFUNCTION("GOOGLETRANSLATE(A21742, ""en"", ""mt"")"),"Is-Soċjetà Filosofika Amerikana")</f>
        <v>Is-Soċjetà Filosofika Amerikana</v>
      </c>
    </row>
    <row r="21743" ht="15.75" customHeight="1">
      <c r="A21743" s="2" t="s">
        <v>21743</v>
      </c>
      <c r="B21743" s="2" t="str">
        <f>IFERROR(__xludf.DUMMYFUNCTION("GOOGLETRANSLATE(A21743, ""en"", ""mt"")"),"madwar darbtejn aktar")</f>
        <v>madwar darbtejn aktar</v>
      </c>
    </row>
    <row r="21744" ht="15.75" customHeight="1">
      <c r="A21744" s="2" t="s">
        <v>21744</v>
      </c>
      <c r="B21744" s="2" t="str">
        <f>IFERROR(__xludf.DUMMYFUNCTION("GOOGLETRANSLATE(A21744, ""en"", ""mt"")"),"DataNet 1 irrefera wkoll għal xiex?")</f>
        <v>DataNet 1 irrefera wkoll għal xiex?</v>
      </c>
    </row>
    <row r="21745" ht="15.75" customHeight="1">
      <c r="A21745" s="2" t="s">
        <v>21745</v>
      </c>
      <c r="B21745" s="2" t="str">
        <f>IFERROR(__xludf.DUMMYFUNCTION("GOOGLETRANSLATE(A21745, ""en"", ""mt"")"),"Walloon")</f>
        <v>Walloon</v>
      </c>
    </row>
    <row r="21746" ht="15.75" customHeight="1">
      <c r="A21746" s="2" t="s">
        <v>21746</v>
      </c>
      <c r="B21746" s="2" t="str">
        <f>IFERROR(__xludf.DUMMYFUNCTION("GOOGLETRANSLATE(A21746, ""en"", ""mt"")"),"Il-Liġi dwar ir-Reazzjoni tal-Azzjoni")</f>
        <v>Il-Liġi dwar ir-Reazzjoni tal-Azzjoni</v>
      </c>
    </row>
    <row r="21747" ht="15.75" customHeight="1">
      <c r="A21747" s="2" t="s">
        <v>21747</v>
      </c>
      <c r="B21747" s="2" t="str">
        <f>IFERROR(__xludf.DUMMYFUNCTION("GOOGLETRANSLATE(A21747, ""en"", ""mt"")"),"Drogi ikbar (&gt; 500 DA) jistgħu jipprovokaw rispons immuni newtralizzanti, partikolarment jekk il-mediċini jingħataw ripetutament, jew f'dożi ikbar. Dan jillimita l-effikaċja ta 'mediċini bbażati fuq peptidi u proteini akbar (li huma tipikament ikbar minn "&amp;"6000 DA). F’xi każijiet, il-mediċina nnifisha mhix immunogenika, imma tista ’tiġi amministrata b’kompost immunogeniku, kif inhu xi kultant il-każ għat-Taxol. Ġew żviluppati metodi tal-komputazzjoni biex ibassru l-immunogeniċità tal-peptidi u l-proteini, l"&amp;"i huma partikolarment utli fit-tfassil ta 'antikorpi terapewtiċi, li jivvalutaw il-virulenza probabbli ta' mutazzjonijiet fil-partiċelli tal-kisja virali, u l-validazzjoni ta 'trattamenti ta' mediċini bbażati fuq il-peptidi. Tekniki bikrija serrħu prinċip"&amp;"alment fuq l-osservazzjoni li l-aċidi amminiċi idrofiliċi huma rappreżentati żżejjed fir-reġjuni tal-epitopi minn aċidi amminiċi idrofobiċi; Madankollu, żviluppi aktar reċenti jiddependu fuq tekniki ta 'tagħlim tal-magni bl-użu ta' bażijiet tad-dejta ta '"&amp;"epitopi magħrufa eżistenti, ġeneralment fuq proteini tal-virus studjati sew, bħala sett ta' taħriġ. Dejtabejż aċċessibbli pubblikament ġiet stabbilita għall-katalogar ta 'epitopi minn patoġeni magħrufa li huma rikonoxxibbli miċ-ċelloli B. Il-qasam emerġen"&amp;"ti ta 'studji bbażati fuq il-bijoinformatika dwar l-immunogeniċità huwa msemmi bħala immunoinformatika. Immunoproteomics huwa l-istudju ta 'settijiet kbar ta' proteini (proteomiċi) involuti fir-rispons immuni.")</f>
        <v>Drogi ikbar (&gt; 500 DA) jistgħu jipprovokaw rispons immuni newtralizzanti, partikolarment jekk il-mediċini jingħataw ripetutament, jew f'dożi ikbar. Dan jillimita l-effikaċja ta 'mediċini bbażati fuq peptidi u proteini akbar (li huma tipikament ikbar minn 6000 DA). F’xi każijiet, il-mediċina nnifisha mhix immunogenika, imma tista ’tiġi amministrata b’kompost immunogeniku, kif inhu xi kultant il-każ għat-Taxol. Ġew żviluppati metodi tal-komputazzjoni biex ibassru l-immunogeniċità tal-peptidi u l-proteini, li huma partikolarment utli fit-tfassil ta 'antikorpi terapewtiċi, li jivvalutaw il-virulenza probabbli ta' mutazzjonijiet fil-partiċelli tal-kisja virali, u l-validazzjoni ta 'trattamenti ta' mediċini bbażati fuq il-peptidi. Tekniki bikrija serrħu prinċipalment fuq l-osservazzjoni li l-aċidi amminiċi idrofiliċi huma rappreżentati żżejjed fir-reġjuni tal-epitopi minn aċidi amminiċi idrofobiċi; Madankollu, żviluppi aktar reċenti jiddependu fuq tekniki ta 'tagħlim tal-magni bl-użu ta' bażijiet tad-dejta ta 'epitopi magħrufa eżistenti, ġeneralment fuq proteini tal-virus studjati sew, bħala sett ta' taħriġ. Dejtabejż aċċessibbli pubblikament ġiet stabbilita għall-katalogar ta 'epitopi minn patoġeni magħrufa li huma rikonoxxibbli miċ-ċelloli B. Il-qasam emerġenti ta 'studji bbażati fuq il-bijoinformatika dwar l-immunogeniċità huwa msemmi bħala immunoinformatika. Immunoproteomics huwa l-istudju ta 'settijiet kbar ta' proteini (proteomiċi) involuti fir-rispons immuni.</v>
      </c>
    </row>
    <row r="21748" ht="15.75" customHeight="1">
      <c r="A21748" s="2" t="s">
        <v>21748</v>
      </c>
      <c r="B21748" s="2" t="str">
        <f>IFERROR(__xludf.DUMMYFUNCTION("GOOGLETRANSLATE(A21748, ""en"", ""mt"")"),"Għaliex il-gvern Pollakk eżiljat f'Londra ordna lill-Armata tad-Dar taħt l-art biex taħtaf il-kontroll ta 'Varsavja qabel il-wasla tal-Armata l-Ħamra?")</f>
        <v>Għaliex il-gvern Pollakk eżiljat f'Londra ordna lill-Armata tad-Dar taħt l-art biex taħtaf il-kontroll ta 'Varsavja qabel il-wasla tal-Armata l-Ħamra?</v>
      </c>
    </row>
    <row r="21749" ht="15.75" customHeight="1">
      <c r="A21749" s="2" t="s">
        <v>21749</v>
      </c>
      <c r="B21749" s="2" t="str">
        <f>IFERROR(__xludf.DUMMYFUNCTION("GOOGLETRANSLATE(A21749, ""en"", ""mt"")"),"X'inhu meqjus bħala parti integrali tal-prinċipji ġenerali tal-liġi tal-UE?")</f>
        <v>X'inhu meqjus bħala parti integrali tal-prinċipji ġenerali tal-liġi tal-UE?</v>
      </c>
    </row>
    <row r="21750" ht="15.75" customHeight="1">
      <c r="A21750" s="2" t="s">
        <v>21750</v>
      </c>
      <c r="B21750" s="2" t="str">
        <f>IFERROR(__xludf.DUMMYFUNCTION("GOOGLETRANSLATE(A21750, ""en"", ""mt"")"),"X'inhu l-maskot UCS?")</f>
        <v>X'inhu l-maskot UCS?</v>
      </c>
    </row>
    <row r="21751" ht="15.75" customHeight="1">
      <c r="A21751" s="2" t="s">
        <v>21751</v>
      </c>
      <c r="B21751" s="2" t="str">
        <f>IFERROR(__xludf.DUMMYFUNCTION("GOOGLETRANSLATE(A21751, ""en"", ""mt"")"),"Università Renmin")</f>
        <v>Università Renmin</v>
      </c>
    </row>
    <row r="21752" ht="15.75" customHeight="1">
      <c r="A21752" s="2" t="s">
        <v>21752</v>
      </c>
      <c r="B21752" s="2" t="str">
        <f>IFERROR(__xludf.DUMMYFUNCTION("GOOGLETRANSLATE(A21752, ""en"", ""mt"")"),"suspettat li għandu funzjoni ta 'appoġġ")</f>
        <v>suspettat li għandu funzjoni ta 'appoġġ</v>
      </c>
    </row>
    <row r="21753" ht="15.75" customHeight="1">
      <c r="A21753" s="2" t="s">
        <v>21753</v>
      </c>
      <c r="B21753" s="2" t="str">
        <f>IFERROR(__xludf.DUMMYFUNCTION("GOOGLETRANSLATE(A21753, ""en"", ""mt"")"),"Minbarra l-vinikultura, x'inhu settur ekonomiku dominanti tar-Renu Nofsani?")</f>
        <v>Minbarra l-vinikultura, x'inhu settur ekonomiku dominanti tar-Renu Nofsani?</v>
      </c>
    </row>
    <row r="21754" ht="15.75" customHeight="1">
      <c r="A21754" s="2" t="s">
        <v>21754</v>
      </c>
      <c r="B21754" s="2" t="str">
        <f>IFERROR(__xludf.DUMMYFUNCTION("GOOGLETRANSLATE(A21754, ""en"", ""mt"")"),"Liema truppi ddefendew il-Forti William Henry fil-bidu tal-1757?")</f>
        <v>Liema truppi ddefendew il-Forti William Henry fil-bidu tal-1757?</v>
      </c>
    </row>
    <row r="21755" ht="15.75" customHeight="1">
      <c r="A21755" s="2" t="s">
        <v>21755</v>
      </c>
      <c r="B21755" s="2" t="str">
        <f>IFERROR(__xludf.DUMMYFUNCTION("GOOGLETRANSLATE(A21755, ""en"", ""mt"")"),"X'inhu dovut għall-qligħ medju għal professjonist?")</f>
        <v>X'inhu dovut għall-qligħ medju għal professjonist?</v>
      </c>
    </row>
    <row r="21756" ht="15.75" customHeight="1">
      <c r="A21756" s="2" t="s">
        <v>21756</v>
      </c>
      <c r="B21756" s="2" t="str">
        <f>IFERROR(__xludf.DUMMYFUNCTION("GOOGLETRANSLATE(A21756, ""en"", ""mt"")"),"Dynasty Ming")</f>
        <v>Dynasty Ming</v>
      </c>
    </row>
    <row r="21757" ht="15.75" customHeight="1">
      <c r="A21757" s="2" t="s">
        <v>21757</v>
      </c>
      <c r="B21757" s="2" t="str">
        <f>IFERROR(__xludf.DUMMYFUNCTION("GOOGLETRANSLATE(A21757, ""en"", ""mt"")"),"Liema kunċett iżomm it-tifsira tagħha kemm permezz tal-ekwazzjonijiet tal-fiżika Netonian kif ukoll ta 'Schrodinger?")</f>
        <v>Liema kunċett iżomm it-tifsira tagħha kemm permezz tal-ekwazzjonijiet tal-fiżika Netonian kif ukoll ta 'Schrodinger?</v>
      </c>
    </row>
    <row r="21758" ht="15.75" customHeight="1">
      <c r="A21758" s="2" t="s">
        <v>21758</v>
      </c>
      <c r="B21758" s="2" t="str">
        <f>IFERROR(__xludf.DUMMYFUNCTION("GOOGLETRANSLATE(A21758, ""en"", ""mt"")"),"X'għamlet il-perspettiva ta 'Platun dwar ix-xjenza?")</f>
        <v>X'għamlet il-perspettiva ta 'Platun dwar ix-xjenza?</v>
      </c>
    </row>
    <row r="21759" ht="15.75" customHeight="1">
      <c r="A21759" s="2" t="s">
        <v>21759</v>
      </c>
      <c r="B21759" s="2" t="str">
        <f>IFERROR(__xludf.DUMMYFUNCTION("GOOGLETRANSLATE(A21759, ""en"", ""mt"")"),"William ta 'Montreuil")</f>
        <v>William ta 'Montreuil</v>
      </c>
    </row>
    <row r="21760" ht="15.75" customHeight="1">
      <c r="A21760" s="2" t="s">
        <v>21760</v>
      </c>
      <c r="B21760" s="2" t="str">
        <f>IFERROR(__xludf.DUMMYFUNCTION("GOOGLETRANSLATE(A21760, ""en"", ""mt"")"),"sekulariżmu u nazzjonaliżmu sekulari")</f>
        <v>sekulariżmu u nazzjonaliżmu sekulari</v>
      </c>
    </row>
    <row r="21761" ht="15.75" customHeight="1">
      <c r="A21761" s="2" t="s">
        <v>21761</v>
      </c>
      <c r="B21761" s="2" t="str">
        <f>IFERROR(__xludf.DUMMYFUNCTION("GOOGLETRANSLATE(A21761, ""en"", ""mt"")"),"Liema karatteristika se tarrikkixxi l-ambjent favur il-pedestrian wara r-restawr?")</f>
        <v>Liema karatteristika se tarrikkixxi l-ambjent favur il-pedestrian wara r-restawr?</v>
      </c>
    </row>
    <row r="21762" ht="15.75" customHeight="1">
      <c r="A21762" s="2" t="s">
        <v>21762</v>
      </c>
      <c r="B21762" s="2" t="str">
        <f>IFERROR(__xludf.DUMMYFUNCTION("GOOGLETRANSLATE(A21762, ""en"", ""mt"")")," X'inhu Internet2")</f>
        <v> X'inhu Internet2</v>
      </c>
    </row>
    <row r="21763" ht="15.75" customHeight="1">
      <c r="A21763" s="2" t="s">
        <v>21763</v>
      </c>
      <c r="B21763" s="2" t="str">
        <f>IFERROR(__xludf.DUMMYFUNCTION("GOOGLETRANSLATE(A21763, ""en"", ""mt"")"),"sekondi")</f>
        <v>sekondi</v>
      </c>
    </row>
    <row r="21764" ht="15.75" customHeight="1">
      <c r="A21764" s="2" t="s">
        <v>21764</v>
      </c>
      <c r="B21764" s="2" t="str">
        <f>IFERROR(__xludf.DUMMYFUNCTION("GOOGLETRANSLATE(A21764, ""en"", ""mt"")"),"Matul l-istadju tal-kompressjoni taċ-ċiklu ta 'Rankine, f'liema stat huwa l-fluwidu tax-xogħol?")</f>
        <v>Matul l-istadju tal-kompressjoni taċ-ċiklu ta 'Rankine, f'liema stat huwa l-fluwidu tax-xogħol?</v>
      </c>
    </row>
    <row r="21765" ht="15.75" customHeight="1">
      <c r="A21765" s="2" t="s">
        <v>21765</v>
      </c>
      <c r="B21765" s="2" t="str">
        <f>IFERROR(__xludf.DUMMYFUNCTION("GOOGLETRANSLATE(A21765, ""en"", ""mt"")"),"marġinali")</f>
        <v>marġinali</v>
      </c>
    </row>
    <row r="21766" ht="15.75" customHeight="1">
      <c r="A21766" s="2" t="s">
        <v>21766</v>
      </c>
      <c r="B21766" s="2" t="str">
        <f>IFERROR(__xludf.DUMMYFUNCTION("GOOGLETRANSLATE(A21766, ""en"", ""mt"")"),"L-1")</f>
        <v>L-1</v>
      </c>
    </row>
    <row r="21767" ht="15.75" customHeight="1">
      <c r="A21767" s="2" t="s">
        <v>21767</v>
      </c>
      <c r="B21767" s="2" t="str">
        <f>IFERROR(__xludf.DUMMYFUNCTION("GOOGLETRANSLATE(A21767, ""en"", ""mt"")"),"Joseph Priestley")</f>
        <v>Joseph Priestley</v>
      </c>
    </row>
    <row r="21768" ht="15.75" customHeight="1">
      <c r="A21768" s="2" t="s">
        <v>21768</v>
      </c>
      <c r="B21768" s="2" t="str">
        <f>IFERROR(__xludf.DUMMYFUNCTION("GOOGLETRANSLATE(A21768, ""en"", ""mt"")"),"Kemm hu għoli l-ogħla punt f'Berlin?")</f>
        <v>Kemm hu għoli l-ogħla punt f'Berlin?</v>
      </c>
    </row>
    <row r="21769" ht="15.75" customHeight="1">
      <c r="A21769" s="2" t="s">
        <v>21769</v>
      </c>
      <c r="B21769" s="2" t="str">
        <f>IFERROR(__xludf.DUMMYFUNCTION("GOOGLETRANSLATE(A21769, ""en"", ""mt"")"),"Kemm il-prezz tad-deheb tela 'wara l-1971?")</f>
        <v>Kemm il-prezz tad-deheb tela 'wara l-1971?</v>
      </c>
    </row>
    <row r="21770" ht="15.75" customHeight="1">
      <c r="A21770" s="2" t="s">
        <v>21770</v>
      </c>
      <c r="B21770" s="2" t="str">
        <f>IFERROR(__xludf.DUMMYFUNCTION("GOOGLETRANSLATE(A21770, ""en"", ""mt"")"),"Liema persentaġġ tal-korp tal-istudenti huwa aċċettat lis-Soċjetà tal-Unur Phi Beta Kappa kull sena?")</f>
        <v>Liema persentaġġ tal-korp tal-istudenti huwa aċċettat lis-Soċjetà tal-Unur Phi Beta Kappa kull sena?</v>
      </c>
    </row>
    <row r="21771" ht="15.75" customHeight="1">
      <c r="A21771" s="2" t="s">
        <v>21771</v>
      </c>
      <c r="B21771" s="2" t="str">
        <f>IFERROR(__xludf.DUMMYFUNCTION("GOOGLETRANSLATE(A21771, ""en"", ""mt"")"),"F'liema kategorija jaqgħu l-iskejjel Kattoliċi kollha?")</f>
        <v>F'liema kategorija jaqgħu l-iskejjel Kattoliċi kollha?</v>
      </c>
    </row>
    <row r="21772" ht="15.75" customHeight="1">
      <c r="A21772" s="2" t="s">
        <v>21772</v>
      </c>
      <c r="B21772" s="2" t="str">
        <f>IFERROR(__xludf.DUMMYFUNCTION("GOOGLETRANSLATE(A21772, ""en"", ""mt"")"),"forzi limitati")</f>
        <v>forzi limitati</v>
      </c>
    </row>
    <row r="21773" ht="15.75" customHeight="1">
      <c r="A21773" s="2" t="s">
        <v>21773</v>
      </c>
      <c r="B21773" s="2" t="str">
        <f>IFERROR(__xludf.DUMMYFUNCTION("GOOGLETRANSLATE(A21773, ""en"", ""mt"")"),"rari ħafna")</f>
        <v>rari ħafna</v>
      </c>
    </row>
    <row r="21774" ht="15.75" customHeight="1">
      <c r="A21774" s="2" t="s">
        <v>21774</v>
      </c>
      <c r="B21774" s="2" t="str">
        <f>IFERROR(__xludf.DUMMYFUNCTION("GOOGLETRANSLATE(A21774, ""en"", ""mt"")"),"Fil-bnedmin, din ir-rispons hija attivata billi l-kumpliment jorbot ma 'antikorpi li jkunu mwaħħlin ma' dawn il-mikrobi jew it-twaħħil ta 'proteini ta' komplement ma 'karboidrati fuq l-uċuħ ta' mikrobi. Dan is-sinjal ta 'rikonoxximent iqajjem rispons ta' "&amp;"qtil rapidu. Il-veloċità tar-rispons hija riżultat ta 'amplifikazzjoni tas-sinjal li sseħħ wara attivazzjoni proteolitika sekwenzjali ta' molekuli ta 'komplement, li huma wkoll proteasi. Wara li l-proteini tal-kumpliment inizjalment jorbtu mal-mikrobi, hu"&amp;"ma jattivaw l-attività tal-protease tagħhom, li min-naħa tagħhom jattiva proteasi oħra ta 'komplement, u l-bqija. Dan jipproduċi kaskata katalitika li tamplifika s-sinjal inizjali permezz ta 'rispons pożittiv ikkontrollat. Il-kaskata tirriżulta fil-produz"&amp;"zjoni ta 'peptidi li jattiraw ċelloli immuni, iżidu l-permeabilità vaskulari, u opsonize (kisja) il-wiċċ ta' patoġen, li jimmarkawha għall-qerda. Din id-deposizzjoni ta 'komplement tista' wkoll toqtol iċ-ċelloli direttament billi tfixkel il-membrana tal-p"&amp;"lażma tagħhom.")</f>
        <v>Fil-bnedmin, din ir-rispons hija attivata billi l-kumpliment jorbot ma 'antikorpi li jkunu mwaħħlin ma' dawn il-mikrobi jew it-twaħħil ta 'proteini ta' komplement ma 'karboidrati fuq l-uċuħ ta' mikrobi. Dan is-sinjal ta 'rikonoxximent iqajjem rispons ta' qtil rapidu. Il-veloċità tar-rispons hija riżultat ta 'amplifikazzjoni tas-sinjal li sseħħ wara attivazzjoni proteolitika sekwenzjali ta' molekuli ta 'komplement, li huma wkoll proteasi. Wara li l-proteini tal-kumpliment inizjalment jorbtu mal-mikrobi, huma jattivaw l-attività tal-protease tagħhom, li min-naħa tagħhom jattiva proteasi oħra ta 'komplement, u l-bqija. Dan jipproduċi kaskata katalitika li tamplifika s-sinjal inizjali permezz ta 'rispons pożittiv ikkontrollat. Il-kaskata tirriżulta fil-produzzjoni ta 'peptidi li jattiraw ċelloli immuni, iżidu l-permeabilità vaskulari, u opsonize (kisja) il-wiċċ ta' patoġen, li jimmarkawha għall-qerda. Din id-deposizzjoni ta 'komplement tista' wkoll toqtol iċ-ċelloli direttament billi tfixkel il-membrana tal-plażma tagħhom.</v>
      </c>
    </row>
    <row r="21775" ht="15.75" customHeight="1">
      <c r="A21775" s="2" t="s">
        <v>21775</v>
      </c>
      <c r="B21775" s="2" t="str">
        <f>IFERROR(__xludf.DUMMYFUNCTION("GOOGLETRANSLATE(A21775, ""en"", ""mt"")"),"arżnu")</f>
        <v>arżnu</v>
      </c>
    </row>
    <row r="21776" ht="15.75" customHeight="1">
      <c r="A21776" s="2" t="s">
        <v>21776</v>
      </c>
      <c r="B21776" s="2" t="str">
        <f>IFERROR(__xludf.DUMMYFUNCTION("GOOGLETRANSLATE(A21776, ""en"", ""mt"")"),"F'liema nies hija s-sistema immuni l-aktar b'saħħitha?")</f>
        <v>F'liema nies hija s-sistema immuni l-aktar b'saħħitha?</v>
      </c>
    </row>
    <row r="21777" ht="15.75" customHeight="1">
      <c r="A21777" s="2" t="s">
        <v>21777</v>
      </c>
      <c r="B21777" s="2" t="str">
        <f>IFERROR(__xludf.DUMMYFUNCTION("GOOGLETRANSLATE(A21777, ""en"", ""mt"")"),"relazzjoni simbjotika")</f>
        <v>relazzjoni simbjotika</v>
      </c>
    </row>
    <row r="21778" ht="15.75" customHeight="1">
      <c r="A21778" s="2" t="s">
        <v>21778</v>
      </c>
      <c r="B21778" s="2" t="str">
        <f>IFERROR(__xludf.DUMMYFUNCTION("GOOGLETRANSLATE(A21778, ""en"", ""mt"")"),"Liema sena Roger de Tosny naqas milli jwettaq dak li hu stabbilixxa li jagħmel?")</f>
        <v>Liema sena Roger de Tosny naqas milli jwettaq dak li hu stabbilixxa li jagħmel?</v>
      </c>
    </row>
    <row r="21779" ht="15.75" customHeight="1">
      <c r="A21779" s="2" t="s">
        <v>21779</v>
      </c>
      <c r="B21779" s="2" t="str">
        <f>IFERROR(__xludf.DUMMYFUNCTION("GOOGLETRANSLATE(A21779, ""en"", ""mt"")"),"Meta l-Gran Brittanja tilfet il-kolonji tagħha fl-Amerika ta ’Fuq?")</f>
        <v>Meta l-Gran Brittanja tilfet il-kolonji tagħha fl-Amerika ta ’Fuq?</v>
      </c>
    </row>
    <row r="21780" ht="15.75" customHeight="1">
      <c r="A21780" s="2" t="s">
        <v>21780</v>
      </c>
      <c r="B21780" s="2" t="str">
        <f>IFERROR(__xludf.DUMMYFUNCTION("GOOGLETRANSLATE(A21780, ""en"", ""mt"")"),"Interazzjonijiet potenzjali tal-mediċina")</f>
        <v>Interazzjonijiet potenzjali tal-mediċina</v>
      </c>
    </row>
    <row r="21781" ht="15.75" customHeight="1">
      <c r="A21781" s="2" t="s">
        <v>21781</v>
      </c>
      <c r="B21781" s="2" t="str">
        <f>IFERROR(__xludf.DUMMYFUNCTION("GOOGLETRANSLATE(A21781, ""en"", ""mt"")"),"X'inhi kelma oħra għall-ksenoliti?")</f>
        <v>X'inhi kelma oħra għall-ksenoliti?</v>
      </c>
    </row>
    <row r="21782" ht="15.75" customHeight="1">
      <c r="A21782" s="2" t="s">
        <v>21782</v>
      </c>
      <c r="B21782" s="2" t="str">
        <f>IFERROR(__xludf.DUMMYFUNCTION("GOOGLETRANSLATE(A21782, ""en"", ""mt"")"),"Editt ta 'Potsdam")</f>
        <v>Editt ta 'Potsdam</v>
      </c>
    </row>
    <row r="21783" ht="15.75" customHeight="1">
      <c r="A21783" s="2" t="s">
        <v>21783</v>
      </c>
      <c r="B21783" s="2" t="str">
        <f>IFERROR(__xludf.DUMMYFUNCTION("GOOGLETRANSLATE(A21783, ""en"", ""mt"")"),"Fuq xiex inżamm ir-riżultat tal-maġġoranza tal-SNP?")</f>
        <v>Fuq xiex inżamm ir-riżultat tal-maġġoranza tal-SNP?</v>
      </c>
    </row>
    <row r="21784" ht="15.75" customHeight="1">
      <c r="A21784" s="2" t="s">
        <v>21784</v>
      </c>
      <c r="B21784" s="2" t="str">
        <f>IFERROR(__xludf.DUMMYFUNCTION("GOOGLETRANSLATE(A21784, ""en"", ""mt"")"),"kondensaturi tal-wiċċ")</f>
        <v>kondensaturi tal-wiċċ</v>
      </c>
    </row>
    <row r="21785" ht="15.75" customHeight="1">
      <c r="A21785" s="2" t="s">
        <v>21785</v>
      </c>
      <c r="B21785" s="2" t="str">
        <f>IFERROR(__xludf.DUMMYFUNCTION("GOOGLETRANSLATE(A21785, ""en"", ""mt"")"),"Għaliex Varsavja rat ħafna titjib matul l-aħħar għaxar snin?")</f>
        <v>Għaliex Varsavja rat ħafna titjib matul l-aħħar għaxar snin?</v>
      </c>
    </row>
    <row r="21786" ht="15.75" customHeight="1">
      <c r="A21786" s="2" t="s">
        <v>21786</v>
      </c>
      <c r="B21786" s="2" t="str">
        <f>IFERROR(__xludf.DUMMYFUNCTION("GOOGLETRANSLATE(A21786, ""en"", ""mt"")"),"X'inhuma s-sorsi ewlenin tal-liġi primarja?")</f>
        <v>X'inhuma s-sorsi ewlenin tal-liġi primarja?</v>
      </c>
    </row>
    <row r="21787" ht="15.75" customHeight="1">
      <c r="A21787" s="2" t="s">
        <v>21787</v>
      </c>
      <c r="B21787" s="2" t="str">
        <f>IFERROR(__xludf.DUMMYFUNCTION("GOOGLETRANSLATE(A21787, ""en"", ""mt"")"),"X’wassal għat-turiżmu ta ’Jacksonville biex isir inqas mixtieq fl-aħħar nofs tas-seklu 19?")</f>
        <v>X’wassal għat-turiżmu ta ’Jacksonville biex isir inqas mixtieq fl-aħħar nofs tas-seklu 19?</v>
      </c>
    </row>
    <row r="21788" ht="15.75" customHeight="1">
      <c r="A21788" s="2" t="s">
        <v>21788</v>
      </c>
      <c r="B21788" s="2" t="str">
        <f>IFERROR(__xludf.DUMMYFUNCTION("GOOGLETRANSLATE(A21788, ""en"", ""mt"")"),"X’għamel is-SNP pubblikament dwar id-dħul taż-żejt?")</f>
        <v>X’għamel is-SNP pubblikament dwar id-dħul taż-żejt?</v>
      </c>
    </row>
    <row r="21789" ht="15.75" customHeight="1">
      <c r="A21789" s="2" t="s">
        <v>21789</v>
      </c>
      <c r="B21789" s="2" t="str">
        <f>IFERROR(__xludf.DUMMYFUNCTION("GOOGLETRANSLATE(A21789, ""en"", ""mt"")"),"Kif irreaġixxa Vaudreuil meta Johnson kien meqjus bħala theddida akbar?")</f>
        <v>Kif irreaġixxa Vaudreuil meta Johnson kien meqjus bħala theddida akbar?</v>
      </c>
    </row>
    <row r="21790" ht="15.75" customHeight="1">
      <c r="A21790" s="2" t="s">
        <v>21790</v>
      </c>
      <c r="B21790" s="2" t="str">
        <f>IFERROR(__xludf.DUMMYFUNCTION("GOOGLETRANSLATE(A21790, ""en"", ""mt"")"),"U.S.")</f>
        <v>U.S.</v>
      </c>
    </row>
    <row r="21791" ht="15.75" customHeight="1">
      <c r="A21791" s="2" t="s">
        <v>21791</v>
      </c>
      <c r="B21791" s="2" t="str">
        <f>IFERROR(__xludf.DUMMYFUNCTION("GOOGLETRANSLATE(A21791, ""en"", ""mt"")"),"X’ma jikkostitwixxix bħala diżubbidjenza ċivili?")</f>
        <v>X’ma jikkostitwixxix bħala diżubbidjenza ċivili?</v>
      </c>
    </row>
    <row r="21792" ht="15.75" customHeight="1">
      <c r="A21792" s="2" t="s">
        <v>21792</v>
      </c>
      <c r="B21792" s="2" t="str">
        <f>IFERROR(__xludf.DUMMYFUNCTION("GOOGLETRANSLATE(A21792, ""en"", ""mt"")"),"Kemm ta 'differenza fir-rati ta' omiċidji mhumiex relatati ma 'l-inugwaljanza?")</f>
        <v>Kemm ta 'differenza fir-rati ta' omiċidji mhumiex relatati ma 'l-inugwaljanza?</v>
      </c>
    </row>
    <row r="21793" ht="15.75" customHeight="1">
      <c r="A21793" s="2" t="s">
        <v>21793</v>
      </c>
      <c r="B21793" s="2" t="str">
        <f>IFERROR(__xludf.DUMMYFUNCTION("GOOGLETRANSLATE(A21793, ""en"", ""mt"")"),"sħana jew xrar")</f>
        <v>sħana jew xrar</v>
      </c>
    </row>
    <row r="21794" ht="15.75" customHeight="1">
      <c r="A21794" s="2" t="s">
        <v>21794</v>
      </c>
      <c r="B21794" s="2" t="str">
        <f>IFERROR(__xludf.DUMMYFUNCTION("GOOGLETRANSLATE(A21794, ""en"", ""mt"")"),"Fejn Ġwanni Pawlu II iċċelebra l-Quddiesa f'Varsavja?")</f>
        <v>Fejn Ġwanni Pawlu II iċċelebra l-Quddiesa f'Varsavja?</v>
      </c>
    </row>
    <row r="21795" ht="15.75" customHeight="1">
      <c r="A21795" s="2" t="s">
        <v>21795</v>
      </c>
      <c r="B21795" s="2" t="str">
        <f>IFERROR(__xludf.DUMMYFUNCTION("GOOGLETRANSLATE(A21795, ""en"", ""mt"")"),"1253")</f>
        <v>1253</v>
      </c>
    </row>
    <row r="21796" ht="15.75" customHeight="1">
      <c r="A21796" s="2" t="s">
        <v>21796</v>
      </c>
      <c r="B21796" s="2" t="str">
        <f>IFERROR(__xludf.DUMMYFUNCTION("GOOGLETRANSLATE(A21796, ""en"", ""mt"")"),"klassijiet ta 'kumplessità")</f>
        <v>klassijiet ta 'kumplessità</v>
      </c>
    </row>
    <row r="21797" ht="15.75" customHeight="1">
      <c r="A21797" s="2" t="s">
        <v>21797</v>
      </c>
      <c r="B21797" s="2" t="str">
        <f>IFERROR(__xludf.DUMMYFUNCTION("GOOGLETRANSLATE(A21797, ""en"", ""mt"")"),"Movimenti Fringe jew Splinter")</f>
        <v>Movimenti Fringe jew Splinter</v>
      </c>
    </row>
    <row r="21798" ht="15.75" customHeight="1">
      <c r="A21798" s="2" t="s">
        <v>21798</v>
      </c>
      <c r="B21798" s="2" t="str">
        <f>IFERROR(__xludf.DUMMYFUNCTION("GOOGLETRANSLATE(A21798, ""en"", ""mt"")"),"1.1 × 1011 tunnellata metrika")</f>
        <v>1.1 × 1011 tunnellata metrika</v>
      </c>
    </row>
    <row r="21799" ht="15.75" customHeight="1">
      <c r="A21799" s="2" t="s">
        <v>21799</v>
      </c>
      <c r="B21799" s="2" t="str">
        <f>IFERROR(__xludf.DUMMYFUNCTION("GOOGLETRANSLATE(A21799, ""en"", ""mt"")"),"Mesoglea")</f>
        <v>Mesoglea</v>
      </c>
    </row>
    <row r="21800" ht="15.75" customHeight="1">
      <c r="A21800" s="2" t="s">
        <v>21800</v>
      </c>
      <c r="B21800" s="2" t="str">
        <f>IFERROR(__xludf.DUMMYFUNCTION("GOOGLETRANSLATE(A21800, ""en"", ""mt"")"),"Kemm qed tikber l-informatika tal-ispiżerija?")</f>
        <v>Kemm qed tikber l-informatika tal-ispiżerija?</v>
      </c>
    </row>
    <row r="21801" ht="15.75" customHeight="1">
      <c r="A21801" s="2" t="s">
        <v>21801</v>
      </c>
      <c r="B21801" s="2" t="str">
        <f>IFERROR(__xludf.DUMMYFUNCTION("GOOGLETRANSLATE(A21801, ""en"", ""mt"")"),"Northern San Diego")</f>
        <v>Northern San Diego</v>
      </c>
    </row>
    <row r="21802" ht="15.75" customHeight="1">
      <c r="A21802" s="2" t="s">
        <v>21802</v>
      </c>
      <c r="B21802" s="2" t="str">
        <f>IFERROR(__xludf.DUMMYFUNCTION("GOOGLETRANSLATE(A21802, ""en"", ""mt"")"),"F'liema pajjiż huwa Hamburg?")</f>
        <v>F'liema pajjiż huwa Hamburg?</v>
      </c>
    </row>
    <row r="21803" ht="15.75" customHeight="1">
      <c r="A21803" s="2" t="s">
        <v>21803</v>
      </c>
      <c r="B21803" s="2" t="str">
        <f>IFERROR(__xludf.DUMMYFUNCTION("GOOGLETRANSLATE(A21803, ""en"", ""mt"")"),"Wara li d-Dornbirner Ach ġie ddevjat, minn fejn joħroġ ir-Rhine issa?")</f>
        <v>Wara li d-Dornbirner Ach ġie ddevjat, minn fejn joħroġ ir-Rhine issa?</v>
      </c>
    </row>
    <row r="21804" ht="15.75" customHeight="1">
      <c r="A21804" s="2" t="s">
        <v>21804</v>
      </c>
      <c r="B21804" s="2" t="str">
        <f>IFERROR(__xludf.DUMMYFUNCTION("GOOGLETRANSLATE(A21804, ""en"", ""mt"")"),"It-tkissir tal-ostakli għall-kummerċ u t-titjib tal-moviment liberu tal-merkanzija huwa maħsub biex inaqqas xiex?")</f>
        <v>It-tkissir tal-ostakli għall-kummerċ u t-titjib tal-moviment liberu tal-merkanzija huwa maħsub biex inaqqas xiex?</v>
      </c>
    </row>
    <row r="21805" ht="15.75" customHeight="1">
      <c r="A21805" s="2" t="s">
        <v>21805</v>
      </c>
      <c r="B21805" s="2" t="str">
        <f>IFERROR(__xludf.DUMMYFUNCTION("GOOGLETRANSLATE(A21805, ""en"", ""mt"")"),"X'kien sponsorjat minn Francis Heisler f'Awwissu 1957?")</f>
        <v>X'kien sponsorjat minn Francis Heisler f'Awwissu 1957?</v>
      </c>
    </row>
    <row r="21806" ht="15.75" customHeight="1">
      <c r="A21806" s="2" t="s">
        <v>21806</v>
      </c>
      <c r="B21806" s="2" t="str">
        <f>IFERROR(__xludf.DUMMYFUNCTION("GOOGLETRANSLATE(A21806, ""en"", ""mt"")"),"Min ħalla lil Messina fis-seklu 11?")</f>
        <v>Min ħalla lil Messina fis-seklu 11?</v>
      </c>
    </row>
    <row r="21807" ht="15.75" customHeight="1">
      <c r="A21807" s="2" t="s">
        <v>21807</v>
      </c>
      <c r="B21807" s="2" t="str">
        <f>IFERROR(__xludf.DUMMYFUNCTION("GOOGLETRANSLATE(A21807, ""en"", ""mt"")"),"Liema tip ta 'liġi ma kienx jikkonċerna l-istruttura ta' governanza tal-UE?")</f>
        <v>Liema tip ta 'liġi ma kienx jikkonċerna l-istruttura ta' governanza tal-UE?</v>
      </c>
    </row>
    <row r="21808" ht="15.75" customHeight="1">
      <c r="A21808" s="2" t="s">
        <v>21808</v>
      </c>
      <c r="B21808" s="2" t="str">
        <f>IFERROR(__xludf.DUMMYFUNCTION("GOOGLETRANSLATE(A21808, ""en"", ""mt"")"),"X'inhuma t-tentakli ta 'ctenophores b'ċidipped ġeneralment huma fringed?")</f>
        <v>X'inhuma t-tentakli ta 'ctenophores b'ċidipped ġeneralment huma fringed?</v>
      </c>
    </row>
    <row r="21809" ht="15.75" customHeight="1">
      <c r="A21809" s="2" t="s">
        <v>21809</v>
      </c>
      <c r="B21809" s="2" t="str">
        <f>IFERROR(__xludf.DUMMYFUNCTION("GOOGLETRANSLATE(A21809, ""en"", ""mt"")"),"Kundizzjonijiet ta 'ħażna, testi obbligatorji, tagħmir, eċċ.")</f>
        <v>Kundizzjonijiet ta 'ħażna, testi obbligatorji, tagħmir, eċċ.</v>
      </c>
    </row>
    <row r="21810" ht="15.75" customHeight="1">
      <c r="A21810" s="2" t="s">
        <v>21810</v>
      </c>
      <c r="B21810" s="2" t="str">
        <f>IFERROR(__xludf.DUMMYFUNCTION("GOOGLETRANSLATE(A21810, ""en"", ""mt"")"),"edukazzjoni")</f>
        <v>edukazzjoni</v>
      </c>
    </row>
    <row r="21811" ht="15.75" customHeight="1">
      <c r="A21811" s="2" t="s">
        <v>21811</v>
      </c>
      <c r="B21811" s="2" t="str">
        <f>IFERROR(__xludf.DUMMYFUNCTION("GOOGLETRANSLATE(A21811, ""en"", ""mt"")"),"free-to-view")</f>
        <v>free-to-view</v>
      </c>
    </row>
    <row r="21812" ht="15.75" customHeight="1">
      <c r="A21812" s="2" t="s">
        <v>21812</v>
      </c>
      <c r="B21812" s="2" t="str">
        <f>IFERROR(__xludf.DUMMYFUNCTION("GOOGLETRANSLATE(A21812, ""en"", ""mt"")"),"Kemm nies mietu bil-pesta f'Pariġi fl-1466?")</f>
        <v>Kemm nies mietu bil-pesta f'Pariġi fl-1466?</v>
      </c>
    </row>
    <row r="21813" ht="15.75" customHeight="1">
      <c r="A21813" s="2" t="s">
        <v>21813</v>
      </c>
      <c r="B21813" s="2" t="str">
        <f>IFERROR(__xludf.DUMMYFUNCTION("GOOGLETRANSLATE(A21813, ""en"", ""mt"")"),"Il-pajpijiet tal-azzar kif se jippermettu l-kombustjoni?")</f>
        <v>Il-pajpijiet tal-azzar kif se jippermettu l-kombustjoni?</v>
      </c>
    </row>
    <row r="21814" ht="15.75" customHeight="1">
      <c r="A21814" s="2" t="s">
        <v>21814</v>
      </c>
      <c r="B21814" s="2" t="str">
        <f>IFERROR(__xludf.DUMMYFUNCTION("GOOGLETRANSLATE(A21814, ""en"", ""mt"")"),"Id-disponibbiltà frekwenti ta 'liema sustanza ppermettiet li l-magni tal-fwar ibbażati fuq l-art jeżawrixxu ammont kbir ta' battalja?")</f>
        <v>Id-disponibbiltà frekwenti ta 'liema sustanza ppermettiet li l-magni tal-fwar ibbażati fuq l-art jeżawrixxu ammont kbir ta' battalja?</v>
      </c>
    </row>
    <row r="21815" ht="15.75" customHeight="1">
      <c r="A21815" s="2" t="s">
        <v>21815</v>
      </c>
      <c r="B21815" s="2" t="str">
        <f>IFERROR(__xludf.DUMMYFUNCTION("GOOGLETRANSLATE(A21815, ""en"", ""mt"")"),"Flimkien ma 'xewqa għal aktar pressjoni tal-fwar, x'kienu s-sewwieqa bikrija li qed ifittxu li jiġġeneraw meta waqqfu valvi ta' sigurtà 'l isfel?")</f>
        <v>Flimkien ma 'xewqa għal aktar pressjoni tal-fwar, x'kienu s-sewwieqa bikrija li qed ifittxu li jiġġeneraw meta waqqfu valvi ta' sigurtà 'l isfel?</v>
      </c>
    </row>
    <row r="21816" ht="15.75" customHeight="1">
      <c r="A21816" s="2" t="s">
        <v>21816</v>
      </c>
      <c r="B21816" s="2" t="str">
        <f>IFERROR(__xludf.DUMMYFUNCTION("GOOGLETRANSLATE(A21816, ""en"", ""mt"")"),"Għal fejn il-biċċa l-kbira tal-abalone u l-awwista maqbuda fl-ilmijiet Vittorjani jintbagħtu?")</f>
        <v>Għal fejn il-biċċa l-kbira tal-abalone u l-awwista maqbuda fl-ilmijiet Vittorjani jintbagħtu?</v>
      </c>
    </row>
    <row r="21817" ht="15.75" customHeight="1">
      <c r="A21817" s="2" t="s">
        <v>21817</v>
      </c>
      <c r="B21817" s="2" t="str">
        <f>IFERROR(__xludf.DUMMYFUNCTION("GOOGLETRANSLATE(A21817, ""en"", ""mt"")"),"X'inhu eżempju ta 'exhaust ikkumplikat, flimkien ma' Stephenson u Walschaerts?")</f>
        <v>X'inhu eżempju ta 'exhaust ikkumplikat, flimkien ma' Stephenson u Walschaerts?</v>
      </c>
    </row>
    <row r="21818" ht="15.75" customHeight="1">
      <c r="A21818" s="2" t="s">
        <v>21818</v>
      </c>
      <c r="B21818" s="2" t="str">
        <f>IFERROR(__xludf.DUMMYFUNCTION("GOOGLETRANSLATE(A21818, ""en"", ""mt"")"),"żewġ reġimenti ġodda")</f>
        <v>żewġ reġimenti ġodda</v>
      </c>
    </row>
    <row r="21819" ht="15.75" customHeight="1">
      <c r="A21819" s="2" t="s">
        <v>21819</v>
      </c>
      <c r="B21819" s="2" t="str">
        <f>IFERROR(__xludf.DUMMYFUNCTION("GOOGLETRANSLATE(A21819, ""en"", ""mt"")"),"Il-Qorti tal-Ġustizzja tal-Unjoni Ewropea tista 'tinterpreta t-trattati")</f>
        <v>Il-Qorti tal-Ġustizzja tal-Unjoni Ewropea tista 'tinterpreta t-trattati</v>
      </c>
    </row>
    <row r="21820" ht="15.75" customHeight="1">
      <c r="A21820" s="2" t="s">
        <v>21820</v>
      </c>
      <c r="B21820" s="2" t="str">
        <f>IFERROR(__xludf.DUMMYFUNCTION("GOOGLETRANSLATE(A21820, ""en"", ""mt"")"),"Matul dan iż-żmien, l-iskoperta taż-żejt fil-Baħar tat-Tramuntana u l-kampanja li ġejja ""Huwa l-Iskozja taż-Żejt"" tal-Partit Nazzjonali Skoċċiż (SNP) irriżultat f'appoġġ dejjem jiżdied għall-indipendenza Skoċċiża, kif ukoll għall-SNP. Il-partit argument"&amp;"a li d-dħul miż-żejt ma kienx qed jibbenefika l-Iskozja daqs kemm għandhom. L-effett ikkombinat ta 'dawn l-avvenimenti wassal biex il-Prim Ministru Wilson jikkommetti lill-gvern tiegħu għal xi forma ta' leġiżlatura devoluta fl-1974. Madankollu, ma kienx s"&amp;"al-1978 li l-proposti leġiżlattivi finali għal assemblea Skoċċiża ġew mgħoddija mill-Parlament tar-Renju Unit.")</f>
        <v>Matul dan iż-żmien, l-iskoperta taż-żejt fil-Baħar tat-Tramuntana u l-kampanja li ġejja "Huwa l-Iskozja taż-Żejt" tal-Partit Nazzjonali Skoċċiż (SNP) irriżultat f'appoġġ dejjem jiżdied għall-indipendenza Skoċċiża, kif ukoll għall-SNP. Il-partit argumenta li d-dħul miż-żejt ma kienx qed jibbenefika l-Iskozja daqs kemm għandhom. L-effett ikkombinat ta 'dawn l-avvenimenti wassal biex il-Prim Ministru Wilson jikkommetti lill-gvern tiegħu għal xi forma ta' leġiżlatura devoluta fl-1974. Madankollu, ma kienx sal-1978 li l-proposti leġiżlattivi finali għal assemblea Skoċċiża ġew mgħoddija mill-Parlament tar-Renju Unit.</v>
      </c>
    </row>
    <row r="21821" ht="15.75" customHeight="1">
      <c r="A21821" s="2" t="s">
        <v>21821</v>
      </c>
      <c r="B21821" s="2" t="str">
        <f>IFERROR(__xludf.DUMMYFUNCTION("GOOGLETRANSLATE(A21821, ""en"", ""mt"")"),"Ferenc Deák")</f>
        <v>Ferenc Deák</v>
      </c>
    </row>
    <row r="21822" ht="15.75" customHeight="1">
      <c r="A21822" s="2" t="s">
        <v>21822</v>
      </c>
      <c r="B21822" s="2" t="str">
        <f>IFERROR(__xludf.DUMMYFUNCTION("GOOGLETRANSLATE(A21822, ""en"", ""mt"")"),"Ko-riċettur CD4")</f>
        <v>Ko-riċettur CD4</v>
      </c>
    </row>
    <row r="21823" ht="15.75" customHeight="1">
      <c r="A21823" s="2" t="s">
        <v>21823</v>
      </c>
      <c r="B21823" s="2" t="str">
        <f>IFERROR(__xludf.DUMMYFUNCTION("GOOGLETRANSLATE(A21823, ""en"", ""mt"")"),"X'inhi t-tifsira tat-tnaqqis tal-ispazju polinomjali?")</f>
        <v>X'inhi t-tifsira tat-tnaqqis tal-ispazju polinomjali?</v>
      </c>
    </row>
    <row r="21824" ht="15.75" customHeight="1">
      <c r="A21824" s="2" t="s">
        <v>21824</v>
      </c>
      <c r="B21824" s="2" t="str">
        <f>IFERROR(__xludf.DUMMYFUNCTION("GOOGLETRANSLATE(A21824, ""en"", ""mt"")"),"Ġranet tal-Jazz tas-Sajf tal-Ħarifa huwa wieħed mill-ħafna dak li ospitat minn Varsavja?")</f>
        <v>Ġranet tal-Jazz tas-Sajf tal-Ħarifa huwa wieħed mill-ħafna dak li ospitat minn Varsavja?</v>
      </c>
    </row>
    <row r="21825" ht="15.75" customHeight="1">
      <c r="A21825" s="2" t="s">
        <v>21825</v>
      </c>
      <c r="B21825" s="2" t="str">
        <f>IFERROR(__xludf.DUMMYFUNCTION("GOOGLETRANSLATE(A21825, ""en"", ""mt"")"),"Artiġjani u bdiewa")</f>
        <v>Artiġjani u bdiewa</v>
      </c>
    </row>
    <row r="21826" ht="15.75" customHeight="1">
      <c r="A21826" s="2" t="s">
        <v>21826</v>
      </c>
      <c r="B21826" s="2" t="str">
        <f>IFERROR(__xludf.DUMMYFUNCTION("GOOGLETRANSLATE(A21826, ""en"", ""mt"")"),"P")</f>
        <v>P</v>
      </c>
    </row>
    <row r="21827" ht="15.75" customHeight="1">
      <c r="A21827" s="2" t="s">
        <v>21827</v>
      </c>
      <c r="B21827" s="2" t="str">
        <f>IFERROR(__xludf.DUMMYFUNCTION("GOOGLETRANSLATE(A21827, ""en"", ""mt"")"),"Il-Ministeru tal-Gwerra")</f>
        <v>Il-Ministeru tal-Gwerra</v>
      </c>
    </row>
    <row r="21828" ht="15.75" customHeight="1">
      <c r="A21828" s="2" t="s">
        <v>21828</v>
      </c>
      <c r="B21828" s="2" t="str">
        <f>IFERROR(__xludf.DUMMYFUNCTION("GOOGLETRANSLATE(A21828, ""en"", ""mt"")"),"Wara l-fondazzjoni tal-kolonja ta ’New South Wales fl-1788, l-Awstralja kienet maqsuma f’nofs tal-Lvant bl-isem ta’ New South Wales u nofs tal-Punent bl-isem ta ’New Holland, taħt l-amministrazzjoni tal-gvern kolonjali f’Sydney. L-ewwel soluzzjoni Ewropea"&amp;" fiż-żona aktar tard magħrufa bħala Victoria ġiet stabbilita f'Ottubru 1803 taħt il-Logutenent-Gvernatur David Collins fil-Bajja ta 'Sullivan fuq Port Phillip. Kien jikkonsisti minn 402 persuna (5 uffiċjali tal-gvern, 9 uffiċjali tal-Baħar, 2 drummers, u "&amp;"39 privat, 5 nisa tas-suldati, u tifel, 307 ikkundannati, 17-il mara tal-ħatja, u 7 itfal). Huma ntbagħtu mill-Ingilterra fl-HMS Calcutta taħt il-kmand tal-Kaptan Daniel Woodriff, prinċipalment minħabba l-biża 'li l-Franċiżi, li kienu qed jesploraw iż-żon"&amp;"a, jistgħu jistabbilixxu l-ftehim tagħhom stess u b'hekk jisfidaw id-drittijiet Ingliżi għall-kontinent.")</f>
        <v>Wara l-fondazzjoni tal-kolonja ta ’New South Wales fl-1788, l-Awstralja kienet maqsuma f’nofs tal-Lvant bl-isem ta’ New South Wales u nofs tal-Punent bl-isem ta ’New Holland, taħt l-amministrazzjoni tal-gvern kolonjali f’Sydney. L-ewwel soluzzjoni Ewropea fiż-żona aktar tard magħrufa bħala Victoria ġiet stabbilita f'Ottubru 1803 taħt il-Logutenent-Gvernatur David Collins fil-Bajja ta 'Sullivan fuq Port Phillip. Kien jikkonsisti minn 402 persuna (5 uffiċjali tal-gvern, 9 uffiċjali tal-Baħar, 2 drummers, u 39 privat, 5 nisa tas-suldati, u tifel, 307 ikkundannati, 17-il mara tal-ħatja, u 7 itfal). Huma ntbagħtu mill-Ingilterra fl-HMS Calcutta taħt il-kmand tal-Kaptan Daniel Woodriff, prinċipalment minħabba l-biża 'li l-Franċiżi, li kienu qed jesploraw iż-żona, jistgħu jistabbilixxu l-ftehim tagħhom stess u b'hekk jisfidaw id-drittijiet Ingliżi għall-kontinent.</v>
      </c>
    </row>
    <row r="21829" ht="15.75" customHeight="1">
      <c r="A21829" s="2" t="s">
        <v>21829</v>
      </c>
      <c r="B21829" s="2" t="str">
        <f>IFERROR(__xludf.DUMMYFUNCTION("GOOGLETRANSLATE(A21829, ""en"", ""mt"")"),"Meta tgħallem il-Franċiż dwar il-pjanijiet ta 'Braddock?")</f>
        <v>Meta tgħallem il-Franċiż dwar il-pjanijiet ta 'Braddock?</v>
      </c>
    </row>
    <row r="21830" ht="15.75" customHeight="1">
      <c r="A21830" s="2" t="s">
        <v>21830</v>
      </c>
      <c r="B21830" s="2" t="str">
        <f>IFERROR(__xludf.DUMMYFUNCTION("GOOGLETRANSLATE(A21830, ""en"", ""mt"")"),"Enerġija mekkanika netta")</f>
        <v>Enerġija mekkanika netta</v>
      </c>
    </row>
    <row r="21831" ht="15.75" customHeight="1">
      <c r="A21831" s="2" t="s">
        <v>21831</v>
      </c>
      <c r="B21831" s="2" t="str">
        <f>IFERROR(__xludf.DUMMYFUNCTION("GOOGLETRANSLATE(A21831, ""en"", ""mt"")"),"Liema apparat huwa simili għat-tneħħija tal-enerġija?")</f>
        <v>Liema apparat huwa simili għat-tneħħija tal-enerġija?</v>
      </c>
    </row>
    <row r="21832" ht="15.75" customHeight="1">
      <c r="A21832" s="2" t="s">
        <v>21832</v>
      </c>
      <c r="B21832" s="2" t="str">
        <f>IFERROR(__xludf.DUMMYFUNCTION("GOOGLETRANSLATE(A21832, ""en"", ""mt"")"),"Il-bini ta 'proġett li jonqos milli jaderixxi mal-kodiċi ma jibbenefikax lil min?")</f>
        <v>Il-bini ta 'proġett li jonqos milli jaderixxi mal-kodiċi ma jibbenefikax lil min?</v>
      </c>
    </row>
    <row r="21833" ht="15.75" customHeight="1">
      <c r="A21833" s="2" t="s">
        <v>21833</v>
      </c>
      <c r="B21833" s="2" t="str">
        <f>IFERROR(__xludf.DUMMYFUNCTION("GOOGLETRANSLATE(A21833, ""en"", ""mt"")"),"X'irrakkomanda Standard &amp; Fqir għall-irkupru tal-ekonomija bil-mod?")</f>
        <v>X'irrakkomanda Standard &amp; Fqir għall-irkupru tal-ekonomija bil-mod?</v>
      </c>
    </row>
    <row r="21834" ht="15.75" customHeight="1">
      <c r="A21834" s="2" t="s">
        <v>21834</v>
      </c>
      <c r="B21834" s="2" t="str">
        <f>IFERROR(__xludf.DUMMYFUNCTION("GOOGLETRANSLATE(A21834, ""en"", ""mt"")"),"7.5%")</f>
        <v>7.5%</v>
      </c>
    </row>
    <row r="21835" ht="15.75" customHeight="1">
      <c r="A21835" s="2" t="s">
        <v>21835</v>
      </c>
      <c r="B21835" s="2" t="str">
        <f>IFERROR(__xludf.DUMMYFUNCTION("GOOGLETRANSLATE(A21835, ""en"", ""mt"")"),"Mill-2017, kemm korsijiet huma meħtieġa taħt il-qalba?")</f>
        <v>Mill-2017, kemm korsijiet huma meħtieġa taħt il-qalba?</v>
      </c>
    </row>
    <row r="21836" ht="15.75" customHeight="1">
      <c r="A21836" s="2" t="s">
        <v>21836</v>
      </c>
      <c r="B21836" s="2" t="str">
        <f>IFERROR(__xludf.DUMMYFUNCTION("GOOGLETRANSLATE(A21836, ""en"", ""mt"")"),"X'inhu l-qligħ potenzjali għal xogħol fejn hemm ħafna ħaddiema tas-sengħa imma ħafna pożizzjonijiet disponibbli?")</f>
        <v>X'inhu l-qligħ potenzjali għal xogħol fejn hemm ħafna ħaddiema tas-sengħa imma ħafna pożizzjonijiet disponibbli?</v>
      </c>
    </row>
    <row r="21837" ht="15.75" customHeight="1">
      <c r="A21837" s="2" t="s">
        <v>21837</v>
      </c>
      <c r="B21837" s="2" t="str">
        <f>IFERROR(__xludf.DUMMYFUNCTION("GOOGLETRANSLATE(A21837, ""en"", ""mt"")"),"amplifikazzjoni tas-sinjal")</f>
        <v>amplifikazzjoni tas-sinjal</v>
      </c>
    </row>
    <row r="21838" ht="15.75" customHeight="1">
      <c r="A21838" s="2" t="s">
        <v>21838</v>
      </c>
      <c r="B21838" s="2" t="str">
        <f>IFERROR(__xludf.DUMMYFUNCTION("GOOGLETRANSLATE(A21838, ""en"", ""mt"")"),"Liema meteorologu kien ukoll apparti l-fakultà tal-università?")</f>
        <v>Liema meteorologu kien ukoll apparti l-fakultà tal-università?</v>
      </c>
    </row>
    <row r="21839" ht="15.75" customHeight="1">
      <c r="A21839" s="2" t="s">
        <v>21839</v>
      </c>
      <c r="B21839" s="2" t="str">
        <f>IFERROR(__xludf.DUMMYFUNCTION("GOOGLETRANSLATE(A21839, ""en"", ""mt"")"),"X'għandu x'jaqsam xejn mal-veloċità tar-rispons?")</f>
        <v>X'għandu x'jaqsam xejn mal-veloċità tar-rispons?</v>
      </c>
    </row>
    <row r="21840" ht="15.75" customHeight="1">
      <c r="A21840" s="2" t="s">
        <v>21840</v>
      </c>
      <c r="B21840" s="2" t="str">
        <f>IFERROR(__xludf.DUMMYFUNCTION("GOOGLETRANSLATE(A21840, ""en"", ""mt"")"),"Fejn fl-oċean jinsabu l-arki tal-vulkan?")</f>
        <v>Fejn fl-oċean jinsabu l-arki tal-vulkan?</v>
      </c>
    </row>
    <row r="21841" ht="15.75" customHeight="1">
      <c r="A21841" s="2" t="s">
        <v>21841</v>
      </c>
      <c r="B21841" s="2" t="str">
        <f>IFERROR(__xludf.DUMMYFUNCTION("GOOGLETRANSLATE(A21841, ""en"", ""mt"")"),"Ċivilizza l-inferjuri")</f>
        <v>Ċivilizza l-inferjuri</v>
      </c>
    </row>
    <row r="21842" ht="15.75" customHeight="1">
      <c r="A21842" s="2" t="s">
        <v>21842</v>
      </c>
      <c r="B21842" s="2" t="str">
        <f>IFERROR(__xludf.DUMMYFUNCTION("GOOGLETRANSLATE(A21842, ""en"", ""mt"")"),"Liema ċelloli m'għandhomx riċettur alternattiv taċ-ċelloli T?")</f>
        <v>Liema ċelloli m'għandhomx riċettur alternattiv taċ-ċelloli T?</v>
      </c>
    </row>
    <row r="21843" ht="15.75" customHeight="1">
      <c r="A21843" s="2" t="s">
        <v>21843</v>
      </c>
      <c r="B21843" s="2" t="str">
        <f>IFERROR(__xludf.DUMMYFUNCTION("GOOGLETRANSLATE(A21843, ""en"", ""mt"")"),"Kemm nies kienu jgħixu fi Fresno fl-2000, skond il-Bureau taċ-Ċensiment?")</f>
        <v>Kemm nies kienu jgħixu fi Fresno fl-2000, skond il-Bureau taċ-Ċensiment?</v>
      </c>
    </row>
    <row r="21844" ht="15.75" customHeight="1">
      <c r="A21844" s="2" t="s">
        <v>21844</v>
      </c>
      <c r="B21844" s="2" t="str">
        <f>IFERROR(__xludf.DUMMYFUNCTION("GOOGLETRANSLATE(A21844, ""en"", ""mt"")"),"sal-2100")</f>
        <v>sal-2100</v>
      </c>
    </row>
    <row r="21845" ht="15.75" customHeight="1">
      <c r="A21845" s="2" t="s">
        <v>21845</v>
      </c>
      <c r="B21845" s="2" t="str">
        <f>IFERROR(__xludf.DUMMYFUNCTION("GOOGLETRANSLATE(A21845, ""en"", ""mt"")"),"Tniġġis tal-ilma")</f>
        <v>Tniġġis tal-ilma</v>
      </c>
    </row>
    <row r="21846" ht="15.75" customHeight="1">
      <c r="A21846" s="2" t="s">
        <v>21846</v>
      </c>
      <c r="B21846" s="2" t="str">
        <f>IFERROR(__xludf.DUMMYFUNCTION("GOOGLETRANSLATE(A21846, ""en"", ""mt"")"),"Min ġġieled l-Olandiż fir-rewwixta Olandiża?")</f>
        <v>Min ġġieled l-Olandiż fir-rewwixta Olandiża?</v>
      </c>
    </row>
    <row r="21847" ht="15.75" customHeight="1">
      <c r="A21847" s="2" t="s">
        <v>21847</v>
      </c>
      <c r="B21847" s="2" t="str">
        <f>IFERROR(__xludf.DUMMYFUNCTION("GOOGLETRANSLATE(A21847, ""en"", ""mt"")"),"X'tip ta 'enerġija hija ġġenerata minn sorsi tas-sħana llum?")</f>
        <v>X'tip ta 'enerġija hija ġġenerata minn sorsi tas-sħana llum?</v>
      </c>
    </row>
    <row r="21848" ht="15.75" customHeight="1">
      <c r="A21848" s="2" t="s">
        <v>21848</v>
      </c>
      <c r="B21848" s="2" t="str">
        <f>IFERROR(__xludf.DUMMYFUNCTION("GOOGLETRANSLATE(A21848, ""en"", ""mt"")"),"semantika")</f>
        <v>semantika</v>
      </c>
    </row>
    <row r="21849" ht="15.75" customHeight="1">
      <c r="A21849" s="2" t="s">
        <v>21849</v>
      </c>
      <c r="B21849" s="2" t="str">
        <f>IFERROR(__xludf.DUMMYFUNCTION("GOOGLETRANSLATE(A21849, ""en"", ""mt"")"),"Kif qed jinbidel iċ-ċirkwit charecterized")</f>
        <v>Kif qed jinbidel iċ-ċirkwit charecterized</v>
      </c>
    </row>
    <row r="21850" ht="15.75" customHeight="1">
      <c r="A21850" s="2" t="s">
        <v>21850</v>
      </c>
      <c r="B21850" s="2" t="str">
        <f>IFERROR(__xludf.DUMMYFUNCTION("GOOGLETRANSLATE(A21850, ""en"", ""mt"")"),"rata ta 'l-aqwa taxxa")</f>
        <v>rata ta 'l-aqwa taxxa</v>
      </c>
    </row>
    <row r="21851" ht="15.75" customHeight="1">
      <c r="A21851" s="2" t="s">
        <v>21851</v>
      </c>
      <c r="B21851" s="2" t="str">
        <f>IFERROR(__xludf.DUMMYFUNCTION("GOOGLETRANSLATE(A21851, ""en"", ""mt"")"),"is-solvabilità tal-ekwazzjonijiet kwadratiċi")</f>
        <v>is-solvabilità tal-ekwazzjonijiet kwadratiċi</v>
      </c>
    </row>
    <row r="21852" ht="15.75" customHeight="1">
      <c r="A21852" s="2" t="s">
        <v>21852</v>
      </c>
      <c r="B21852" s="2" t="str">
        <f>IFERROR(__xludf.DUMMYFUNCTION("GOOGLETRANSLATE(A21852, ""en"", ""mt"")"),"Min qatt ma kienu detenturi tad-drittijiet għall-Premier League?")</f>
        <v>Min qatt ma kienu detenturi tad-drittijiet għall-Premier League?</v>
      </c>
    </row>
    <row r="21853" ht="15.75" customHeight="1">
      <c r="A21853" s="2" t="s">
        <v>21853</v>
      </c>
      <c r="B21853" s="2" t="str">
        <f>IFERROR(__xludf.DUMMYFUNCTION("GOOGLETRANSLATE(A21853, ""en"", ""mt"")"),"Onedrive")</f>
        <v>Onedrive</v>
      </c>
    </row>
    <row r="21854" ht="15.75" customHeight="1">
      <c r="A21854" s="2" t="s">
        <v>21854</v>
      </c>
      <c r="B21854" s="2" t="str">
        <f>IFERROR(__xludf.DUMMYFUNCTION("GOOGLETRANSLATE(A21854, ""en"", ""mt"")")," Min kien ziju Shi Tianze?")</f>
        <v> Min kien ziju Shi Tianze?</v>
      </c>
    </row>
    <row r="21855" ht="15.75" customHeight="1">
      <c r="A21855" s="2" t="s">
        <v>21855</v>
      </c>
      <c r="B21855" s="2" t="str">
        <f>IFERROR(__xludf.DUMMYFUNCTION("GOOGLETRANSLATE(A21855, ""en"", ""mt"")"),"Fejn hi r-regolazzjoni tal-kanal ta 'fuq tar-Renu?")</f>
        <v>Fejn hi r-regolazzjoni tal-kanal ta 'fuq tar-Renu?</v>
      </c>
    </row>
    <row r="21856" ht="15.75" customHeight="1">
      <c r="A21856" s="2" t="s">
        <v>21856</v>
      </c>
      <c r="B21856" s="2" t="str">
        <f>IFERROR(__xludf.DUMMYFUNCTION("GOOGLETRANSLATE(A21856, ""en"", ""mt"")"),"X'inhu magħruf dwar il-kumplessità bejn L u P li jipprevjeni li jiġi ddeterminat il-valur bejn L u P?")</f>
        <v>X'inhu magħruf dwar il-kumplessità bejn L u P li jipprevjeni li jiġi ddeterminat il-valur bejn L u P?</v>
      </c>
    </row>
    <row r="21857" ht="15.75" customHeight="1">
      <c r="A21857" s="2" t="s">
        <v>21857</v>
      </c>
      <c r="B21857" s="2" t="str">
        <f>IFERROR(__xludf.DUMMYFUNCTION("GOOGLETRANSLATE(A21857, ""en"", ""mt"")"),"qoxra baxxa")</f>
        <v>qoxra baxxa</v>
      </c>
    </row>
    <row r="21858" ht="15.75" customHeight="1">
      <c r="A21858" s="2" t="s">
        <v>21858</v>
      </c>
      <c r="B21858" s="2" t="str">
        <f>IFERROR(__xludf.DUMMYFUNCTION("GOOGLETRANSLATE(A21858, ""en"", ""mt"")"),"Xi jfisser il-mudell għall-kontijiet mgħoddija mill-Parlament Skoċċiż?")</f>
        <v>Xi jfisser il-mudell għall-kontijiet mgħoddija mill-Parlament Skoċċiż?</v>
      </c>
    </row>
    <row r="21859" ht="15.75" customHeight="1">
      <c r="A21859" s="2" t="s">
        <v>21859</v>
      </c>
      <c r="B21859" s="2" t="str">
        <f>IFERROR(__xludf.DUMMYFUNCTION("GOOGLETRANSLATE(A21859, ""en"", ""mt"")"),"Repubblika Olandiża")</f>
        <v>Repubblika Olandiża</v>
      </c>
    </row>
    <row r="21860" ht="15.75" customHeight="1">
      <c r="A21860" s="2" t="s">
        <v>21860</v>
      </c>
      <c r="B21860" s="2" t="str">
        <f>IFERROR(__xludf.DUMMYFUNCTION("GOOGLETRANSLATE(A21860, ""en"", ""mt"")"),"siekta")</f>
        <v>siekta</v>
      </c>
    </row>
    <row r="21861" ht="15.75" customHeight="1">
      <c r="A21861" s="2" t="s">
        <v>21861</v>
      </c>
      <c r="B21861" s="2" t="str">
        <f>IFERROR(__xludf.DUMMYFUNCTION("GOOGLETRANSLATE(A21861, ""en"", ""mt"")"),"l-aħħar tas-1340s")</f>
        <v>l-aħħar tas-1340s</v>
      </c>
    </row>
    <row r="21862" ht="15.75" customHeight="1">
      <c r="A21862" s="2" t="s">
        <v>21862</v>
      </c>
      <c r="B21862" s="2" t="str">
        <f>IFERROR(__xludf.DUMMYFUNCTION("GOOGLETRANSLATE(A21862, ""en"", ""mt"")"),"Min ħoloq l-ewwel komunità tal-avjazzjoni tan-nazzjon?")</f>
        <v>Min ħoloq l-ewwel komunità tal-avjazzjoni tan-nazzjon?</v>
      </c>
    </row>
    <row r="21863" ht="15.75" customHeight="1">
      <c r="A21863" s="2" t="s">
        <v>21863</v>
      </c>
      <c r="B21863" s="2" t="str">
        <f>IFERROR(__xludf.DUMMYFUNCTION("GOOGLETRANSLATE(A21863, ""en"", ""mt"")"),"Dożi baxxi ta 'anti-infjammatorji xi kultant jintużaw ma' liema klassijiet ta 'mediċini?")</f>
        <v>Dożi baxxi ta 'anti-infjammatorji xi kultant jintużaw ma' liema klassijiet ta 'mediċini?</v>
      </c>
    </row>
    <row r="21864" ht="15.75" customHeight="1">
      <c r="A21864" s="2" t="s">
        <v>21864</v>
      </c>
      <c r="B21864" s="2" t="str">
        <f>IFERROR(__xludf.DUMMYFUNCTION("GOOGLETRANSLATE(A21864, ""en"", ""mt"")"),"X'inhuma t-tentakli miksija?")</f>
        <v>X'inhuma t-tentakli miksija?</v>
      </c>
    </row>
    <row r="21865" ht="15.75" customHeight="1">
      <c r="A21865" s="2" t="s">
        <v>21865</v>
      </c>
      <c r="B21865" s="2" t="str">
        <f>IFERROR(__xludf.DUMMYFUNCTION("GOOGLETRANSLATE(A21865, ""en"", ""mt"")"),"Mill-1562 sal-1598")</f>
        <v>Mill-1562 sal-1598</v>
      </c>
    </row>
    <row r="21866" ht="15.75" customHeight="1">
      <c r="A21866" s="2" t="s">
        <v>21866</v>
      </c>
      <c r="B21866" s="2" t="str">
        <f>IFERROR(__xludf.DUMMYFUNCTION("GOOGLETRANSLATE(A21866, ""en"", ""mt"")"),"Fuq xiex jitimgħu l-lobati?")</f>
        <v>Fuq xiex jitimgħu l-lobati?</v>
      </c>
    </row>
    <row r="21867" ht="15.75" customHeight="1">
      <c r="A21867" s="2" t="s">
        <v>21867</v>
      </c>
      <c r="B21867" s="2" t="str">
        <f>IFERROR(__xludf.DUMMYFUNCTION("GOOGLETRANSLATE(A21867, ""en"", ""mt"")"),"Sal-1932 it-tul ġeneralment aċċettat tar-Renu kien ta ’1,230 kilometru (764 mil). Fl-1932 l-Enċiklopedija Ġermaniża Knaurs Lexikon iddikjarat it-tul bħala 1,320 kilometru (820 mil), preżumibbilment żball tipografiku. Wara li dan in-numru tqiegħed fl-awtor"&amp;"evoli Brockhaus Enzyklopädie, ġeneralment sar aċċettat u sab triqtu f’bosta kotba u pubblikazzjonijiet uffiċjali. L-iżball ġie skopert fl-2010, u l-Olandiż Rijkswaterstaat jikkonferma t-tul ta '1,232 kilometru (766 mil). [Nota 1]")</f>
        <v>Sal-1932 it-tul ġeneralment aċċettat tar-Renu kien ta ’1,230 kilometru (764 mil). Fl-1932 l-Enċiklopedija Ġermaniża Knaurs Lexikon iddikjarat it-tul bħala 1,320 kilometru (820 mil), preżumibbilment żball tipografiku. Wara li dan in-numru tqiegħed fl-awtorevoli Brockhaus Enzyklopädie, ġeneralment sar aċċettat u sab triqtu f’bosta kotba u pubblikazzjonijiet uffiċjali. L-iżball ġie skopert fl-2010, u l-Olandiż Rijkswaterstaat jikkonferma t-tul ta '1,232 kilometru (766 mil). [Nota 1]</v>
      </c>
    </row>
    <row r="21868" ht="15.75" customHeight="1">
      <c r="A21868" s="2" t="s">
        <v>21868</v>
      </c>
      <c r="B21868" s="2" t="str">
        <f>IFERROR(__xludf.DUMMYFUNCTION("GOOGLETRANSLATE(A21868, ""en"", ""mt"")"),"Jekk A u Q huma koprime, liema teorema jqis li progressjoni aritmetika għandha numru infinit ta 'primes?")</f>
        <v>Jekk A u Q huma koprime, liema teorema jqis li progressjoni aritmetika għandha numru infinit ta 'primes?</v>
      </c>
    </row>
    <row r="21869" ht="15.75" customHeight="1">
      <c r="A21869" s="2" t="s">
        <v>21869</v>
      </c>
      <c r="B21869" s="2" t="str">
        <f>IFERROR(__xludf.DUMMYFUNCTION("GOOGLETRANSLATE(A21869, ""en"", ""mt"")"),"migrazzjoni interna u urbanizzazzjoni")</f>
        <v>migrazzjoni interna u urbanizzazzjoni</v>
      </c>
    </row>
    <row r="21870" ht="15.75" customHeight="1">
      <c r="A21870" s="2" t="s">
        <v>21870</v>
      </c>
      <c r="B21870" s="2" t="str">
        <f>IFERROR(__xludf.DUMMYFUNCTION("GOOGLETRANSLATE(A21870, ""en"", ""mt"")"),"Kemm presidenti Amerikani darba għamlu kampanja f'Cambridge?")</f>
        <v>Kemm presidenti Amerikani darba għamlu kampanja f'Cambridge?</v>
      </c>
    </row>
    <row r="21871" ht="15.75" customHeight="1">
      <c r="A21871" s="2" t="s">
        <v>21871</v>
      </c>
      <c r="B21871" s="2" t="str">
        <f>IFERROR(__xludf.DUMMYFUNCTION("GOOGLETRANSLATE(A21871, ""en"", ""mt"")"),"Min ikkonferma l-iskoperta ta 'Watt dwar is-sħana mekkanika?")</f>
        <v>Min ikkonferma l-iskoperta ta 'Watt dwar is-sħana mekkanika?</v>
      </c>
    </row>
    <row r="21872" ht="15.75" customHeight="1">
      <c r="A21872" s="2" t="s">
        <v>21872</v>
      </c>
      <c r="B21872" s="2" t="str">
        <f>IFERROR(__xludf.DUMMYFUNCTION("GOOGLETRANSLATE(A21872, ""en"", ""mt"")"),"Mhuwiex ċert kif ctenophores jikkontrollaw il-galleġġjatura tagħhom, iżda l-esperimenti wrew li xi speċi jiddependu fuq pressjoni osmotika biex jadattaw għall-ilma ta 'densitajiet differenti. Il-fluwidi tal-ġisem tagħhom huma normalment ikkonċentrati daqs"&amp;" l-ilma baħar. Jekk jidħlu f'ilma brackish inqas dens, il-rosettes ciliary fil-kavità tal-ġisem jistgħu jippompjaw dan fil-mesoglea biex iżidu l-massa tiegħu u jnaqqsu d-densità tiegħu, biex jevitaw l-għarqa. Bil-maqlub jekk jimxu minn salmura għal ilma b"&amp;"aħar b'saħħa sħiħa, ir-rosettes jistgħu jippompjaw l-ilma barra mill-mesoglea biex inaqqsu l-volum tiegħu u jżidu d-densità tiegħu.")</f>
        <v>Mhuwiex ċert kif ctenophores jikkontrollaw il-galleġġjatura tagħhom, iżda l-esperimenti wrew li xi speċi jiddependu fuq pressjoni osmotika biex jadattaw għall-ilma ta 'densitajiet differenti. Il-fluwidi tal-ġisem tagħhom huma normalment ikkonċentrati daqs l-ilma baħar. Jekk jidħlu f'ilma brackish inqas dens, il-rosettes ciliary fil-kavità tal-ġisem jistgħu jippompjaw dan fil-mesoglea biex iżidu l-massa tiegħu u jnaqqsu d-densità tiegħu, biex jevitaw l-għarqa. Bil-maqlub jekk jimxu minn salmura għal ilma baħar b'saħħa sħiħa, ir-rosettes jistgħu jippompjaw l-ilma barra mill-mesoglea biex inaqqsu l-volum tiegħu u jżidu d-densità tiegħu.</v>
      </c>
    </row>
    <row r="21873" ht="15.75" customHeight="1">
      <c r="A21873" s="2" t="s">
        <v>21873</v>
      </c>
      <c r="B21873" s="2" t="str">
        <f>IFERROR(__xludf.DUMMYFUNCTION("GOOGLETRANSLATE(A21873, ""en"", ""mt"")"),"Village of Warszowa")</f>
        <v>Village of Warszowa</v>
      </c>
    </row>
    <row r="21874" ht="15.75" customHeight="1">
      <c r="A21874" s="2" t="s">
        <v>21874</v>
      </c>
      <c r="B21874" s="2" t="str">
        <f>IFERROR(__xludf.DUMMYFUNCTION("GOOGLETRANSLATE(A21874, ""en"", ""mt"")"),"Liema perċentwali tal-popolazzjoni ta 'Fresno kienet Filippina fl-1970?")</f>
        <v>Liema perċentwali tal-popolazzjoni ta 'Fresno kienet Filippina fl-1970?</v>
      </c>
    </row>
    <row r="21875" ht="15.75" customHeight="1">
      <c r="A21875" s="2" t="s">
        <v>21875</v>
      </c>
      <c r="B21875" s="2" t="str">
        <f>IFERROR(__xludf.DUMMYFUNCTION("GOOGLETRANSLATE(A21875, ""en"", ""mt"")"),"Il-bnedmin f'ambjenti tropikali kienu meqjusa x'inhuma?")</f>
        <v>Il-bnedmin f'ambjenti tropikali kienu meqjusa x'inhuma?</v>
      </c>
    </row>
    <row r="21876" ht="15.75" customHeight="1">
      <c r="A21876" s="2" t="s">
        <v>21876</v>
      </c>
      <c r="B21876" s="2" t="str">
        <f>IFERROR(__xludf.DUMMYFUNCTION("GOOGLETRANSLATE(A21876, ""en"", ""mt"")"),"kanċer, epatite, u artrite rewmatojde")</f>
        <v>kanċer, epatite, u artrite rewmatojde</v>
      </c>
    </row>
    <row r="21877" ht="15.75" customHeight="1">
      <c r="A21877" s="2" t="s">
        <v>21877</v>
      </c>
      <c r="B21877" s="2" t="str">
        <f>IFERROR(__xludf.DUMMYFUNCTION("GOOGLETRANSLATE(A21877, ""en"", ""mt"")"),"Liema esperimenti jintużaw biex jibnu mill-ġdid id-drapp tal-blat?")</f>
        <v>Liema esperimenti jintużaw biex jibnu mill-ġdid id-drapp tal-blat?</v>
      </c>
    </row>
    <row r="21878" ht="15.75" customHeight="1">
      <c r="A21878" s="2" t="s">
        <v>21878</v>
      </c>
      <c r="B21878" s="2" t="str">
        <f>IFERROR(__xludf.DUMMYFUNCTION("GOOGLETRANSLATE(A21878, ""en"", ""mt"")"),"L-ekonomista bankarju ċentrali Raghuram Rajan jargumenta li ""l-inugwaljanzi ekonomiċi sistematiċi, fl-Istati Uniti u madwar id-dinja, ħolqu 'linji ta' difetti finanzjarji profondi li għamlu kriżijiet [finanzjarji] aktar probabbli li jiġri milli fil-passa"&amp;"t"" - il-kriżi finanzjarja ta ' 2007–08 huwa l-iktar eżempju reċenti. Biex tikkumpensa għall-istaġnar u t-tnaqqis tal-poter tax-xiri, il-pressjoni politika żviluppat biex testendi kreditu aktar faċli għal dawk li jaqilgħu bi dħul aktar baxx u medju - part"&amp;"ikolarment biex jixtru djar - u kreditu aktar faċli b'mod ġenerali biex iżommu r-rati tal-qgħad baxxi. Dan ta lill-ekonomija Amerikana tendenza li tmur ""minn bużżieqa għal bużżieqa"" alimentata minn stimulazzjoni monetarja mhux sostenibbli.")</f>
        <v>L-ekonomista bankarju ċentrali Raghuram Rajan jargumenta li "l-inugwaljanzi ekonomiċi sistematiċi, fl-Istati Uniti u madwar id-dinja, ħolqu 'linji ta' difetti finanzjarji profondi li għamlu kriżijiet [finanzjarji] aktar probabbli li jiġri milli fil-passat" - il-kriżi finanzjarja ta ' 2007–08 huwa l-iktar eżempju reċenti. Biex tikkumpensa għall-istaġnar u t-tnaqqis tal-poter tax-xiri, il-pressjoni politika żviluppat biex testendi kreditu aktar faċli għal dawk li jaqilgħu bi dħul aktar baxx u medju - partikolarment biex jixtru djar - u kreditu aktar faċli b'mod ġenerali biex iżommu r-rati tal-qgħad baxxi. Dan ta lill-ekonomija Amerikana tendenza li tmur "minn bużżieqa għal bużżieqa" alimentata minn stimulazzjoni monetarja mhux sostenibbli.</v>
      </c>
    </row>
    <row r="21879" ht="15.75" customHeight="1">
      <c r="A21879" s="2" t="s">
        <v>21879</v>
      </c>
      <c r="B21879" s="2" t="str">
        <f>IFERROR(__xludf.DUMMYFUNCTION("GOOGLETRANSLATE(A21879, ""en"", ""mt"")"),"X'inhuma l-banek pubbliċi fir-Rabat?")</f>
        <v>X'inhuma l-banek pubbliċi fir-Rabat?</v>
      </c>
    </row>
    <row r="21880" ht="15.75" customHeight="1">
      <c r="A21880" s="2" t="s">
        <v>21880</v>
      </c>
      <c r="B21880" s="2" t="str">
        <f>IFERROR(__xludf.DUMMYFUNCTION("GOOGLETRANSLATE(A21880, ""en"", ""mt"")"),"F’liema sena William is-siekta ħarġet l- “apologie” tiegħu?")</f>
        <v>F’liema sena William is-siekta ħarġet l- “apologie” tiegħu?</v>
      </c>
    </row>
    <row r="21881" ht="15.75" customHeight="1">
      <c r="A21881" s="2" t="s">
        <v>21881</v>
      </c>
      <c r="B21881" s="2" t="str">
        <f>IFERROR(__xludf.DUMMYFUNCTION("GOOGLETRANSLATE(A21881, ""en"", ""mt"")"),"eżempju problema")</f>
        <v>eżempju problema</v>
      </c>
    </row>
    <row r="21882" ht="15.75" customHeight="1">
      <c r="A21882" s="2" t="s">
        <v>21882</v>
      </c>
      <c r="B21882" s="2" t="str">
        <f>IFERROR(__xludf.DUMMYFUNCTION("GOOGLETRANSLATE(A21882, ""en"", ""mt"")"),"F'liema każ kien nazzjonali Olandiż mhux intitolat li jkompli jirċievi benefiċċji meta mar il-Belġju?")</f>
        <v>F'liema każ kien nazzjonali Olandiż mhux intitolat li jkompli jirċievi benefiċċji meta mar il-Belġju?</v>
      </c>
    </row>
    <row r="21883" ht="15.75" customHeight="1">
      <c r="A21883" s="2" t="s">
        <v>21883</v>
      </c>
      <c r="B21883" s="2" t="str">
        <f>IFERROR(__xludf.DUMMYFUNCTION("GOOGLETRANSLATE(A21883, ""en"", ""mt"")"),"l-ewwel nofs tas-seklu 10")</f>
        <v>l-ewwel nofs tas-seklu 10</v>
      </c>
    </row>
    <row r="21884" ht="15.75" customHeight="1">
      <c r="A21884" s="2" t="s">
        <v>21884</v>
      </c>
      <c r="B21884" s="2" t="str">
        <f>IFERROR(__xludf.DUMMYFUNCTION("GOOGLETRANSLATE(A21884, ""en"", ""mt"")"),"X'kienu l-Palazz Sassonu u l-Palazz Bruhl f'Pariġi qabel il-Prewar?")</f>
        <v>X'kienu l-Palazz Sassonu u l-Palazz Bruhl f'Pariġi qabel il-Prewar?</v>
      </c>
    </row>
    <row r="21885" ht="15.75" customHeight="1">
      <c r="A21885" s="2" t="s">
        <v>21885</v>
      </c>
      <c r="B21885" s="2" t="str">
        <f>IFERROR(__xludf.DUMMYFUNCTION("GOOGLETRANSLATE(A21885, ""en"", ""mt"")"),"F'liema żoni huma tipikament misjuba partiċelli tas-sedimenti?")</f>
        <v>F'liema żoni huma tipikament misjuba partiċelli tas-sedimenti?</v>
      </c>
    </row>
    <row r="21886" ht="15.75" customHeight="1">
      <c r="A21886" s="2" t="s">
        <v>21886</v>
      </c>
      <c r="B21886" s="2" t="str">
        <f>IFERROR(__xludf.DUMMYFUNCTION("GOOGLETRANSLATE(A21886, ""en"", ""mt"")"),"Min hu l-imħallef finali ta 'dritt u ħażin?")</f>
        <v>Min hu l-imħallef finali ta 'dritt u ħażin?</v>
      </c>
    </row>
    <row r="21887" ht="15.75" customHeight="1">
      <c r="A21887" s="2" t="s">
        <v>21887</v>
      </c>
      <c r="B21887" s="2" t="str">
        <f>IFERROR(__xludf.DUMMYFUNCTION("GOOGLETRANSLATE(A21887, ""en"", ""mt"")"),"Adobe li jipprovdi aktar utilità lil persuna waħda minn oħra huwa eżempju ta 'xiex imnaqqas?")</f>
        <v>Adobe li jipprovdi aktar utilità lil persuna waħda minn oħra huwa eżempju ta 'xiex imnaqqas?</v>
      </c>
    </row>
    <row r="21888" ht="15.75" customHeight="1">
      <c r="A21888" s="2" t="s">
        <v>21888</v>
      </c>
      <c r="B21888" s="2" t="str">
        <f>IFERROR(__xludf.DUMMYFUNCTION("GOOGLETRANSLATE(A21888, ""en"", ""mt"")"),"X'għandu definizzjonijiet mhux ikkomplikati li jipprevjenu l-klassifikazzjoni f'qafas?")</f>
        <v>X'għandu definizzjonijiet mhux ikkomplikati li jipprevjenu l-klassifikazzjoni f'qafas?</v>
      </c>
    </row>
    <row r="21889" ht="15.75" customHeight="1">
      <c r="A21889" s="2" t="s">
        <v>21889</v>
      </c>
      <c r="B21889" s="2" t="str">
        <f>IFERROR(__xludf.DUMMYFUNCTION("GOOGLETRANSLATE(A21889, ""en"", ""mt"")"),"Il-korrelazzjoni bejn il-kapitaliżmu, l-aristokrazija u l-imperjalizmu ilha diskussa fost l-istoriċi u t-teoriċi politiċi. Ħafna mid-dibattitu kien pijunier minn teoriċi bħal J. A. Hobson (1858–1940), Joseph Schumpeter (1883–1950), Thorstein Veblen (1857–"&amp;"1929), u Norman Angell (1872–1967). Filwaqt li dawn il-kittieba mhux Marxisti kienu l-iktar prolifiċi tagħhom qabel l-Ewwel Gwerra Dinjija, huma baqgħu attivi fis-snin interwar. Ix-xogħol ikkombinat tagħhom informa l-istudju dwar l-imperjalizmu u l-impatt"&amp;" tiegħu fuq l-Ewropa, kif ukoll ikkontribwixxa għal riflessjonijiet dwar iż-żieda tal-kumpless politiku militari fl-Istati Uniti mill-ħamsinijiet. Hobson argumenta li r-riformi soċjali domestiċi jistgħu jfejqu l-marda internazzjonali tal-imperjalizmu bill"&amp;"i jneħħu l-fondazzjoni ekonomika tiegħu. Hobson teorizza li l-intervent tal-istat permezz tat-tassazzjoni jista 'jagħti spinta lill-konsum usa', joħloq il-ġid, u jinkoraġġixxi ordni dinjija paċifika, tolleranti u multipolari.")</f>
        <v>Il-korrelazzjoni bejn il-kapitaliżmu, l-aristokrazija u l-imperjalizmu ilha diskussa fost l-istoriċi u t-teoriċi politiċi. Ħafna mid-dibattitu kien pijunier minn teoriċi bħal J. A. Hobson (1858–1940), Joseph Schumpeter (1883–1950), Thorstein Veblen (1857–1929), u Norman Angell (1872–1967). Filwaqt li dawn il-kittieba mhux Marxisti kienu l-iktar prolifiċi tagħhom qabel l-Ewwel Gwerra Dinjija, huma baqgħu attivi fis-snin interwar. Ix-xogħol ikkombinat tagħhom informa l-istudju dwar l-imperjalizmu u l-impatt tiegħu fuq l-Ewropa, kif ukoll ikkontribwixxa għal riflessjonijiet dwar iż-żieda tal-kumpless politiku militari fl-Istati Uniti mill-ħamsinijiet. Hobson argumenta li r-riformi soċjali domestiċi jistgħu jfejqu l-marda internazzjonali tal-imperjalizmu billi jneħħu l-fondazzjoni ekonomika tiegħu. Hobson teorizza li l-intervent tal-istat permezz tat-tassazzjoni jista 'jagħti spinta lill-konsum usa', joħloq il-ġid, u jinkoraġġixxi ordni dinjija paċifika, tolleranti u multipolari.</v>
      </c>
    </row>
    <row r="21890" ht="15.75" customHeight="1">
      <c r="A21890" s="2" t="s">
        <v>21890</v>
      </c>
      <c r="B21890" s="2" t="str">
        <f>IFERROR(__xludf.DUMMYFUNCTION("GOOGLETRANSLATE(A21890, ""en"", ""mt"")"),"distinzjoni")</f>
        <v>distinzjoni</v>
      </c>
    </row>
    <row r="21891" ht="15.75" customHeight="1">
      <c r="A21891" s="2" t="s">
        <v>21891</v>
      </c>
      <c r="B21891" s="2" t="str">
        <f>IFERROR(__xludf.DUMMYFUNCTION("GOOGLETRANSLATE(A21891, ""en"", ""mt"")"),"Nofsinhar ta 'l-Istati Uniti")</f>
        <v>Nofsinhar ta 'l-Istati Uniti</v>
      </c>
    </row>
    <row r="21892" ht="15.75" customHeight="1">
      <c r="A21892" s="2" t="s">
        <v>21892</v>
      </c>
      <c r="B21892" s="2" t="str">
        <f>IFERROR(__xludf.DUMMYFUNCTION("GOOGLETRANSLATE(A21892, ""en"", ""mt"")"),"ħafif")</f>
        <v>ħafif</v>
      </c>
    </row>
    <row r="21893" ht="15.75" customHeight="1">
      <c r="A21893" s="2" t="s">
        <v>21893</v>
      </c>
      <c r="B21893" s="2" t="str">
        <f>IFERROR(__xludf.DUMMYFUNCTION("GOOGLETRANSLATE(A21893, ""en"", ""mt"")"),"X'jagħmlu dawk fil-qasam biex jiżguraw riżultat pożittiv?")</f>
        <v>X'jagħmlu dawk fil-qasam biex jiżguraw riżultat pożittiv?</v>
      </c>
    </row>
    <row r="21894" ht="15.75" customHeight="1">
      <c r="A21894" s="2" t="s">
        <v>21894</v>
      </c>
      <c r="B21894" s="2" t="str">
        <f>IFERROR(__xludf.DUMMYFUNCTION("GOOGLETRANSLATE(A21894, ""en"", ""mt"")"),"Fl-2000 min sab evidenza ta 'soluzzjoni kbira fil-foresta tropikali tal-Amażonja?")</f>
        <v>Fl-2000 min sab evidenza ta 'soluzzjoni kbira fil-foresta tropikali tal-Amażonja?</v>
      </c>
    </row>
    <row r="21895" ht="15.75" customHeight="1">
      <c r="A21895" s="2" t="s">
        <v>21895</v>
      </c>
      <c r="B21895" s="2" t="str">
        <f>IFERROR(__xludf.DUMMYFUNCTION("GOOGLETRANSLATE(A21895, ""en"", ""mt"")"),"X'jitħaddmu l-iskejjel pubbliċi barra mill-Ġermanja?")</f>
        <v>X'jitħaddmu l-iskejjel pubbliċi barra mill-Ġermanja?</v>
      </c>
    </row>
    <row r="21896" ht="15.75" customHeight="1">
      <c r="A21896" s="2" t="s">
        <v>21896</v>
      </c>
      <c r="B21896" s="2" t="str">
        <f>IFERROR(__xludf.DUMMYFUNCTION("GOOGLETRANSLATE(A21896, ""en"", ""mt"")"),"Qutb's")</f>
        <v>Qutb's</v>
      </c>
    </row>
    <row r="21897" ht="15.75" customHeight="1">
      <c r="A21897" s="2" t="s">
        <v>21897</v>
      </c>
      <c r="B21897" s="2" t="str">
        <f>IFERROR(__xludf.DUMMYFUNCTION("GOOGLETRANSLATE(A21897, ""en"", ""mt"")"),"Palestina")</f>
        <v>Palestina</v>
      </c>
    </row>
    <row r="21898" ht="15.75" customHeight="1">
      <c r="A21898" s="2" t="s">
        <v>21898</v>
      </c>
      <c r="B21898" s="2" t="str">
        <f>IFERROR(__xludf.DUMMYFUNCTION("GOOGLETRANSLATE(A21898, ""en"", ""mt"")"),"mhix unità u ma tistax tinkiteb bħala prodott ta 'żewġ elementi taċ-ċirku li mhumiex unitajiet")</f>
        <v>mhix unità u ma tistax tinkiteb bħala prodott ta 'żewġ elementi taċ-ċirku li mhumiex unitajiet</v>
      </c>
    </row>
    <row r="21899" ht="15.75" customHeight="1">
      <c r="A21899" s="2" t="s">
        <v>21899</v>
      </c>
      <c r="B21899" s="2" t="str">
        <f>IFERROR(__xludf.DUMMYFUNCTION("GOOGLETRANSLATE(A21899, ""en"", ""mt"")"),"fil-lag")</f>
        <v>fil-lag</v>
      </c>
    </row>
    <row r="21900" ht="15.75" customHeight="1">
      <c r="A21900" s="2" t="s">
        <v>21900</v>
      </c>
      <c r="B21900" s="2" t="str">
        <f>IFERROR(__xludf.DUMMYFUNCTION("GOOGLETRANSLATE(A21900, ""en"", ""mt"")"),"Tnax-il djar residenzjali")</f>
        <v>Tnax-il djar residenzjali</v>
      </c>
    </row>
    <row r="21901" ht="15.75" customHeight="1">
      <c r="A21901" s="2" t="s">
        <v>21901</v>
      </c>
      <c r="B21901" s="2" t="str">
        <f>IFERROR(__xludf.DUMMYFUNCTION("GOOGLETRANSLATE(A21901, ""en"", ""mt"")"),"Kemm refuġjati emigraw lejn ir-Repubblika Olandiża?")</f>
        <v>Kemm refuġjati emigraw lejn ir-Repubblika Olandiża?</v>
      </c>
    </row>
    <row r="21902" ht="15.75" customHeight="1">
      <c r="A21902" s="2" t="s">
        <v>21902</v>
      </c>
      <c r="B21902" s="2" t="str">
        <f>IFERROR(__xludf.DUMMYFUNCTION("GOOGLETRANSLATE(A21902, ""en"", ""mt"")"),"Assoċjazzjoni ta 'Universitajiet Amerikani")</f>
        <v>Assoċjazzjoni ta 'Universitajiet Amerikani</v>
      </c>
    </row>
    <row r="21903" ht="15.75" customHeight="1">
      <c r="A21903" s="2" t="s">
        <v>21903</v>
      </c>
      <c r="B21903" s="2" t="str">
        <f>IFERROR(__xludf.DUMMYFUNCTION("GOOGLETRANSLATE(A21903, ""en"", ""mt"")"),"Kostruzzjoni ta 'toroq militari lejn iż-żona minn Braddock u Forbes")</f>
        <v>Kostruzzjoni ta 'toroq militari lejn iż-żona minn Braddock u Forbes</v>
      </c>
    </row>
    <row r="21904" ht="15.75" customHeight="1">
      <c r="A21904" s="2" t="s">
        <v>21904</v>
      </c>
      <c r="B21904" s="2" t="str">
        <f>IFERROR(__xludf.DUMMYFUNCTION("GOOGLETRANSLATE(A21904, ""en"", ""mt"")"),"ippruvat jidħol fis-sit tat-test")</f>
        <v>ippruvat jidħol fis-sit tat-test</v>
      </c>
    </row>
    <row r="21905" ht="15.75" customHeight="1">
      <c r="A21905" s="2" t="s">
        <v>21905</v>
      </c>
      <c r="B21905" s="2" t="str">
        <f>IFERROR(__xludf.DUMMYFUNCTION("GOOGLETRANSLATE(A21905, ""en"", ""mt"")"),"X'inhu t-tendenza li jwassal għal aktar flus?")</f>
        <v>X'inhu t-tendenza li jwassal għal aktar flus?</v>
      </c>
    </row>
    <row r="21906" ht="15.75" customHeight="1">
      <c r="A21906" s="2" t="s">
        <v>21906</v>
      </c>
      <c r="B21906" s="2" t="str">
        <f>IFERROR(__xludf.DUMMYFUNCTION("GOOGLETRANSLATE(A21906, ""en"", ""mt"")"),"il-kawża konfederata")</f>
        <v>il-kawża konfederata</v>
      </c>
    </row>
    <row r="21907" ht="15.75" customHeight="1">
      <c r="A21907" s="2" t="s">
        <v>21907</v>
      </c>
      <c r="B21907" s="2" t="str">
        <f>IFERROR(__xludf.DUMMYFUNCTION("GOOGLETRANSLATE(A21907, ""en"", ""mt"")"),"Min daħal fl-Italja ftit wara l-Imperu Biżantin?")</f>
        <v>Min daħal fl-Italja ftit wara l-Imperu Biżantin?</v>
      </c>
    </row>
    <row r="21908" ht="15.75" customHeight="1">
      <c r="A21908" s="2" t="s">
        <v>21908</v>
      </c>
      <c r="B21908" s="2" t="str">
        <f>IFERROR(__xludf.DUMMYFUNCTION("GOOGLETRANSLATE(A21908, ""en"", ""mt"")"),"Taxxa fuq il-bejgħ nofs-penny")</f>
        <v>Taxxa fuq il-bejgħ nofs-penny</v>
      </c>
    </row>
    <row r="21909" ht="15.75" customHeight="1">
      <c r="A21909" s="2" t="s">
        <v>21909</v>
      </c>
      <c r="B21909" s="2" t="str">
        <f>IFERROR(__xludf.DUMMYFUNCTION("GOOGLETRANSLATE(A21909, ""en"", ""mt"")"),"Triq il-Knisja Franċiża tinsab f’liema belt Irlandiża?")</f>
        <v>Triq il-Knisja Franċiża tinsab f’liema belt Irlandiża?</v>
      </c>
    </row>
    <row r="21910" ht="15.75" customHeight="1">
      <c r="A21910" s="2" t="s">
        <v>21910</v>
      </c>
      <c r="B21910" s="2" t="str">
        <f>IFERROR(__xludf.DUMMYFUNCTION("GOOGLETRANSLATE(A21910, ""en"", ""mt"")"),"Liema xmara hija akbar mir-Rhine?")</f>
        <v>Liema xmara hija akbar mir-Rhine?</v>
      </c>
    </row>
    <row r="21911" ht="15.75" customHeight="1">
      <c r="A21911" s="2" t="s">
        <v>21911</v>
      </c>
      <c r="B21911" s="2" t="str">
        <f>IFERROR(__xludf.DUMMYFUNCTION("GOOGLETRANSLATE(A21911, ""en"", ""mt"")"),"Wara n-nar ta 'Jacksonville, x'għamel il-gvernatur ta' Florida?")</f>
        <v>Wara n-nar ta 'Jacksonville, x'għamel il-gvernatur ta' Florida?</v>
      </c>
    </row>
    <row r="21912" ht="15.75" customHeight="1">
      <c r="A21912" s="2" t="s">
        <v>21912</v>
      </c>
      <c r="B21912" s="2" t="str">
        <f>IFERROR(__xludf.DUMMYFUNCTION("GOOGLETRANSLATE(A21912, ""en"", ""mt"")"),"Liema denominazzjoni hija assoċjata mal-Kulleġġ San Kentigern?")</f>
        <v>Liema denominazzjoni hija assoċjata mal-Kulleġġ San Kentigern?</v>
      </c>
    </row>
    <row r="21913" ht="15.75" customHeight="1">
      <c r="A21913" s="2" t="s">
        <v>21913</v>
      </c>
      <c r="B21913" s="2" t="str">
        <f>IFERROR(__xludf.DUMMYFUNCTION("GOOGLETRANSLATE(A21913, ""en"", ""mt"")"),"King Malcolm III")</f>
        <v>King Malcolm III</v>
      </c>
    </row>
    <row r="21914" ht="15.75" customHeight="1">
      <c r="A21914" s="2" t="s">
        <v>21914</v>
      </c>
      <c r="B21914" s="2" t="str">
        <f>IFERROR(__xludf.DUMMYFUNCTION("GOOGLETRANSLATE(A21914, ""en"", ""mt"")"),"servizzi kliniċi li l-ispiżjara jistgħu jipprovdu għall-pazjenti tagħhom")</f>
        <v>servizzi kliniċi li l-ispiżjara jistgħu jipprovdu għall-pazjenti tagħhom</v>
      </c>
    </row>
    <row r="21915" ht="15.75" customHeight="1">
      <c r="A21915" s="2" t="s">
        <v>21915</v>
      </c>
      <c r="B21915" s="2" t="str">
        <f>IFERROR(__xludf.DUMMYFUNCTION("GOOGLETRANSLATE(A21915, ""en"", ""mt"")"),"Kemm titqassam Terra Preta fuq il-foresta tal-Amażonja?")</f>
        <v>Kemm titqassam Terra Preta fuq il-foresta tal-Amażonja?</v>
      </c>
    </row>
    <row r="21916" ht="15.75" customHeight="1">
      <c r="A21916" s="2" t="s">
        <v>21916</v>
      </c>
      <c r="B21916" s="2" t="str">
        <f>IFERROR(__xludf.DUMMYFUNCTION("GOOGLETRANSLATE(A21916, ""en"", ""mt"")"),"Meta spiċċat l-età tal-imperjalizmu?")</f>
        <v>Meta spiċċat l-età tal-imperjalizmu?</v>
      </c>
    </row>
    <row r="21917" ht="15.75" customHeight="1">
      <c r="A21917" s="2" t="s">
        <v>21917</v>
      </c>
      <c r="B21917" s="2" t="str">
        <f>IFERROR(__xludf.DUMMYFUNCTION("GOOGLETRANSLATE(A21917, ""en"", ""mt"")"),"X'inhi d-differenza ewlenija bejn l-ispiżeriji onlajn u l-ispiżeriji tal-komunità?")</f>
        <v>X'inhi d-differenza ewlenija bejn l-ispiżeriji onlajn u l-ispiżeriji tal-komunità?</v>
      </c>
    </row>
    <row r="21918" ht="15.75" customHeight="1">
      <c r="A21918" s="2" t="s">
        <v>21918</v>
      </c>
      <c r="B21918" s="2" t="str">
        <f>IFERROR(__xludf.DUMMYFUNCTION("GOOGLETRANSLATE(A21918, ""en"", ""mt"")"),"Il-Liġijiet tal-Fiżika")</f>
        <v>Il-Liġijiet tal-Fiżika</v>
      </c>
    </row>
    <row r="21919" ht="15.75" customHeight="1">
      <c r="A21919" s="2" t="s">
        <v>21919</v>
      </c>
      <c r="B21919" s="2" t="str">
        <f>IFERROR(__xludf.DUMMYFUNCTION("GOOGLETRANSLATE(A21919, ""en"", ""mt"")"),"Liema foresta tropikali tkopri l-maġġoranza tal-baċin tal-Amażonja fl-Amerika t'Isfel?")</f>
        <v>Liema foresta tropikali tkopri l-maġġoranza tal-baċin tal-Amażonja fl-Amerika t'Isfel?</v>
      </c>
    </row>
    <row r="21920" ht="15.75" customHeight="1">
      <c r="A21920" s="2" t="s">
        <v>21920</v>
      </c>
      <c r="B21920" s="2" t="str">
        <f>IFERROR(__xludf.DUMMYFUNCTION("GOOGLETRANSLATE(A21920, ""en"", ""mt"")"),"kastig")</f>
        <v>kastig</v>
      </c>
    </row>
    <row r="21921" ht="15.75" customHeight="1">
      <c r="A21921" s="2" t="s">
        <v>21921</v>
      </c>
      <c r="B21921" s="2" t="str">
        <f>IFERROR(__xludf.DUMMYFUNCTION("GOOGLETRANSLATE(A21921, ""en"", ""mt"")"),"F'nofs is-snin 1950, Frank Burnet, ispirat minn suġġeriment magħmul minn Niels Jerne, ifformula t-teorija tal-għażla klonali (CST) tal-immunità. Fuq il-bażi ta 'CST, Burnet żviluppa teorija ta' kif rispons immuni huwa kkawżat skond id-distinzjoni ta 'self"&amp;" / nonself: kostitwenti ""awto"" (kostitwenti tal-ġisem) ma jikkawżawx risponsi immuni distruttivi, filwaqt li ""nonself"" entitajiet (patoġeni, allograft) iqanqal rispons immuni distruttiv. It-teorija ġiet modifikata aktar tard biex tirrifletti skoperti "&amp;"ġodda rigward l-istokompatibilità jew l-attivazzjoni kumplessa ""b'żewġ sinjali"" taċ-ċelloli T. It-teorija ta 'l-immunità u n-nuqqas ta' l-immunità u l-vokabularju nfisha / nonself ġew ikkritikati, iżda jibqgħu influwenti ħafna.")</f>
        <v>F'nofs is-snin 1950, Frank Burnet, ispirat minn suġġeriment magħmul minn Niels Jerne, ifformula t-teorija tal-għażla klonali (CST) tal-immunità. Fuq il-bażi ta 'CST, Burnet żviluppa teorija ta' kif rispons immuni huwa kkawżat skond id-distinzjoni ta 'self / nonself: kostitwenti "awto" (kostitwenti tal-ġisem) ma jikkawżawx risponsi immuni distruttivi, filwaqt li "nonself" entitajiet (patoġeni, allograft) iqanqal rispons immuni distruttiv. It-teorija ġiet modifikata aktar tard biex tirrifletti skoperti ġodda rigward l-istokompatibilità jew l-attivazzjoni kumplessa "b'żewġ sinjali" taċ-ċelloli T. It-teorija ta 'l-immunità u n-nuqqas ta' l-immunità u l-vokabularju nfisha / nonself ġew ikkritikati, iżda jibqgħu influwenti ħafna.</v>
      </c>
    </row>
    <row r="21922" ht="15.75" customHeight="1">
      <c r="A21922" s="2" t="s">
        <v>21922</v>
      </c>
      <c r="B21922" s="2" t="str">
        <f>IFERROR(__xludf.DUMMYFUNCTION("GOOGLETRANSLATE(A21922, ""en"", ""mt"")"),"Kattoliċi")</f>
        <v>Kattoliċi</v>
      </c>
    </row>
    <row r="21923" ht="15.75" customHeight="1">
      <c r="A21923" s="2" t="s">
        <v>21923</v>
      </c>
      <c r="B21923" s="2" t="str">
        <f>IFERROR(__xludf.DUMMYFUNCTION("GOOGLETRANSLATE(A21923, ""en"", ""mt"")"),"Cydippids Combs huma kkontrollati minn xiex?")</f>
        <v>Cydippids Combs huma kkontrollati minn xiex?</v>
      </c>
    </row>
    <row r="21924" ht="15.75" customHeight="1">
      <c r="A21924" s="2" t="s">
        <v>21924</v>
      </c>
      <c r="B21924" s="2" t="str">
        <f>IFERROR(__xludf.DUMMYFUNCTION("GOOGLETRANSLATE(A21924, ""en"", ""mt"")"),"Liema kampus jinsab fuq il-banek tal-lemin tas-Seine?")</f>
        <v>Liema kampus jinsab fuq il-banek tal-lemin tas-Seine?</v>
      </c>
    </row>
    <row r="21925" ht="15.75" customHeight="1">
      <c r="A21925" s="2" t="s">
        <v>21925</v>
      </c>
      <c r="B21925" s="2" t="str">
        <f>IFERROR(__xludf.DUMMYFUNCTION("GOOGLETRANSLATE(A21925, ""en"", ""mt"")"),"Għaliex iċ-Ċiniżi tan-Nofsinhar ġew ikklassifikati aktar baxxi?")</f>
        <v>Għaliex iċ-Ċiniżi tan-Nofsinhar ġew ikklassifikati aktar baxxi?</v>
      </c>
    </row>
    <row r="21926" ht="15.75" customHeight="1">
      <c r="A21926" s="2" t="s">
        <v>21926</v>
      </c>
      <c r="B21926" s="2" t="str">
        <f>IFERROR(__xludf.DUMMYFUNCTION("GOOGLETRANSLATE(A21926, ""en"", ""mt"")"),"Liema proċessi jseħħu 'l fuq mill-art?")</f>
        <v>Liema proċessi jseħħu 'l fuq mill-art?</v>
      </c>
    </row>
    <row r="21927" ht="15.75" customHeight="1">
      <c r="A21927" s="2" t="s">
        <v>21927</v>
      </c>
      <c r="B21927" s="2" t="str">
        <f>IFERROR(__xludf.DUMMYFUNCTION("GOOGLETRANSLATE(A21927, ""en"", ""mt"")"),"Kemm Huguenots għexu f'Amsterdam fl-1705?")</f>
        <v>Kemm Huguenots għexu f'Amsterdam fl-1705?</v>
      </c>
    </row>
    <row r="21928" ht="15.75" customHeight="1">
      <c r="A21928" s="2" t="s">
        <v>21928</v>
      </c>
      <c r="B21928" s="2" t="str">
        <f>IFERROR(__xludf.DUMMYFUNCTION("GOOGLETRANSLATE(A21928, ""en"", ""mt"")"),"Kromme Rijn")</f>
        <v>Kromme Rijn</v>
      </c>
    </row>
    <row r="21929" ht="15.75" customHeight="1">
      <c r="A21929" s="2" t="s">
        <v>21929</v>
      </c>
      <c r="B21929" s="2" t="str">
        <f>IFERROR(__xludf.DUMMYFUNCTION("GOOGLETRANSLATE(A21929, ""en"", ""mt"")"),"Liema kundanna kellhom ħafna Pollakki rigward kif ħasbu l-Varsovians infushom?")</f>
        <v>Liema kundanna kellhom ħafna Pollakki rigward kif ħasbu l-Varsovians infushom?</v>
      </c>
    </row>
    <row r="21930" ht="15.75" customHeight="1">
      <c r="A21930" s="2" t="s">
        <v>21930</v>
      </c>
      <c r="B21930" s="2" t="str">
        <f>IFERROR(__xludf.DUMMYFUNCTION("GOOGLETRANSLATE(A21930, ""en"", ""mt"")"),"22 ta ’Mejju 2006")</f>
        <v>22 ta ’Mejju 2006</v>
      </c>
    </row>
    <row r="21931" ht="15.75" customHeight="1">
      <c r="A21931" s="2" t="s">
        <v>21931</v>
      </c>
      <c r="B21931" s="2" t="str">
        <f>IFERROR(__xludf.DUMMYFUNCTION("GOOGLETRANSLATE(A21931, ""en"", ""mt"")"),"Għaliex il-lagi żgħar f'Czerniakow huma mbattla qabel ix-xitwa?")</f>
        <v>Għaliex il-lagi żgħar f'Czerniakow huma mbattla qabel ix-xitwa?</v>
      </c>
    </row>
    <row r="21932" ht="15.75" customHeight="1">
      <c r="A21932" s="2" t="s">
        <v>21932</v>
      </c>
      <c r="B21932" s="2" t="str">
        <f>IFERROR(__xludf.DUMMYFUNCTION("GOOGLETRANSLATE(A21932, ""en"", ""mt"")"),"manjetiku")</f>
        <v>manjetiku</v>
      </c>
    </row>
    <row r="21933" ht="15.75" customHeight="1">
      <c r="A21933" s="2" t="s">
        <v>21933</v>
      </c>
      <c r="B21933" s="2" t="str">
        <f>IFERROR(__xludf.DUMMYFUNCTION("GOOGLETRANSLATE(A21933, ""en"", ""mt"")"),"parti tard")</f>
        <v>parti tard</v>
      </c>
    </row>
    <row r="21934" ht="15.75" customHeight="1">
      <c r="A21934" s="2" t="s">
        <v>21934</v>
      </c>
      <c r="B21934" s="2" t="str">
        <f>IFERROR(__xludf.DUMMYFUNCTION("GOOGLETRANSLATE(A21934, ""en"", ""mt"")"),"41,500 kilometru kwadru ta ’Amazon Force intilfu bejn liema snin?")</f>
        <v>41,500 kilometru kwadru ta ’Amazon Force intilfu bejn liema snin?</v>
      </c>
    </row>
    <row r="21935" ht="15.75" customHeight="1">
      <c r="A21935" s="2" t="s">
        <v>21935</v>
      </c>
      <c r="B21935" s="2" t="str">
        <f>IFERROR(__xludf.DUMMYFUNCTION("GOOGLETRANSLATE(A21935, ""en"", ""mt"")"),"Għaliex dan il-kunċett ġeneralment mhux popolari qabel ma Donald Davies temm ix-xogħol tiegħu?")</f>
        <v>Għaliex dan il-kunċett ġeneralment mhux popolari qabel ma Donald Davies temm ix-xogħol tiegħu?</v>
      </c>
    </row>
    <row r="21936" ht="15.75" customHeight="1">
      <c r="A21936" s="2" t="s">
        <v>21936</v>
      </c>
      <c r="B21936" s="2" t="str">
        <f>IFERROR(__xludf.DUMMYFUNCTION("GOOGLETRANSLATE(A21936, ""en"", ""mt"")"),"Għaliex l-iskejjel privati ​​ilhom lura mill-2014?")</f>
        <v>Għaliex l-iskejjel privati ​​ilhom lura mill-2014?</v>
      </c>
    </row>
    <row r="21937" ht="15.75" customHeight="1">
      <c r="A21937" s="2" t="s">
        <v>21937</v>
      </c>
      <c r="B21937" s="2" t="str">
        <f>IFERROR(__xludf.DUMMYFUNCTION("GOOGLETRANSLATE(A21937, ""en"", ""mt"")"),"300 irġiel, inklużi Franċiżi-Kanadiżi u ġellieda tal-Ottawa")</f>
        <v>300 irġiel, inklużi Franċiżi-Kanadiżi u ġellieda tal-Ottawa</v>
      </c>
    </row>
    <row r="21938" ht="15.75" customHeight="1">
      <c r="A21938" s="2" t="s">
        <v>21938</v>
      </c>
      <c r="B21938" s="2" t="str">
        <f>IFERROR(__xludf.DUMMYFUNCTION("GOOGLETRANSLATE(A21938, ""en"", ""mt"")"),"Għaliex ir-Renju Unit kellu jiġġustifika l-azzjonijiet tiegħu?")</f>
        <v>Għaliex ir-Renju Unit kellu jiġġustifika l-azzjonijiet tiegħu?</v>
      </c>
    </row>
    <row r="21939" ht="15.75" customHeight="1">
      <c r="A21939" s="2" t="s">
        <v>21939</v>
      </c>
      <c r="B21939" s="2" t="str">
        <f>IFERROR(__xludf.DUMMYFUNCTION("GOOGLETRANSLATE(A21939, ""en"", ""mt"")"),"F'liema sena Harvard temm il-programm ta 'ammissjoni bikrija tiegħu?")</f>
        <v>F'liema sena Harvard temm il-programm ta 'ammissjoni bikrija tiegħu?</v>
      </c>
    </row>
    <row r="21940" ht="15.75" customHeight="1">
      <c r="A21940" s="2" t="s">
        <v>21940</v>
      </c>
      <c r="B21940" s="2" t="str">
        <f>IFERROR(__xludf.DUMMYFUNCTION("GOOGLETRANSLATE(A21940, ""en"", ""mt"")"),"il-Parlament Ewropew u l-Kunsill tal-Unjoni Ewropea")</f>
        <v>il-Parlament Ewropew u l-Kunsill tal-Unjoni Ewropea</v>
      </c>
    </row>
    <row r="21941" ht="15.75" customHeight="1">
      <c r="A21941" s="2" t="s">
        <v>21941</v>
      </c>
      <c r="B21941" s="2" t="str">
        <f>IFERROR(__xludf.DUMMYFUNCTION("GOOGLETRANSLATE(A21941, ""en"", ""mt"")"),"Kif in-numru Prime P fil-postulat ta 'Bertrand huwa espress matematikament?")</f>
        <v>Kif in-numru Prime P fil-postulat ta 'Bertrand huwa espress matematikament?</v>
      </c>
    </row>
    <row r="21942" ht="15.75" customHeight="1">
      <c r="A21942" s="2" t="s">
        <v>21942</v>
      </c>
      <c r="B21942" s="2" t="str">
        <f>IFERROR(__xludf.DUMMYFUNCTION("GOOGLETRANSLATE(A21942, ""en"", ""mt"")"),"Il-Mesoglea")</f>
        <v>Il-Mesoglea</v>
      </c>
    </row>
    <row r="21943" ht="15.75" customHeight="1">
      <c r="A21943" s="2" t="s">
        <v>21943</v>
      </c>
      <c r="B21943" s="2" t="str">
        <f>IFERROR(__xludf.DUMMYFUNCTION("GOOGLETRANSLATE(A21943, ""en"", ""mt"")"),"Fuq liema horsepower huma turbini tal-fwar ġeneralment aktar effiċjenti minn ġeneraturi li jużaw pistuni reċiprokanti?")</f>
        <v>Fuq liema horsepower huma turbini tal-fwar ġeneralment aktar effiċjenti minn ġeneraturi li jużaw pistuni reċiprokanti?</v>
      </c>
    </row>
    <row r="21944" ht="15.75" customHeight="1">
      <c r="A21944" s="2" t="s">
        <v>21944</v>
      </c>
      <c r="B21944" s="2" t="str">
        <f>IFERROR(__xludf.DUMMYFUNCTION("GOOGLETRANSLATE(A21944, ""en"", ""mt"")"),"Kemm ex uffiċjali tal-belt ġew investigati mill-ġurija kbira?")</f>
        <v>Kemm ex uffiċjali tal-belt ġew investigati mill-ġurija kbira?</v>
      </c>
    </row>
    <row r="21945" ht="15.75" customHeight="1">
      <c r="A21945" s="2" t="s">
        <v>21945</v>
      </c>
      <c r="B21945" s="2" t="str">
        <f>IFERROR(__xludf.DUMMYFUNCTION("GOOGLETRANSLATE(A21945, ""en"", ""mt"")"),"Fid-definizzjoni bbażata fuq il-firxa tal-muntanji, f'liema reġjun jiġu inklużi l-porzjonijiet tad-deżert tal-Kontea ta 'North Los Angeles?")</f>
        <v>Fid-definizzjoni bbażata fuq il-firxa tal-muntanji, f'liema reġjun jiġu inklużi l-porzjonijiet tad-deżert tal-Kontea ta 'North Los Angeles?</v>
      </c>
    </row>
    <row r="21946" ht="15.75" customHeight="1">
      <c r="A21946" s="2" t="s">
        <v>21946</v>
      </c>
      <c r="B21946" s="2" t="str">
        <f>IFERROR(__xludf.DUMMYFUNCTION("GOOGLETRANSLATE(A21946, ""en"", ""mt"")"),"platyctenids")</f>
        <v>platyctenids</v>
      </c>
    </row>
    <row r="21947" ht="15.75" customHeight="1">
      <c r="A21947" s="2" t="s">
        <v>21947</v>
      </c>
      <c r="B21947" s="2" t="str">
        <f>IFERROR(__xludf.DUMMYFUNCTION("GOOGLETRANSLATE(A21947, ""en"", ""mt"")"),"2,200")</f>
        <v>2,200</v>
      </c>
    </row>
    <row r="21948" ht="15.75" customHeight="1">
      <c r="A21948" s="2" t="s">
        <v>21948</v>
      </c>
      <c r="B21948" s="2" t="str">
        <f>IFERROR(__xludf.DUMMYFUNCTION("GOOGLETRANSLATE(A21948, ""en"", ""mt"")"),"Wara l-gwerra Franco-Ġermaniża")</f>
        <v>Wara l-gwerra Franco-Ġermaniża</v>
      </c>
    </row>
    <row r="21949" ht="15.75" customHeight="1">
      <c r="A21949" s="2" t="s">
        <v>21949</v>
      </c>
      <c r="B21949" s="2" t="str">
        <f>IFERROR(__xludf.DUMMYFUNCTION("GOOGLETRANSLATE(A21949, ""en"", ""mt"")"),"wieħed mill-aktar movimenti influwenti")</f>
        <v>wieħed mill-aktar movimenti influwenti</v>
      </c>
    </row>
    <row r="21950" ht="15.75" customHeight="1">
      <c r="A21950" s="2" t="s">
        <v>21950</v>
      </c>
      <c r="B21950" s="2" t="str">
        <f>IFERROR(__xludf.DUMMYFUNCTION("GOOGLETRANSLATE(A21950, ""en"", ""mt"")"),"Min għandu d-distakk fil-paga bejn is-sessi?")</f>
        <v>Min għandu d-distakk fil-paga bejn is-sessi?</v>
      </c>
    </row>
    <row r="21951" ht="15.75" customHeight="1">
      <c r="A21951" s="2" t="s">
        <v>21951</v>
      </c>
      <c r="B21951" s="2" t="str">
        <f>IFERROR(__xludf.DUMMYFUNCTION("GOOGLETRANSLATE(A21951, ""en"", ""mt"")"),"Ikklassifikat 'il fuq miż-żewġ tobba personali tal-Imperatur")</f>
        <v>Ikklassifikat 'il fuq miż-żewġ tobba personali tal-Imperatur</v>
      </c>
    </row>
    <row r="21952" ht="15.75" customHeight="1">
      <c r="A21952" s="2" t="s">
        <v>21952</v>
      </c>
      <c r="B21952" s="2" t="str">
        <f>IFERROR(__xludf.DUMMYFUNCTION("GOOGLETRANSLATE(A21952, ""en"", ""mt"")"),"Fl-1700 diversi mijiet ta ’Huguenots Franċiżi emigraw mill-Ingilterra sal-kolonja ta’ Virginia, fejn il-kuruna Ingliża kienet wiegħedhom għotjiet fl-art fil-Kontea ta ’Norfolk Lower. Meta waslu, l-awtoritajiet kolonjali offrewhom minflok jillandjaw 20 mil"&amp;" 'il fuq mill-waqgħat tax-Xmara James, fil-villaġġ ta' Monacan abbandunat magħruf bħala Manakin Town, issa fil-Kontea ta 'Powhatan. Xi kolonisti żbarkaw fil-Kontea ta 'Chesterfield preżenti. Fit-12 ta 'Mejju 1705, l-Assemblea Ġenerali ta' Virginia għaddie"&amp;"t att biex timmatura l-148 Huguenots li għadhom residenti f'Manakintown. Mill-390 kolonizzaturi oriġinali fis-soluzzjoni iżolata, ħafna mietu; oħrajn għexu barra l-belt fl-irziezet fl-istil Ingliż; U oħrajn marru jgħixu f'żoni differenti. Gradwalment huma"&amp;" żżewġu mal-ġirien Ingliżi tagħhom. Matul is-sekli 18 u 19, id-dixxendenti tal-Franċiżi emigraw lejn il-punent fil-Piemonte, u madwar il-muntanji Appalaċi fil-punent ta 'dak li sar Kentucky, Tennessee, Missouri, u stati oħra. Fiż-żona ta 'Manakintown, il-"&amp;"Pont Memorial Huguenot madwar ix-Xmara James u Triq Huguenot ġew imsemmija fl-unur tagħhom, bħalma kienu bosta karatteristiċi lokali, inklużi diversi skejjel, inklużi Huguenot High School.")</f>
        <v>Fl-1700 diversi mijiet ta ’Huguenots Franċiżi emigraw mill-Ingilterra sal-kolonja ta’ Virginia, fejn il-kuruna Ingliża kienet wiegħedhom għotjiet fl-art fil-Kontea ta ’Norfolk Lower. Meta waslu, l-awtoritajiet kolonjali offrewhom minflok jillandjaw 20 mil 'il fuq mill-waqgħat tax-Xmara James, fil-villaġġ ta' Monacan abbandunat magħruf bħala Manakin Town, issa fil-Kontea ta 'Powhatan. Xi kolonisti żbarkaw fil-Kontea ta 'Chesterfield preżenti. Fit-12 ta 'Mejju 1705, l-Assemblea Ġenerali ta' Virginia għaddiet att biex timmatura l-148 Huguenots li għadhom residenti f'Manakintown. Mill-390 kolonizzaturi oriġinali fis-soluzzjoni iżolata, ħafna mietu; oħrajn għexu barra l-belt fl-irziezet fl-istil Ingliż; U oħrajn marru jgħixu f'żoni differenti. Gradwalment huma żżewġu mal-ġirien Ingliżi tagħhom. Matul is-sekli 18 u 19, id-dixxendenti tal-Franċiżi emigraw lejn il-punent fil-Piemonte, u madwar il-muntanji Appalaċi fil-punent ta 'dak li sar Kentucky, Tennessee, Missouri, u stati oħra. Fiż-żona ta 'Manakintown, il-Pont Memorial Huguenot madwar ix-Xmara James u Triq Huguenot ġew imsemmija fl-unur tagħhom, bħalma kienu bosta karatteristiċi lokali, inklużi diversi skejjel, inklużi Huguenot High School.</v>
      </c>
    </row>
    <row r="21953" ht="15.75" customHeight="1">
      <c r="A21953" s="2" t="s">
        <v>21953</v>
      </c>
      <c r="B21953" s="2" t="str">
        <f>IFERROR(__xludf.DUMMYFUNCTION("GOOGLETRANSLATE(A21953, ""en"", ""mt"")"),"Fil-bidu tas-seklu 20, avvanz importanti fix-xjenza ġeoloġika ġie ffaċilitat mill-abbiltà li jinkisbu dati assoluti preċiżi għal avvenimenti ġeoloġiċi bl-użu ta 'iżotopi radjuattivi u metodi oħra. Dan biddel il-fehim tal-ħin ġeoloġiku. Preċedentement, il-"&amp;"ġeoloġi jistgħu jużaw biss fossili u korrelazzjoni stratigrafika sal-lum sezzjonijiet tal-blat relattivi għal xulxin. Bid-dati iżotopiċi, sar possibbli li jiġu assenjati etajiet assoluti lil unitajiet tal-blat, u dawn id-dati assoluti jistgħu jiġu applika"&amp;"ti għal sekwenzi fossili li fihom kien hemm materjal li jista 'jkun, li jikkonverti l-etajiet relattivi qodma f'età assoluta ġodda.")</f>
        <v>Fil-bidu tas-seklu 20, avvanz importanti fix-xjenza ġeoloġika ġie ffaċilitat mill-abbiltà li jinkisbu dati assoluti preċiżi għal avvenimenti ġeoloġiċi bl-użu ta 'iżotopi radjuattivi u metodi oħra. Dan biddel il-fehim tal-ħin ġeoloġiku. Preċedentement, il-ġeoloġi jistgħu jużaw biss fossili u korrelazzjoni stratigrafika sal-lum sezzjonijiet tal-blat relattivi għal xulxin. Bid-dati iżotopiċi, sar possibbli li jiġu assenjati etajiet assoluti lil unitajiet tal-blat, u dawn id-dati assoluti jistgħu jiġu applikati għal sekwenzi fossili li fihom kien hemm materjal li jista 'jkun, li jikkonverti l-etajiet relattivi qodma f'età assoluta ġodda.</v>
      </c>
    </row>
    <row r="21954" ht="15.75" customHeight="1">
      <c r="A21954" s="2" t="s">
        <v>21954</v>
      </c>
      <c r="B21954" s="2" t="str">
        <f>IFERROR(__xludf.DUMMYFUNCTION("GOOGLETRANSLATE(A21954, ""en"", ""mt"")"),"X'kien il-persentaġġ ta 'abjad mhux Spanjoli fl-2010?")</f>
        <v>X'kien il-persentaġġ ta 'abjad mhux Spanjoli fl-2010?</v>
      </c>
    </row>
    <row r="21955" ht="15.75" customHeight="1">
      <c r="A21955" s="2" t="s">
        <v>21955</v>
      </c>
      <c r="B21955" s="2" t="str">
        <f>IFERROR(__xludf.DUMMYFUNCTION("GOOGLETRANSLATE(A21955, ""en"", ""mt"")"),"X'tipi ta 'alternattivi taw Cyclades?")</f>
        <v>X'tipi ta 'alternattivi taw Cyclades?</v>
      </c>
    </row>
    <row r="21956" ht="15.75" customHeight="1">
      <c r="A21956" s="2" t="s">
        <v>21956</v>
      </c>
      <c r="B21956" s="2" t="str">
        <f>IFERROR(__xludf.DUMMYFUNCTION("GOOGLETRANSLATE(A21956, ""en"", ""mt"")"),"Spin Triplet State")</f>
        <v>Spin Triplet State</v>
      </c>
    </row>
    <row r="21957" ht="15.75" customHeight="1">
      <c r="A21957" s="2" t="s">
        <v>21957</v>
      </c>
      <c r="B21957" s="2" t="str">
        <f>IFERROR(__xludf.DUMMYFUNCTION("GOOGLETRANSLATE(A21957, ""en"", ""mt"")"),"Xi tfisser isobaric?")</f>
        <v>Xi tfisser isobaric?</v>
      </c>
    </row>
    <row r="21958" ht="15.75" customHeight="1">
      <c r="A21958" s="2" t="s">
        <v>21958</v>
      </c>
      <c r="B21958" s="2" t="str">
        <f>IFERROR(__xludf.DUMMYFUNCTION("GOOGLETRANSLATE(A21958, ""en"", ""mt"")"),"Ċiniż")</f>
        <v>Ċiniż</v>
      </c>
    </row>
    <row r="21959" ht="15.75" customHeight="1">
      <c r="A21959" s="2" t="s">
        <v>21959</v>
      </c>
      <c r="B21959" s="2" t="str">
        <f>IFERROR(__xludf.DUMMYFUNCTION("GOOGLETRANSLATE(A21959, ""en"", ""mt"")"),"sinjur u tajjeb soċjalment")</f>
        <v>sinjur u tajjeb soċjalment</v>
      </c>
    </row>
    <row r="21960" ht="15.75" customHeight="1">
      <c r="A21960" s="2" t="s">
        <v>21960</v>
      </c>
      <c r="B21960" s="2" t="str">
        <f>IFERROR(__xludf.DUMMYFUNCTION("GOOGLETRANSLATE(A21960, ""en"", ""mt"")"),"fi Triq Konwiktorska")</f>
        <v>fi Triq Konwiktorska</v>
      </c>
    </row>
    <row r="21961" ht="15.75" customHeight="1">
      <c r="A21961" s="2" t="s">
        <v>21961</v>
      </c>
      <c r="B21961" s="2" t="str">
        <f>IFERROR(__xludf.DUMMYFUNCTION("GOOGLETRANSLATE(A21961, ""en"", ""mt"")"),"Meta r-Renu jivvjaġġa lejn il-Lbiċ fil-Baħar tat-Tramuntana?")</f>
        <v>Meta r-Renu jivvjaġġa lejn il-Lbiċ fil-Baħar tat-Tramuntana?</v>
      </c>
    </row>
    <row r="21962" ht="15.75" customHeight="1">
      <c r="A21962" s="2" t="s">
        <v>21962</v>
      </c>
      <c r="B21962" s="2" t="str">
        <f>IFERROR(__xludf.DUMMYFUNCTION("GOOGLETRANSLATE(A21962, ""en"", ""mt"")"),"Fejn jista 'l-interess innifsu tat-tabib ikun ekwivalenti ma' l-interess innifsu tal-pazjent?")</f>
        <v>Fejn jista 'l-interess innifsu tat-tabib ikun ekwivalenti ma' l-interess innifsu tal-pazjent?</v>
      </c>
    </row>
    <row r="21963" ht="15.75" customHeight="1">
      <c r="A21963" s="2" t="s">
        <v>21963</v>
      </c>
      <c r="B21963" s="2" t="str">
        <f>IFERROR(__xludf.DUMMYFUNCTION("GOOGLETRANSLATE(A21963, ""en"", ""mt"")"),"X'inhu t-tim l-ieħor tal-NHL apparti mill-Papri ta 'Anaheim li joqogħdu fin-Nofsinhar ta' California?")</f>
        <v>X'inhu t-tim l-ieħor tal-NHL apparti mill-Papri ta 'Anaheim li joqogħdu fin-Nofsinhar ta' California?</v>
      </c>
    </row>
    <row r="21964" ht="15.75" customHeight="1">
      <c r="A21964" s="2" t="s">
        <v>21964</v>
      </c>
      <c r="B21964" s="2" t="str">
        <f>IFERROR(__xludf.DUMMYFUNCTION("GOOGLETRANSLATE(A21964, ""en"", ""mt"")")," Kif jissejħu l-abitanti mhux nattivi tal-Awstralja?")</f>
        <v> Kif jissejħu l-abitanti mhux nattivi tal-Awstralja?</v>
      </c>
    </row>
    <row r="21965" ht="15.75" customHeight="1">
      <c r="A21965" s="2" t="s">
        <v>21965</v>
      </c>
      <c r="B21965" s="2" t="str">
        <f>IFERROR(__xludf.DUMMYFUNCTION("GOOGLETRANSLATE(A21965, ""en"", ""mt"")"),"Il-minorenni se jegħleb aktar jgħajjat")</f>
        <v>Il-minorenni se jegħleb aktar jgħajjat</v>
      </c>
    </row>
    <row r="21966" ht="15.75" customHeight="1">
      <c r="A21966" s="2" t="s">
        <v>21966</v>
      </c>
      <c r="B21966" s="2" t="str">
        <f>IFERROR(__xludf.DUMMYFUNCTION("GOOGLETRANSLATE(A21966, ""en"", ""mt"")"),"Għaliex Confucians jħobbu l-qasam mediku?")</f>
        <v>Għaliex Confucians jħobbu l-qasam mediku?</v>
      </c>
    </row>
    <row r="21967" ht="15.75" customHeight="1">
      <c r="A21967" s="2" t="s">
        <v>21967</v>
      </c>
      <c r="B21967" s="2" t="str">
        <f>IFERROR(__xludf.DUMMYFUNCTION("GOOGLETRANSLATE(A21967, ""en"", ""mt"")"),"NP-Hard")</f>
        <v>NP-Hard</v>
      </c>
    </row>
    <row r="21968" ht="15.75" customHeight="1">
      <c r="A21968" s="2" t="s">
        <v>21968</v>
      </c>
      <c r="B21968" s="2" t="str">
        <f>IFERROR(__xludf.DUMMYFUNCTION("GOOGLETRANSLATE(A21968, ""en"", ""mt"")"),"Meta seħħ l-assedju ta 'Antijokja?")</f>
        <v>Meta seħħ l-assedju ta 'Antijokja?</v>
      </c>
    </row>
    <row r="21969" ht="15.75" customHeight="1">
      <c r="A21969" s="2" t="s">
        <v>21969</v>
      </c>
      <c r="B21969" s="2" t="str">
        <f>IFERROR(__xludf.DUMMYFUNCTION("GOOGLETRANSLATE(A21969, ""en"", ""mt"")"),"X'riżultati fil-kunsinna barra mill-ordni?")</f>
        <v>X'riżultati fil-kunsinna barra mill-ordni?</v>
      </c>
    </row>
    <row r="21970" ht="15.75" customHeight="1">
      <c r="A21970" s="2" t="s">
        <v>21970</v>
      </c>
      <c r="B21970" s="2" t="str">
        <f>IFERROR(__xludf.DUMMYFUNCTION("GOOGLETRANSLATE(A21970, ""en"", ""mt"")"),"512")</f>
        <v>512</v>
      </c>
    </row>
    <row r="21971" ht="15.75" customHeight="1">
      <c r="A21971" s="2" t="s">
        <v>21971</v>
      </c>
      <c r="B21971" s="2" t="str">
        <f>IFERROR(__xludf.DUMMYFUNCTION("GOOGLETRANSLATE(A21971, ""en"", ""mt"")"),"Liema lag jgħaqqad ir-Renu mal-Lag Constance?")</f>
        <v>Liema lag jgħaqqad ir-Renu mal-Lag Constance?</v>
      </c>
    </row>
    <row r="21972" ht="15.75" customHeight="1">
      <c r="A21972" s="2" t="s">
        <v>21972</v>
      </c>
      <c r="B21972" s="2" t="str">
        <f>IFERROR(__xludf.DUMMYFUNCTION("GOOGLETRANSLATE(A21972, ""en"", ""mt"")"),"mhux restawrat mill-awtoritajiet komunisti")</f>
        <v>mhux restawrat mill-awtoritajiet komunisti</v>
      </c>
    </row>
    <row r="21973" ht="15.75" customHeight="1">
      <c r="A21973" s="2" t="s">
        <v>21973</v>
      </c>
      <c r="B21973" s="2" t="str">
        <f>IFERROR(__xludf.DUMMYFUNCTION("GOOGLETRANSLATE(A21973, ""en"", ""mt"")"),"Reġjun ta 'Rhine-Ruhr")</f>
        <v>Reġjun ta 'Rhine-Ruhr</v>
      </c>
    </row>
    <row r="21974" ht="15.75" customHeight="1">
      <c r="A21974" s="2" t="s">
        <v>21974</v>
      </c>
      <c r="B21974" s="2" t="str">
        <f>IFERROR(__xludf.DUMMYFUNCTION("GOOGLETRANSLATE(A21974, ""en"", ""mt"")"),"A Commune")</f>
        <v>A Commune</v>
      </c>
    </row>
    <row r="21975" ht="15.75" customHeight="1">
      <c r="A21975" s="2" t="s">
        <v>21975</v>
      </c>
      <c r="B21975" s="2" t="str">
        <f>IFERROR(__xludf.DUMMYFUNCTION("GOOGLETRANSLATE(A21975, ""en"", ""mt"")"),"Liema persentaġġ ta 'pompi tal-gass Amerikani kienu barra mill-fjuwil fl-1973?")</f>
        <v>Liema persentaġġ ta 'pompi tal-gass Amerikani kienu barra mill-fjuwil fl-1973?</v>
      </c>
    </row>
    <row r="21976" ht="15.75" customHeight="1">
      <c r="A21976" s="2" t="s">
        <v>21976</v>
      </c>
      <c r="B21976" s="2" t="str">
        <f>IFERROR(__xludf.DUMMYFUNCTION("GOOGLETRANSLATE(A21976, ""en"", ""mt"")"),"Dak li jinkludi Irvine Center Tech u Business Jamboree Parks?")</f>
        <v>Dak li jinkludi Irvine Center Tech u Business Jamboree Parks?</v>
      </c>
    </row>
    <row r="21977" ht="15.75" customHeight="1">
      <c r="A21977" s="2" t="s">
        <v>21977</v>
      </c>
      <c r="B21977" s="2" t="str">
        <f>IFERROR(__xludf.DUMMYFUNCTION("GOOGLETRANSLATE(A21977, ""en"", ""mt"")"),"180")</f>
        <v>180</v>
      </c>
    </row>
    <row r="21978" ht="15.75" customHeight="1">
      <c r="A21978" s="2" t="s">
        <v>21978</v>
      </c>
      <c r="B21978" s="2" t="str">
        <f>IFERROR(__xludf.DUMMYFUNCTION("GOOGLETRANSLATE(A21978, ""en"", ""mt"")"),"Fejn ma kinux oriġinarjament it-tribujiet Ġermaniċi?")</f>
        <v>Fejn ma kinux oriġinarjament it-tribujiet Ġermaniċi?</v>
      </c>
    </row>
    <row r="21979" ht="15.75" customHeight="1">
      <c r="A21979" s="2" t="s">
        <v>21979</v>
      </c>
      <c r="B21979" s="2" t="str">
        <f>IFERROR(__xludf.DUMMYFUNCTION("GOOGLETRANSLATE(A21979, ""en"", ""mt"")"),"ippubblika s-sejbiet tiegħu l-ewwel")</f>
        <v>ippubblika s-sejbiet tiegħu l-ewwel</v>
      </c>
    </row>
    <row r="21980" ht="15.75" customHeight="1">
      <c r="A21980" s="2" t="s">
        <v>21980</v>
      </c>
      <c r="B21980" s="2" t="str">
        <f>IFERROR(__xludf.DUMMYFUNCTION("GOOGLETRANSLATE(A21980, ""en"", ""mt"")"),"Ma 'dak li jikkuntrasta l-bdil tal-pakketti")</f>
        <v>Ma 'dak li jikkuntrasta l-bdil tal-pakketti</v>
      </c>
    </row>
    <row r="21981" ht="15.75" customHeight="1">
      <c r="A21981" s="2" t="s">
        <v>21981</v>
      </c>
      <c r="B21981" s="2" t="str">
        <f>IFERROR(__xludf.DUMMYFUNCTION("GOOGLETRANSLATE(A21981, ""en"", ""mt"")"),"Muntanji Tehachapi")</f>
        <v>Muntanji Tehachapi</v>
      </c>
    </row>
    <row r="21982" ht="15.75" customHeight="1">
      <c r="A21982" s="2" t="s">
        <v>21982</v>
      </c>
      <c r="B21982" s="2" t="str">
        <f>IFERROR(__xludf.DUMMYFUNCTION("GOOGLETRANSLATE(A21982, ""en"", ""mt"")"),"Liema istitut ħabbar l-università lil kulħadd fl-2008?")</f>
        <v>Liema istitut ħabbar l-università lil kulħadd fl-2008?</v>
      </c>
    </row>
    <row r="21983" ht="15.75" customHeight="1">
      <c r="A21983" s="2" t="s">
        <v>21983</v>
      </c>
      <c r="B21983" s="2" t="str">
        <f>IFERROR(__xludf.DUMMYFUNCTION("GOOGLETRANSLATE(A21983, ""en"", ""mt"")"),"Min kiteb ""dwar il-kumplessità tal-komputazzjoni tax-xjenza""?")</f>
        <v>Min kiteb "dwar il-kumplessità tal-komputazzjoni tax-xjenza"?</v>
      </c>
    </row>
    <row r="21984" ht="15.75" customHeight="1">
      <c r="A21984" s="2" t="s">
        <v>21984</v>
      </c>
      <c r="B21984" s="2" t="str">
        <f>IFERROR(__xludf.DUMMYFUNCTION("GOOGLETRANSLATE(A21984, ""en"", ""mt"")"),"Meta ġie eżegwit QUTB?")</f>
        <v>Meta ġie eżegwit QUTB?</v>
      </c>
    </row>
    <row r="21985" ht="15.75" customHeight="1">
      <c r="A21985" s="2" t="s">
        <v>21985</v>
      </c>
      <c r="B21985" s="2" t="str">
        <f>IFERROR(__xludf.DUMMYFUNCTION("GOOGLETRANSLATE(A21985, ""en"", ""mt"")"),"Il-forza tal-lira għandha kontroparti metrika, inqas użata minn Newton: il-kilogramma-forza (KGF) (xi kultant kilopond), hija l-forza eżerċitata mill-gravità standard fuq kilogramma waħda ta 'massa. Il-forza tal-kilogramma twassal għal unità alternattiva,"&amp;" iżda rarament użata ta 'massa: il-bużba tal-metrika (xi kultant mug jew hyl) hija dik il-massa li taċċellera f'1 m · s - 2 meta tkun soġġetta għal forza ta' 1 kgf. Il-forza tal-kilogramma mhix parti mis-sistema SI moderna, u ġeneralment tinqata '; Madank"&amp;"ollu għadu jara l-użu għal xi skopijiet bħala li jesprimi l-piż tal-inġenji tal-ajru, l-imbuttatura tal-ġett, it-tensjoni tat-tkellmet bir-roti, is-settings tal-wrench tat-torque u t-torque tal-ħruġ tal-magna. Unitajiet oħra ta 'forza arkani jinkludu l-st"&amp;"hène, li huwa ekwivalenti għal 1000 N, u l-kip, li huwa ekwivalenti għal 1000 lbf.")</f>
        <v>Il-forza tal-lira għandha kontroparti metrika, inqas użata minn Newton: il-kilogramma-forza (KGF) (xi kultant kilopond), hija l-forza eżerċitata mill-gravità standard fuq kilogramma waħda ta 'massa. Il-forza tal-kilogramma twassal għal unità alternattiva, iżda rarament użata ta 'massa: il-bużba tal-metrika (xi kultant mug jew hyl) hija dik il-massa li taċċellera f'1 m · s - 2 meta tkun soġġetta għal forza ta' 1 kgf. Il-forza tal-kilogramma mhix parti mis-sistema SI moderna, u ġeneralment tinqata '; Madankollu għadu jara l-użu għal xi skopijiet bħala li jesprimi l-piż tal-inġenji tal-ajru, l-imbuttatura tal-ġett, it-tensjoni tat-tkellmet bir-roti, is-settings tal-wrench tat-torque u t-torque tal-ħruġ tal-magna. Unitajiet oħra ta 'forza arkani jinkludu l-sthène, li huwa ekwivalenti għal 1000 N, u l-kip, li huwa ekwivalenti għal 1000 lbf.</v>
      </c>
    </row>
    <row r="21986" ht="15.75" customHeight="1">
      <c r="A21986" s="2" t="s">
        <v>21986</v>
      </c>
      <c r="B21986" s="2" t="str">
        <f>IFERROR(__xludf.DUMMYFUNCTION("GOOGLETRANSLATE(A21986, ""en"", ""mt"")"),"Kemm hija twila Olive Avenue?")</f>
        <v>Kemm hija twila Olive Avenue?</v>
      </c>
    </row>
    <row r="21987" ht="15.75" customHeight="1">
      <c r="A21987" s="2" t="s">
        <v>21987</v>
      </c>
      <c r="B21987" s="2" t="str">
        <f>IFERROR(__xludf.DUMMYFUNCTION("GOOGLETRANSLATE(A21987, ""en"", ""mt"")"),"Pont Ċentrali")</f>
        <v>Pont Ċentrali</v>
      </c>
    </row>
    <row r="21988" ht="15.75" customHeight="1">
      <c r="A21988" s="2" t="s">
        <v>21988</v>
      </c>
      <c r="B21988" s="2" t="str">
        <f>IFERROR(__xludf.DUMMYFUNCTION("GOOGLETRANSLATE(A21988, ""en"", ""mt"")"),"Kif kienet ir-reviżjoni ta 'Princeton ikklassifikata mill-istudenti fl-2013 talli kienet l-iktar informattiva?")</f>
        <v>Kif kienet ir-reviżjoni ta 'Princeton ikklassifikata mill-istudenti fl-2013 talli kienet l-iktar informattiva?</v>
      </c>
    </row>
    <row r="21989" ht="15.75" customHeight="1">
      <c r="A21989" s="2" t="s">
        <v>21989</v>
      </c>
      <c r="B21989" s="2" t="str">
        <f>IFERROR(__xludf.DUMMYFUNCTION("GOOGLETRANSLATE(A21989, ""en"", ""mt"")"),"permess ta 'okkupazzjoni")</f>
        <v>permess ta 'okkupazzjoni</v>
      </c>
    </row>
    <row r="21990" ht="15.75" customHeight="1">
      <c r="A21990" s="2" t="s">
        <v>21990</v>
      </c>
      <c r="B21990" s="2" t="str">
        <f>IFERROR(__xludf.DUMMYFUNCTION("GOOGLETRANSLATE(A21990, ""en"", ""mt"")"),"Billi jegħlbu ġisimhom kif ukoll permezz tas-swat tal-moxt tal-moxt tagħhom.")</f>
        <v>Billi jegħlbu ġisimhom kif ukoll permezz tas-swat tal-moxt tal-moxt tagħhom.</v>
      </c>
    </row>
    <row r="21991" ht="15.75" customHeight="1">
      <c r="A21991" s="2" t="s">
        <v>21991</v>
      </c>
      <c r="B21991" s="2" t="str">
        <f>IFERROR(__xludf.DUMMYFUNCTION("GOOGLETRANSLATE(A21991, ""en"", ""mt"")"),"X'inhu isem ieħor għall-għant li l-ħalq jista 'jiġi rtirat?")</f>
        <v>X'inhu isem ieħor għall-għant li l-ħalq jista 'jiġi rtirat?</v>
      </c>
    </row>
    <row r="21992" ht="15.75" customHeight="1">
      <c r="A21992" s="2" t="s">
        <v>21992</v>
      </c>
      <c r="B21992" s="2" t="str">
        <f>IFERROR(__xludf.DUMMYFUNCTION("GOOGLETRANSLATE(A21992, ""en"", ""mt"")"),"Riżors ta 'kumplessità jista' jiġi deskritt ukoll bħala liema tip ieħor ta 'riżorsa?")</f>
        <v>Riżors ta 'kumplessità jista' jiġi deskritt ukoll bħala liema tip ieħor ta 'riżorsa?</v>
      </c>
    </row>
    <row r="21993" ht="15.75" customHeight="1">
      <c r="A21993" s="2" t="s">
        <v>21993</v>
      </c>
      <c r="B21993" s="2" t="str">
        <f>IFERROR(__xludf.DUMMYFUNCTION("GOOGLETRANSLATE(A21993, ""en"", ""mt"")"),"X'inhuma eżempji ta 'servizzi kliniċi li l-ispiżjara jistgħu jipprovdu?")</f>
        <v>X'inhuma eżempji ta 'servizzi kliniċi li l-ispiżjara jistgħu jipprovdu?</v>
      </c>
    </row>
    <row r="21994" ht="15.75" customHeight="1">
      <c r="A21994" s="2" t="s">
        <v>21994</v>
      </c>
      <c r="B21994" s="2" t="str">
        <f>IFERROR(__xludf.DUMMYFUNCTION("GOOGLETRANSLATE(A21994, ""en"", ""mt"")"),"X'inhu l-isem imqassar tat-tellieqa tal-jott annwali li sseħħ?")</f>
        <v>X'inhu l-isem imqassar tat-tellieqa tal-jott annwali li sseħħ?</v>
      </c>
    </row>
    <row r="21995" ht="15.75" customHeight="1">
      <c r="A21995" s="2" t="s">
        <v>21995</v>
      </c>
      <c r="B21995" s="2" t="str">
        <f>IFERROR(__xludf.DUMMYFUNCTION("GOOGLETRANSLATE(A21995, ""en"", ""mt"")"),"Mhux unità u ma tistax tinkiteb bħala prodott ta 'żewġ elementi taċ-ċirku li mhumiex unitajiet.")</f>
        <v>Mhux unità u ma tistax tinkiteb bħala prodott ta 'żewġ elementi taċ-ċirku li mhumiex unitajiet.</v>
      </c>
    </row>
    <row r="21996" ht="15.75" customHeight="1">
      <c r="A21996" s="2" t="s">
        <v>21996</v>
      </c>
      <c r="B21996" s="2" t="str">
        <f>IFERROR(__xludf.DUMMYFUNCTION("GOOGLETRANSLATE(A21996, ""en"", ""mt"")"),"Xi jwaqqaf it-telf tat-timu f'età bikrija?")</f>
        <v>Xi jwaqqaf it-telf tat-timu f'età bikrija?</v>
      </c>
    </row>
    <row r="21997" ht="15.75" customHeight="1">
      <c r="A21997" s="2" t="s">
        <v>21997</v>
      </c>
      <c r="B21997" s="2" t="str">
        <f>IFERROR(__xludf.DUMMYFUNCTION("GOOGLETRANSLATE(A21997, ""en"", ""mt"")"),"X’wassal li r-reġjun tar-Rhine l-aktar baxx jinbidel b’mod sinifikanti?")</f>
        <v>X’wassal li r-reġjun tar-Rhine l-aktar baxx jinbidel b’mod sinifikanti?</v>
      </c>
    </row>
    <row r="21998" ht="15.75" customHeight="1">
      <c r="A21998" s="2" t="s">
        <v>21998</v>
      </c>
      <c r="B21998" s="2" t="str">
        <f>IFERROR(__xludf.DUMMYFUNCTION("GOOGLETRANSLATE(A21998, ""en"", ""mt"")"),"Il-bidliet fix-xita naqqsu x'tip ta 'kopertura tal-veġetazzjoni fil-baċin tal-Amażonja?")</f>
        <v>Il-bidliet fix-xita naqqsu x'tip ta 'kopertura tal-veġetazzjoni fil-baċin tal-Amażonja?</v>
      </c>
    </row>
    <row r="21999" ht="15.75" customHeight="1">
      <c r="A21999" s="2" t="s">
        <v>21999</v>
      </c>
      <c r="B21999" s="2" t="str">
        <f>IFERROR(__xludf.DUMMYFUNCTION("GOOGLETRANSLATE(A21999, ""en"", ""mt"")"),"Royal Ujazdów")</f>
        <v>Royal Ujazdów</v>
      </c>
    </row>
    <row r="22000" ht="15.75" customHeight="1">
      <c r="A22000" s="2" t="s">
        <v>22000</v>
      </c>
      <c r="B22000" s="2" t="str">
        <f>IFERROR(__xludf.DUMMYFUNCTION("GOOGLETRANSLATE(A22000, ""en"", ""mt"")"),"Meta kien it-tim tal-mudell tan-Nazzjonijiet Uniti kklassifikat it-tieni fl-Amerika ta ’Fuq?")</f>
        <v>Meta kien it-tim tal-mudell tan-Nazzjonijiet Uniti kklassifikat it-tieni fl-Amerika ta ’Fuq?</v>
      </c>
    </row>
    <row r="22001" ht="15.75" customHeight="1">
      <c r="A22001" s="2" t="s">
        <v>22001</v>
      </c>
      <c r="B22001" s="2" t="str">
        <f>IFERROR(__xludf.DUMMYFUNCTION("GOOGLETRANSLATE(A22001, ""en"", ""mt"")"),"ħames siġġijiet")</f>
        <v>ħames siġġijiet</v>
      </c>
    </row>
    <row r="22002" ht="15.75" customHeight="1">
      <c r="A22002" s="2" t="s">
        <v>22002</v>
      </c>
      <c r="B22002" s="2" t="str">
        <f>IFERROR(__xludf.DUMMYFUNCTION("GOOGLETRANSLATE(A22002, ""en"", ""mt"")"),"Liema figura storika kienet imsemmija Jacksonville wara?")</f>
        <v>Liema figura storika kienet imsemmija Jacksonville wara?</v>
      </c>
    </row>
    <row r="22003" ht="15.75" customHeight="1">
      <c r="A22003" s="2" t="s">
        <v>22003</v>
      </c>
      <c r="B22003" s="2" t="str">
        <f>IFERROR(__xludf.DUMMYFUNCTION("GOOGLETRANSLATE(A22003, ""en"", ""mt"")"),"Ma 'Tanaghrisson u l-partit tiegħu, sorpriż lill-Kanadiżi fit-28 ta' Mejju f'dak li sar magħruf bħala l-Battalja ta 'Jumonville Glen")</f>
        <v>Ma 'Tanaghrisson u l-partit tiegħu, sorpriż lill-Kanadiżi fit-28 ta' Mejju f'dak li sar magħruf bħala l-Battalja ta 'Jumonville Glen</v>
      </c>
    </row>
    <row r="22004" ht="15.75" customHeight="1">
      <c r="A22004" s="2" t="s">
        <v>22004</v>
      </c>
      <c r="B22004" s="2" t="str">
        <f>IFERROR(__xludf.DUMMYFUNCTION("GOOGLETRANSLATE(A22004, ""en"", ""mt"")"),"Liema magni tal-baħar kienu inqas effiċjenti minn turbini tal-fwar?")</f>
        <v>Liema magni tal-baħar kienu inqas effiċjenti minn turbini tal-fwar?</v>
      </c>
    </row>
    <row r="22005" ht="15.75" customHeight="1">
      <c r="A22005" s="2" t="s">
        <v>22005</v>
      </c>
      <c r="B22005" s="2" t="str">
        <f>IFERROR(__xludf.DUMMYFUNCTION("GOOGLETRANSLATE(A22005, ""en"", ""mt"")"),"Boyle")</f>
        <v>Boyle</v>
      </c>
    </row>
    <row r="22006" ht="15.75" customHeight="1">
      <c r="A22006" s="2" t="s">
        <v>22006</v>
      </c>
      <c r="B22006" s="2" t="str">
        <f>IFERROR(__xludf.DUMMYFUNCTION("GOOGLETRANSLATE(A22006, ""en"", ""mt"")"),"Fejn kienet l-isforzi ta 'Franza li tikkonċentra?")</f>
        <v>Fejn kienet l-isforzi ta 'Franza li tikkonċentra?</v>
      </c>
    </row>
    <row r="22007" ht="15.75" customHeight="1">
      <c r="A22007" s="2" t="s">
        <v>22007</v>
      </c>
      <c r="B22007" s="2" t="str">
        <f>IFERROR(__xludf.DUMMYFUNCTION("GOOGLETRANSLATE(A22007, ""en"", ""mt"")"),"Richard Harbison")</f>
        <v>Richard Harbison</v>
      </c>
    </row>
    <row r="22008" ht="15.75" customHeight="1">
      <c r="A22008" s="2" t="s">
        <v>22008</v>
      </c>
      <c r="B22008" s="2" t="str">
        <f>IFERROR(__xludf.DUMMYFUNCTION("GOOGLETRANSLATE(A22008, ""en"", ""mt"")"),"politiċi elite")</f>
        <v>politiċi elite</v>
      </c>
    </row>
    <row r="22009" ht="15.75" customHeight="1">
      <c r="A22009" s="2" t="s">
        <v>22009</v>
      </c>
      <c r="B22009" s="2" t="str">
        <f>IFERROR(__xludf.DUMMYFUNCTION("GOOGLETRANSLATE(A22009, ""en"", ""mt"")"),"F'liema sena l-belt ta 'Manakin kienet l-ewwel ġiet abbandunata?")</f>
        <v>F'liema sena l-belt ta 'Manakin kienet l-ewwel ġiet abbandunata?</v>
      </c>
    </row>
    <row r="22010" ht="15.75" customHeight="1">
      <c r="A22010" s="2" t="s">
        <v>22010</v>
      </c>
      <c r="B22010" s="2" t="str">
        <f>IFERROR(__xludf.DUMMYFUNCTION("GOOGLETRANSLATE(A22010, ""en"", ""mt"")"),"René-Robert Cavelier, Sieur de la Salle esplora l-pajjiż ta 'Ohio")</f>
        <v>René-Robert Cavelier, Sieur de la Salle esplora l-pajjiż ta 'Ohio</v>
      </c>
    </row>
    <row r="22011" ht="15.75" customHeight="1">
      <c r="A22011" s="2" t="s">
        <v>22011</v>
      </c>
      <c r="B22011" s="2" t="str">
        <f>IFERROR(__xludf.DUMMYFUNCTION("GOOGLETRANSLATE(A22011, ""en"", ""mt"")"),"Permezz tal-waal")</f>
        <v>Permezz tal-waal</v>
      </c>
    </row>
    <row r="22012" ht="15.75" customHeight="1">
      <c r="A22012" s="2" t="s">
        <v>22012</v>
      </c>
      <c r="B22012" s="2" t="str">
        <f>IFERROR(__xludf.DUMMYFUNCTION("GOOGLETRANSLATE(A22012, ""en"", ""mt"")"),"Il-Kmand Brittaniku l-ġdid ma kienx fis-seħħ sa Lulju. Meta wasal f'Albany, Abercrombie irrifjuta li jieħu xi azzjonijiet sinifikanti sakemm Loudoun approvahom. Montcalm ħa azzjoni kuraġġuża kontra l-inerzja tiegħu. Filwaqt li jibni fuq ix-xogħol ta 'Vaud"&amp;"reuil li qed iġġebbed lill-Oswego Garrison, Montcalm eżegwixxa feint strateġiku billi ċeda l-kwartieri ġenerali tiegħu lejn Ticonderoga, bħallikieku biex jippresjedi attakk ieħor tul il-Lag George. Ma 'Abercrombie imqabbad' l isfel f'Albany, Montcalm niże"&amp;"l u mexxa l-attakk ta 'suċċess fuq Oswego f'Awwissu. Wara l-konsegwenzi, Montcalm u l-Indjani taħt il-kmand tiegħu ma qablux dwar id-dispożizzjoni tal-effetti personali tal-priġunieri. L-Ewropej ma kkunsidrawhomx premjijiet u ma ħallewx lill-Indjani milli"&amp;" jqaxxru l-priġunieri tal-oġġetti ta 'valur tagħhom, li rrabjaw lill-Indjani.")</f>
        <v>Il-Kmand Brittaniku l-ġdid ma kienx fis-seħħ sa Lulju. Meta wasal f'Albany, Abercrombie irrifjuta li jieħu xi azzjonijiet sinifikanti sakemm Loudoun approvahom. Montcalm ħa azzjoni kuraġġuża kontra l-inerzja tiegħu. Filwaqt li jibni fuq ix-xogħol ta 'Vaudreuil li qed iġġebbed lill-Oswego Garrison, Montcalm eżegwixxa feint strateġiku billi ċeda l-kwartieri ġenerali tiegħu lejn Ticonderoga, bħallikieku biex jippresjedi attakk ieħor tul il-Lag George. Ma 'Abercrombie imqabbad' l isfel f'Albany, Montcalm niżel u mexxa l-attakk ta 'suċċess fuq Oswego f'Awwissu. Wara l-konsegwenzi, Montcalm u l-Indjani taħt il-kmand tiegħu ma qablux dwar id-dispożizzjoni tal-effetti personali tal-priġunieri. L-Ewropej ma kkunsidrawhomx premjijiet u ma ħallewx lill-Indjani milli jqaxxru l-priġunieri tal-oġġetti ta 'valur tagħhom, li rrabjaw lill-Indjani.</v>
      </c>
    </row>
    <row r="22013" ht="15.75" customHeight="1">
      <c r="A22013" s="2" t="s">
        <v>22013</v>
      </c>
      <c r="B22013" s="2" t="str">
        <f>IFERROR(__xludf.DUMMYFUNCTION("GOOGLETRANSLATE(A22013, ""en"", ""mt"")"),"X'jagħmlu xi speċi ta 'rotifers minflok ma jkunu predaturi?")</f>
        <v>X'jagħmlu xi speċi ta 'rotifers minflok ma jkunu predaturi?</v>
      </c>
    </row>
    <row r="22014" ht="15.75" customHeight="1">
      <c r="A22014" s="2" t="s">
        <v>22014</v>
      </c>
      <c r="B22014" s="2" t="str">
        <f>IFERROR(__xludf.DUMMYFUNCTION("GOOGLETRANSLATE(A22014, ""en"", ""mt"")"),"Boolean")</f>
        <v>Boolean</v>
      </c>
    </row>
    <row r="22015" ht="15.75" customHeight="1">
      <c r="A22015" s="2" t="s">
        <v>22015</v>
      </c>
      <c r="B22015" s="2" t="str">
        <f>IFERROR(__xludf.DUMMYFUNCTION("GOOGLETRANSLATE(A22015, ""en"", ""mt"")"),"Iċ-ċelloli T delta gamma (ċelloli T γδ) għandhom riċettur alternattiv taċ-ċelluli T (TCR) għall-kuntrarju taċ-ċelloli T CD4 + u CD8 + (αβ) u jaqsmu l-karatteristiċi taċ-ċelloli T helper, ċelloli T ċitotossiċi u ċelloli NK. Il-kundizzjonijiet li jipproduċu"&amp;" risponsi miċ-ċelloli T γδ mhumiex mifhuma għal kollox. Bħal sottogruppi oħra taċ-ċelloli T 'mhux konvenzjonali' li għandhom TCRs invarianti, bħal ċelloli T killer naturali ristretti CD1D, ċelloli T γδ T li jwaqqfu l-fruntiera bejn l-immunità innata u ada"&amp;"ttattiva. Min-naħa l-waħda, iċ-ċelloli T γδ huma komponent ta 'immunità adattiva hekk kif jirranġaw il-ġeni TCR biex jipproduċu diversità tar-riċetturi u jistgħu jiżviluppaw ukoll fenotip tal-memorja. Min-naħa l-oħra, is-sottogruppi varji huma wkoll parti"&amp;" mis-sistema immuni innata, minħabba li r-riċetturi TCR jew NK ristretti jistgħu jintużaw bħala riċetturi ta 'rikonoxximent tal-mudelli. Pereżempju, numru kbir ta 'ċelloli T Vγ9 / Vδ2 umani jirrispondu fi ftit sigħat għal molekuli komuni prodotti minn mik"&amp;"robi, u ċelloli T Vδ1 + ristretti ħafna fl-epitelja jirrispondu għal ċelloli epiteljali stressati.")</f>
        <v>Iċ-ċelloli T delta gamma (ċelloli T γδ) għandhom riċettur alternattiv taċ-ċelluli T (TCR) għall-kuntrarju taċ-ċelloli T CD4 + u CD8 + (αβ) u jaqsmu l-karatteristiċi taċ-ċelloli T helper, ċelloli T ċitotossiċi u ċelloli NK. Il-kundizzjonijiet li jipproduċu risponsi miċ-ċelloli T γδ mhumiex mifhuma għal kollox. Bħal sottogruppi oħra taċ-ċelloli T 'mhux konvenzjonali' li għandhom TCRs invarianti, bħal ċelloli T killer naturali ristretti CD1D, ċelloli T γδ T li jwaqqfu l-fruntiera bejn l-immunità innata u adattattiva. Min-naħa l-waħda, iċ-ċelloli T γδ huma komponent ta 'immunità adattiva hekk kif jirranġaw il-ġeni TCR biex jipproduċu diversità tar-riċetturi u jistgħu jiżviluppaw ukoll fenotip tal-memorja. Min-naħa l-oħra, is-sottogruppi varji huma wkoll parti mis-sistema immuni innata, minħabba li r-riċetturi TCR jew NK ristretti jistgħu jintużaw bħala riċetturi ta 'rikonoxximent tal-mudelli. Pereżempju, numru kbir ta 'ċelloli T Vγ9 / Vδ2 umani jirrispondu fi ftit sigħat għal molekuli komuni prodotti minn mikrobi, u ċelloli T Vδ1 + ristretti ħafna fl-epitelja jirrispondu għal ċelloli epiteljali stressati.</v>
      </c>
    </row>
    <row r="22016" ht="15.75" customHeight="1">
      <c r="A22016" s="2" t="s">
        <v>22016</v>
      </c>
      <c r="B22016" s="2" t="str">
        <f>IFERROR(__xludf.DUMMYFUNCTION("GOOGLETRANSLATE(A22016, ""en"", ""mt"")"),"1756 għall-iffirmar tat-Trattat tal-Paċi fl-1763")</f>
        <v>1756 għall-iffirmar tat-Trattat tal-Paċi fl-1763</v>
      </c>
    </row>
    <row r="22017" ht="15.75" customHeight="1">
      <c r="A22017" s="2" t="s">
        <v>22017</v>
      </c>
      <c r="B22017" s="2" t="str">
        <f>IFERROR(__xludf.DUMMYFUNCTION("GOOGLETRANSLATE(A22017, ""en"", ""mt"")"),"għaxar-horsepower")</f>
        <v>għaxar-horsepower</v>
      </c>
    </row>
    <row r="22018" ht="15.75" customHeight="1">
      <c r="A22018" s="2" t="s">
        <v>22018</v>
      </c>
      <c r="B22018" s="2" t="str">
        <f>IFERROR(__xludf.DUMMYFUNCTION("GOOGLETRANSLATE(A22018, ""en"", ""mt"")"),"ma jiġbor fil-qosor ir-rapport sħiħ tal-WGI")</f>
        <v>ma jiġbor fil-qosor ir-rapport sħiħ tal-WGI</v>
      </c>
    </row>
    <row r="22019" ht="15.75" customHeight="1">
      <c r="A22019" s="2" t="s">
        <v>22019</v>
      </c>
      <c r="B22019" s="2" t="str">
        <f>IFERROR(__xludf.DUMMYFUNCTION("GOOGLETRANSLATE(A22019, ""en"", ""mt"")"),"naqsu milli jwaqqfu fond ta 'assigurazzjoni għall-impjegati biex jitolbu pagi mhux imħallsa jekk min iħaddem kien jinżel")</f>
        <v>naqsu milli jwaqqfu fond ta 'assigurazzjoni għall-impjegati biex jitolbu pagi mhux imħallsa jekk min iħaddem kien jinżel</v>
      </c>
    </row>
    <row r="22020" ht="15.75" customHeight="1">
      <c r="A22020" s="2" t="s">
        <v>22020</v>
      </c>
      <c r="B22020" s="2" t="str">
        <f>IFERROR(__xludf.DUMMYFUNCTION("GOOGLETRANSLATE(A22020, ""en"", ""mt"")"),"Il-maġġoranza tista 'tkun b'saħħitha imma mhux neċessarjament")</f>
        <v>Il-maġġoranza tista 'tkun b'saħħitha imma mhux neċessarjament</v>
      </c>
    </row>
    <row r="22021" ht="15.75" customHeight="1">
      <c r="A22021" s="2" t="s">
        <v>22021</v>
      </c>
      <c r="B22021" s="2" t="str">
        <f>IFERROR(__xludf.DUMMYFUNCTION("GOOGLETRANSLATE(A22021, ""en"", ""mt"")"),"Fi żminijiet moderni, id-ditti jistgħu joffru lilhom infushom bħala dak għal proġett ta 'kostruzzjoni?")</f>
        <v>Fi żminijiet moderni, id-ditti jistgħu joffru lilhom infushom bħala dak għal proġett ta 'kostruzzjoni?</v>
      </c>
    </row>
    <row r="22022" ht="15.75" customHeight="1">
      <c r="A22022" s="2" t="s">
        <v>22022</v>
      </c>
      <c r="B22022" s="2" t="str">
        <f>IFERROR(__xludf.DUMMYFUNCTION("GOOGLETRANSLATE(A22022, ""en"", ""mt"")")," Meta Li Tan irrifjuta rewwixta?")</f>
        <v> Meta Li Tan irrifjuta rewwixta?</v>
      </c>
    </row>
    <row r="22023" ht="15.75" customHeight="1">
      <c r="A22023" s="2" t="s">
        <v>22023</v>
      </c>
      <c r="B22023" s="2" t="str">
        <f>IFERROR(__xludf.DUMMYFUNCTION("GOOGLETRANSLATE(A22023, ""en"", ""mt"")"),"Daniel Andrews")</f>
        <v>Daniel Andrews</v>
      </c>
    </row>
    <row r="22024" ht="15.75" customHeight="1">
      <c r="A22024" s="2" t="s">
        <v>22024</v>
      </c>
      <c r="B22024" s="2" t="str">
        <f>IFERROR(__xludf.DUMMYFUNCTION("GOOGLETRANSLATE(A22024, ""en"", ""mt"")"),"Hassan al-Turabi")</f>
        <v>Hassan al-Turabi</v>
      </c>
    </row>
    <row r="22025" ht="15.75" customHeight="1">
      <c r="A22025" s="2" t="s">
        <v>22025</v>
      </c>
      <c r="B22025" s="2" t="str">
        <f>IFERROR(__xludf.DUMMYFUNCTION("GOOGLETRANSLATE(A22025, ""en"", ""mt"")"),"jissupplimentah")</f>
        <v>jissupplimentah</v>
      </c>
    </row>
    <row r="22026" ht="15.75" customHeight="1">
      <c r="A22026" s="2" t="s">
        <v>22026</v>
      </c>
      <c r="B22026" s="2" t="str">
        <f>IFERROR(__xludf.DUMMYFUNCTION("GOOGLETRANSLATE(A22026, ""en"", ""mt"")"),"Reyners v il-Belġju l-Qorti tal-Ġustizzja")</f>
        <v>Reyners v il-Belġju l-Qorti tal-Ġustizzja</v>
      </c>
    </row>
    <row r="22027" ht="15.75" customHeight="1">
      <c r="A22027" s="2" t="s">
        <v>22027</v>
      </c>
      <c r="B22027" s="2" t="str">
        <f>IFERROR(__xludf.DUMMYFUNCTION("GOOGLETRANSLATE(A22027, ""en"", ""mt"")"),"Kemm għandu elettorati l-istat ta 'Victoria?")</f>
        <v>Kemm għandu elettorati l-istat ta 'Victoria?</v>
      </c>
    </row>
    <row r="22028" ht="15.75" customHeight="1">
      <c r="A22028" s="2" t="s">
        <v>22028</v>
      </c>
      <c r="B22028" s="2" t="str">
        <f>IFERROR(__xludf.DUMMYFUNCTION("GOOGLETRANSLATE(A22028, ""en"", ""mt"")"),"Il-Karta tad-Drittijiet Fundamentali tal-Unjoni Ewropea tas-7")</f>
        <v>Il-Karta tad-Drittijiet Fundamentali tal-Unjoni Ewropea tas-7</v>
      </c>
    </row>
    <row r="22029" ht="15.75" customHeight="1">
      <c r="A22029" s="2" t="s">
        <v>22029</v>
      </c>
      <c r="B22029" s="2" t="str">
        <f>IFERROR(__xludf.DUMMYFUNCTION("GOOGLETRANSLATE(A22029, ""en"", ""mt"")"),"Liema reliġjon infirxet il-Franċiżi flimkien mal-imperjalizmu tagħhom?")</f>
        <v>Liema reliġjon infirxet il-Franċiżi flimkien mal-imperjalizmu tagħhom?</v>
      </c>
    </row>
    <row r="22030" ht="15.75" customHeight="1">
      <c r="A22030" s="2" t="s">
        <v>22030</v>
      </c>
      <c r="B22030" s="2" t="str">
        <f>IFERROR(__xludf.DUMMYFUNCTION("GOOGLETRANSLATE(A22030, ""en"", ""mt"")"),"Catawba")</f>
        <v>Catawba</v>
      </c>
    </row>
    <row r="22031" ht="15.75" customHeight="1">
      <c r="A22031" s="2" t="s">
        <v>22031</v>
      </c>
      <c r="B22031" s="2" t="str">
        <f>IFERROR(__xludf.DUMMYFUNCTION("GOOGLETRANSLATE(A22031, ""en"", ""mt"")"),"F'liema tip ta 'ilma l-ossiġnu jinħall aktar bil-mod?")</f>
        <v>F'liema tip ta 'ilma l-ossiġnu jinħall aktar bil-mod?</v>
      </c>
    </row>
    <row r="22032" ht="15.75" customHeight="1">
      <c r="A22032" s="2" t="s">
        <v>22032</v>
      </c>
      <c r="B22032" s="2" t="str">
        <f>IFERROR(__xludf.DUMMYFUNCTION("GOOGLETRANSLATE(A22032, ""en"", ""mt"")"),"X'ġara bir-rata tal-fluss fir-Renu bil-programm li jillixxa?")</f>
        <v>X'ġara bir-rata tal-fluss fir-Renu bil-programm li jillixxa?</v>
      </c>
    </row>
    <row r="22033" ht="15.75" customHeight="1">
      <c r="A22033" s="2" t="s">
        <v>22033</v>
      </c>
      <c r="B22033" s="2" t="str">
        <f>IFERROR(__xludf.DUMMYFUNCTION("GOOGLETRANSLATE(A22033, ""en"", ""mt"")"),"Pneumatica")</f>
        <v>Pneumatica</v>
      </c>
    </row>
    <row r="22034" ht="15.75" customHeight="1">
      <c r="A22034" s="2" t="s">
        <v>22034</v>
      </c>
      <c r="B22034" s="2" t="str">
        <f>IFERROR(__xludf.DUMMYFUNCTION("GOOGLETRANSLATE(A22034, ""en"", ""mt"")"),"Ma 'min kienu l-alleati tat-truppi Pannonian?")</f>
        <v>Ma 'min kienu l-alleati tat-truppi Pannonian?</v>
      </c>
    </row>
    <row r="22035" ht="15.75" customHeight="1">
      <c r="A22035" s="2" t="s">
        <v>22035</v>
      </c>
      <c r="B22035" s="2" t="str">
        <f>IFERROR(__xludf.DUMMYFUNCTION("GOOGLETRANSLATE(A22035, ""en"", ""mt"")"),"Mahmud Fami Naqrashi")</f>
        <v>Mahmud Fami Naqrashi</v>
      </c>
    </row>
    <row r="22036" ht="15.75" customHeight="1">
      <c r="A22036" s="2" t="s">
        <v>22036</v>
      </c>
      <c r="B22036" s="2" t="str">
        <f>IFERROR(__xludf.DUMMYFUNCTION("GOOGLETRANSLATE(A22036, ""en"", ""mt"")"),"Kif jiġi ddeterminat il-proċess tal-allokazzjoni tas-sedili sakemm ikunu ġew determinati s-sedili kollha disponibbli?")</f>
        <v>Kif jiġi ddeterminat il-proċess tal-allokazzjoni tas-sedili sakemm ikunu ġew determinati s-sedili kollha disponibbli?</v>
      </c>
    </row>
    <row r="22037" ht="15.75" customHeight="1">
      <c r="A22037" s="2" t="s">
        <v>22037</v>
      </c>
      <c r="B22037" s="2" t="str">
        <f>IFERROR(__xludf.DUMMYFUNCTION("GOOGLETRANSLATE(A22037, ""en"", ""mt"")"),"ċitotossiku jew immunosoppressiv")</f>
        <v>ċitotossiku jew immunosoppressiv</v>
      </c>
    </row>
    <row r="22038" ht="15.75" customHeight="1">
      <c r="A22038" s="2" t="s">
        <v>22038</v>
      </c>
      <c r="B22038" s="2" t="str">
        <f>IFERROR(__xludf.DUMMYFUNCTION("GOOGLETRANSLATE(A22038, ""en"", ""mt"")"),"Liema żewġ ferroviji għandhom railyards fil-belt ta 'Fresno?")</f>
        <v>Liema żewġ ferroviji għandhom railyards fil-belt ta 'Fresno?</v>
      </c>
    </row>
    <row r="22039" ht="15.75" customHeight="1">
      <c r="A22039" s="2" t="s">
        <v>22039</v>
      </c>
      <c r="B22039" s="2" t="str">
        <f>IFERROR(__xludf.DUMMYFUNCTION("GOOGLETRANSLATE(A22039, ""en"", ""mt"")"),"mużikali")</f>
        <v>mużikali</v>
      </c>
    </row>
    <row r="22040" ht="15.75" customHeight="1">
      <c r="A22040" s="2" t="s">
        <v>22040</v>
      </c>
      <c r="B22040" s="2" t="str">
        <f>IFERROR(__xludf.DUMMYFUNCTION("GOOGLETRANSLATE(A22040, ""en"", ""mt"")"),"Meta jista 'd-dritt li jinħolqu skejjel privati ​​jittieħdu f'pajjiżi oħra?")</f>
        <v>Meta jista 'd-dritt li jinħolqu skejjel privati ​​jittieħdu f'pajjiżi oħra?</v>
      </c>
    </row>
    <row r="22041" ht="15.75" customHeight="1">
      <c r="A22041" s="2" t="s">
        <v>22041</v>
      </c>
      <c r="B22041" s="2" t="str">
        <f>IFERROR(__xludf.DUMMYFUNCTION("GOOGLETRANSLATE(A22041, ""en"", ""mt"")"),"apartheid")</f>
        <v>apartheid</v>
      </c>
    </row>
    <row r="22042" ht="15.75" customHeight="1">
      <c r="A22042" s="2" t="s">
        <v>22042</v>
      </c>
      <c r="B22042" s="2" t="str">
        <f>IFERROR(__xludf.DUMMYFUNCTION("GOOGLETRANSLATE(A22042, ""en"", ""mt"")"),"effett tal-plaċebo")</f>
        <v>effett tal-plaċebo</v>
      </c>
    </row>
    <row r="22043" ht="15.75" customHeight="1">
      <c r="A22043" s="2" t="s">
        <v>22043</v>
      </c>
      <c r="B22043" s="2" t="str">
        <f>IFERROR(__xludf.DUMMYFUNCTION("GOOGLETRANSLATE(A22043, ""en"", ""mt"")"),"F'liema sena l-għarfien mediku beda staġna matul il-Medju Evu?")</f>
        <v>F'liema sena l-għarfien mediku beda staġna matul il-Medju Evu?</v>
      </c>
    </row>
    <row r="22044" ht="15.75" customHeight="1">
      <c r="A22044" s="2" t="s">
        <v>22044</v>
      </c>
      <c r="B22044" s="2" t="str">
        <f>IFERROR(__xludf.DUMMYFUNCTION("GOOGLETRANSLATE(A22044, ""en"", ""mt"")"),"X'inhu lustrar għal ""sirena""?")</f>
        <v>X'inhu lustrar għal "sirena"?</v>
      </c>
    </row>
    <row r="22045" ht="15.75" customHeight="1">
      <c r="A22045" s="2" t="s">
        <v>22045</v>
      </c>
      <c r="B22045" s="2" t="str">
        <f>IFERROR(__xludf.DUMMYFUNCTION("GOOGLETRANSLATE(A22045, ""en"", ""mt"")"),"X'għandu jipprovdi l-iżvilupp ta 'din il-ħamrija fertili f'ambjent ostili?")</f>
        <v>X'għandu jipprovdi l-iżvilupp ta 'din il-ħamrija fertili f'ambjent ostili?</v>
      </c>
    </row>
    <row r="22046" ht="15.75" customHeight="1">
      <c r="A22046" s="2" t="s">
        <v>22046</v>
      </c>
      <c r="B22046" s="2" t="str">
        <f>IFERROR(__xludf.DUMMYFUNCTION("GOOGLETRANSLATE(A22046, ""en"", ""mt"")"),"bits")</f>
        <v>bits</v>
      </c>
    </row>
    <row r="22047" ht="15.75" customHeight="1">
      <c r="A22047" s="2" t="s">
        <v>22047</v>
      </c>
      <c r="B22047" s="2" t="str">
        <f>IFERROR(__xludf.DUMMYFUNCTION("GOOGLETRANSLATE(A22047, ""en"", ""mt"")"),"joffru kwalità ogħla ta 'edukazzjoni")</f>
        <v>joffru kwalità ogħla ta 'edukazzjoni</v>
      </c>
    </row>
    <row r="22048" ht="15.75" customHeight="1">
      <c r="A22048" s="2" t="s">
        <v>22048</v>
      </c>
      <c r="B22048" s="2" t="str">
        <f>IFERROR(__xludf.DUMMYFUNCTION("GOOGLETRANSLATE(A22048, ""en"", ""mt"")"),"L-iktar stat b'popolazzjoni densa")</f>
        <v>L-iktar stat b'popolazzjoni densa</v>
      </c>
    </row>
    <row r="22049" ht="15.75" customHeight="1">
      <c r="A22049" s="2" t="s">
        <v>22049</v>
      </c>
      <c r="B22049" s="2" t="str">
        <f>IFERROR(__xludf.DUMMYFUNCTION("GOOGLETRANSLATE(A22049, ""en"", ""mt"")"),"mhedda")</f>
        <v>mhedda</v>
      </c>
    </row>
    <row r="22050" ht="15.75" customHeight="1">
      <c r="A22050" s="2" t="s">
        <v>22050</v>
      </c>
      <c r="B22050" s="2" t="str">
        <f>IFERROR(__xludf.DUMMYFUNCTION("GOOGLETRANSLATE(A22050, ""en"", ""mt"")"),"kinetiku")</f>
        <v>kinetiku</v>
      </c>
    </row>
    <row r="22051" ht="15.75" customHeight="1">
      <c r="A22051" s="2" t="s">
        <v>22051</v>
      </c>
      <c r="B22051" s="2" t="str">
        <f>IFERROR(__xludf.DUMMYFUNCTION("GOOGLETRANSLATE(A22051, ""en"", ""mt"")"),"24 sena")</f>
        <v>24 sena</v>
      </c>
    </row>
    <row r="22052" ht="15.75" customHeight="1">
      <c r="A22052" s="2" t="s">
        <v>22052</v>
      </c>
      <c r="B22052" s="2" t="str">
        <f>IFERROR(__xludf.DUMMYFUNCTION("GOOGLETRANSLATE(A22052, ""en"", ""mt"")"),"gass ​​ikkompressat")</f>
        <v>gass ​​ikkompressat</v>
      </c>
    </row>
    <row r="22053" ht="15.75" customHeight="1">
      <c r="A22053" s="2" t="s">
        <v>22053</v>
      </c>
      <c r="B22053" s="2" t="str">
        <f>IFERROR(__xludf.DUMMYFUNCTION("GOOGLETRANSLATE(A22053, ""en"", ""mt"")"),"Neo-Confucianism u ddedika lilu nnifsu wkoll fil-Buddiżmu")</f>
        <v>Neo-Confucianism u ddedika lilu nnifsu wkoll fil-Buddiżmu</v>
      </c>
    </row>
    <row r="22054" ht="15.75" customHeight="1">
      <c r="A22054" s="2" t="s">
        <v>22054</v>
      </c>
      <c r="B22054" s="2" t="str">
        <f>IFERROR(__xludf.DUMMYFUNCTION("GOOGLETRANSLATE(A22054, ""en"", ""mt"")"),"Għal definizzjoni preċiża ta 'dak li jfisser li tissolva problema bl-użu ta' ammont ta 'ħin u spazju partikolari, jintuża mudell komputazzjonali bħall-magna deterministika tat-Turing. Il-ħin meħtieġ minn magna tat-turing deterministika M fuq l-input X huw"&amp;"a n-numru totali ta 'transizzjonijiet tal-istat, jew passi, il-magna tagħmel qabel ma tieqaf u toħroġ it-tweġiba (""iva"" jew ""le""). Magna tat-Turing M jingħad li topera fiż-żmien f (n), jekk il-ħin meħtieġ minn M fuq kull input ta 'tul n huwa l-aktar f"&amp;" (n). Problema ta 'deċiżjoni A tista' tissolva fil-ħin f (n) jekk teżisti magna tat-Turing li topera fil-ħin f (n) li ssolvi l-problema. Peress li t-teorija tal-kumplessità hija interessata fil-klassifikazzjoni ta 'problemi bbażati fuq id-diffikultà tagħh"&amp;"om, wieħed jiddefinixxi settijiet ta' problemi bbażati fuq xi kriterji. Pereżempju, is-sett ta 'problemi solvibbli fiż-żmien f (n) fuq magna tat-Turing deterministika huwa mbagħad innotat minn dtime (f (n)).")</f>
        <v>Għal definizzjoni preċiża ta 'dak li jfisser li tissolva problema bl-użu ta' ammont ta 'ħin u spazju partikolari, jintuża mudell komputazzjonali bħall-magna deterministika tat-Turing. Il-ħin meħtieġ minn magna tat-turing deterministika M fuq l-input X huwa n-numru totali ta 'transizzjonijiet tal-istat, jew passi, il-magna tagħmel qabel ma tieqaf u toħroġ it-tweġiba ("iva" jew "le"). Magna tat-Turing M jingħad li topera fiż-żmien f (n), jekk il-ħin meħtieġ minn M fuq kull input ta 'tul n huwa l-aktar f (n). Problema ta 'deċiżjoni A tista' tissolva fil-ħin f (n) jekk teżisti magna tat-Turing li topera fil-ħin f (n) li ssolvi l-problema. Peress li t-teorija tal-kumplessità hija interessata fil-klassifikazzjoni ta 'problemi bbażati fuq id-diffikultà tagħhom, wieħed jiddefinixxi settijiet ta' problemi bbażati fuq xi kriterji. Pereżempju, is-sett ta 'problemi solvibbli fiż-żmien f (n) fuq magna tat-Turing deterministika huwa mbagħad innotat minn dtime (f (n)).</v>
      </c>
    </row>
    <row r="22055" ht="15.75" customHeight="1">
      <c r="A22055" s="2" t="s">
        <v>22055</v>
      </c>
      <c r="B22055" s="2" t="str">
        <f>IFERROR(__xludf.DUMMYFUNCTION("GOOGLETRANSLATE(A22055, ""en"", ""mt"")"),"Liema tipi ta 'magni huma magni solari?")</f>
        <v>Liema tipi ta 'magni huma magni solari?</v>
      </c>
    </row>
    <row r="22056" ht="15.75" customHeight="1">
      <c r="A22056" s="2" t="s">
        <v>22056</v>
      </c>
      <c r="B22056" s="2" t="str">
        <f>IFERROR(__xludf.DUMMYFUNCTION("GOOGLETRANSLATE(A22056, ""en"", ""mt"")"),"Kemm puplesiji tal-pistuni jseħħu f'ċiklu ta 'l-egżost?")</f>
        <v>Kemm puplesiji tal-pistuni jseħħu f'ċiklu ta 'l-egżost?</v>
      </c>
    </row>
    <row r="22057" ht="15.75" customHeight="1">
      <c r="A22057" s="2" t="s">
        <v>22057</v>
      </c>
      <c r="B22057" s="2" t="str">
        <f>IFERROR(__xludf.DUMMYFUNCTION("GOOGLETRANSLATE(A22057, ""en"", ""mt"")"),"F'liema sena l-akbar kumpaniji fl-Istati Uniti ġabu dejta fuq disa 'segmenti tas-suq?")</f>
        <v>F'liema sena l-akbar kumpaniji fl-Istati Uniti ġabu dejta fuq disa 'segmenti tas-suq?</v>
      </c>
    </row>
    <row r="22058" ht="15.75" customHeight="1">
      <c r="A22058" s="2" t="s">
        <v>22058</v>
      </c>
      <c r="B22058" s="2" t="str">
        <f>IFERROR(__xludf.DUMMYFUNCTION("GOOGLETRANSLATE(A22058, ""en"", ""mt"")"),"X'kienet il-protesta f'Antigone?")</f>
        <v>X'kienet il-protesta f'Antigone?</v>
      </c>
    </row>
    <row r="22059" ht="15.75" customHeight="1">
      <c r="A22059" s="2" t="s">
        <v>22059</v>
      </c>
      <c r="B22059" s="2" t="str">
        <f>IFERROR(__xludf.DUMMYFUNCTION("GOOGLETRANSLATE(A22059, ""en"", ""mt"")"),"L-iskejjel privati ​​huma spiss Anglikani, bħal King's College u Djoċesan School for Girls f'Auckland, St Paul's Collegiate School f'Hamilton, St Peter's School f'Cambridge, Samuel Marsden Collegiate School f'Wellington, u Christ's College u St Margaret's"&amp;" College fi Christchurch; jew Presbyterian, bħall-Kulleġġ Saint Kentigern u l-Kulleġġ ta 'St Cuthbert f'Auckland, il-Kulleġġ Skoċċiż u l-Kulleġġ tar-Reġina Margaret f'Wellington, u St Andrew's College u Rangi Ruru Girls' School fi Christchurch. Akkademiċi"&amp;" Colleges Group huwa grupp riċenti ta 'skejjel privati ​​mmexxija bħala negozju, bi skejjel madwar Auckland, inkluż ACG Senior College fil-CBD ta' Auckland, ACG Parnell College f'Parnell, u l-Iskola Internazzjonali ACG New Zealand College College. Hemm tl"&amp;"iet skejjel privati ​​(inkluża l-iskola sekondarja, St Dominic's College) imħaddma mill-grupp skismatiku Kattoliku, is-Soċjetà ta ’San Piju X f’Wanganui.")</f>
        <v>L-iskejjel privati ​​huma spiss Anglikani, bħal King's College u Djoċesan School for Girls f'Auckland, St Paul's Collegiate School f'Hamilton, St Peter's School f'Cambridge, Samuel Marsden Collegiate School f'Wellington, u Christ's College u St Margaret's College fi Christchurch; jew Presbyterian, bħall-Kulleġġ Saint Kentigern u l-Kulleġġ ta 'St Cuthbert f'Auckland, il-Kulleġġ Skoċċiż u l-Kulleġġ tar-Reġina Margaret f'Wellington, u St Andrew's College u Rangi Ruru Girls' School fi Christchurch. Akkademiċi Colleges Group huwa grupp riċenti ta 'skejjel privati ​​mmexxija bħala negozju, bi skejjel madwar Auckland, inkluż ACG Senior College fil-CBD ta' Auckland, ACG Parnell College f'Parnell, u l-Iskola Internazzjonali ACG New Zealand College College. Hemm tliet skejjel privati ​​(inkluża l-iskola sekondarja, St Dominic's College) imħaddma mill-grupp skismatiku Kattoliku, is-Soċjetà ta ’San Piju X f’Wanganui.</v>
      </c>
    </row>
    <row r="22060" ht="15.75" customHeight="1">
      <c r="A22060" s="2" t="s">
        <v>22060</v>
      </c>
      <c r="B22060" s="2" t="str">
        <f>IFERROR(__xludf.DUMMYFUNCTION("GOOGLETRANSLATE(A22060, ""en"", ""mt"")"),"dak li kienet il-klima bħal miljuni ta 'snin ilu")</f>
        <v>dak li kienet il-klima bħal miljuni ta 'snin ilu</v>
      </c>
    </row>
    <row r="22061" ht="15.75" customHeight="1">
      <c r="A22061" s="2" t="s">
        <v>22061</v>
      </c>
      <c r="B22061" s="2" t="str">
        <f>IFERROR(__xludf.DUMMYFUNCTION("GOOGLETRANSLATE(A22061, ""en"", ""mt"")"),"In-Netwerk tad-Dejta tal-Pubbliku qalbu Pubbliku mit-telekomunikazzjoni PTT Olandiża")</f>
        <v>In-Netwerk tad-Dejta tal-Pubbliku qalbu Pubbliku mit-telekomunikazzjoni PTT Olandiża</v>
      </c>
    </row>
    <row r="22062" ht="15.75" customHeight="1">
      <c r="A22062" s="2" t="s">
        <v>22062</v>
      </c>
      <c r="B22062" s="2" t="str">
        <f>IFERROR(__xludf.DUMMYFUNCTION("GOOGLETRANSLATE(A22062, ""en"", ""mt"")"),"66–34")</f>
        <v>66–34</v>
      </c>
    </row>
    <row r="22063" ht="15.75" customHeight="1">
      <c r="A22063" s="2" t="s">
        <v>22063</v>
      </c>
      <c r="B22063" s="2" t="str">
        <f>IFERROR(__xludf.DUMMYFUNCTION("GOOGLETRANSLATE(A22063, ""en"", ""mt"")"),"Kelma tal-kodiċi li tiddeskrivi l-attivitajiet ta 'muggers, arsonisti, abbozzi ta' evaders")</f>
        <v>Kelma tal-kodiċi li tiddeskrivi l-attivitajiet ta 'muggers, arsonisti, abbozzi ta' evaders</v>
      </c>
    </row>
    <row r="22064" ht="15.75" customHeight="1">
      <c r="A22064" s="2" t="s">
        <v>22064</v>
      </c>
      <c r="B22064" s="2" t="str">
        <f>IFERROR(__xludf.DUMMYFUNCTION("GOOGLETRANSLATE(A22064, ""en"", ""mt"")"),"biex ma tkellimx ma 'uffiċjali tal-pulizija")</f>
        <v>biex ma tkellimx ma 'uffiċjali tal-pulizija</v>
      </c>
    </row>
    <row r="22065" ht="15.75" customHeight="1">
      <c r="A22065" s="2" t="s">
        <v>22065</v>
      </c>
      <c r="B22065" s="2" t="str">
        <f>IFERROR(__xludf.DUMMYFUNCTION("GOOGLETRANSLATE(A22065, ""en"", ""mt"")"),"It-telfa rapida u deċiżiva tat-truppi Għarab matul il-gwerra ta 'sitt ijiem mit-truppi Iżraeljani kienet tikkostitwixxi avveniment ċentrali fid-dinja Musulmana Għarbija. It-telfa flimkien ma 'staġnar ekonomiku fil-pajjiżi megħluba, ġiet akkużata fuq in-na"&amp;"zzjonaliżmu Għarbi sekulari tar-reġimi ta' tmexxija. Tnaqqis wieqaf u kostanti fil-popolarità u l-kredibilità tal-politika sekulari, soċjalista u nazzjonalista. Il-Ba'athism, is-soċjaliżmu Għarbi, u n-nazzjonaliżmu Għarbi sofrew, u movimenti Iżlamisti Dem"&amp;"okratiċi u anti-demokratiċi differenti ispirati minn Maududi u Sayyid Qutb kisbu art.")</f>
        <v>It-telfa rapida u deċiżiva tat-truppi Għarab matul il-gwerra ta 'sitt ijiem mit-truppi Iżraeljani kienet tikkostitwixxi avveniment ċentrali fid-dinja Musulmana Għarbija. It-telfa flimkien ma 'staġnar ekonomiku fil-pajjiżi megħluba, ġiet akkużata fuq in-nazzjonaliżmu Għarbi sekulari tar-reġimi ta' tmexxija. Tnaqqis wieqaf u kostanti fil-popolarità u l-kredibilità tal-politika sekulari, soċjalista u nazzjonalista. Il-Ba'athism, is-soċjaliżmu Għarbi, u n-nazzjonaliżmu Għarbi sofrew, u movimenti Iżlamisti Demokratiċi u anti-demokratiċi differenti ispirati minn Maududi u Sayyid Qutb kisbu art.</v>
      </c>
    </row>
    <row r="22066" ht="15.75" customHeight="1">
      <c r="A22066" s="2" t="s">
        <v>22066</v>
      </c>
      <c r="B22066" s="2" t="str">
        <f>IFERROR(__xludf.DUMMYFUNCTION("GOOGLETRANSLATE(A22066, ""en"", ""mt"")"),"taħt l-art")</f>
        <v>taħt l-art</v>
      </c>
    </row>
    <row r="22067" ht="15.75" customHeight="1">
      <c r="A22067" s="2" t="s">
        <v>22067</v>
      </c>
      <c r="B22067" s="2" t="str">
        <f>IFERROR(__xludf.DUMMYFUNCTION("GOOGLETRANSLATE(A22067, ""en"", ""mt"")"),"Kif tissejjaħ il-pleurobrachia kostali komuni?")</f>
        <v>Kif tissejjaħ il-pleurobrachia kostali komuni?</v>
      </c>
    </row>
    <row r="22068" ht="15.75" customHeight="1">
      <c r="A22068" s="2" t="s">
        <v>22068</v>
      </c>
      <c r="B22068" s="2" t="str">
        <f>IFERROR(__xludf.DUMMYFUNCTION("GOOGLETRANSLATE(A22068, ""en"", ""mt"")"),"X'inhu l-volum normalment ikkonċentrat kif?")</f>
        <v>X'inhu l-volum normalment ikkonċentrat kif?</v>
      </c>
    </row>
    <row r="22069" ht="15.75" customHeight="1">
      <c r="A22069" s="2" t="s">
        <v>22069</v>
      </c>
      <c r="B22069" s="2" t="str">
        <f>IFERROR(__xludf.DUMMYFUNCTION("GOOGLETRANSLATE(A22069, ""en"", ""mt"")"),"Chao")</f>
        <v>Chao</v>
      </c>
    </row>
    <row r="22070" ht="15.75" customHeight="1">
      <c r="A22070" s="2" t="s">
        <v>22070</v>
      </c>
      <c r="B22070" s="2" t="str">
        <f>IFERROR(__xludf.DUMMYFUNCTION("GOOGLETRANSLATE(A22070, ""en"", ""mt"")"),"Minn xiex kien il-kunċett ta 'forza?")</f>
        <v>Minn xiex kien il-kunċett ta 'forza?</v>
      </c>
    </row>
    <row r="22071" ht="15.75" customHeight="1">
      <c r="A22071" s="2" t="s">
        <v>22071</v>
      </c>
      <c r="B22071" s="2" t="str">
        <f>IFERROR(__xludf.DUMMYFUNCTION("GOOGLETRANSLATE(A22071, ""en"", ""mt"")"),"Sayyid Abul Ala Maududi kien figura importanti tas-seklu għoxrin kmieni fil-qawmien mill-ġdid Iżlamiku fl-Indja, u wara wara l-indipendenza mill-Gran Brittanja, fil-Pakistan. Imħarreġ bħala avukat huwa għażel il-professjoni tal-ġurnaliżmu, u kiteb dwar kw"&amp;"istjonijiet kontemporanji u l-iktar importanti dwar l-Iżlam u l-liġi Iżlamika. Maududi waqqaf il-Partit Jamaat-e-Islami fl-1941 u baqa 'l-mexxej tiegħu sal-1972. Madankollu, Maududi kellu impatt ferm aktar permezz tal-kitba tiegħu milli permezz tal-organi"&amp;"zzazzjoni politika tiegħu. Il-kotba estremament influwenti tiegħu (tradotti f’ħafna lingwi) poġġew l-Iżlam f’kuntest modern, u influwenzaw mhux biss l-Iżlamisti tal-Modernizzatur tal-Ulema konservattivi iżda l-modernizzatur liberali bħal al-Faruqi, li l- "&amp;"""Iżlamizzazzjoni tal-Għarfien” tagħhom imexxu 'l quddiem uħud mill-prinċipji ewlenin ta' Maududi.")</f>
        <v>Sayyid Abul Ala Maududi kien figura importanti tas-seklu għoxrin kmieni fil-qawmien mill-ġdid Iżlamiku fl-Indja, u wara wara l-indipendenza mill-Gran Brittanja, fil-Pakistan. Imħarreġ bħala avukat huwa għażel il-professjoni tal-ġurnaliżmu, u kiteb dwar kwistjonijiet kontemporanji u l-iktar importanti dwar l-Iżlam u l-liġi Iżlamika. Maududi waqqaf il-Partit Jamaat-e-Islami fl-1941 u baqa 'l-mexxej tiegħu sal-1972. Madankollu, Maududi kellu impatt ferm aktar permezz tal-kitba tiegħu milli permezz tal-organizzazzjoni politika tiegħu. Il-kotba estremament influwenti tiegħu (tradotti f’ħafna lingwi) poġġew l-Iżlam f’kuntest modern, u influwenzaw mhux biss l-Iżlamisti tal-Modernizzatur tal-Ulema konservattivi iżda l-modernizzatur liberali bħal al-Faruqi, li l- "Iżlamizzazzjoni tal-Għarfien” tagħhom imexxu 'l quddiem uħud mill-prinċipji ewlenin ta' Maududi.</v>
      </c>
    </row>
    <row r="22072" ht="15.75" customHeight="1">
      <c r="A22072" s="2" t="s">
        <v>22072</v>
      </c>
      <c r="B22072" s="2" t="str">
        <f>IFERROR(__xludf.DUMMYFUNCTION("GOOGLETRANSLATE(A22072, ""en"", ""mt"")"),"X’jaħdmu l-pagi bl-istess mod bħal għal xi ġid ieħor?")</f>
        <v>X’jaħdmu l-pagi bl-istess mod bħal għal xi ġid ieħor?</v>
      </c>
    </row>
    <row r="22073" ht="15.75" customHeight="1">
      <c r="A22073" s="2" t="s">
        <v>22073</v>
      </c>
      <c r="B22073" s="2" t="str">
        <f>IFERROR(__xludf.DUMMYFUNCTION("GOOGLETRANSLATE(A22073, ""en"", ""mt"")"),"Frazzjoni żgħira tal-fluss tal-ilma kiesaħ mill-Lag Constance tmur għal liema lag ieħor?")</f>
        <v>Frazzjoni żgħira tal-fluss tal-ilma kiesaħ mill-Lag Constance tmur għal liema lag ieħor?</v>
      </c>
    </row>
    <row r="22074" ht="15.75" customHeight="1">
      <c r="A22074" s="2" t="s">
        <v>22074</v>
      </c>
      <c r="B22074" s="2" t="str">
        <f>IFERROR(__xludf.DUMMYFUNCTION("GOOGLETRANSLATE(A22074, ""en"", ""mt"")"),"pagi u profitti")</f>
        <v>pagi u profitti</v>
      </c>
    </row>
    <row r="22075" ht="15.75" customHeight="1">
      <c r="A22075" s="2" t="s">
        <v>22075</v>
      </c>
      <c r="B22075" s="2" t="str">
        <f>IFERROR(__xludf.DUMMYFUNCTION("GOOGLETRANSLATE(A22075, ""en"", ""mt"")"),"Test ta 'Primalità ta' Miller - Rabin")</f>
        <v>Test ta 'Primalità ta' Miller - Rabin</v>
      </c>
    </row>
    <row r="22076" ht="15.75" customHeight="1">
      <c r="A22076" s="2" t="s">
        <v>22076</v>
      </c>
      <c r="B22076" s="2" t="str">
        <f>IFERROR(__xludf.DUMMYFUNCTION("GOOGLETRANSLATE(A22076, ""en"", ""mt"")"),"Liema grupp jista 'jemenda l-Kostituzzjoni Vittorjana?")</f>
        <v>Liema grupp jista 'jemenda l-Kostituzzjoni Vittorjana?</v>
      </c>
    </row>
    <row r="22077" ht="15.75" customHeight="1">
      <c r="A22077" s="2" t="s">
        <v>22077</v>
      </c>
      <c r="B22077" s="2" t="str">
        <f>IFERROR(__xludf.DUMMYFUNCTION("GOOGLETRANSLATE(A22077, ""en"", ""mt"")"),"Liema professjoni kienu Ronald Robinson u John Gallagher?")</f>
        <v>Liema professjoni kienu Ronald Robinson u John Gallagher?</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2023-09-27T15:44:00Z</dcterms:created>
  <dc:creator>openpyxl</dc:creator>
</cp:coreProperties>
</file>